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M1" i="1" l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M403"/>
  <sheetViews>
    <sheetView tabSelected="1" workbookViewId="0"/>
  </sheetViews>
  <sheetFormatPr defaultRowHeight="15" x14ac:dyDescent="0.25"/>
  <sheetData>
    <row r="1" spans="1:1495" x14ac:dyDescent="0.25">
      <c r="A1">
        <f ca="1">(A1)+(1)</f>
        <v>1</v>
      </c>
      <c r="B1" t="str">
        <f ca="1">"goto"</f>
        <v>goto</v>
      </c>
      <c r="C1">
        <f ca="1">76</f>
        <v>76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"mod"</f>
        <v>mod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"outputline"</f>
        <v>outputline</v>
      </c>
      <c r="ES1" t="str">
        <f ca="1">""</f>
        <v/>
      </c>
      <c r="ET1" t="str">
        <f ca="1">"push"</f>
        <v>push</v>
      </c>
      <c r="EU1" t="str">
        <f ca="1">"()"</f>
        <v>()</v>
      </c>
      <c r="EV1" t="str">
        <f ca="1">"return"</f>
        <v>return</v>
      </c>
      <c r="EW1" t="str">
        <f ca="1">""</f>
        <v/>
      </c>
      <c r="EX1" t="str">
        <f ca="1">"goto"</f>
        <v>goto</v>
      </c>
      <c r="EY1">
        <f ca="1">711</f>
        <v>711</v>
      </c>
      <c r="EZ1" t="str">
        <f ca="1">"store"</f>
        <v>store</v>
      </c>
      <c r="FA1" t="str">
        <f ca="1">"H"</f>
        <v>H</v>
      </c>
      <c r="FB1" t="str">
        <f ca="1">"push"</f>
        <v>push</v>
      </c>
      <c r="FC1">
        <f ca="1">10</f>
        <v>10</v>
      </c>
      <c r="FD1" t="str">
        <f ca="1">"load"</f>
        <v>load</v>
      </c>
      <c r="FE1">
        <f ca="1">3</f>
        <v>3</v>
      </c>
      <c r="FF1" t="str">
        <f ca="1">"newheap"</f>
        <v>newheap</v>
      </c>
      <c r="FG1" t="str">
        <f ca="1">""</f>
        <v/>
      </c>
      <c r="FH1" t="str">
        <f ca="1">"store"</f>
        <v>store</v>
      </c>
      <c r="FI1" t="str">
        <f ca="1">"G"</f>
        <v>G</v>
      </c>
      <c r="FJ1" t="str">
        <f ca="1">"load"</f>
        <v>load</v>
      </c>
      <c r="FK1">
        <f ca="1">2</f>
        <v>2</v>
      </c>
      <c r="FL1" t="str">
        <f ca="1">"push"</f>
        <v>push</v>
      </c>
      <c r="FM1">
        <f ca="1">39</f>
        <v>39</v>
      </c>
      <c r="FN1" t="str">
        <f ca="1">"writeheap"</f>
        <v>writeheap</v>
      </c>
      <c r="FO1" t="str">
        <f ca="1">""</f>
        <v/>
      </c>
      <c r="FP1" t="str">
        <f ca="1">"newheap"</f>
        <v>newheap</v>
      </c>
      <c r="FQ1" t="str">
        <f ca="1">""</f>
        <v/>
      </c>
      <c r="FR1" t="str">
        <f ca="1">"push"</f>
        <v>push</v>
      </c>
      <c r="FS1" t="str">
        <f ca="1">"endArr"</f>
        <v>endArr</v>
      </c>
      <c r="FT1" t="str">
        <f ca="1">"writeheap"</f>
        <v>writeheap</v>
      </c>
      <c r="FU1" t="str">
        <f ca="1">""</f>
        <v/>
      </c>
      <c r="FV1" t="str">
        <f ca="1">"load"</f>
        <v>load</v>
      </c>
      <c r="FW1">
        <f ca="1">2</f>
        <v>2</v>
      </c>
      <c r="FX1" t="str">
        <f ca="1">"popv"</f>
        <v>popv</v>
      </c>
      <c r="FY1" t="str">
        <f ca="1">"G"</f>
        <v>G</v>
      </c>
      <c r="FZ1" t="str">
        <f ca="1">"store"</f>
        <v>store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"push"</f>
        <v>push</v>
      </c>
      <c r="GE1">
        <f ca="1">1</f>
        <v>1</v>
      </c>
      <c r="GF1" t="str">
        <f ca="1">"add"</f>
        <v>add</v>
      </c>
      <c r="GG1" t="str">
        <f ca="1">""</f>
        <v/>
      </c>
      <c r="GH1" t="str">
        <f ca="1">"store"</f>
        <v>store</v>
      </c>
      <c r="GI1" t="str">
        <f ca="1">"G"</f>
        <v>G</v>
      </c>
      <c r="GJ1" t="str">
        <f ca="1">"load"</f>
        <v>load</v>
      </c>
      <c r="GK1">
        <f ca="1">2</f>
        <v>2</v>
      </c>
      <c r="GL1" t="str">
        <f ca="1">"getheap"</f>
        <v>getheap</v>
      </c>
      <c r="GM1" t="str">
        <f ca="1">""</f>
        <v/>
      </c>
      <c r="GN1" t="str">
        <f ca="1">"push"</f>
        <v>push</v>
      </c>
      <c r="GO1" t="str">
        <f ca="1">"endArr"</f>
        <v>endArr</v>
      </c>
      <c r="GP1" t="str">
        <f ca="1">"equals"</f>
        <v>equals</v>
      </c>
      <c r="GQ1" t="str">
        <f ca="1">""</f>
        <v/>
      </c>
      <c r="GR1" t="str">
        <f ca="1">"gotoiftrue"</f>
        <v>gotoiftrue</v>
      </c>
      <c r="GS1">
        <f ca="1">108</f>
        <v>108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"load"</f>
        <v>load</v>
      </c>
      <c r="GY1">
        <f ca="1">2</f>
        <v>2</v>
      </c>
      <c r="GZ1" t="str">
        <f ca="1">"push"</f>
        <v>push</v>
      </c>
      <c r="HA1">
        <f ca="1">1</f>
        <v>1</v>
      </c>
      <c r="HB1" t="str">
        <f ca="1">"add"</f>
        <v>add</v>
      </c>
      <c r="HC1" t="str">
        <f ca="1">""</f>
        <v/>
      </c>
      <c r="HD1" t="str">
        <f ca="1">"popv"</f>
        <v>popv</v>
      </c>
      <c r="HE1" t="str">
        <f ca="1">"G"</f>
        <v>G</v>
      </c>
      <c r="HF1" t="str">
        <f ca="1">"store"</f>
        <v>store</v>
      </c>
      <c r="HG1" t="str">
        <f ca="1">"G"</f>
        <v>G</v>
      </c>
      <c r="HH1" t="str">
        <f ca="1">"goto"</f>
        <v>goto</v>
      </c>
      <c r="HI1">
        <f ca="1">95</f>
        <v>95</v>
      </c>
      <c r="HJ1" t="str">
        <f ca="1">"popv"</f>
        <v>popv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"getheap"</f>
        <v>getheap</v>
      </c>
      <c r="HO1" t="str">
        <f ca="1">""</f>
        <v/>
      </c>
      <c r="HP1" t="str">
        <f ca="1">"call"</f>
        <v>call</v>
      </c>
      <c r="HQ1" t="str">
        <f ca="1">""</f>
        <v/>
      </c>
      <c r="HR1" t="str">
        <f ca="1">"popv"</f>
        <v>popv</v>
      </c>
      <c r="HS1" t="str">
        <f ca="1">"G"</f>
        <v>G</v>
      </c>
      <c r="HT1" t="str">
        <f ca="1">"store"</f>
        <v>store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"store"</f>
        <v>store</v>
      </c>
      <c r="IC1" t="str">
        <f ca="1">"G"</f>
        <v>G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"equals"</f>
        <v>equals</v>
      </c>
      <c r="IK1" t="str">
        <f ca="1">""</f>
        <v/>
      </c>
      <c r="IL1" t="str">
        <f ca="1">"gotoiftrue"</f>
        <v>gotoiftrue</v>
      </c>
      <c r="IM1">
        <f ca="1">131</f>
        <v>131</v>
      </c>
      <c r="IN1" t="str">
        <f ca="1">"load"</f>
        <v>load</v>
      </c>
      <c r="IO1">
        <f ca="1">2</f>
        <v>2</v>
      </c>
      <c r="IP1" t="str">
        <f ca="1">"getheap"</f>
        <v>getheap</v>
      </c>
      <c r="IQ1" t="str">
        <f ca="1">""</f>
        <v/>
      </c>
      <c r="IR1" t="str">
        <f ca="1">"load"</f>
        <v>load</v>
      </c>
      <c r="IS1">
        <f ca="1">2</f>
        <v>2</v>
      </c>
      <c r="IT1" t="str">
        <f ca="1">"push"</f>
        <v>push</v>
      </c>
      <c r="IU1">
        <f ca="1">1</f>
        <v>1</v>
      </c>
      <c r="IV1" t="str">
        <f ca="1">"add"</f>
        <v>add</v>
      </c>
      <c r="IW1" t="str">
        <f ca="1">""</f>
        <v/>
      </c>
      <c r="IX1" t="str">
        <f ca="1">"popv"</f>
        <v>popv</v>
      </c>
      <c r="IY1" t="str">
        <f ca="1">"G"</f>
        <v>G</v>
      </c>
      <c r="IZ1" t="str">
        <f ca="1">"store"</f>
        <v>store</v>
      </c>
      <c r="JA1" t="str">
        <f ca="1">"G"</f>
        <v>G</v>
      </c>
      <c r="JB1" t="str">
        <f ca="1">"goto"</f>
        <v>goto</v>
      </c>
      <c r="JC1">
        <f ca="1">118</f>
        <v>118</v>
      </c>
      <c r="JD1" t="str">
        <f ca="1">"popv"</f>
        <v>popv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"getheap"</f>
        <v>getheap</v>
      </c>
      <c r="JI1" t="str">
        <f ca="1">""</f>
        <v/>
      </c>
      <c r="JJ1" t="str">
        <f ca="1">"call"</f>
        <v>call</v>
      </c>
      <c r="JK1" t="str">
        <f ca="1">""</f>
        <v/>
      </c>
      <c r="JL1" t="str">
        <f ca="1">"popv"</f>
        <v>popv</v>
      </c>
      <c r="JM1" t="str">
        <f ca="1">"G"</f>
        <v>G</v>
      </c>
      <c r="JN1" t="str">
        <f ca="1">"gotoiftrue"</f>
        <v>gotoiftrue</v>
      </c>
      <c r="JO1">
        <f ca="1">139</f>
        <v>139</v>
      </c>
      <c r="JP1" t="str">
        <f ca="1">"push"</f>
        <v>push</v>
      </c>
      <c r="JQ1" t="str">
        <f ca="1">"()"</f>
        <v>()</v>
      </c>
      <c r="JR1" t="str">
        <f ca="1">"goto"</f>
        <v>goto</v>
      </c>
      <c r="JS1">
        <f ca="1">709</f>
        <v>709</v>
      </c>
      <c r="JT1" t="str">
        <f ca="1">"push"</f>
        <v>push</v>
      </c>
      <c r="JU1">
        <f ca="1">0</f>
        <v>0</v>
      </c>
      <c r="JV1" t="str">
        <f ca="1">"push"</f>
        <v>push</v>
      </c>
      <c r="JW1">
        <f ca="1">3</f>
        <v>3</v>
      </c>
      <c r="JX1" t="str">
        <f ca="1">"load"</f>
        <v>load</v>
      </c>
      <c r="JY1">
        <f ca="1">3</f>
        <v>3</v>
      </c>
      <c r="JZ1" t="str">
        <f ca="1">"newheap"</f>
        <v>newheap</v>
      </c>
      <c r="KA1" t="str">
        <f ca="1">""</f>
        <v/>
      </c>
      <c r="KB1" t="str">
        <f ca="1">"store"</f>
        <v>store</v>
      </c>
      <c r="KC1" t="str">
        <f ca="1">"G"</f>
        <v>G</v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57</f>
        <v>57</v>
      </c>
      <c r="KH1" t="str">
        <f ca="1">"writeheap"</f>
        <v>writeheap</v>
      </c>
      <c r="KI1" t="str">
        <f ca="1">""</f>
        <v/>
      </c>
      <c r="KJ1" t="str">
        <f ca="1">"newheap"</f>
        <v>newheap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"writeheap"</f>
        <v>writeheap</v>
      </c>
      <c r="KO1" t="str">
        <f ca="1">""</f>
        <v/>
      </c>
      <c r="KP1" t="str">
        <f ca="1">"load"</f>
        <v>load</v>
      </c>
      <c r="KQ1">
        <f ca="1">2</f>
        <v>2</v>
      </c>
      <c r="KR1" t="str">
        <f ca="1">"popv"</f>
        <v>popv</v>
      </c>
      <c r="KS1" t="str">
        <f ca="1">"G"</f>
        <v>G</v>
      </c>
      <c r="KT1" t="str">
        <f ca="1">"store"</f>
        <v>store</v>
      </c>
      <c r="KU1" t="str">
        <f ca="1">"G"</f>
        <v>G</v>
      </c>
      <c r="KV1" t="str">
        <f ca="1">"load"</f>
        <v>load</v>
      </c>
      <c r="KW1">
        <f ca="1">2</f>
        <v>2</v>
      </c>
      <c r="KX1" t="str">
        <f ca="1">"push"</f>
        <v>push</v>
      </c>
      <c r="KY1">
        <f ca="1">1</f>
        <v>1</v>
      </c>
      <c r="KZ1" t="str">
        <f ca="1">"add"</f>
        <v>add</v>
      </c>
      <c r="LA1" t="str">
        <f ca="1">""</f>
        <v/>
      </c>
      <c r="LB1" t="str">
        <f ca="1">"store"</f>
        <v>store</v>
      </c>
      <c r="LC1" t="str">
        <f ca="1">"G"</f>
        <v>G</v>
      </c>
      <c r="LD1" t="str">
        <f ca="1">"load"</f>
        <v>load</v>
      </c>
      <c r="LE1">
        <f ca="1">2</f>
        <v>2</v>
      </c>
      <c r="LF1" t="str">
        <f ca="1">"getheap"</f>
        <v>getheap</v>
      </c>
      <c r="LG1" t="str">
        <f ca="1">""</f>
        <v/>
      </c>
      <c r="LH1" t="str">
        <f ca="1">"push"</f>
        <v>push</v>
      </c>
      <c r="LI1" t="str">
        <f ca="1">"endArr"</f>
        <v>endArr</v>
      </c>
      <c r="LJ1" t="str">
        <f ca="1">"equals"</f>
        <v>equals</v>
      </c>
      <c r="LK1" t="str">
        <f ca="1">""</f>
        <v/>
      </c>
      <c r="LL1" t="str">
        <f ca="1">"gotoiftrue"</f>
        <v>gotoiftrue</v>
      </c>
      <c r="LM1">
        <f ca="1">170</f>
        <v>170</v>
      </c>
      <c r="LN1" t="str">
        <f ca="1">"load"</f>
        <v>load</v>
      </c>
      <c r="LO1">
        <f ca="1">2</f>
        <v>2</v>
      </c>
      <c r="LP1" t="str">
        <f ca="1">"getheap"</f>
        <v>getheap</v>
      </c>
      <c r="LQ1" t="str">
        <f ca="1">""</f>
        <v/>
      </c>
      <c r="LR1" t="str">
        <f ca="1">"load"</f>
        <v>load</v>
      </c>
      <c r="LS1">
        <f ca="1">2</f>
        <v>2</v>
      </c>
      <c r="LT1" t="str">
        <f ca="1">"push"</f>
        <v>push</v>
      </c>
      <c r="LU1">
        <f ca="1">1</f>
        <v>1</v>
      </c>
      <c r="LV1" t="str">
        <f ca="1">"add"</f>
        <v>add</v>
      </c>
      <c r="LW1" t="str">
        <f ca="1">""</f>
        <v/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"goto"</f>
        <v>goto</v>
      </c>
      <c r="MC1">
        <f ca="1">157</f>
        <v>157</v>
      </c>
      <c r="MD1" t="str">
        <f ca="1">"popv"</f>
        <v>popv</v>
      </c>
      <c r="ME1" t="str">
        <f ca="1">"G"</f>
        <v>G</v>
      </c>
      <c r="MF1" t="str">
        <f ca="1">"load"</f>
        <v>load</v>
      </c>
      <c r="MG1">
        <f ca="1">2</f>
        <v>2</v>
      </c>
      <c r="MH1" t="str">
        <f ca="1">"getheap"</f>
        <v>getheap</v>
      </c>
      <c r="MI1" t="str">
        <f ca="1">""</f>
        <v/>
      </c>
      <c r="MJ1" t="str">
        <f ca="1">"call"</f>
        <v>call</v>
      </c>
      <c r="MK1" t="str">
        <f ca="1">""</f>
        <v/>
      </c>
      <c r="ML1" t="str">
        <f ca="1">"popv"</f>
        <v>popv</v>
      </c>
      <c r="MM1" t="str">
        <f ca="1">"G"</f>
        <v>G</v>
      </c>
      <c r="MN1" t="str">
        <f ca="1">"store"</f>
        <v>store</v>
      </c>
      <c r="MO1" t="str">
        <f ca="1">"G"</f>
        <v>G</v>
      </c>
      <c r="MP1" t="str">
        <f ca="1">"load"</f>
        <v>load</v>
      </c>
      <c r="MQ1">
        <f ca="1">2</f>
        <v>2</v>
      </c>
      <c r="MR1" t="str">
        <f ca="1">"push"</f>
        <v>push</v>
      </c>
      <c r="MS1">
        <f ca="1">1</f>
        <v>1</v>
      </c>
      <c r="MT1" t="str">
        <f ca="1">"add"</f>
        <v>add</v>
      </c>
      <c r="MU1" t="str">
        <f ca="1">""</f>
        <v/>
      </c>
      <c r="MV1" t="str">
        <f ca="1">"store"</f>
        <v>store</v>
      </c>
      <c r="MW1" t="str">
        <f ca="1">"G"</f>
        <v>G</v>
      </c>
      <c r="MX1" t="str">
        <f ca="1">"load"</f>
        <v>load</v>
      </c>
      <c r="MY1">
        <f ca="1">2</f>
        <v>2</v>
      </c>
      <c r="MZ1" t="str">
        <f ca="1">"getheap"</f>
        <v>getheap</v>
      </c>
      <c r="NA1" t="str">
        <f ca="1">""</f>
        <v/>
      </c>
      <c r="NB1" t="str">
        <f ca="1">"push"</f>
        <v>push</v>
      </c>
      <c r="NC1" t="str">
        <f ca="1">"endArr"</f>
        <v>endArr</v>
      </c>
      <c r="ND1" t="str">
        <f ca="1">"equals"</f>
        <v>equals</v>
      </c>
      <c r="NE1" t="str">
        <f ca="1">""</f>
        <v/>
      </c>
      <c r="NF1" t="str">
        <f ca="1">"gotoiftrue"</f>
        <v>gotoiftrue</v>
      </c>
      <c r="NG1">
        <f ca="1">193</f>
        <v>193</v>
      </c>
      <c r="NH1" t="str">
        <f ca="1">"load"</f>
        <v>load</v>
      </c>
      <c r="NI1">
        <f ca="1">2</f>
        <v>2</v>
      </c>
      <c r="NJ1" t="str">
        <f ca="1">"getheap"</f>
        <v>getheap</v>
      </c>
      <c r="NK1" t="str">
        <f ca="1">""</f>
        <v/>
      </c>
      <c r="NL1" t="str">
        <f ca="1">"load"</f>
        <v>load</v>
      </c>
      <c r="NM1">
        <f ca="1">2</f>
        <v>2</v>
      </c>
      <c r="NN1" t="str">
        <f ca="1">"push"</f>
        <v>push</v>
      </c>
      <c r="NO1">
        <f ca="1">1</f>
        <v>1</v>
      </c>
      <c r="NP1" t="str">
        <f ca="1">"add"</f>
        <v>add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"goto"</f>
        <v>goto</v>
      </c>
      <c r="NW1">
        <f ca="1">180</f>
        <v>180</v>
      </c>
      <c r="NX1" t="str">
        <f ca="1">"popv"</f>
        <v>popv</v>
      </c>
      <c r="NY1" t="str">
        <f ca="1">"G"</f>
        <v>G</v>
      </c>
      <c r="NZ1" t="str">
        <f ca="1">"load"</f>
        <v>load</v>
      </c>
      <c r="OA1">
        <f ca="1">2</f>
        <v>2</v>
      </c>
      <c r="OB1" t="str">
        <f ca="1">"getheap"</f>
        <v>getheap</v>
      </c>
      <c r="OC1" t="str">
        <f ca="1">""</f>
        <v/>
      </c>
      <c r="OD1" t="str">
        <f ca="1">"call"</f>
        <v>call</v>
      </c>
      <c r="OE1" t="str">
        <f ca="1">""</f>
        <v/>
      </c>
      <c r="OF1" t="str">
        <f ca="1">"popv"</f>
        <v>popv</v>
      </c>
      <c r="OG1" t="str">
        <f ca="1">"G"</f>
        <v>G</v>
      </c>
      <c r="OH1" t="str">
        <f ca="1">"newheap"</f>
        <v>newheap</v>
      </c>
      <c r="OI1" t="str">
        <f ca="1">""</f>
        <v/>
      </c>
      <c r="OJ1" t="str">
        <f ca="1">"store"</f>
        <v>store</v>
      </c>
      <c r="OK1" t="str">
        <f ca="1">"G"</f>
        <v>G</v>
      </c>
      <c r="OL1" t="str">
        <f ca="1">"load"</f>
        <v>load</v>
      </c>
      <c r="OM1">
        <f ca="1">2</f>
        <v>2</v>
      </c>
      <c r="ON1" t="str">
        <f ca="1">"push"</f>
        <v>push</v>
      </c>
      <c r="OO1">
        <f ca="1">21</f>
        <v>21</v>
      </c>
      <c r="OP1" t="str">
        <f ca="1">"writeheap"</f>
        <v>writeheap</v>
      </c>
      <c r="OQ1" t="str">
        <f ca="1">""</f>
        <v/>
      </c>
      <c r="OR1" t="str">
        <f ca="1">"newheap"</f>
        <v>newheap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"writeheap"</f>
        <v>writeheap</v>
      </c>
      <c r="OW1" t="str">
        <f ca="1">""</f>
        <v/>
      </c>
      <c r="OX1" t="str">
        <f ca="1">"load"</f>
        <v>load</v>
      </c>
      <c r="OY1">
        <f ca="1">2</f>
        <v>2</v>
      </c>
      <c r="OZ1" t="str">
        <f ca="1">"popv"</f>
        <v>popv</v>
      </c>
      <c r="PA1" t="str">
        <f ca="1">"G"</f>
        <v>G</v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"store"</f>
        <v>store</v>
      </c>
      <c r="PK1" t="str">
        <f ca="1">"G"</f>
        <v>G</v>
      </c>
      <c r="PL1" t="str">
        <f ca="1">"load"</f>
        <v>load</v>
      </c>
      <c r="PM1">
        <f ca="1">2</f>
        <v>2</v>
      </c>
      <c r="PN1" t="str">
        <f ca="1">"getheap"</f>
        <v>getheap</v>
      </c>
      <c r="PO1" t="str">
        <f ca="1">""</f>
        <v/>
      </c>
      <c r="PP1" t="str">
        <f ca="1">"push"</f>
        <v>push</v>
      </c>
      <c r="PQ1" t="str">
        <f ca="1">"endArr"</f>
        <v>endArr</v>
      </c>
      <c r="PR1" t="str">
        <f ca="1">"equals"</f>
        <v>equals</v>
      </c>
      <c r="PS1" t="str">
        <f ca="1">""</f>
        <v/>
      </c>
      <c r="PT1" t="str">
        <f ca="1">"gotoiftrue"</f>
        <v>gotoiftrue</v>
      </c>
      <c r="PU1">
        <f ca="1">226</f>
        <v>226</v>
      </c>
      <c r="PV1" t="str">
        <f ca="1">"load"</f>
        <v>load</v>
      </c>
      <c r="PW1">
        <f ca="1">2</f>
        <v>2</v>
      </c>
      <c r="PX1" t="str">
        <f ca="1">"getheap"</f>
        <v>getheap</v>
      </c>
      <c r="PY1" t="str">
        <f ca="1">""</f>
        <v/>
      </c>
      <c r="PZ1" t="str">
        <f ca="1">"load"</f>
        <v>load</v>
      </c>
      <c r="QA1">
        <f ca="1">2</f>
        <v>2</v>
      </c>
      <c r="QB1" t="str">
        <f ca="1">"push"</f>
        <v>push</v>
      </c>
      <c r="QC1">
        <f ca="1">1</f>
        <v>1</v>
      </c>
      <c r="QD1" t="str">
        <f ca="1">"add"</f>
        <v>add</v>
      </c>
      <c r="QE1" t="str">
        <f ca="1">""</f>
        <v/>
      </c>
      <c r="QF1" t="str">
        <f ca="1">"popv"</f>
        <v>popv</v>
      </c>
      <c r="QG1" t="str">
        <f ca="1">"G"</f>
        <v>G</v>
      </c>
      <c r="QH1" t="str">
        <f ca="1">"store"</f>
        <v>store</v>
      </c>
      <c r="QI1" t="str">
        <f ca="1">"G"</f>
        <v>G</v>
      </c>
      <c r="QJ1" t="str">
        <f ca="1">"goto"</f>
        <v>goto</v>
      </c>
      <c r="QK1">
        <f ca="1">213</f>
        <v>213</v>
      </c>
      <c r="QL1" t="str">
        <f ca="1">"popv"</f>
        <v>popv</v>
      </c>
      <c r="QM1" t="str">
        <f ca="1">"G"</f>
        <v>G</v>
      </c>
      <c r="QN1" t="str">
        <f ca="1">"load"</f>
        <v>load</v>
      </c>
      <c r="QO1">
        <f ca="1">2</f>
        <v>2</v>
      </c>
      <c r="QP1" t="str">
        <f ca="1">"getheap"</f>
        <v>getheap</v>
      </c>
      <c r="QQ1" t="str">
        <f ca="1">""</f>
        <v/>
      </c>
      <c r="QR1" t="str">
        <f ca="1">"call"</f>
        <v>call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"G"</f>
        <v>G</v>
      </c>
      <c r="RF1" t="str">
        <f ca="1">"load"</f>
        <v>load</v>
      </c>
      <c r="RG1">
        <f ca="1">2</f>
        <v>2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2</f>
        <v>2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2</f>
        <v>2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"G"</f>
        <v>G</v>
      </c>
      <c r="SB1" t="str">
        <f ca="1">"store"</f>
        <v>store</v>
      </c>
      <c r="SC1" t="str">
        <f ca="1">"G"</f>
        <v>G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"G"</f>
        <v>G</v>
      </c>
      <c r="SH1" t="str">
        <f ca="1">"load"</f>
        <v>load</v>
      </c>
      <c r="SI1">
        <f ca="1">2</f>
        <v>2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"G"</f>
        <v>G</v>
      </c>
      <c r="SP1" t="str">
        <f ca="1">"gotoiftrue"</f>
        <v>gotoiftrue</v>
      </c>
      <c r="SQ1">
        <f ca="1">592</f>
        <v>592</v>
      </c>
      <c r="SR1" t="str">
        <f ca="1">"push"</f>
        <v>push</v>
      </c>
      <c r="SS1">
        <f ca="1">0</f>
        <v>0</v>
      </c>
      <c r="ST1" t="str">
        <f ca="1">"push"</f>
        <v>push</v>
      </c>
      <c r="SU1">
        <f ca="1">5</f>
        <v>5</v>
      </c>
      <c r="SV1" t="str">
        <f ca="1">"load"</f>
        <v>load</v>
      </c>
      <c r="SW1">
        <f ca="1">3</f>
        <v>3</v>
      </c>
      <c r="SX1" t="str">
        <f ca="1">"newheap"</f>
        <v>newheap</v>
      </c>
      <c r="SY1" t="str">
        <f ca="1">""</f>
        <v/>
      </c>
      <c r="SZ1" t="str">
        <f ca="1">"store"</f>
        <v>store</v>
      </c>
      <c r="TA1" t="str">
        <f ca="1">"G"</f>
        <v>G</v>
      </c>
      <c r="TB1" t="str">
        <f ca="1">"load"</f>
        <v>load</v>
      </c>
      <c r="TC1">
        <f ca="1">2</f>
        <v>2</v>
      </c>
      <c r="TD1" t="str">
        <f ca="1">"push"</f>
        <v>push</v>
      </c>
      <c r="TE1">
        <f ca="1">57</f>
        <v>57</v>
      </c>
      <c r="TF1" t="str">
        <f ca="1">"writeheap"</f>
        <v>writeheap</v>
      </c>
      <c r="TG1" t="str">
        <f ca="1">""</f>
        <v/>
      </c>
      <c r="TH1" t="str">
        <f ca="1">"newheap"</f>
        <v>newheap</v>
      </c>
      <c r="TI1" t="str">
        <f ca="1">""</f>
        <v/>
      </c>
      <c r="TJ1" t="str">
        <f ca="1">"push"</f>
        <v>push</v>
      </c>
      <c r="TK1" t="str">
        <f ca="1">"endArr"</f>
        <v>endArr</v>
      </c>
      <c r="TL1" t="str">
        <f ca="1">"writeheap"</f>
        <v>writeheap</v>
      </c>
      <c r="TM1" t="str">
        <f ca="1">""</f>
        <v/>
      </c>
      <c r="TN1" t="str">
        <f ca="1">"load"</f>
        <v>load</v>
      </c>
      <c r="TO1">
        <f ca="1">2</f>
        <v>2</v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"load"</f>
        <v>load</v>
      </c>
      <c r="TU1">
        <f ca="1">2</f>
        <v>2</v>
      </c>
      <c r="TV1" t="str">
        <f ca="1">"push"</f>
        <v>push</v>
      </c>
      <c r="TW1">
        <f ca="1">1</f>
        <v>1</v>
      </c>
      <c r="TX1" t="str">
        <f ca="1">"add"</f>
        <v>add</v>
      </c>
      <c r="TY1" t="str">
        <f ca="1">""</f>
        <v/>
      </c>
      <c r="TZ1" t="str">
        <f ca="1">"store"</f>
        <v>store</v>
      </c>
      <c r="UA1" t="str">
        <f ca="1">"G"</f>
        <v>G</v>
      </c>
      <c r="UB1" t="str">
        <f ca="1">"load"</f>
        <v>load</v>
      </c>
      <c r="UC1">
        <f ca="1">2</f>
        <v>2</v>
      </c>
      <c r="UD1" t="str">
        <f ca="1">"getheap"</f>
        <v>getheap</v>
      </c>
      <c r="UE1" t="str">
        <f ca="1">""</f>
        <v/>
      </c>
      <c r="UF1" t="str">
        <f ca="1">"push"</f>
        <v>push</v>
      </c>
      <c r="UG1" t="str">
        <f ca="1">"endArr"</f>
        <v>endArr</v>
      </c>
      <c r="UH1" t="str">
        <f ca="1">"equals"</f>
        <v>equals</v>
      </c>
      <c r="UI1" t="str">
        <f ca="1">""</f>
        <v/>
      </c>
      <c r="UJ1" t="str">
        <f ca="1">"gotoiftrue"</f>
        <v>gotoiftrue</v>
      </c>
      <c r="UK1">
        <f ca="1">286</f>
        <v>286</v>
      </c>
      <c r="UL1" t="str">
        <f ca="1">"load"</f>
        <v>load</v>
      </c>
      <c r="UM1">
        <f ca="1">2</f>
        <v>2</v>
      </c>
      <c r="UN1" t="str">
        <f ca="1">"getheap"</f>
        <v>getheap</v>
      </c>
      <c r="UO1" t="str">
        <f ca="1">""</f>
        <v/>
      </c>
      <c r="UP1" t="str">
        <f ca="1">"load"</f>
        <v>load</v>
      </c>
      <c r="UQ1">
        <f ca="1">2</f>
        <v>2</v>
      </c>
      <c r="UR1" t="str">
        <f ca="1">"push"</f>
        <v>push</v>
      </c>
      <c r="US1">
        <f ca="1">1</f>
        <v>1</v>
      </c>
      <c r="UT1" t="str">
        <f ca="1">"add"</f>
        <v>add</v>
      </c>
      <c r="UU1" t="str">
        <f ca="1">""</f>
        <v/>
      </c>
      <c r="UV1" t="str">
        <f ca="1">"popv"</f>
        <v>popv</v>
      </c>
      <c r="UW1" t="str">
        <f ca="1">"G"</f>
        <v>G</v>
      </c>
      <c r="UX1" t="str">
        <f ca="1">"store"</f>
        <v>store</v>
      </c>
      <c r="UY1" t="str">
        <f ca="1">"G"</f>
        <v>G</v>
      </c>
      <c r="UZ1" t="str">
        <f ca="1">"goto"</f>
        <v>goto</v>
      </c>
      <c r="VA1">
        <f ca="1">273</f>
        <v>273</v>
      </c>
      <c r="VB1" t="str">
        <f ca="1">"popv"</f>
        <v>popv</v>
      </c>
      <c r="VC1" t="str">
        <f ca="1">"G"</f>
        <v>G</v>
      </c>
      <c r="VD1" t="str">
        <f ca="1">"load"</f>
        <v>load</v>
      </c>
      <c r="VE1">
        <f ca="1">2</f>
        <v>2</v>
      </c>
      <c r="VF1" t="str">
        <f ca="1">"getheap"</f>
        <v>getheap</v>
      </c>
      <c r="VG1" t="str">
        <f ca="1">""</f>
        <v/>
      </c>
      <c r="VH1" t="str">
        <f ca="1">"call"</f>
        <v>call</v>
      </c>
      <c r="VI1" t="str">
        <f ca="1">""</f>
        <v/>
      </c>
      <c r="VJ1" t="str">
        <f ca="1">"popv"</f>
        <v>popv</v>
      </c>
      <c r="VK1" t="str">
        <f ca="1">"G"</f>
        <v>G</v>
      </c>
      <c r="VL1" t="str">
        <f ca="1">"store"</f>
        <v>store</v>
      </c>
      <c r="VM1" t="str">
        <f ca="1">"G"</f>
        <v>G</v>
      </c>
      <c r="VN1" t="str">
        <f ca="1">"load"</f>
        <v>load</v>
      </c>
      <c r="VO1">
        <f ca="1">2</f>
        <v>2</v>
      </c>
      <c r="VP1" t="str">
        <f ca="1">"push"</f>
        <v>push</v>
      </c>
      <c r="VQ1">
        <f ca="1">1</f>
        <v>1</v>
      </c>
      <c r="VR1" t="str">
        <f ca="1">"add"</f>
        <v>add</v>
      </c>
      <c r="VS1" t="str">
        <f ca="1">""</f>
        <v/>
      </c>
      <c r="VT1" t="str">
        <f ca="1">"store"</f>
        <v>store</v>
      </c>
      <c r="VU1" t="str">
        <f ca="1">"G"</f>
        <v>G</v>
      </c>
      <c r="VV1" t="str">
        <f ca="1">"load"</f>
        <v>load</v>
      </c>
      <c r="VW1">
        <f ca="1">2</f>
        <v>2</v>
      </c>
      <c r="VX1" t="str">
        <f ca="1">"getheap"</f>
        <v>getheap</v>
      </c>
      <c r="VY1" t="str">
        <f ca="1">""</f>
        <v/>
      </c>
      <c r="VZ1" t="str">
        <f ca="1">"push"</f>
        <v>push</v>
      </c>
      <c r="WA1" t="str">
        <f ca="1">"endArr"</f>
        <v>endArr</v>
      </c>
      <c r="WB1" t="str">
        <f ca="1">"equals"</f>
        <v>equals</v>
      </c>
      <c r="WC1" t="str">
        <f ca="1">""</f>
        <v/>
      </c>
      <c r="WD1" t="str">
        <f ca="1">"gotoiftrue"</f>
        <v>gotoiftrue</v>
      </c>
      <c r="WE1">
        <f ca="1">309</f>
        <v>309</v>
      </c>
      <c r="WF1" t="str">
        <f ca="1">"load"</f>
        <v>load</v>
      </c>
      <c r="WG1">
        <f ca="1">2</f>
        <v>2</v>
      </c>
      <c r="WH1" t="str">
        <f ca="1">"getheap"</f>
        <v>getheap</v>
      </c>
      <c r="WI1" t="str">
        <f ca="1">""</f>
        <v/>
      </c>
      <c r="WJ1" t="str">
        <f ca="1">"load"</f>
        <v>load</v>
      </c>
      <c r="WK1">
        <f ca="1">2</f>
        <v>2</v>
      </c>
      <c r="WL1" t="str">
        <f ca="1">"push"</f>
        <v>push</v>
      </c>
      <c r="WM1">
        <f ca="1">1</f>
        <v>1</v>
      </c>
      <c r="WN1" t="str">
        <f ca="1">"add"</f>
        <v>add</v>
      </c>
      <c r="WO1" t="str">
        <f ca="1">""</f>
        <v/>
      </c>
      <c r="WP1" t="str">
        <f ca="1">"popv"</f>
        <v>popv</v>
      </c>
      <c r="WQ1" t="str">
        <f ca="1">"G"</f>
        <v>G</v>
      </c>
      <c r="WR1" t="str">
        <f ca="1">"store"</f>
        <v>store</v>
      </c>
      <c r="WS1" t="str">
        <f ca="1">"G"</f>
        <v>G</v>
      </c>
      <c r="WT1" t="str">
        <f ca="1">"goto"</f>
        <v>goto</v>
      </c>
      <c r="WU1">
        <f ca="1">296</f>
        <v>296</v>
      </c>
      <c r="WV1" t="str">
        <f ca="1">"popv"</f>
        <v>popv</v>
      </c>
      <c r="WW1" t="str">
        <f ca="1">"G"</f>
        <v>G</v>
      </c>
      <c r="WX1" t="str">
        <f ca="1">"load"</f>
        <v>load</v>
      </c>
      <c r="WY1">
        <f ca="1">2</f>
        <v>2</v>
      </c>
      <c r="WZ1" t="str">
        <f ca="1">"getheap"</f>
        <v>getheap</v>
      </c>
      <c r="XA1" t="str">
        <f ca="1">""</f>
        <v/>
      </c>
      <c r="XB1" t="str">
        <f ca="1">"call"</f>
        <v>call</v>
      </c>
      <c r="XC1" t="str">
        <f ca="1">""</f>
        <v/>
      </c>
      <c r="XD1" t="str">
        <f ca="1">"popv"</f>
        <v>popv</v>
      </c>
      <c r="XE1" t="str">
        <f ca="1">"G"</f>
        <v>G</v>
      </c>
      <c r="XF1" t="str">
        <f ca="1">"newheap"</f>
        <v>newheap</v>
      </c>
      <c r="XG1" t="str">
        <f ca="1">""</f>
        <v/>
      </c>
      <c r="XH1" t="str">
        <f ca="1">"store"</f>
        <v>store</v>
      </c>
      <c r="XI1" t="str">
        <f ca="1">"G"</f>
        <v>G</v>
      </c>
      <c r="XJ1" t="str">
        <f ca="1">"load"</f>
        <v>load</v>
      </c>
      <c r="XK1">
        <f ca="1">2</f>
        <v>2</v>
      </c>
      <c r="XL1" t="str">
        <f ca="1">"push"</f>
        <v>push</v>
      </c>
      <c r="XM1">
        <f ca="1">21</f>
        <v>21</v>
      </c>
      <c r="XN1" t="str">
        <f ca="1">"writeheap"</f>
        <v>writeheap</v>
      </c>
      <c r="XO1" t="str">
        <f ca="1">""</f>
        <v/>
      </c>
      <c r="XP1" t="str">
        <f ca="1">"newheap"</f>
        <v>newheap</v>
      </c>
      <c r="XQ1" t="str">
        <f ca="1">""</f>
        <v/>
      </c>
      <c r="XR1" t="str">
        <f ca="1">"push"</f>
        <v>push</v>
      </c>
      <c r="XS1" t="str">
        <f ca="1">"endArr"</f>
        <v>endArr</v>
      </c>
      <c r="XT1" t="str">
        <f ca="1">"writeheap"</f>
        <v>writeheap</v>
      </c>
      <c r="XU1" t="str">
        <f ca="1">""</f>
        <v/>
      </c>
      <c r="XV1" t="str">
        <f ca="1">"load"</f>
        <v>load</v>
      </c>
      <c r="XW1">
        <f ca="1">2</f>
        <v>2</v>
      </c>
      <c r="XX1" t="str">
        <f ca="1">"popv"</f>
        <v>popv</v>
      </c>
      <c r="XY1" t="str">
        <f ca="1">"G"</f>
        <v>G</v>
      </c>
      <c r="XZ1" t="str">
        <f ca="1">"store"</f>
        <v>store</v>
      </c>
      <c r="YA1" t="str">
        <f ca="1">"G"</f>
        <v>G</v>
      </c>
      <c r="YB1" t="str">
        <f ca="1">"load"</f>
        <v>load</v>
      </c>
      <c r="YC1">
        <f ca="1">2</f>
        <v>2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"store"</f>
        <v>store</v>
      </c>
      <c r="YI1" t="str">
        <f ca="1">"G"</f>
        <v>G</v>
      </c>
      <c r="YJ1" t="str">
        <f ca="1">"load"</f>
        <v>load</v>
      </c>
      <c r="YK1">
        <f ca="1">2</f>
        <v>2</v>
      </c>
      <c r="YL1" t="str">
        <f ca="1">"getheap"</f>
        <v>getheap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"equals"</f>
        <v>equals</v>
      </c>
      <c r="YQ1" t="str">
        <f ca="1">""</f>
        <v/>
      </c>
      <c r="YR1" t="str">
        <f ca="1">"gotoiftrue"</f>
        <v>gotoiftrue</v>
      </c>
      <c r="YS1">
        <f ca="1">342</f>
        <v>342</v>
      </c>
      <c r="YT1" t="str">
        <f ca="1">"load"</f>
        <v>load</v>
      </c>
      <c r="YU1">
        <f ca="1">2</f>
        <v>2</v>
      </c>
      <c r="YV1" t="str">
        <f ca="1">"getheap"</f>
        <v>getheap</v>
      </c>
      <c r="YW1" t="str">
        <f ca="1">""</f>
        <v/>
      </c>
      <c r="YX1" t="str">
        <f ca="1">"load"</f>
        <v>load</v>
      </c>
      <c r="YY1">
        <f ca="1">2</f>
        <v>2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"popv"</f>
        <v>popv</v>
      </c>
      <c r="ZE1" t="str">
        <f ca="1">"G"</f>
        <v>G</v>
      </c>
      <c r="ZF1" t="str">
        <f ca="1">"store"</f>
        <v>store</v>
      </c>
      <c r="ZG1" t="str">
        <f ca="1">"G"</f>
        <v>G</v>
      </c>
      <c r="ZH1" t="str">
        <f ca="1">"goto"</f>
        <v>goto</v>
      </c>
      <c r="ZI1">
        <f ca="1">329</f>
        <v>329</v>
      </c>
      <c r="ZJ1" t="str">
        <f ca="1">"popv"</f>
        <v>popv</v>
      </c>
      <c r="ZK1" t="str">
        <f ca="1">"G"</f>
        <v>G</v>
      </c>
      <c r="ZL1" t="str">
        <f ca="1">"load"</f>
        <v>load</v>
      </c>
      <c r="ZM1">
        <f ca="1">2</f>
        <v>2</v>
      </c>
      <c r="ZN1" t="str">
        <f ca="1">"getheap"</f>
        <v>getheap</v>
      </c>
      <c r="ZO1" t="str">
        <f ca="1">""</f>
        <v/>
      </c>
      <c r="ZP1" t="str">
        <f ca="1">"call"</f>
        <v>call</v>
      </c>
      <c r="ZQ1" t="str">
        <f ca="1">""</f>
        <v/>
      </c>
      <c r="ZR1" t="str">
        <f ca="1">"popv"</f>
        <v>popv</v>
      </c>
      <c r="ZS1" t="str">
        <f ca="1">"G"</f>
        <v>G</v>
      </c>
      <c r="ZT1" t="str">
        <f ca="1">"store"</f>
        <v>store</v>
      </c>
      <c r="ZU1" t="str">
        <f ca="1">"G"</f>
        <v>G</v>
      </c>
      <c r="ZV1" t="str">
        <f ca="1">"load"</f>
        <v>load</v>
      </c>
      <c r="ZW1">
        <f ca="1">2</f>
        <v>2</v>
      </c>
      <c r="ZX1" t="str">
        <f ca="1">"push"</f>
        <v>push</v>
      </c>
      <c r="ZY1">
        <f ca="1">1</f>
        <v>1</v>
      </c>
      <c r="ZZ1" t="str">
        <f ca="1">"add"</f>
        <v>add</v>
      </c>
      <c r="AAA1" t="str">
        <f ca="1">""</f>
        <v/>
      </c>
      <c r="AAB1" t="str">
        <f ca="1">"store"</f>
        <v>store</v>
      </c>
      <c r="AAC1" t="str">
        <f ca="1">"G"</f>
        <v>G</v>
      </c>
      <c r="AAD1" t="str">
        <f ca="1">"load"</f>
        <v>load</v>
      </c>
      <c r="AAE1">
        <f ca="1">2</f>
        <v>2</v>
      </c>
      <c r="AAF1" t="str">
        <f ca="1">"getheap"</f>
        <v>getheap</v>
      </c>
      <c r="AAG1" t="str">
        <f ca="1">""</f>
        <v/>
      </c>
      <c r="AAH1" t="str">
        <f ca="1">"push"</f>
        <v>push</v>
      </c>
      <c r="AAI1" t="str">
        <f ca="1">"endArr"</f>
        <v>endArr</v>
      </c>
      <c r="AAJ1" t="str">
        <f ca="1">"equals"</f>
        <v>equals</v>
      </c>
      <c r="AAK1" t="str">
        <f ca="1">""</f>
        <v/>
      </c>
      <c r="AAL1" t="str">
        <f ca="1">"gotoiftrue"</f>
        <v>gotoiftrue</v>
      </c>
      <c r="AAM1">
        <f ca="1">365</f>
        <v>365</v>
      </c>
      <c r="AAN1" t="str">
        <f ca="1">"load"</f>
        <v>load</v>
      </c>
      <c r="AAO1">
        <f ca="1">2</f>
        <v>2</v>
      </c>
      <c r="AAP1" t="str">
        <f ca="1">"getheap"</f>
        <v>getheap</v>
      </c>
      <c r="AAQ1" t="str">
        <f ca="1">""</f>
        <v/>
      </c>
      <c r="AAR1" t="str">
        <f ca="1">"load"</f>
        <v>load</v>
      </c>
      <c r="AAS1">
        <f ca="1">2</f>
        <v>2</v>
      </c>
      <c r="AAT1" t="str">
        <f ca="1">"push"</f>
        <v>push</v>
      </c>
      <c r="AAU1">
        <f ca="1">1</f>
        <v>1</v>
      </c>
      <c r="AAV1" t="str">
        <f ca="1">"add"</f>
        <v>add</v>
      </c>
      <c r="AAW1" t="str">
        <f ca="1">""</f>
        <v/>
      </c>
      <c r="AAX1" t="str">
        <f ca="1">"popv"</f>
        <v>popv</v>
      </c>
      <c r="AAY1" t="str">
        <f ca="1">"G"</f>
        <v>G</v>
      </c>
      <c r="AAZ1" t="str">
        <f ca="1">"store"</f>
        <v>store</v>
      </c>
      <c r="ABA1" t="str">
        <f ca="1">"G"</f>
        <v>G</v>
      </c>
      <c r="ABB1" t="str">
        <f ca="1">"goto"</f>
        <v>goto</v>
      </c>
      <c r="ABC1">
        <f ca="1">352</f>
        <v>352</v>
      </c>
      <c r="ABD1" t="str">
        <f ca="1">"popv"</f>
        <v>popv</v>
      </c>
      <c r="ABE1" t="str">
        <f ca="1">"G"</f>
        <v>G</v>
      </c>
      <c r="ABF1" t="str">
        <f ca="1">"load"</f>
        <v>load</v>
      </c>
      <c r="ABG1">
        <f ca="1">2</f>
        <v>2</v>
      </c>
      <c r="ABH1" t="str">
        <f ca="1">"getheap"</f>
        <v>getheap</v>
      </c>
      <c r="ABI1" t="str">
        <f ca="1">""</f>
        <v/>
      </c>
      <c r="ABJ1" t="str">
        <f ca="1">"call"</f>
        <v>call</v>
      </c>
      <c r="ABK1" t="str">
        <f ca="1">""</f>
        <v/>
      </c>
      <c r="ABL1" t="str">
        <f ca="1">"popv"</f>
        <v>popv</v>
      </c>
      <c r="ABM1" t="str">
        <f ca="1">"G"</f>
        <v>G</v>
      </c>
      <c r="ABN1" t="str">
        <f ca="1">"gotoiftrue"</f>
        <v>gotoiftrue</v>
      </c>
      <c r="ABO1">
        <f ca="1">557</f>
        <v>557</v>
      </c>
      <c r="ABP1" t="str">
        <f ca="1">"push"</f>
        <v>push</v>
      </c>
      <c r="ABQ1">
        <f ca="1">0</f>
        <v>0</v>
      </c>
      <c r="ABR1" t="str">
        <f ca="1">"push"</f>
        <v>push</v>
      </c>
      <c r="ABS1">
        <f ca="1">15</f>
        <v>15</v>
      </c>
      <c r="ABT1" t="str">
        <f ca="1">"load"</f>
        <v>load</v>
      </c>
      <c r="ABU1">
        <f ca="1">3</f>
        <v>3</v>
      </c>
      <c r="ABV1" t="str">
        <f ca="1">"newheap"</f>
        <v>newheap</v>
      </c>
      <c r="ABW1" t="str">
        <f ca="1">""</f>
        <v/>
      </c>
      <c r="ABX1" t="str">
        <f ca="1">"store"</f>
        <v>store</v>
      </c>
      <c r="ABY1" t="str">
        <f ca="1">"G"</f>
        <v>G</v>
      </c>
      <c r="ABZ1" t="str">
        <f ca="1">"load"</f>
        <v>load</v>
      </c>
      <c r="ACA1">
        <f ca="1">2</f>
        <v>2</v>
      </c>
      <c r="ACB1" t="str">
        <f ca="1">"push"</f>
        <v>push</v>
      </c>
      <c r="ACC1">
        <f ca="1">57</f>
        <v>57</v>
      </c>
      <c r="ACD1" t="str">
        <f ca="1">"writeheap"</f>
        <v>writeheap</v>
      </c>
      <c r="ACE1" t="str">
        <f ca="1">""</f>
        <v/>
      </c>
      <c r="ACF1" t="str">
        <f ca="1">"newheap"</f>
        <v>newheap</v>
      </c>
      <c r="ACG1" t="str">
        <f ca="1">""</f>
        <v/>
      </c>
      <c r="ACH1" t="str">
        <f ca="1">"push"</f>
        <v>push</v>
      </c>
      <c r="ACI1" t="str">
        <f ca="1">"endArr"</f>
        <v>endArr</v>
      </c>
      <c r="ACJ1" t="str">
        <f ca="1">"writeheap"</f>
        <v>writeheap</v>
      </c>
      <c r="ACK1" t="str">
        <f ca="1">""</f>
        <v/>
      </c>
      <c r="ACL1" t="str">
        <f ca="1">"load"</f>
        <v>load</v>
      </c>
      <c r="ACM1">
        <f ca="1">2</f>
        <v>2</v>
      </c>
      <c r="ACN1" t="str">
        <f ca="1">"popv"</f>
        <v>popv</v>
      </c>
      <c r="ACO1" t="str">
        <f ca="1">"G"</f>
        <v>G</v>
      </c>
      <c r="ACP1" t="str">
        <f ca="1">"store"</f>
        <v>store</v>
      </c>
      <c r="ACQ1" t="str">
        <f ca="1">"G"</f>
        <v>G</v>
      </c>
      <c r="ACR1" t="str">
        <f ca="1">"load"</f>
        <v>load</v>
      </c>
      <c r="ACS1">
        <f ca="1">2</f>
        <v>2</v>
      </c>
      <c r="ACT1" t="str">
        <f ca="1">"push"</f>
        <v>push</v>
      </c>
      <c r="ACU1">
        <f ca="1">1</f>
        <v>1</v>
      </c>
      <c r="ACV1" t="str">
        <f ca="1">"add"</f>
        <v>add</v>
      </c>
      <c r="ACW1" t="str">
        <f ca="1">""</f>
        <v/>
      </c>
      <c r="ACX1" t="str">
        <f ca="1">"store"</f>
        <v>store</v>
      </c>
      <c r="ACY1" t="str">
        <f ca="1">"G"</f>
        <v>G</v>
      </c>
      <c r="ACZ1" t="str">
        <f ca="1">"load"</f>
        <v>load</v>
      </c>
      <c r="ADA1">
        <f ca="1">2</f>
        <v>2</v>
      </c>
      <c r="ADB1" t="str">
        <f ca="1">"getheap"</f>
        <v>getheap</v>
      </c>
      <c r="ADC1" t="str">
        <f ca="1">""</f>
        <v/>
      </c>
      <c r="ADD1" t="str">
        <f ca="1">"push"</f>
        <v>push</v>
      </c>
      <c r="ADE1" t="str">
        <f ca="1">"endArr"</f>
        <v>endArr</v>
      </c>
      <c r="ADF1" t="str">
        <f ca="1">"equals"</f>
        <v>equals</v>
      </c>
      <c r="ADG1" t="str">
        <f ca="1">""</f>
        <v/>
      </c>
      <c r="ADH1" t="str">
        <f ca="1">"gotoiftrue"</f>
        <v>gotoiftrue</v>
      </c>
      <c r="ADI1">
        <f ca="1">402</f>
        <v>402</v>
      </c>
      <c r="ADJ1" t="str">
        <f ca="1">"load"</f>
        <v>load</v>
      </c>
      <c r="ADK1">
        <f ca="1">2</f>
        <v>2</v>
      </c>
      <c r="ADL1" t="str">
        <f ca="1">"getheap"</f>
        <v>getheap</v>
      </c>
      <c r="ADM1" t="str">
        <f ca="1">""</f>
        <v/>
      </c>
      <c r="ADN1" t="str">
        <f ca="1">"load"</f>
        <v>load</v>
      </c>
      <c r="ADO1">
        <f ca="1">2</f>
        <v>2</v>
      </c>
      <c r="ADP1" t="str">
        <f ca="1">"push"</f>
        <v>push</v>
      </c>
      <c r="ADQ1">
        <f ca="1">1</f>
        <v>1</v>
      </c>
      <c r="ADR1" t="str">
        <f ca="1">"add"</f>
        <v>add</v>
      </c>
      <c r="ADS1" t="str">
        <f ca="1">""</f>
        <v/>
      </c>
      <c r="ADT1" t="str">
        <f ca="1">"popv"</f>
        <v>popv</v>
      </c>
      <c r="ADU1" t="str">
        <f ca="1">"G"</f>
        <v>G</v>
      </c>
      <c r="ADV1" t="str">
        <f ca="1">"store"</f>
        <v>store</v>
      </c>
      <c r="ADW1" t="str">
        <f ca="1">"G"</f>
        <v>G</v>
      </c>
      <c r="ADX1" t="str">
        <f ca="1">"goto"</f>
        <v>goto</v>
      </c>
      <c r="ADY1">
        <f ca="1">389</f>
        <v>389</v>
      </c>
      <c r="ADZ1" t="str">
        <f ca="1">"popv"</f>
        <v>popv</v>
      </c>
      <c r="AEA1" t="str">
        <f ca="1">"G"</f>
        <v>G</v>
      </c>
      <c r="AEB1" t="str">
        <f ca="1">"load"</f>
        <v>load</v>
      </c>
      <c r="AEC1">
        <f ca="1">2</f>
        <v>2</v>
      </c>
      <c r="AED1" t="str">
        <f ca="1">"getheap"</f>
        <v>getheap</v>
      </c>
      <c r="AEE1" t="str">
        <f ca="1">""</f>
        <v/>
      </c>
      <c r="AEF1" t="str">
        <f ca="1">"call"</f>
        <v>call</v>
      </c>
      <c r="AEG1" t="str">
        <f ca="1">""</f>
        <v/>
      </c>
      <c r="AEH1" t="str">
        <f ca="1">"popv"</f>
        <v>popv</v>
      </c>
      <c r="AEI1" t="str">
        <f ca="1">"G"</f>
        <v>G</v>
      </c>
      <c r="AEJ1" t="str">
        <f ca="1">"store"</f>
        <v>store</v>
      </c>
      <c r="AEK1" t="str">
        <f ca="1">"G"</f>
        <v>G</v>
      </c>
      <c r="AEL1" t="str">
        <f ca="1">"load"</f>
        <v>load</v>
      </c>
      <c r="AEM1">
        <f ca="1">2</f>
        <v>2</v>
      </c>
      <c r="AEN1" t="str">
        <f ca="1">"push"</f>
        <v>push</v>
      </c>
      <c r="AEO1">
        <f ca="1">1</f>
        <v>1</v>
      </c>
      <c r="AEP1" t="str">
        <f ca="1">"add"</f>
        <v>add</v>
      </c>
      <c r="AEQ1" t="str">
        <f ca="1">""</f>
        <v/>
      </c>
      <c r="AER1" t="str">
        <f ca="1">"store"</f>
        <v>store</v>
      </c>
      <c r="AES1" t="str">
        <f ca="1">"G"</f>
        <v>G</v>
      </c>
      <c r="AET1" t="str">
        <f ca="1">"load"</f>
        <v>load</v>
      </c>
      <c r="AEU1">
        <f ca="1">2</f>
        <v>2</v>
      </c>
      <c r="AEV1" t="str">
        <f ca="1">"getheap"</f>
        <v>getheap</v>
      </c>
      <c r="AEW1" t="str">
        <f ca="1">""</f>
        <v/>
      </c>
      <c r="AEX1" t="str">
        <f ca="1">"push"</f>
        <v>push</v>
      </c>
      <c r="AEY1" t="str">
        <f ca="1">"endArr"</f>
        <v>endArr</v>
      </c>
      <c r="AEZ1" t="str">
        <f ca="1">"equals"</f>
        <v>equals</v>
      </c>
      <c r="AFA1" t="str">
        <f ca="1">""</f>
        <v/>
      </c>
      <c r="AFB1" t="str">
        <f ca="1">"gotoiftrue"</f>
        <v>gotoiftrue</v>
      </c>
      <c r="AFC1">
        <f ca="1">425</f>
        <v>425</v>
      </c>
      <c r="AFD1" t="str">
        <f ca="1">"load"</f>
        <v>load</v>
      </c>
      <c r="AFE1">
        <f ca="1">2</f>
        <v>2</v>
      </c>
      <c r="AFF1" t="str">
        <f ca="1">"getheap"</f>
        <v>getheap</v>
      </c>
      <c r="AFG1" t="str">
        <f ca="1">""</f>
        <v/>
      </c>
      <c r="AFH1" t="str">
        <f ca="1">"load"</f>
        <v>load</v>
      </c>
      <c r="AFI1">
        <f ca="1">2</f>
        <v>2</v>
      </c>
      <c r="AFJ1" t="str">
        <f ca="1">"push"</f>
        <v>push</v>
      </c>
      <c r="AFK1">
        <f ca="1">1</f>
        <v>1</v>
      </c>
      <c r="AFL1" t="str">
        <f ca="1">"add"</f>
        <v>add</v>
      </c>
      <c r="AFM1" t="str">
        <f ca="1">""</f>
        <v/>
      </c>
      <c r="AFN1" t="str">
        <f ca="1">"popv"</f>
        <v>popv</v>
      </c>
      <c r="AFO1" t="str">
        <f ca="1">"G"</f>
        <v>G</v>
      </c>
      <c r="AFP1" t="str">
        <f ca="1">"store"</f>
        <v>store</v>
      </c>
      <c r="AFQ1" t="str">
        <f ca="1">"G"</f>
        <v>G</v>
      </c>
      <c r="AFR1" t="str">
        <f ca="1">"goto"</f>
        <v>goto</v>
      </c>
      <c r="AFS1">
        <f ca="1">412</f>
        <v>412</v>
      </c>
      <c r="AFT1" t="str">
        <f ca="1">"popv"</f>
        <v>popv</v>
      </c>
      <c r="AFU1" t="str">
        <f ca="1">"G"</f>
        <v>G</v>
      </c>
      <c r="AFV1" t="str">
        <f ca="1">"load"</f>
        <v>load</v>
      </c>
      <c r="AFW1">
        <f ca="1">2</f>
        <v>2</v>
      </c>
      <c r="AFX1" t="str">
        <f ca="1">"getheap"</f>
        <v>getheap</v>
      </c>
      <c r="AFY1" t="str">
        <f ca="1">""</f>
        <v/>
      </c>
      <c r="AFZ1" t="str">
        <f ca="1">"call"</f>
        <v>call</v>
      </c>
      <c r="AGA1" t="str">
        <f ca="1">""</f>
        <v/>
      </c>
      <c r="AGB1" t="str">
        <f ca="1">"popv"</f>
        <v>popv</v>
      </c>
      <c r="AGC1" t="str">
        <f ca="1">"G"</f>
        <v>G</v>
      </c>
      <c r="AGD1" t="str">
        <f ca="1">"newheap"</f>
        <v>newheap</v>
      </c>
      <c r="AGE1" t="str">
        <f ca="1">""</f>
        <v/>
      </c>
      <c r="AGF1" t="str">
        <f ca="1">"store"</f>
        <v>store</v>
      </c>
      <c r="AGG1" t="str">
        <f ca="1">"G"</f>
        <v>G</v>
      </c>
      <c r="AGH1" t="str">
        <f ca="1">"load"</f>
        <v>load</v>
      </c>
      <c r="AGI1">
        <f ca="1">2</f>
        <v>2</v>
      </c>
      <c r="AGJ1" t="str">
        <f ca="1">"push"</f>
        <v>push</v>
      </c>
      <c r="AGK1">
        <f ca="1">21</f>
        <v>21</v>
      </c>
      <c r="AGL1" t="str">
        <f ca="1">"writeheap"</f>
        <v>writeheap</v>
      </c>
      <c r="AGM1" t="str">
        <f ca="1">""</f>
        <v/>
      </c>
      <c r="AGN1" t="str">
        <f ca="1">"newheap"</f>
        <v>newheap</v>
      </c>
      <c r="AGO1" t="str">
        <f ca="1">""</f>
        <v/>
      </c>
      <c r="AGP1" t="str">
        <f ca="1">"push"</f>
        <v>push</v>
      </c>
      <c r="AGQ1" t="str">
        <f ca="1">"endArr"</f>
        <v>endArr</v>
      </c>
      <c r="AGR1" t="str">
        <f ca="1">"writeheap"</f>
        <v>writeheap</v>
      </c>
      <c r="AGS1" t="str">
        <f ca="1">""</f>
        <v/>
      </c>
      <c r="AGT1" t="str">
        <f ca="1">"load"</f>
        <v>load</v>
      </c>
      <c r="AGU1">
        <f ca="1">2</f>
        <v>2</v>
      </c>
      <c r="AGV1" t="str">
        <f ca="1">"popv"</f>
        <v>popv</v>
      </c>
      <c r="AGW1" t="str">
        <f ca="1">"G"</f>
        <v>G</v>
      </c>
      <c r="AGX1" t="str">
        <f ca="1">"store"</f>
        <v>store</v>
      </c>
      <c r="AGY1" t="str">
        <f ca="1">"G"</f>
        <v>G</v>
      </c>
      <c r="AGZ1" t="str">
        <f ca="1">"load"</f>
        <v>load</v>
      </c>
      <c r="AHA1">
        <f ca="1">2</f>
        <v>2</v>
      </c>
      <c r="AHB1" t="str">
        <f ca="1">"push"</f>
        <v>push</v>
      </c>
      <c r="AHC1">
        <f ca="1">1</f>
        <v>1</v>
      </c>
      <c r="AHD1" t="str">
        <f ca="1">"add"</f>
        <v>add</v>
      </c>
      <c r="AHE1" t="str">
        <f ca="1">""</f>
        <v/>
      </c>
      <c r="AHF1" t="str">
        <f ca="1">"store"</f>
        <v>store</v>
      </c>
      <c r="AHG1" t="str">
        <f ca="1">"G"</f>
        <v>G</v>
      </c>
      <c r="AHH1" t="str">
        <f ca="1">"load"</f>
        <v>load</v>
      </c>
      <c r="AHI1">
        <f ca="1">2</f>
        <v>2</v>
      </c>
      <c r="AHJ1" t="str">
        <f ca="1">"getheap"</f>
        <v>getheap</v>
      </c>
      <c r="AHK1" t="str">
        <f ca="1">""</f>
        <v/>
      </c>
      <c r="AHL1" t="str">
        <f ca="1">"push"</f>
        <v>push</v>
      </c>
      <c r="AHM1" t="str">
        <f ca="1">"endArr"</f>
        <v>endArr</v>
      </c>
      <c r="AHN1" t="str">
        <f ca="1">"equals"</f>
        <v>equals</v>
      </c>
      <c r="AHO1" t="str">
        <f ca="1">""</f>
        <v/>
      </c>
      <c r="AHP1" t="str">
        <f ca="1">"gotoiftrue"</f>
        <v>gotoiftrue</v>
      </c>
      <c r="AHQ1">
        <f ca="1">458</f>
        <v>458</v>
      </c>
      <c r="AHR1" t="str">
        <f ca="1">"load"</f>
        <v>load</v>
      </c>
      <c r="AHS1">
        <f ca="1">2</f>
        <v>2</v>
      </c>
      <c r="AHT1" t="str">
        <f ca="1">"getheap"</f>
        <v>getheap</v>
      </c>
      <c r="AHU1" t="str">
        <f ca="1">""</f>
        <v/>
      </c>
      <c r="AHV1" t="str">
        <f ca="1">"load"</f>
        <v>load</v>
      </c>
      <c r="AHW1">
        <f ca="1">2</f>
        <v>2</v>
      </c>
      <c r="AHX1" t="str">
        <f ca="1">"push"</f>
        <v>push</v>
      </c>
      <c r="AHY1">
        <f ca="1">1</f>
        <v>1</v>
      </c>
      <c r="AHZ1" t="str">
        <f ca="1">"add"</f>
        <v>add</v>
      </c>
      <c r="AIA1" t="str">
        <f ca="1">""</f>
        <v/>
      </c>
      <c r="AIB1" t="str">
        <f ca="1">"popv"</f>
        <v>popv</v>
      </c>
      <c r="AIC1" t="str">
        <f ca="1">"G"</f>
        <v>G</v>
      </c>
      <c r="AID1" t="str">
        <f ca="1">"store"</f>
        <v>store</v>
      </c>
      <c r="AIE1" t="str">
        <f ca="1">"G"</f>
        <v>G</v>
      </c>
      <c r="AIF1" t="str">
        <f ca="1">"goto"</f>
        <v>goto</v>
      </c>
      <c r="AIG1">
        <f ca="1">445</f>
        <v>445</v>
      </c>
      <c r="AIH1" t="str">
        <f ca="1">"popv"</f>
        <v>popv</v>
      </c>
      <c r="AII1" t="str">
        <f ca="1">"G"</f>
        <v>G</v>
      </c>
      <c r="AIJ1" t="str">
        <f ca="1">"load"</f>
        <v>load</v>
      </c>
      <c r="AIK1">
        <f ca="1">2</f>
        <v>2</v>
      </c>
      <c r="AIL1" t="str">
        <f ca="1">"getheap"</f>
        <v>getheap</v>
      </c>
      <c r="AIM1" t="str">
        <f ca="1">""</f>
        <v/>
      </c>
      <c r="AIN1" t="str">
        <f ca="1">"call"</f>
        <v>call</v>
      </c>
      <c r="AIO1" t="str">
        <f ca="1">""</f>
        <v/>
      </c>
      <c r="AIP1" t="str">
        <f ca="1">"popv"</f>
        <v>popv</v>
      </c>
      <c r="AIQ1" t="str">
        <f ca="1">"G"</f>
        <v>G</v>
      </c>
      <c r="AIR1" t="str">
        <f ca="1">"store"</f>
        <v>store</v>
      </c>
      <c r="AIS1" t="str">
        <f ca="1">"G"</f>
        <v>G</v>
      </c>
      <c r="AIT1" t="str">
        <f ca="1">"load"</f>
        <v>load</v>
      </c>
      <c r="AIU1">
        <f ca="1">2</f>
        <v>2</v>
      </c>
      <c r="AIV1" t="str">
        <f ca="1">"push"</f>
        <v>push</v>
      </c>
      <c r="AIW1">
        <f ca="1">1</f>
        <v>1</v>
      </c>
      <c r="AIX1" t="str">
        <f ca="1">"add"</f>
        <v>add</v>
      </c>
      <c r="AIY1" t="str">
        <f ca="1">""</f>
        <v/>
      </c>
      <c r="AIZ1" t="str">
        <f ca="1">"store"</f>
        <v>store</v>
      </c>
      <c r="AJA1" t="str">
        <f ca="1">"G"</f>
        <v>G</v>
      </c>
      <c r="AJB1" t="str">
        <f ca="1">"load"</f>
        <v>load</v>
      </c>
      <c r="AJC1">
        <f ca="1">2</f>
        <v>2</v>
      </c>
      <c r="AJD1" t="str">
        <f ca="1">"getheap"</f>
        <v>getheap</v>
      </c>
      <c r="AJE1" t="str">
        <f ca="1">""</f>
        <v/>
      </c>
      <c r="AJF1" t="str">
        <f ca="1">"push"</f>
        <v>push</v>
      </c>
      <c r="AJG1" t="str">
        <f ca="1">"endArr"</f>
        <v>endArr</v>
      </c>
      <c r="AJH1" t="str">
        <f ca="1">"equals"</f>
        <v>equals</v>
      </c>
      <c r="AJI1" t="str">
        <f ca="1">""</f>
        <v/>
      </c>
      <c r="AJJ1" t="str">
        <f ca="1">"gotoiftrue"</f>
        <v>gotoiftrue</v>
      </c>
      <c r="AJK1">
        <f ca="1">481</f>
        <v>481</v>
      </c>
      <c r="AJL1" t="str">
        <f ca="1">"load"</f>
        <v>load</v>
      </c>
      <c r="AJM1">
        <f ca="1">2</f>
        <v>2</v>
      </c>
      <c r="AJN1" t="str">
        <f ca="1">"getheap"</f>
        <v>getheap</v>
      </c>
      <c r="AJO1" t="str">
        <f ca="1">""</f>
        <v/>
      </c>
      <c r="AJP1" t="str">
        <f ca="1">"load"</f>
        <v>load</v>
      </c>
      <c r="AJQ1">
        <f ca="1">2</f>
        <v>2</v>
      </c>
      <c r="AJR1" t="str">
        <f ca="1">"push"</f>
        <v>push</v>
      </c>
      <c r="AJS1">
        <f ca="1">1</f>
        <v>1</v>
      </c>
      <c r="AJT1" t="str">
        <f ca="1">"add"</f>
        <v>add</v>
      </c>
      <c r="AJU1" t="str">
        <f ca="1">""</f>
        <v/>
      </c>
      <c r="AJV1" t="str">
        <f ca="1">"popv"</f>
        <v>popv</v>
      </c>
      <c r="AJW1" t="str">
        <f ca="1">"G"</f>
        <v>G</v>
      </c>
      <c r="AJX1" t="str">
        <f ca="1">"store"</f>
        <v>store</v>
      </c>
      <c r="AJY1" t="str">
        <f ca="1">"G"</f>
        <v>G</v>
      </c>
      <c r="AJZ1" t="str">
        <f ca="1">"goto"</f>
        <v>goto</v>
      </c>
      <c r="AKA1">
        <f ca="1">468</f>
        <v>468</v>
      </c>
      <c r="AKB1" t="str">
        <f ca="1">"popv"</f>
        <v>popv</v>
      </c>
      <c r="AKC1" t="str">
        <f ca="1">"G"</f>
        <v>G</v>
      </c>
      <c r="AKD1" t="str">
        <f ca="1">"load"</f>
        <v>load</v>
      </c>
      <c r="AKE1">
        <f ca="1">2</f>
        <v>2</v>
      </c>
      <c r="AKF1" t="str">
        <f ca="1">"getheap"</f>
        <v>getheap</v>
      </c>
      <c r="AKG1" t="str">
        <f ca="1">""</f>
        <v/>
      </c>
      <c r="AKH1" t="str">
        <f ca="1">"call"</f>
        <v>call</v>
      </c>
      <c r="AKI1" t="str">
        <f ca="1">""</f>
        <v/>
      </c>
      <c r="AKJ1" t="str">
        <f ca="1">"popv"</f>
        <v>popv</v>
      </c>
      <c r="AKK1" t="str">
        <f ca="1">"G"</f>
        <v>G</v>
      </c>
      <c r="AKL1" t="str">
        <f ca="1">"gotoiftrue"</f>
        <v>gotoiftrue</v>
      </c>
      <c r="AKM1">
        <f ca="1">522</f>
        <v>522</v>
      </c>
      <c r="AKN1" t="str">
        <f ca="1">"load"</f>
        <v>load</v>
      </c>
      <c r="AKO1">
        <f ca="1">3</f>
        <v>3</v>
      </c>
      <c r="AKP1" t="str">
        <f ca="1">"newheap"</f>
        <v>newheap</v>
      </c>
      <c r="AKQ1" t="str">
        <f ca="1">""</f>
        <v/>
      </c>
      <c r="AKR1" t="str">
        <f ca="1">"store"</f>
        <v>store</v>
      </c>
      <c r="AKS1" t="str">
        <f ca="1">"G"</f>
        <v>G</v>
      </c>
      <c r="AKT1" t="str">
        <f ca="1">"load"</f>
        <v>load</v>
      </c>
      <c r="AKU1">
        <f ca="1">2</f>
        <v>2</v>
      </c>
      <c r="AKV1" t="str">
        <f ca="1">"push"</f>
        <v>push</v>
      </c>
      <c r="AKW1">
        <f ca="1">73</f>
        <v>73</v>
      </c>
      <c r="AKX1" t="str">
        <f ca="1">"writeheap"</f>
        <v>writeheap</v>
      </c>
      <c r="AKY1" t="str">
        <f ca="1">""</f>
        <v/>
      </c>
      <c r="AKZ1" t="str">
        <f ca="1">"newheap"</f>
        <v>newheap</v>
      </c>
      <c r="ALA1" t="str">
        <f ca="1">""</f>
        <v/>
      </c>
      <c r="ALB1" t="str">
        <f ca="1">"push"</f>
        <v>push</v>
      </c>
      <c r="ALC1" t="str">
        <f ca="1">"endArr"</f>
        <v>endArr</v>
      </c>
      <c r="ALD1" t="str">
        <f ca="1">"writeheap"</f>
        <v>writeheap</v>
      </c>
      <c r="ALE1" t="str">
        <f ca="1">""</f>
        <v/>
      </c>
      <c r="ALF1" t="str">
        <f ca="1">"load"</f>
        <v>load</v>
      </c>
      <c r="ALG1">
        <f ca="1">2</f>
        <v>2</v>
      </c>
      <c r="ALH1" t="str">
        <f ca="1">"popv"</f>
        <v>popv</v>
      </c>
      <c r="ALI1" t="str">
        <f ca="1">"G"</f>
        <v>G</v>
      </c>
      <c r="ALJ1" t="str">
        <f ca="1">"store"</f>
        <v>store</v>
      </c>
      <c r="ALK1" t="str">
        <f ca="1">"G"</f>
        <v>G</v>
      </c>
      <c r="ALL1" t="str">
        <f ca="1">"load"</f>
        <v>load</v>
      </c>
      <c r="ALM1">
        <f ca="1">2</f>
        <v>2</v>
      </c>
      <c r="ALN1" t="str">
        <f ca="1">"push"</f>
        <v>push</v>
      </c>
      <c r="ALO1">
        <f ca="1">1</f>
        <v>1</v>
      </c>
      <c r="ALP1" t="str">
        <f ca="1">"add"</f>
        <v>add</v>
      </c>
      <c r="ALQ1" t="str">
        <f ca="1">""</f>
        <v/>
      </c>
      <c r="ALR1" t="str">
        <f ca="1">"store"</f>
        <v>store</v>
      </c>
      <c r="ALS1" t="str">
        <f ca="1">"G"</f>
        <v>G</v>
      </c>
      <c r="ALT1" t="str">
        <f ca="1">"load"</f>
        <v>load</v>
      </c>
      <c r="ALU1">
        <f ca="1">2</f>
        <v>2</v>
      </c>
      <c r="ALV1" t="str">
        <f ca="1">"getheap"</f>
        <v>getheap</v>
      </c>
      <c r="ALW1" t="str">
        <f ca="1">""</f>
        <v/>
      </c>
      <c r="ALX1" t="str">
        <f ca="1">"push"</f>
        <v>push</v>
      </c>
      <c r="ALY1" t="str">
        <f ca="1">"endArr"</f>
        <v>endArr</v>
      </c>
      <c r="ALZ1" t="str">
        <f ca="1">"equals"</f>
        <v>equals</v>
      </c>
      <c r="AMA1" t="str">
        <f ca="1">""</f>
        <v/>
      </c>
      <c r="AMB1" t="str">
        <f ca="1">"gotoiftrue"</f>
        <v>gotoiftrue</v>
      </c>
      <c r="AMC1">
        <f ca="1">516</f>
        <v>516</v>
      </c>
      <c r="AMD1" t="str">
        <f ca="1">"load"</f>
        <v>load</v>
      </c>
      <c r="AME1">
        <f ca="1">2</f>
        <v>2</v>
      </c>
      <c r="AMF1" t="str">
        <f ca="1">"getheap"</f>
        <v>getheap</v>
      </c>
      <c r="AMG1" t="str">
        <f ca="1">""</f>
        <v/>
      </c>
      <c r="AMH1" t="str">
        <f ca="1">"load"</f>
        <v>load</v>
      </c>
      <c r="AMI1">
        <f ca="1">2</f>
        <v>2</v>
      </c>
      <c r="AMJ1" t="str">
        <f ca="1">"push"</f>
        <v>push</v>
      </c>
      <c r="AMK1">
        <f ca="1">1</f>
        <v>1</v>
      </c>
      <c r="AML1" t="str">
        <f ca="1">"add"</f>
        <v>add</v>
      </c>
      <c r="AMM1" t="str">
        <f ca="1">""</f>
        <v/>
      </c>
      <c r="AMN1" t="str">
        <f ca="1">"popv"</f>
        <v>popv</v>
      </c>
      <c r="AMO1" t="str">
        <f ca="1">"G"</f>
        <v>G</v>
      </c>
      <c r="AMP1" t="str">
        <f ca="1">"store"</f>
        <v>store</v>
      </c>
      <c r="AMQ1" t="str">
        <f ca="1">"G"</f>
        <v>G</v>
      </c>
      <c r="AMR1" t="str">
        <f ca="1">"goto"</f>
        <v>goto</v>
      </c>
      <c r="AMS1">
        <f ca="1">503</f>
        <v>503</v>
      </c>
      <c r="AMT1" t="str">
        <f ca="1">"popv"</f>
        <v>popv</v>
      </c>
      <c r="AMU1" t="str">
        <f ca="1">"G"</f>
        <v>G</v>
      </c>
      <c r="AMV1" t="str">
        <f ca="1">"load"</f>
        <v>load</v>
      </c>
      <c r="AMW1">
        <f ca="1">2</f>
        <v>2</v>
      </c>
      <c r="AMX1" t="str">
        <f ca="1">"getheap"</f>
        <v>getheap</v>
      </c>
      <c r="AMY1" t="str">
        <f ca="1">""</f>
        <v/>
      </c>
      <c r="AMZ1" t="str">
        <f ca="1">"call"</f>
        <v>call</v>
      </c>
      <c r="ANA1" t="str">
        <f ca="1">""</f>
        <v/>
      </c>
      <c r="ANB1" t="str">
        <f ca="1">"popv"</f>
        <v>popv</v>
      </c>
      <c r="ANC1" t="str">
        <f ca="1">"G"</f>
        <v>G</v>
      </c>
      <c r="AND1" t="str">
        <f ca="1">"goto"</f>
        <v>goto</v>
      </c>
      <c r="ANE1">
        <f ca="1">556</f>
        <v>556</v>
      </c>
      <c r="ANF1" t="str">
        <f ca="1">"push"</f>
        <v>push</v>
      </c>
      <c r="ANG1" t="str">
        <f ca="1">"fizzbuzz"</f>
        <v>fizzbuzz</v>
      </c>
      <c r="ANH1" t="str">
        <f ca="1">"newheap"</f>
        <v>newheap</v>
      </c>
      <c r="ANI1" t="str">
        <f ca="1">""</f>
        <v/>
      </c>
      <c r="ANJ1" t="str">
        <f ca="1">"store"</f>
        <v>store</v>
      </c>
      <c r="ANK1" t="str">
        <f ca="1">"G"</f>
        <v>G</v>
      </c>
      <c r="ANL1" t="str">
        <f ca="1">"load"</f>
        <v>load</v>
      </c>
      <c r="ANM1">
        <f ca="1">2</f>
        <v>2</v>
      </c>
      <c r="ANN1" t="str">
        <f ca="1">"push"</f>
        <v>push</v>
      </c>
      <c r="ANO1">
        <f ca="1">73</f>
        <v>73</v>
      </c>
      <c r="ANP1" t="str">
        <f ca="1">"writeheap"</f>
        <v>writeheap</v>
      </c>
      <c r="ANQ1" t="str">
        <f ca="1">""</f>
        <v/>
      </c>
      <c r="ANR1" t="str">
        <f ca="1">"newheap"</f>
        <v>newheap</v>
      </c>
      <c r="ANS1" t="str">
        <f ca="1">""</f>
        <v/>
      </c>
      <c r="ANT1" t="str">
        <f ca="1">"push"</f>
        <v>push</v>
      </c>
      <c r="ANU1" t="str">
        <f ca="1">"endArr"</f>
        <v>endArr</v>
      </c>
      <c r="ANV1" t="str">
        <f ca="1">"writeheap"</f>
        <v>writeheap</v>
      </c>
      <c r="ANW1" t="str">
        <f ca="1">""</f>
        <v/>
      </c>
      <c r="ANX1" t="str">
        <f ca="1">"load"</f>
        <v>load</v>
      </c>
      <c r="ANY1">
        <f ca="1">2</f>
        <v>2</v>
      </c>
      <c r="ANZ1" t="str">
        <f ca="1">"popv"</f>
        <v>popv</v>
      </c>
      <c r="AOA1" t="str">
        <f ca="1">"G"</f>
        <v>G</v>
      </c>
      <c r="AOB1" t="str">
        <f ca="1">"store"</f>
        <v>store</v>
      </c>
      <c r="AOC1" t="str">
        <f ca="1">"G"</f>
        <v>G</v>
      </c>
      <c r="AOD1" t="str">
        <f ca="1">"load"</f>
        <v>load</v>
      </c>
      <c r="AOE1">
        <f ca="1">2</f>
        <v>2</v>
      </c>
      <c r="AOF1" t="str">
        <f ca="1">"push"</f>
        <v>push</v>
      </c>
      <c r="AOG1">
        <f ca="1">1</f>
        <v>1</v>
      </c>
      <c r="AOH1" t="str">
        <f ca="1">"add"</f>
        <v>add</v>
      </c>
      <c r="AOI1" t="str">
        <f ca="1">""</f>
        <v/>
      </c>
      <c r="AOJ1" t="str">
        <f ca="1">"store"</f>
        <v>store</v>
      </c>
      <c r="AOK1" t="str">
        <f ca="1">"G"</f>
        <v>G</v>
      </c>
      <c r="AOL1" t="str">
        <f ca="1">"load"</f>
        <v>load</v>
      </c>
      <c r="AOM1">
        <f ca="1">2</f>
        <v>2</v>
      </c>
      <c r="AON1" t="str">
        <f ca="1">"getheap"</f>
        <v>getheap</v>
      </c>
      <c r="AOO1" t="str">
        <f ca="1">""</f>
        <v/>
      </c>
      <c r="AOP1" t="str">
        <f ca="1">"push"</f>
        <v>push</v>
      </c>
      <c r="AOQ1" t="str">
        <f ca="1">"endArr"</f>
        <v>endArr</v>
      </c>
      <c r="AOR1" t="str">
        <f ca="1">"equals"</f>
        <v>equals</v>
      </c>
      <c r="AOS1" t="str">
        <f ca="1">""</f>
        <v/>
      </c>
      <c r="AOT1" t="str">
        <f ca="1">"gotoiftrue"</f>
        <v>gotoiftrue</v>
      </c>
      <c r="AOU1">
        <f ca="1">551</f>
        <v>551</v>
      </c>
      <c r="AOV1" t="str">
        <f ca="1">"load"</f>
        <v>load</v>
      </c>
      <c r="AOW1">
        <f ca="1">2</f>
        <v>2</v>
      </c>
      <c r="AOX1" t="str">
        <f ca="1">"getheap"</f>
        <v>getheap</v>
      </c>
      <c r="AOY1" t="str">
        <f ca="1">""</f>
        <v/>
      </c>
      <c r="AOZ1" t="str">
        <f ca="1">"load"</f>
        <v>load</v>
      </c>
      <c r="APA1">
        <f ca="1">2</f>
        <v>2</v>
      </c>
      <c r="APB1" t="str">
        <f ca="1">"push"</f>
        <v>push</v>
      </c>
      <c r="APC1">
        <f ca="1">1</f>
        <v>1</v>
      </c>
      <c r="APD1" t="str">
        <f ca="1">"add"</f>
        <v>add</v>
      </c>
      <c r="APE1" t="str">
        <f ca="1">""</f>
        <v/>
      </c>
      <c r="APF1" t="str">
        <f ca="1">"popv"</f>
        <v>popv</v>
      </c>
      <c r="APG1" t="str">
        <f ca="1">"G"</f>
        <v>G</v>
      </c>
      <c r="APH1" t="str">
        <f ca="1">"store"</f>
        <v>store</v>
      </c>
      <c r="API1" t="str">
        <f ca="1">"G"</f>
        <v>G</v>
      </c>
      <c r="APJ1" t="str">
        <f ca="1">"goto"</f>
        <v>goto</v>
      </c>
      <c r="APK1">
        <f ca="1">538</f>
        <v>538</v>
      </c>
      <c r="APL1" t="str">
        <f ca="1">"popv"</f>
        <v>popv</v>
      </c>
      <c r="APM1" t="str">
        <f ca="1">"G"</f>
        <v>G</v>
      </c>
      <c r="APN1" t="str">
        <f ca="1">"load"</f>
        <v>load</v>
      </c>
      <c r="APO1">
        <f ca="1">2</f>
        <v>2</v>
      </c>
      <c r="APP1" t="str">
        <f ca="1">"getheap"</f>
        <v>getheap</v>
      </c>
      <c r="APQ1" t="str">
        <f ca="1">""</f>
        <v/>
      </c>
      <c r="APR1" t="str">
        <f ca="1">"call"</f>
        <v>call</v>
      </c>
      <c r="APS1" t="str">
        <f ca="1">""</f>
        <v/>
      </c>
      <c r="APT1" t="str">
        <f ca="1">"popv"</f>
        <v>popv</v>
      </c>
      <c r="APU1" t="str">
        <f ca="1">"G"</f>
        <v>G</v>
      </c>
      <c r="APV1" t="str">
        <f ca="1">"goto"</f>
        <v>goto</v>
      </c>
      <c r="APW1">
        <f ca="1">591</f>
        <v>591</v>
      </c>
      <c r="APX1" t="str">
        <f ca="1">"push"</f>
        <v>push</v>
      </c>
      <c r="APY1" t="str">
        <f ca="1">"buzz"</f>
        <v>buzz</v>
      </c>
      <c r="APZ1" t="str">
        <f ca="1">"newheap"</f>
        <v>newheap</v>
      </c>
      <c r="AQA1" t="str">
        <f ca="1">""</f>
        <v/>
      </c>
      <c r="AQB1" t="str">
        <f ca="1">"store"</f>
        <v>store</v>
      </c>
      <c r="AQC1" t="str">
        <f ca="1">"G"</f>
        <v>G</v>
      </c>
      <c r="AQD1" t="str">
        <f ca="1">"load"</f>
        <v>load</v>
      </c>
      <c r="AQE1">
        <f ca="1">2</f>
        <v>2</v>
      </c>
      <c r="AQF1" t="str">
        <f ca="1">"push"</f>
        <v>push</v>
      </c>
      <c r="AQG1">
        <f ca="1">73</f>
        <v>73</v>
      </c>
      <c r="AQH1" t="str">
        <f ca="1">"writeheap"</f>
        <v>writeheap</v>
      </c>
      <c r="AQI1" t="str">
        <f ca="1">""</f>
        <v/>
      </c>
      <c r="AQJ1" t="str">
        <f ca="1">"newheap"</f>
        <v>newheap</v>
      </c>
      <c r="AQK1" t="str">
        <f ca="1">""</f>
        <v/>
      </c>
      <c r="AQL1" t="str">
        <f ca="1">"push"</f>
        <v>push</v>
      </c>
      <c r="AQM1" t="str">
        <f ca="1">"endArr"</f>
        <v>endArr</v>
      </c>
      <c r="AQN1" t="str">
        <f ca="1">"writeheap"</f>
        <v>writeheap</v>
      </c>
      <c r="AQO1" t="str">
        <f ca="1">""</f>
        <v/>
      </c>
      <c r="AQP1" t="str">
        <f ca="1">"load"</f>
        <v>load</v>
      </c>
      <c r="AQQ1">
        <f ca="1">2</f>
        <v>2</v>
      </c>
      <c r="AQR1" t="str">
        <f ca="1">"popv"</f>
        <v>popv</v>
      </c>
      <c r="AQS1" t="str">
        <f ca="1">"G"</f>
        <v>G</v>
      </c>
      <c r="AQT1" t="str">
        <f ca="1">"store"</f>
        <v>store</v>
      </c>
      <c r="AQU1" t="str">
        <f ca="1">"G"</f>
        <v>G</v>
      </c>
      <c r="AQV1" t="str">
        <f ca="1">"load"</f>
        <v>load</v>
      </c>
      <c r="AQW1">
        <f ca="1">2</f>
        <v>2</v>
      </c>
      <c r="AQX1" t="str">
        <f ca="1">"push"</f>
        <v>push</v>
      </c>
      <c r="AQY1">
        <f ca="1">1</f>
        <v>1</v>
      </c>
      <c r="AQZ1" t="str">
        <f ca="1">"add"</f>
        <v>add</v>
      </c>
      <c r="ARA1" t="str">
        <f ca="1">""</f>
        <v/>
      </c>
      <c r="ARB1" t="str">
        <f ca="1">"store"</f>
        <v>store</v>
      </c>
      <c r="ARC1" t="str">
        <f ca="1">"G"</f>
        <v>G</v>
      </c>
      <c r="ARD1" t="str">
        <f ca="1">"load"</f>
        <v>load</v>
      </c>
      <c r="ARE1">
        <f ca="1">2</f>
        <v>2</v>
      </c>
      <c r="ARF1" t="str">
        <f ca="1">"getheap"</f>
        <v>getheap</v>
      </c>
      <c r="ARG1" t="str">
        <f ca="1">""</f>
        <v/>
      </c>
      <c r="ARH1" t="str">
        <f ca="1">"push"</f>
        <v>push</v>
      </c>
      <c r="ARI1" t="str">
        <f ca="1">"endArr"</f>
        <v>endArr</v>
      </c>
      <c r="ARJ1" t="str">
        <f ca="1">"equals"</f>
        <v>equals</v>
      </c>
      <c r="ARK1" t="str">
        <f ca="1">""</f>
        <v/>
      </c>
      <c r="ARL1" t="str">
        <f ca="1">"gotoiftrue"</f>
        <v>gotoiftrue</v>
      </c>
      <c r="ARM1">
        <f ca="1">586</f>
        <v>586</v>
      </c>
      <c r="ARN1" t="str">
        <f ca="1">"load"</f>
        <v>load</v>
      </c>
      <c r="ARO1">
        <f ca="1">2</f>
        <v>2</v>
      </c>
      <c r="ARP1" t="str">
        <f ca="1">"getheap"</f>
        <v>getheap</v>
      </c>
      <c r="ARQ1" t="str">
        <f ca="1">""</f>
        <v/>
      </c>
      <c r="ARR1" t="str">
        <f ca="1">"load"</f>
        <v>load</v>
      </c>
      <c r="ARS1">
        <f ca="1">2</f>
        <v>2</v>
      </c>
      <c r="ART1" t="str">
        <f ca="1">"push"</f>
        <v>push</v>
      </c>
      <c r="ARU1">
        <f ca="1">1</f>
        <v>1</v>
      </c>
      <c r="ARV1" t="str">
        <f ca="1">"add"</f>
        <v>add</v>
      </c>
      <c r="ARW1" t="str">
        <f ca="1">""</f>
        <v/>
      </c>
      <c r="ARX1" t="str">
        <f ca="1">"popv"</f>
        <v>popv</v>
      </c>
      <c r="ARY1" t="str">
        <f ca="1">"G"</f>
        <v>G</v>
      </c>
      <c r="ARZ1" t="str">
        <f ca="1">"store"</f>
        <v>store</v>
      </c>
      <c r="ASA1" t="str">
        <f ca="1">"G"</f>
        <v>G</v>
      </c>
      <c r="ASB1" t="str">
        <f ca="1">"goto"</f>
        <v>goto</v>
      </c>
      <c r="ASC1">
        <f ca="1">573</f>
        <v>573</v>
      </c>
      <c r="ASD1" t="str">
        <f ca="1">"popv"</f>
        <v>popv</v>
      </c>
      <c r="ASE1" t="str">
        <f ca="1">"G"</f>
        <v>G</v>
      </c>
      <c r="ASF1" t="str">
        <f ca="1">"load"</f>
        <v>load</v>
      </c>
      <c r="ASG1">
        <f ca="1">2</f>
        <v>2</v>
      </c>
      <c r="ASH1" t="str">
        <f ca="1">"getheap"</f>
        <v>getheap</v>
      </c>
      <c r="ASI1" t="str">
        <f ca="1">""</f>
        <v/>
      </c>
      <c r="ASJ1" t="str">
        <f ca="1">"call"</f>
        <v>call</v>
      </c>
      <c r="ASK1" t="str">
        <f ca="1">""</f>
        <v/>
      </c>
      <c r="ASL1" t="str">
        <f ca="1">"popv"</f>
        <v>popv</v>
      </c>
      <c r="ASM1" t="str">
        <f ca="1">"G"</f>
        <v>G</v>
      </c>
      <c r="ASN1" t="str">
        <f ca="1">"goto"</f>
        <v>goto</v>
      </c>
      <c r="ASO1">
        <f ca="1">626</f>
        <v>626</v>
      </c>
      <c r="ASP1" t="str">
        <f ca="1">"push"</f>
        <v>push</v>
      </c>
      <c r="ASQ1" t="str">
        <f ca="1">"fizz"</f>
        <v>fizz</v>
      </c>
      <c r="ASR1" t="str">
        <f ca="1">"newheap"</f>
        <v>newheap</v>
      </c>
      <c r="ASS1" t="str">
        <f ca="1">""</f>
        <v/>
      </c>
      <c r="AST1" t="str">
        <f ca="1">"store"</f>
        <v>store</v>
      </c>
      <c r="ASU1" t="str">
        <f ca="1">"G"</f>
        <v>G</v>
      </c>
      <c r="ASV1" t="str">
        <f ca="1">"load"</f>
        <v>load</v>
      </c>
      <c r="ASW1">
        <f ca="1">2</f>
        <v>2</v>
      </c>
      <c r="ASX1" t="str">
        <f ca="1">"push"</f>
        <v>push</v>
      </c>
      <c r="ASY1">
        <f ca="1">73</f>
        <v>73</v>
      </c>
      <c r="ASZ1" t="str">
        <f ca="1">"writeheap"</f>
        <v>writeheap</v>
      </c>
      <c r="ATA1" t="str">
        <f ca="1">""</f>
        <v/>
      </c>
      <c r="ATB1" t="str">
        <f ca="1">"newheap"</f>
        <v>newheap</v>
      </c>
      <c r="ATC1" t="str">
        <f ca="1">""</f>
        <v/>
      </c>
      <c r="ATD1" t="str">
        <f ca="1">"push"</f>
        <v>push</v>
      </c>
      <c r="ATE1" t="str">
        <f ca="1">"endArr"</f>
        <v>endArr</v>
      </c>
      <c r="ATF1" t="str">
        <f ca="1">"writeheap"</f>
        <v>writeheap</v>
      </c>
      <c r="ATG1" t="str">
        <f ca="1">""</f>
        <v/>
      </c>
      <c r="ATH1" t="str">
        <f ca="1">"load"</f>
        <v>load</v>
      </c>
      <c r="ATI1">
        <f ca="1">2</f>
        <v>2</v>
      </c>
      <c r="ATJ1" t="str">
        <f ca="1">"popv"</f>
        <v>popv</v>
      </c>
      <c r="ATK1" t="str">
        <f ca="1">"G"</f>
        <v>G</v>
      </c>
      <c r="ATL1" t="str">
        <f ca="1">"store"</f>
        <v>store</v>
      </c>
      <c r="ATM1" t="str">
        <f ca="1">"G"</f>
        <v>G</v>
      </c>
      <c r="ATN1" t="str">
        <f ca="1">"load"</f>
        <v>load</v>
      </c>
      <c r="ATO1">
        <f ca="1">2</f>
        <v>2</v>
      </c>
      <c r="ATP1" t="str">
        <f ca="1">"push"</f>
        <v>push</v>
      </c>
      <c r="ATQ1">
        <f ca="1">1</f>
        <v>1</v>
      </c>
      <c r="ATR1" t="str">
        <f ca="1">"add"</f>
        <v>add</v>
      </c>
      <c r="ATS1" t="str">
        <f ca="1">""</f>
        <v/>
      </c>
      <c r="ATT1" t="str">
        <f ca="1">"store"</f>
        <v>store</v>
      </c>
      <c r="ATU1" t="str">
        <f ca="1">"G"</f>
        <v>G</v>
      </c>
      <c r="ATV1" t="str">
        <f ca="1">"load"</f>
        <v>load</v>
      </c>
      <c r="ATW1">
        <f ca="1">2</f>
        <v>2</v>
      </c>
      <c r="ATX1" t="str">
        <f ca="1">"getheap"</f>
        <v>getheap</v>
      </c>
      <c r="ATY1" t="str">
        <f ca="1">""</f>
        <v/>
      </c>
      <c r="ATZ1" t="str">
        <f ca="1">"push"</f>
        <v>push</v>
      </c>
      <c r="AUA1" t="str">
        <f ca="1">"endArr"</f>
        <v>endArr</v>
      </c>
      <c r="AUB1" t="str">
        <f ca="1">"equals"</f>
        <v>equals</v>
      </c>
      <c r="AUC1" t="str">
        <f ca="1">""</f>
        <v/>
      </c>
      <c r="AUD1" t="str">
        <f ca="1">"gotoiftrue"</f>
        <v>gotoiftrue</v>
      </c>
      <c r="AUE1">
        <f ca="1">621</f>
        <v>621</v>
      </c>
      <c r="AUF1" t="str">
        <f ca="1">"load"</f>
        <v>load</v>
      </c>
      <c r="AUG1">
        <f ca="1">2</f>
        <v>2</v>
      </c>
      <c r="AUH1" t="str">
        <f ca="1">"getheap"</f>
        <v>getheap</v>
      </c>
      <c r="AUI1" t="str">
        <f ca="1">""</f>
        <v/>
      </c>
      <c r="AUJ1" t="str">
        <f ca="1">"load"</f>
        <v>load</v>
      </c>
      <c r="AUK1">
        <f ca="1">2</f>
        <v>2</v>
      </c>
      <c r="AUL1" t="str">
        <f ca="1">"push"</f>
        <v>push</v>
      </c>
      <c r="AUM1">
        <f ca="1">1</f>
        <v>1</v>
      </c>
      <c r="AUN1" t="str">
        <f ca="1">"add"</f>
        <v>add</v>
      </c>
      <c r="AUO1" t="str">
        <f ca="1">""</f>
        <v/>
      </c>
      <c r="AUP1" t="str">
        <f ca="1">"popv"</f>
        <v>popv</v>
      </c>
      <c r="AUQ1" t="str">
        <f ca="1">"G"</f>
        <v>G</v>
      </c>
      <c r="AUR1" t="str">
        <f ca="1">"store"</f>
        <v>store</v>
      </c>
      <c r="AUS1" t="str">
        <f ca="1">"G"</f>
        <v>G</v>
      </c>
      <c r="AUT1" t="str">
        <f ca="1">"goto"</f>
        <v>goto</v>
      </c>
      <c r="AUU1">
        <f ca="1">608</f>
        <v>608</v>
      </c>
      <c r="AUV1" t="str">
        <f ca="1">"popv"</f>
        <v>popv</v>
      </c>
      <c r="AUW1" t="str">
        <f ca="1">"G"</f>
        <v>G</v>
      </c>
      <c r="AUX1" t="str">
        <f ca="1">"load"</f>
        <v>load</v>
      </c>
      <c r="AUY1">
        <f ca="1">2</f>
        <v>2</v>
      </c>
      <c r="AUZ1" t="str">
        <f ca="1">"getheap"</f>
        <v>getheap</v>
      </c>
      <c r="AVA1" t="str">
        <f ca="1">""</f>
        <v/>
      </c>
      <c r="AVB1" t="str">
        <f ca="1">"call"</f>
        <v>call</v>
      </c>
      <c r="AVC1" t="str">
        <f ca="1">""</f>
        <v/>
      </c>
      <c r="AVD1" t="str">
        <f ca="1">"popv"</f>
        <v>popv</v>
      </c>
      <c r="AVE1" t="str">
        <f ca="1">"G"</f>
        <v>G</v>
      </c>
      <c r="AVF1" t="str">
        <f ca="1">"pop"</f>
        <v>pop</v>
      </c>
      <c r="AVG1" t="str">
        <f ca="1">""</f>
        <v/>
      </c>
      <c r="AVH1" t="str">
        <f ca="1">"push"</f>
        <v>push</v>
      </c>
      <c r="AVI1">
        <f ca="1">1</f>
        <v>1</v>
      </c>
      <c r="AVJ1" t="str">
        <f ca="1">"load"</f>
        <v>load</v>
      </c>
      <c r="AVK1">
        <f ca="1">3</f>
        <v>3</v>
      </c>
      <c r="AVL1" t="str">
        <f ca="1">"newheap"</f>
        <v>newheap</v>
      </c>
      <c r="AVM1" t="str">
        <f ca="1">""</f>
        <v/>
      </c>
      <c r="AVN1" t="str">
        <f ca="1">"store"</f>
        <v>store</v>
      </c>
      <c r="AVO1" t="str">
        <f ca="1">"G"</f>
        <v>G</v>
      </c>
      <c r="AVP1" t="str">
        <f ca="1">"load"</f>
        <v>load</v>
      </c>
      <c r="AVQ1">
        <f ca="1">2</f>
        <v>2</v>
      </c>
      <c r="AVR1" t="str">
        <f ca="1">"push"</f>
        <v>push</v>
      </c>
      <c r="AVS1">
        <f ca="1">3</f>
        <v>3</v>
      </c>
      <c r="AVT1" t="str">
        <f ca="1">"writeheap"</f>
        <v>writeheap</v>
      </c>
      <c r="AVU1" t="str">
        <f ca="1">""</f>
        <v/>
      </c>
      <c r="AVV1" t="str">
        <f ca="1">"newheap"</f>
        <v>newheap</v>
      </c>
      <c r="AVW1" t="str">
        <f ca="1">""</f>
        <v/>
      </c>
      <c r="AVX1" t="str">
        <f ca="1">"push"</f>
        <v>push</v>
      </c>
      <c r="AVY1" t="str">
        <f ca="1">"endArr"</f>
        <v>endArr</v>
      </c>
      <c r="AVZ1" t="str">
        <f ca="1">"writeheap"</f>
        <v>writeheap</v>
      </c>
      <c r="AWA1" t="str">
        <f ca="1">""</f>
        <v/>
      </c>
      <c r="AWB1" t="str">
        <f ca="1">"load"</f>
        <v>load</v>
      </c>
      <c r="AWC1">
        <f ca="1">2</f>
        <v>2</v>
      </c>
      <c r="AWD1" t="str">
        <f ca="1">"popv"</f>
        <v>popv</v>
      </c>
      <c r="AWE1" t="str">
        <f ca="1">"G"</f>
        <v>G</v>
      </c>
      <c r="AWF1" t="str">
        <f ca="1">"store"</f>
        <v>store</v>
      </c>
      <c r="AWG1" t="str">
        <f ca="1">"G"</f>
        <v>G</v>
      </c>
      <c r="AWH1" t="str">
        <f ca="1">"load"</f>
        <v>load</v>
      </c>
      <c r="AWI1">
        <f ca="1">2</f>
        <v>2</v>
      </c>
      <c r="AWJ1" t="str">
        <f ca="1">"push"</f>
        <v>push</v>
      </c>
      <c r="AWK1">
        <f ca="1">1</f>
        <v>1</v>
      </c>
      <c r="AWL1" t="str">
        <f ca="1">"add"</f>
        <v>add</v>
      </c>
      <c r="AWM1" t="str">
        <f ca="1">""</f>
        <v/>
      </c>
      <c r="AWN1" t="str">
        <f ca="1">"store"</f>
        <v>store</v>
      </c>
      <c r="AWO1" t="str">
        <f ca="1">"G"</f>
        <v>G</v>
      </c>
      <c r="AWP1" t="str">
        <f ca="1">"load"</f>
        <v>load</v>
      </c>
      <c r="AWQ1">
        <f ca="1">2</f>
        <v>2</v>
      </c>
      <c r="AWR1" t="str">
        <f ca="1">"getheap"</f>
        <v>getheap</v>
      </c>
      <c r="AWS1" t="str">
        <f ca="1">""</f>
        <v/>
      </c>
      <c r="AWT1" t="str">
        <f ca="1">"push"</f>
        <v>push</v>
      </c>
      <c r="AWU1" t="str">
        <f ca="1">"endArr"</f>
        <v>endArr</v>
      </c>
      <c r="AWV1" t="str">
        <f ca="1">"equals"</f>
        <v>equals</v>
      </c>
      <c r="AWW1" t="str">
        <f ca="1">""</f>
        <v/>
      </c>
      <c r="AWX1" t="str">
        <f ca="1">"gotoiftrue"</f>
        <v>gotoiftrue</v>
      </c>
      <c r="AWY1">
        <f ca="1">657</f>
        <v>657</v>
      </c>
      <c r="AWZ1" t="str">
        <f ca="1">"load"</f>
        <v>load</v>
      </c>
      <c r="AXA1">
        <f ca="1">2</f>
        <v>2</v>
      </c>
      <c r="AXB1" t="str">
        <f ca="1">"getheap"</f>
        <v>getheap</v>
      </c>
      <c r="AXC1" t="str">
        <f ca="1">""</f>
        <v/>
      </c>
      <c r="AXD1" t="str">
        <f ca="1">"load"</f>
        <v>load</v>
      </c>
      <c r="AXE1">
        <f ca="1">2</f>
        <v>2</v>
      </c>
      <c r="AXF1" t="str">
        <f ca="1">"push"</f>
        <v>push</v>
      </c>
      <c r="AXG1">
        <f ca="1">1</f>
        <v>1</v>
      </c>
      <c r="AXH1" t="str">
        <f ca="1">"add"</f>
        <v>add</v>
      </c>
      <c r="AXI1" t="str">
        <f ca="1">""</f>
        <v/>
      </c>
      <c r="AXJ1" t="str">
        <f ca="1">"popv"</f>
        <v>popv</v>
      </c>
      <c r="AXK1" t="str">
        <f ca="1">"G"</f>
        <v>G</v>
      </c>
      <c r="AXL1" t="str">
        <f ca="1">"store"</f>
        <v>store</v>
      </c>
      <c r="AXM1" t="str">
        <f ca="1">"G"</f>
        <v>G</v>
      </c>
      <c r="AXN1" t="str">
        <f ca="1">"goto"</f>
        <v>goto</v>
      </c>
      <c r="AXO1">
        <f ca="1">644</f>
        <v>644</v>
      </c>
      <c r="AXP1" t="str">
        <f ca="1">"popv"</f>
        <v>popv</v>
      </c>
      <c r="AXQ1" t="str">
        <f ca="1">"G"</f>
        <v>G</v>
      </c>
      <c r="AXR1" t="str">
        <f ca="1">"load"</f>
        <v>load</v>
      </c>
      <c r="AXS1">
        <f ca="1">2</f>
        <v>2</v>
      </c>
      <c r="AXT1" t="str">
        <f ca="1">"getheap"</f>
        <v>getheap</v>
      </c>
      <c r="AXU1" t="str">
        <f ca="1">""</f>
        <v/>
      </c>
      <c r="AXV1" t="str">
        <f ca="1">"call"</f>
        <v>call</v>
      </c>
      <c r="AXW1" t="str">
        <f ca="1">""</f>
        <v/>
      </c>
      <c r="AXX1" t="str">
        <f ca="1">"popv"</f>
        <v>popv</v>
      </c>
      <c r="AXY1" t="str">
        <f ca="1">"G"</f>
        <v>G</v>
      </c>
      <c r="AXZ1" t="str">
        <f ca="1">"store"</f>
        <v>store</v>
      </c>
      <c r="AYA1" t="str">
        <f ca="1">"G"</f>
        <v>G</v>
      </c>
      <c r="AYB1" t="str">
        <f ca="1">"load"</f>
        <v>load</v>
      </c>
      <c r="AYC1">
        <f ca="1">2</f>
        <v>2</v>
      </c>
      <c r="AYD1" t="str">
        <f ca="1">"push"</f>
        <v>push</v>
      </c>
      <c r="AYE1">
        <f ca="1">1</f>
        <v>1</v>
      </c>
      <c r="AYF1" t="str">
        <f ca="1">"add"</f>
        <v>add</v>
      </c>
      <c r="AYG1" t="str">
        <f ca="1">""</f>
        <v/>
      </c>
      <c r="AYH1" t="str">
        <f ca="1">"store"</f>
        <v>store</v>
      </c>
      <c r="AYI1" t="str">
        <f ca="1">"G"</f>
        <v>G</v>
      </c>
      <c r="AYJ1" t="str">
        <f ca="1">"load"</f>
        <v>load</v>
      </c>
      <c r="AYK1">
        <f ca="1">2</f>
        <v>2</v>
      </c>
      <c r="AYL1" t="str">
        <f ca="1">"getheap"</f>
        <v>getheap</v>
      </c>
      <c r="AYM1" t="str">
        <f ca="1">""</f>
        <v/>
      </c>
      <c r="AYN1" t="str">
        <f ca="1">"push"</f>
        <v>push</v>
      </c>
      <c r="AYO1" t="str">
        <f ca="1">"endArr"</f>
        <v>endArr</v>
      </c>
      <c r="AYP1" t="str">
        <f ca="1">"equals"</f>
        <v>equals</v>
      </c>
      <c r="AYQ1" t="str">
        <f ca="1">""</f>
        <v/>
      </c>
      <c r="AYR1" t="str">
        <f ca="1">"gotoiftrue"</f>
        <v>gotoiftrue</v>
      </c>
      <c r="AYS1">
        <f ca="1">680</f>
        <v>680</v>
      </c>
      <c r="AYT1" t="str">
        <f ca="1">"load"</f>
        <v>load</v>
      </c>
      <c r="AYU1">
        <f ca="1">2</f>
        <v>2</v>
      </c>
      <c r="AYV1" t="str">
        <f ca="1">"getheap"</f>
        <v>getheap</v>
      </c>
      <c r="AYW1" t="str">
        <f ca="1">""</f>
        <v/>
      </c>
      <c r="AYX1" t="str">
        <f ca="1">"load"</f>
        <v>load</v>
      </c>
      <c r="AYY1">
        <f ca="1">2</f>
        <v>2</v>
      </c>
      <c r="AYZ1" t="str">
        <f ca="1">"push"</f>
        <v>push</v>
      </c>
      <c r="AZA1">
        <f ca="1">1</f>
        <v>1</v>
      </c>
      <c r="AZB1" t="str">
        <f ca="1">"add"</f>
        <v>add</v>
      </c>
      <c r="AZC1" t="str">
        <f ca="1">""</f>
        <v/>
      </c>
      <c r="AZD1" t="str">
        <f ca="1">"popv"</f>
        <v>popv</v>
      </c>
      <c r="AZE1" t="str">
        <f ca="1">"G"</f>
        <v>G</v>
      </c>
      <c r="AZF1" t="str">
        <f ca="1">"store"</f>
        <v>store</v>
      </c>
      <c r="AZG1" t="str">
        <f ca="1">"G"</f>
        <v>G</v>
      </c>
      <c r="AZH1" t="str">
        <f ca="1">"goto"</f>
        <v>goto</v>
      </c>
      <c r="AZI1">
        <f ca="1">667</f>
        <v>667</v>
      </c>
      <c r="AZJ1" t="str">
        <f ca="1">"popv"</f>
        <v>popv</v>
      </c>
      <c r="AZK1" t="str">
        <f ca="1">"G"</f>
        <v>G</v>
      </c>
      <c r="AZL1" t="str">
        <f ca="1">"load"</f>
        <v>load</v>
      </c>
      <c r="AZM1">
        <f ca="1">2</f>
        <v>2</v>
      </c>
      <c r="AZN1" t="str">
        <f ca="1">"getheap"</f>
        <v>getheap</v>
      </c>
      <c r="AZO1" t="str">
        <f ca="1">""</f>
        <v/>
      </c>
      <c r="AZP1" t="str">
        <f ca="1">"call"</f>
        <v>call</v>
      </c>
      <c r="AZQ1" t="str">
        <f ca="1">""</f>
        <v/>
      </c>
      <c r="AZR1" t="str">
        <f ca="1">"popv"</f>
        <v>popv</v>
      </c>
      <c r="AZS1" t="str">
        <f ca="1">"G"</f>
        <v>G</v>
      </c>
      <c r="AZT1" t="str">
        <f ca="1">"load"</f>
        <v>load</v>
      </c>
      <c r="AZU1">
        <f ca="1">1</f>
        <v>1</v>
      </c>
      <c r="AZV1" t="str">
        <f ca="1">"store"</f>
        <v>store</v>
      </c>
      <c r="AZW1" t="str">
        <f ca="1">"G"</f>
        <v>G</v>
      </c>
      <c r="AZX1" t="str">
        <f ca="1">"load"</f>
        <v>load</v>
      </c>
      <c r="AZY1">
        <f ca="1">2</f>
        <v>2</v>
      </c>
      <c r="AZZ1" t="str">
        <f ca="1">"push"</f>
        <v>push</v>
      </c>
      <c r="BAA1">
        <f ca="1">1</f>
        <v>1</v>
      </c>
      <c r="BAB1" t="str">
        <f ca="1">"add"</f>
        <v>add</v>
      </c>
      <c r="BAC1" t="str">
        <f ca="1">""</f>
        <v/>
      </c>
      <c r="BAD1" t="str">
        <f ca="1">"store"</f>
        <v>store</v>
      </c>
      <c r="BAE1" t="str">
        <f ca="1">"G"</f>
        <v>G</v>
      </c>
      <c r="BAF1" t="str">
        <f ca="1">"load"</f>
        <v>load</v>
      </c>
      <c r="BAG1">
        <f ca="1">2</f>
        <v>2</v>
      </c>
      <c r="BAH1" t="str">
        <f ca="1">"getheap"</f>
        <v>getheap</v>
      </c>
      <c r="BAI1" t="str">
        <f ca="1">""</f>
        <v/>
      </c>
      <c r="BAJ1" t="str">
        <f ca="1">"push"</f>
        <v>push</v>
      </c>
      <c r="BAK1" t="str">
        <f ca="1">"endArr"</f>
        <v>endArr</v>
      </c>
      <c r="BAL1" t="str">
        <f ca="1">"equals"</f>
        <v>equals</v>
      </c>
      <c r="BAM1" t="str">
        <f ca="1">""</f>
        <v/>
      </c>
      <c r="BAN1" t="str">
        <f ca="1">"gotoiftrue"</f>
        <v>gotoiftrue</v>
      </c>
      <c r="BAO1">
        <f ca="1">704</f>
        <v>704</v>
      </c>
      <c r="BAP1" t="str">
        <f ca="1">"load"</f>
        <v>load</v>
      </c>
      <c r="BAQ1">
        <f ca="1">2</f>
        <v>2</v>
      </c>
      <c r="BAR1" t="str">
        <f ca="1">"getheap"</f>
        <v>getheap</v>
      </c>
      <c r="BAS1" t="str">
        <f ca="1">""</f>
        <v/>
      </c>
      <c r="BAT1" t="str">
        <f ca="1">"load"</f>
        <v>load</v>
      </c>
      <c r="BAU1">
        <f ca="1">2</f>
        <v>2</v>
      </c>
      <c r="BAV1" t="str">
        <f ca="1">"push"</f>
        <v>push</v>
      </c>
      <c r="BAW1">
        <f ca="1">1</f>
        <v>1</v>
      </c>
      <c r="BAX1" t="str">
        <f ca="1">"add"</f>
        <v>add</v>
      </c>
      <c r="BAY1" t="str">
        <f ca="1">""</f>
        <v/>
      </c>
      <c r="BAZ1" t="str">
        <f ca="1">"popv"</f>
        <v>popv</v>
      </c>
      <c r="BBA1" t="str">
        <f ca="1">"G"</f>
        <v>G</v>
      </c>
      <c r="BBB1" t="str">
        <f ca="1">"store"</f>
        <v>store</v>
      </c>
      <c r="BBC1" t="str">
        <f ca="1">"G"</f>
        <v>G</v>
      </c>
      <c r="BBD1" t="str">
        <f ca="1">"goto"</f>
        <v>goto</v>
      </c>
      <c r="BBE1">
        <f ca="1">691</f>
        <v>691</v>
      </c>
      <c r="BBF1" t="str">
        <f ca="1">"popv"</f>
        <v>popv</v>
      </c>
      <c r="BBG1" t="str">
        <f ca="1">"G"</f>
        <v>G</v>
      </c>
      <c r="BBH1" t="str">
        <f ca="1">"load"</f>
        <v>load</v>
      </c>
      <c r="BBI1">
        <f ca="1">2</f>
        <v>2</v>
      </c>
      <c r="BBJ1" t="str">
        <f ca="1">"getheap"</f>
        <v>getheap</v>
      </c>
      <c r="BBK1" t="str">
        <f ca="1">""</f>
        <v/>
      </c>
      <c r="BBL1" t="str">
        <f ca="1">"call"</f>
        <v>call</v>
      </c>
      <c r="BBM1" t="str">
        <f ca="1">""</f>
        <v/>
      </c>
      <c r="BBN1" t="str">
        <f ca="1">"popv"</f>
        <v>popv</v>
      </c>
      <c r="BBO1" t="str">
        <f ca="1">"G"</f>
        <v>G</v>
      </c>
      <c r="BBP1" t="str">
        <f ca="1">"popv"</f>
        <v>popv</v>
      </c>
      <c r="BBQ1" t="str">
        <f ca="1">"H"</f>
        <v>H</v>
      </c>
      <c r="BBR1" t="str">
        <f ca="1">"return"</f>
        <v>return</v>
      </c>
      <c r="BBS1" t="str">
        <f ca="1">""</f>
        <v/>
      </c>
      <c r="BBT1" t="str">
        <f ca="1">"newheap"</f>
        <v>newheap</v>
      </c>
      <c r="BBU1" t="str">
        <f ca="1">""</f>
        <v/>
      </c>
      <c r="BBV1" t="str">
        <f ca="1">"store"</f>
        <v>store</v>
      </c>
      <c r="BBW1" t="str">
        <f ca="1">"F"</f>
        <v>F</v>
      </c>
      <c r="BBX1" t="str">
        <f ca="1">"load"</f>
        <v>load</v>
      </c>
      <c r="BBY1">
        <f ca="1">1</f>
        <v>1</v>
      </c>
      <c r="BBZ1" t="str">
        <f ca="1">"push"</f>
        <v>push</v>
      </c>
      <c r="BCA1">
        <f ca="1">77</f>
        <v>77</v>
      </c>
      <c r="BCB1" t="str">
        <f ca="1">"writeheap"</f>
        <v>writeheap</v>
      </c>
      <c r="BCC1" t="str">
        <f ca="1">""</f>
        <v/>
      </c>
      <c r="BCD1" t="str">
        <f ca="1">"load"</f>
        <v>load</v>
      </c>
      <c r="BCE1">
        <f ca="1">1</f>
        <v>1</v>
      </c>
      <c r="BCF1" t="str">
        <f ca="1">"newheap"</f>
        <v>newheap</v>
      </c>
      <c r="BCG1" t="str">
        <f ca="1">""</f>
        <v/>
      </c>
      <c r="BCH1" t="str">
        <f ca="1">"push"</f>
        <v>push</v>
      </c>
      <c r="BCI1" t="str">
        <f ca="1">"endArr"</f>
        <v>endArr</v>
      </c>
      <c r="BCJ1" t="str">
        <f ca="1">"writeheap"</f>
        <v>writeheap</v>
      </c>
      <c r="BCK1" t="str">
        <f ca="1">""</f>
        <v/>
      </c>
      <c r="BCL1" t="str">
        <f ca="1">"pop"</f>
        <v>pop</v>
      </c>
      <c r="BCM1" t="str">
        <f ca="1">""</f>
        <v/>
      </c>
      <c r="BCN1" t="str">
        <f ca="1">"push"</f>
        <v>push</v>
      </c>
      <c r="BCO1">
        <f ca="1">1</f>
        <v>1</v>
      </c>
      <c r="BCP1" t="str">
        <f ca="1">"load"</f>
        <v>load</v>
      </c>
      <c r="BCQ1">
        <f ca="1">1</f>
        <v>1</v>
      </c>
      <c r="BCR1" t="str">
        <f ca="1">"store"</f>
        <v>store</v>
      </c>
      <c r="BCS1" t="str">
        <f ca="1">"G"</f>
        <v>G</v>
      </c>
      <c r="BCT1" t="str">
        <f ca="1">"load"</f>
        <v>load</v>
      </c>
      <c r="BCU1">
        <f ca="1">2</f>
        <v>2</v>
      </c>
      <c r="BCV1" t="str">
        <f ca="1">"push"</f>
        <v>push</v>
      </c>
      <c r="BCW1">
        <f ca="1">1</f>
        <v>1</v>
      </c>
      <c r="BCX1" t="str">
        <f ca="1">"add"</f>
        <v>add</v>
      </c>
      <c r="BCY1" t="str">
        <f ca="1">""</f>
        <v/>
      </c>
      <c r="BCZ1" t="str">
        <f ca="1">"store"</f>
        <v>store</v>
      </c>
      <c r="BDA1" t="str">
        <f ca="1">"G"</f>
        <v>G</v>
      </c>
      <c r="BDB1" t="str">
        <f ca="1">"load"</f>
        <v>load</v>
      </c>
      <c r="BDC1">
        <f ca="1">2</f>
        <v>2</v>
      </c>
      <c r="BDD1" t="str">
        <f ca="1">"getheap"</f>
        <v>getheap</v>
      </c>
      <c r="BDE1" t="str">
        <f ca="1">""</f>
        <v/>
      </c>
      <c r="BDF1" t="str">
        <f ca="1">"push"</f>
        <v>push</v>
      </c>
      <c r="BDG1" t="str">
        <f ca="1">"endArr"</f>
        <v>endArr</v>
      </c>
      <c r="BDH1" t="str">
        <f ca="1">"equals"</f>
        <v>equals</v>
      </c>
      <c r="BDI1" t="str">
        <f ca="1">""</f>
        <v/>
      </c>
      <c r="BDJ1" t="str">
        <f ca="1">"gotoiftrue"</f>
        <v>gotoiftrue</v>
      </c>
      <c r="BDK1">
        <f ca="1">741</f>
        <v>741</v>
      </c>
      <c r="BDL1" t="str">
        <f ca="1">"load"</f>
        <v>load</v>
      </c>
      <c r="BDM1">
        <f ca="1">2</f>
        <v>2</v>
      </c>
      <c r="BDN1" t="str">
        <f ca="1">"getheap"</f>
        <v>getheap</v>
      </c>
      <c r="BDO1" t="str">
        <f ca="1">""</f>
        <v/>
      </c>
      <c r="BDP1" t="str">
        <f ca="1">"load"</f>
        <v>load</v>
      </c>
      <c r="BDQ1">
        <f ca="1">2</f>
        <v>2</v>
      </c>
      <c r="BDR1" t="str">
        <f ca="1">"push"</f>
        <v>push</v>
      </c>
      <c r="BDS1">
        <f ca="1">1</f>
        <v>1</v>
      </c>
      <c r="BDT1" t="str">
        <f ca="1">"add"</f>
        <v>add</v>
      </c>
      <c r="BDU1" t="str">
        <f ca="1">""</f>
        <v/>
      </c>
      <c r="BDV1" t="str">
        <f ca="1">"popv"</f>
        <v>popv</v>
      </c>
      <c r="BDW1" t="str">
        <f ca="1">"G"</f>
        <v>G</v>
      </c>
      <c r="BDX1" t="str">
        <f ca="1">"store"</f>
        <v>store</v>
      </c>
      <c r="BDY1" t="str">
        <f ca="1">"G"</f>
        <v>G</v>
      </c>
      <c r="BDZ1" t="str">
        <f ca="1">"goto"</f>
        <v>goto</v>
      </c>
      <c r="BEA1">
        <f ca="1">728</f>
        <v>728</v>
      </c>
      <c r="BEB1" t="str">
        <f ca="1">"popv"</f>
        <v>popv</v>
      </c>
      <c r="BEC1" t="str">
        <f ca="1">"G"</f>
        <v>G</v>
      </c>
      <c r="BED1" t="str">
        <f ca="1">"load"</f>
        <v>load</v>
      </c>
      <c r="BEE1">
        <f ca="1">2</f>
        <v>2</v>
      </c>
      <c r="BEF1" t="str">
        <f ca="1">"getheap"</f>
        <v>getheap</v>
      </c>
      <c r="BEG1" t="str">
        <f ca="1">""</f>
        <v/>
      </c>
      <c r="BEH1" t="str">
        <f ca="1">"call"</f>
        <v>call</v>
      </c>
      <c r="BEI1" t="str">
        <f ca="1">""</f>
        <v/>
      </c>
      <c r="BEJ1" t="str">
        <f ca="1">"popv"</f>
        <v>popv</v>
      </c>
      <c r="BEK1" t="str">
        <f ca="1">"G"</f>
        <v>G</v>
      </c>
      <c r="BEL1" t="str">
        <f ca="1">"goto"</f>
        <v>goto</v>
      </c>
      <c r="BEM1">
        <f ca="1">746</f>
        <v>746</v>
      </c>
    </row>
    <row r="2" spans="1:1495" x14ac:dyDescent="0.25">
      <c r="A2" t="e">
        <f ca="1">INDEX(A4:A403,A3)</f>
        <v>#VALUE!</v>
      </c>
      <c r="B2" t="e">
        <f ca="1">INDEX(B4:B403,B3)</f>
        <v>#VALUE!</v>
      </c>
      <c r="C2" t="e">
        <f ca="1">INDEX(C4:C403,C3)</f>
        <v>#VALUE!</v>
      </c>
      <c r="D2" t="e">
        <f ca="1">INDEX(D4:D23,D3)</f>
        <v>#VALUE!</v>
      </c>
      <c r="E2" t="e">
        <f t="shared" ref="E2:AD2" ca="1" si="0">INDEX(E4:E403,E3)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495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IF(("mod")=(INDEX(B1:XFD1,(A2)+(0))),-1,0)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1495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404,(B4)+(1)),IF(("add")=(INDEX(B1:XFD1,(A2)+(0))),(INDEX(B4:B404,(B3)+(1)))+(B4),IF(("equals")=(INDEX(B1:XFD1,(A2)+(0))),(INDEX(B4:B404,(B3)+(1)))=(B4),IF(("leq")=(INDEX(B1:XFD1,(A2)+(0))),(INDEX(B4:B404,(B3)+(1)))&lt;=(B4),IF(("mod")=(INDEX(B1:XFD1,(A2)+(0))),MOD(INDEX(B4:B404,(B3)+(1)),B4),B4)))))))),B4))</f>
        <v>#VALUE!</v>
      </c>
      <c r="C4" t="e">
        <f ca="1">IF((A1)=(2),1,IF(AND((INDEX(B1:XFD1,(A2)+(0)))=("writeheap"),(INDEX(B4:B404,(B3)+(1)))=(0)),INDEX(B4:B404,(B3)+(2)),IF((A1)=(2),1,IF((1)=(C3),C4,C4))))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1495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404,(B5)+(1)),IF(("add")=(INDEX(B1:XFD1,(A2)+(0))),(INDEX(B4:B404,(B3)+(1)))+(B5),IF(("equals")=(INDEX(B1:XFD1,(A2)+(0))),(INDEX(B4:B404,(B3)+(1)))=(B5),IF(("leq")=(INDEX(B1:XFD1,(A2)+(0))),(INDEX(B4:B404,(B3)+(1)))&lt;=(B5),IF(("mod")=(INDEX(B1:XFD1,(A2)+(0))),MOD(INDEX(B4:B404,(B3)+(1)),B5),B5)))))))),B5))</f>
        <v>#VALUE!</v>
      </c>
      <c r="C5" t="e">
        <f ca="1">IF((A1)=(2),1,IF(AND((INDEX(B1:XFD1,(A2)+(0)))=("writeheap"),(INDEX(B4:B404,(B3)+(1)))=(1)),INDEX(B4:B404,(B3)+(2)),IF((A1)=(2),1,IF((2)=(C3),C5,C5))))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1495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404,(B6)+(1)),IF(("add")=(INDEX(B1:XFD1,(A2)+(0))),(INDEX(B4:B404,(B3)+(1)))+(B6),IF(("equals")=(INDEX(B1:XFD1,(A2)+(0))),(INDEX(B4:B404,(B3)+(1)))=(B6),IF(("leq")=(INDEX(B1:XFD1,(A2)+(0))),(INDEX(B4:B404,(B3)+(1)))&lt;=(B6),IF(("mod")=(INDEX(B1:XFD1,(A2)+(0))),MOD(INDEX(B4:B404,(B3)+(1)),B6),B6)))))))),B6))</f>
        <v>#VALUE!</v>
      </c>
      <c r="C6" t="e">
        <f ca="1">IF((A1)=(2),1,IF(AND((INDEX(B1:XFD1,(A2)+(0)))=("writeheap"),(INDEX(B4:B404,(B3)+(1)))=(2)),INDEX(B4:B404,(B3)+(2)),IF((A1)=(2),1,IF((3)=(C3),C6,C6))))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1495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404,(B7)+(1)),IF(("add")=(INDEX(B1:XFD1,(A2)+(0))),(INDEX(B4:B404,(B3)+(1)))+(B7),IF(("equals")=(INDEX(B1:XFD1,(A2)+(0))),(INDEX(B4:B404,(B3)+(1)))=(B7),IF(("leq")=(INDEX(B1:XFD1,(A2)+(0))),(INDEX(B4:B404,(B3)+(1)))&lt;=(B7),IF(("mod")=(INDEX(B1:XFD1,(A2)+(0))),MOD(INDEX(B4:B404,(B3)+(1)),B7),B7)))))))),B7))</f>
        <v>#VALUE!</v>
      </c>
      <c r="C7" t="e">
        <f ca="1">IF((A1)=(2),1,IF(AND((INDEX(B1:XFD1,(A2)+(0)))=("writeheap"),(INDEX(B4:B404,(B3)+(1)))=(3)),INDEX(B4:B404,(B3)+(2)),IF((A1)=(2),1,IF((4)=(C3),C7,C7))))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1495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404,(B8)+(1)),IF(("add")=(INDEX(B1:XFD1,(A2)+(0))),(INDEX(B4:B404,(B3)+(1)))+(B8),IF(("equals")=(INDEX(B1:XFD1,(A2)+(0))),(INDEX(B4:B404,(B3)+(1)))=(B8),IF(("leq")=(INDEX(B1:XFD1,(A2)+(0))),(INDEX(B4:B404,(B3)+(1)))&lt;=(B8),IF(("mod")=(INDEX(B1:XFD1,(A2)+(0))),MOD(INDEX(B4:B404,(B3)+(1)),B8),B8)))))))),B8))</f>
        <v>#VALUE!</v>
      </c>
      <c r="C8" t="e">
        <f ca="1">IF((A1)=(2),1,IF(AND((INDEX(B1:XFD1,(A2)+(0)))=("writeheap"),(INDEX(B4:B404,(B3)+(1)))=(4)),INDEX(B4:B404,(B3)+(2)),IF((A1)=(2),1,IF((5)=(C3),C8,C8))))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1495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404,(B9)+(1)),IF(("add")=(INDEX(B1:XFD1,(A2)+(0))),(INDEX(B4:B404,(B3)+(1)))+(B9),IF(("equals")=(INDEX(B1:XFD1,(A2)+(0))),(INDEX(B4:B404,(B3)+(1)))=(B9),IF(("leq")=(INDEX(B1:XFD1,(A2)+(0))),(INDEX(B4:B404,(B3)+(1)))&lt;=(B9),IF(("mod")=(INDEX(B1:XFD1,(A2)+(0))),MOD(INDEX(B4:B404,(B3)+(1)),B9),B9)))))))),B9))</f>
        <v>#VALUE!</v>
      </c>
      <c r="C9" t="e">
        <f ca="1">IF((A1)=(2),1,IF(AND((INDEX(B1:XFD1,(A2)+(0)))=("writeheap"),(INDEX(B4:B404,(B3)+(1)))=(5)),INDEX(B4:B404,(B3)+(2)),IF((A1)=(2),1,IF((6)=(C3),C9,C9))))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1495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404,(B10)+(1)),IF(("add")=(INDEX(B1:XFD1,(A2)+(0))),(INDEX(B4:B404,(B3)+(1)))+(B10),IF(("equals")=(INDEX(B1:XFD1,(A2)+(0))),(INDEX(B4:B404,(B3)+(1)))=(B10),IF(("leq")=(INDEX(B1:XFD1,(A2)+(0))),(INDEX(B4:B404,(B3)+(1)))&lt;=(B10),IF(("mod")=(INDEX(B1:XFD1,(A2)+(0))),MOD(INDEX(B4:B404,(B3)+(1)),B10),B10)))))))),B10))</f>
        <v>#VALUE!</v>
      </c>
      <c r="C10" t="e">
        <f ca="1">IF((A1)=(2),1,IF(AND((INDEX(B1:XFD1,(A2)+(0)))=("writeheap"),(INDEX(B4:B404,(B3)+(1)))=(6)),INDEX(B4:B404,(B3)+(2)),IF((A1)=(2),1,IF((7)=(C3),C10,C10))))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1495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404,(B11)+(1)),IF(("add")=(INDEX(B1:XFD1,(A2)+(0))),(INDEX(B4:B404,(B3)+(1)))+(B11),IF(("equals")=(INDEX(B1:XFD1,(A2)+(0))),(INDEX(B4:B404,(B3)+(1)))=(B11),IF(("leq")=(INDEX(B1:XFD1,(A2)+(0))),(INDEX(B4:B404,(B3)+(1)))&lt;=(B11),IF(("mod")=(INDEX(B1:XFD1,(A2)+(0))),MOD(INDEX(B4:B404,(B3)+(1)),B11),B11)))))))),B11))</f>
        <v>#VALUE!</v>
      </c>
      <c r="C11" t="e">
        <f ca="1">IF((A1)=(2),1,IF(AND((INDEX(B1:XFD1,(A2)+(0)))=("writeheap"),(INDEX(B4:B404,(B3)+(1)))=(7)),INDEX(B4:B404,(B3)+(2)),IF((A1)=(2),1,IF((8)=(C3),C11,C11))))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1495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404,(B12)+(1)),IF(("add")=(INDEX(B1:XFD1,(A2)+(0))),(INDEX(B4:B404,(B3)+(1)))+(B12),IF(("equals")=(INDEX(B1:XFD1,(A2)+(0))),(INDEX(B4:B404,(B3)+(1)))=(B12),IF(("leq")=(INDEX(B1:XFD1,(A2)+(0))),(INDEX(B4:B404,(B3)+(1)))&lt;=(B12),IF(("mod")=(INDEX(B1:XFD1,(A2)+(0))),MOD(INDEX(B4:B404,(B3)+(1)),B12),B12)))))))),B12))</f>
        <v>#VALUE!</v>
      </c>
      <c r="C12" t="e">
        <f ca="1">IF((A1)=(2),1,IF(AND((INDEX(B1:XFD1,(A2)+(0)))=("writeheap"),(INDEX(B4:B404,(B3)+(1)))=(8)),INDEX(B4:B404,(B3)+(2)),IF((A1)=(2),1,IF((9)=(C3),C12,C12))))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1495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404,(B13)+(1)),IF(("add")=(INDEX(B1:XFD1,(A2)+(0))),(INDEX(B4:B404,(B3)+(1)))+(B13),IF(("equals")=(INDEX(B1:XFD1,(A2)+(0))),(INDEX(B4:B404,(B3)+(1)))=(B13),IF(("leq")=(INDEX(B1:XFD1,(A2)+(0))),(INDEX(B4:B404,(B3)+(1)))&lt;=(B13),IF(("mod")=(INDEX(B1:XFD1,(A2)+(0))),MOD(INDEX(B4:B404,(B3)+(1)),B13),B13)))))))),B13))</f>
        <v>#VALUE!</v>
      </c>
      <c r="C13" t="e">
        <f ca="1">IF((A1)=(2),1,IF(AND((INDEX(B1:XFD1,(A2)+(0)))=("writeheap"),(INDEX(B4:B404,(B3)+(1)))=(9)),INDEX(B4:B404,(B3)+(2)),IF((A1)=(2),1,IF((10)=(C3),C13,C13))))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1495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404,(B14)+(1)),IF(("add")=(INDEX(B1:XFD1,(A2)+(0))),(INDEX(B4:B404,(B3)+(1)))+(B14),IF(("equals")=(INDEX(B1:XFD1,(A2)+(0))),(INDEX(B4:B404,(B3)+(1)))=(B14),IF(("leq")=(INDEX(B1:XFD1,(A2)+(0))),(INDEX(B4:B404,(B3)+(1)))&lt;=(B14),IF(("mod")=(INDEX(B1:XFD1,(A2)+(0))),MOD(INDEX(B4:B404,(B3)+(1)),B14),B14)))))))),B14))</f>
        <v>#VALUE!</v>
      </c>
      <c r="C14" t="e">
        <f ca="1">IF((A1)=(2),1,IF(AND((INDEX(B1:XFD1,(A2)+(0)))=("writeheap"),(INDEX(B4:B404,(B3)+(1)))=(10)),INDEX(B4:B404,(B3)+(2)),IF((A1)=(2),1,IF((11)=(C3),C14,C14))))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1495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404,(B15)+(1)),IF(("add")=(INDEX(B1:XFD1,(A2)+(0))),(INDEX(B4:B404,(B3)+(1)))+(B15),IF(("equals")=(INDEX(B1:XFD1,(A2)+(0))),(INDEX(B4:B404,(B3)+(1)))=(B15),IF(("leq")=(INDEX(B1:XFD1,(A2)+(0))),(INDEX(B4:B404,(B3)+(1)))&lt;=(B15),IF(("mod")=(INDEX(B1:XFD1,(A2)+(0))),MOD(INDEX(B4:B404,(B3)+(1)),B15),B15)))))))),B15))</f>
        <v>#VALUE!</v>
      </c>
      <c r="C15" t="e">
        <f ca="1">IF((A1)=(2),1,IF(AND((INDEX(B1:XFD1,(A2)+(0)))=("writeheap"),(INDEX(B4:B404,(B3)+(1)))=(11)),INDEX(B4:B404,(B3)+(2)),IF((A1)=(2),1,IF((12)=(C3),C15,C15))))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1495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404,(B16)+(1)),IF(("add")=(INDEX(B1:XFD1,(A2)+(0))),(INDEX(B4:B404,(B3)+(1)))+(B16),IF(("equals")=(INDEX(B1:XFD1,(A2)+(0))),(INDEX(B4:B404,(B3)+(1)))=(B16),IF(("leq")=(INDEX(B1:XFD1,(A2)+(0))),(INDEX(B4:B404,(B3)+(1)))&lt;=(B16),IF(("mod")=(INDEX(B1:XFD1,(A2)+(0))),MOD(INDEX(B4:B404,(B3)+(1)),B16),B16)))))))),B16))</f>
        <v>#VALUE!</v>
      </c>
      <c r="C16" t="e">
        <f ca="1">IF((A1)=(2),1,IF(AND((INDEX(B1:XFD1,(A2)+(0)))=("writeheap"),(INDEX(B4:B404,(B3)+(1)))=(12)),INDEX(B4:B404,(B3)+(2)),IF((A1)=(2),1,IF((13)=(C3),C16,C16))))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404,(B17)+(1)),IF(("add")=(INDEX(B1:XFD1,(A2)+(0))),(INDEX(B4:B404,(B3)+(1)))+(B17),IF(("equals")=(INDEX(B1:XFD1,(A2)+(0))),(INDEX(B4:B404,(B3)+(1)))=(B17),IF(("leq")=(INDEX(B1:XFD1,(A2)+(0))),(INDEX(B4:B404,(B3)+(1)))&lt;=(B17),IF(("mod")=(INDEX(B1:XFD1,(A2)+(0))),MOD(INDEX(B4:B404,(B3)+(1)),B17),B17)))))))),B17))</f>
        <v>#VALUE!</v>
      </c>
      <c r="C17" t="e">
        <f ca="1">IF((A1)=(2),1,IF(AND((INDEX(B1:XFD1,(A2)+(0)))=("writeheap"),(INDEX(B4:B404,(B3)+(1)))=(13)),INDEX(B4:B404,(B3)+(2)),IF((A1)=(2),1,IF((14)=(C3),C17,C17))))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404,(B18)+(1)),IF(("add")=(INDEX(B1:XFD1,(A2)+(0))),(INDEX(B4:B404,(B3)+(1)))+(B18),IF(("equals")=(INDEX(B1:XFD1,(A2)+(0))),(INDEX(B4:B404,(B3)+(1)))=(B18),IF(("leq")=(INDEX(B1:XFD1,(A2)+(0))),(INDEX(B4:B404,(B3)+(1)))&lt;=(B18),IF(("mod")=(INDEX(B1:XFD1,(A2)+(0))),MOD(INDEX(B4:B404,(B3)+(1)),B18),B18)))))))),B18))</f>
        <v>#VALUE!</v>
      </c>
      <c r="C18" t="e">
        <f ca="1">IF((A1)=(2),1,IF(AND((INDEX(B1:XFD1,(A2)+(0)))=("writeheap"),(INDEX(B4:B404,(B3)+(1)))=(14)),INDEX(B4:B404,(B3)+(2)),IF((A1)=(2),1,IF((15)=(C3),C18,C18))))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404,(B19)+(1)),IF(("add")=(INDEX(B1:XFD1,(A2)+(0))),(INDEX(B4:B404,(B3)+(1)))+(B19),IF(("equals")=(INDEX(B1:XFD1,(A2)+(0))),(INDEX(B4:B404,(B3)+(1)))=(B19),IF(("leq")=(INDEX(B1:XFD1,(A2)+(0))),(INDEX(B4:B404,(B3)+(1)))&lt;=(B19),IF(("mod")=(INDEX(B1:XFD1,(A2)+(0))),MOD(INDEX(B4:B404,(B3)+(1)),B19),B19)))))))),B19))</f>
        <v>#VALUE!</v>
      </c>
      <c r="C19" t="e">
        <f ca="1">IF((A1)=(2),1,IF(AND((INDEX(B1:XFD1,(A2)+(0)))=("writeheap"),(INDEX(B4:B404,(B3)+(1)))=(15)),INDEX(B4:B404,(B3)+(2)),IF((A1)=(2),1,IF((16)=(C3),C19,C19))))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404,(B20)+(1)),IF(("add")=(INDEX(B1:XFD1,(A2)+(0))),(INDEX(B4:B404,(B3)+(1)))+(B20),IF(("equals")=(INDEX(B1:XFD1,(A2)+(0))),(INDEX(B4:B404,(B3)+(1)))=(B20),IF(("leq")=(INDEX(B1:XFD1,(A2)+(0))),(INDEX(B4:B404,(B3)+(1)))&lt;=(B20),IF(("mod")=(INDEX(B1:XFD1,(A2)+(0))),MOD(INDEX(B4:B404,(B3)+(1)),B20),B20)))))))),B20))</f>
        <v>#VALUE!</v>
      </c>
      <c r="C20" t="e">
        <f ca="1">IF((A1)=(2),1,IF(AND((INDEX(B1:XFD1,(A2)+(0)))=("writeheap"),(INDEX(B4:B404,(B3)+(1)))=(16)),INDEX(B4:B404,(B3)+(2)),IF((A1)=(2),1,IF((17)=(C3),C20,C20))))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404,(B21)+(1)),IF(("add")=(INDEX(B1:XFD1,(A2)+(0))),(INDEX(B4:B404,(B3)+(1)))+(B21),IF(("equals")=(INDEX(B1:XFD1,(A2)+(0))),(INDEX(B4:B404,(B3)+(1)))=(B21),IF(("leq")=(INDEX(B1:XFD1,(A2)+(0))),(INDEX(B4:B404,(B3)+(1)))&lt;=(B21),IF(("mod")=(INDEX(B1:XFD1,(A2)+(0))),MOD(INDEX(B4:B404,(B3)+(1)),B21),B21)))))))),B21))</f>
        <v>#VALUE!</v>
      </c>
      <c r="C21" t="e">
        <f ca="1">IF((A1)=(2),1,IF(AND((INDEX(B1:XFD1,(A2)+(0)))=("writeheap"),(INDEX(B4:B404,(B3)+(1)))=(17)),INDEX(B4:B404,(B3)+(2)),IF((A1)=(2),1,IF((18)=(C3),C21,C21))))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404,(B22)+(1)),IF(("add")=(INDEX(B1:XFD1,(A2)+(0))),(INDEX(B4:B404,(B3)+(1)))+(B22),IF(("equals")=(INDEX(B1:XFD1,(A2)+(0))),(INDEX(B4:B404,(B3)+(1)))=(B22),IF(("leq")=(INDEX(B1:XFD1,(A2)+(0))),(INDEX(B4:B404,(B3)+(1)))&lt;=(B22),IF(("mod")=(INDEX(B1:XFD1,(A2)+(0))),MOD(INDEX(B4:B404,(B3)+(1)),B22),B22)))))))),B22))</f>
        <v>#VALUE!</v>
      </c>
      <c r="C22" t="e">
        <f ca="1">IF((A1)=(2),1,IF(AND((INDEX(B1:XFD1,(A2)+(0)))=("writeheap"),(INDEX(B4:B404,(B3)+(1)))=(18)),INDEX(B4:B404,(B3)+(2)),IF((A1)=(2),1,IF((19)=(C3),C22,C22))))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404,(B23)+(1)),IF(("add")=(INDEX(B1:XFD1,(A2)+(0))),(INDEX(B4:B404,(B3)+(1)))+(B23),IF(("equals")=(INDEX(B1:XFD1,(A2)+(0))),(INDEX(B4:B404,(B3)+(1)))=(B23),IF(("leq")=(INDEX(B1:XFD1,(A2)+(0))),(INDEX(B4:B404,(B3)+(1)))&lt;=(B23),IF(("mod")=(INDEX(B1:XFD1,(A2)+(0))),MOD(INDEX(B4:B404,(B3)+(1)),B23),B23)))))))),B23))</f>
        <v>#VALUE!</v>
      </c>
      <c r="C23" t="e">
        <f ca="1">IF((A1)=(2),1,IF(AND((INDEX(B1:XFD1,(A2)+(0)))=("writeheap"),(INDEX(B4:B404,(B3)+(1)))=(19)),INDEX(B4:B404,(B3)+(2)),IF((A1)=(2),1,IF((20)=(C3),C23,C23))))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404,(B24)+(1)),IF(("add")=(INDEX(B1:XFD1,(A2)+(0))),(INDEX(B4:B404,(B3)+(1)))+(B24),IF(("equals")=(INDEX(B1:XFD1,(A2)+(0))),(INDEX(B4:B404,(B3)+(1)))=(B24),IF(("leq")=(INDEX(B1:XFD1,(A2)+(0))),(INDEX(B4:B404,(B3)+(1)))&lt;=(B24),IF(("mod")=(INDEX(B1:XFD1,(A2)+(0))),MOD(INDEX(B4:B404,(B3)+(1)),B24),B24)))))))),B24))</f>
        <v>#VALUE!</v>
      </c>
      <c r="C24" t="e">
        <f ca="1">IF((A1)=(2),1,IF(AND((INDEX(B1:XFD1,(A2)+(0)))=("writeheap"),(INDEX(B4:B404,(B3)+(1)))=(20)),INDEX(B4:B404,(B3)+(2)),IF((A1)=(2),1,IF((21)=(C3),C24,C24))))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404,(B25)+(1)),IF(("add")=(INDEX(B1:XFD1,(A2)+(0))),(INDEX(B4:B404,(B3)+(1)))+(B25),IF(("equals")=(INDEX(B1:XFD1,(A2)+(0))),(INDEX(B4:B404,(B3)+(1)))=(B25),IF(("leq")=(INDEX(B1:XFD1,(A2)+(0))),(INDEX(B4:B404,(B3)+(1)))&lt;=(B25),IF(("mod")=(INDEX(B1:XFD1,(A2)+(0))),MOD(INDEX(B4:B404,(B3)+(1)),B25),B25)))))))),B25))</f>
        <v>#VALUE!</v>
      </c>
      <c r="C25" t="e">
        <f ca="1">IF((A1)=(2),1,IF(AND((INDEX(B1:XFD1,(A2)+(0)))=("writeheap"),(INDEX(B4:B404,(B3)+(1)))=(21)),INDEX(B4:B404,(B3)+(2)),IF((A1)=(2),1,IF((22)=(C3),C25,C25))))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404,(B26)+(1)),IF(("add")=(INDEX(B1:XFD1,(A2)+(0))),(INDEX(B4:B404,(B3)+(1)))+(B26),IF(("equals")=(INDEX(B1:XFD1,(A2)+(0))),(INDEX(B4:B404,(B3)+(1)))=(B26),IF(("leq")=(INDEX(B1:XFD1,(A2)+(0))),(INDEX(B4:B404,(B3)+(1)))&lt;=(B26),IF(("mod")=(INDEX(B1:XFD1,(A2)+(0))),MOD(INDEX(B4:B404,(B3)+(1)),B26),B26)))))))),B26))</f>
        <v>#VALUE!</v>
      </c>
      <c r="C26" t="e">
        <f ca="1">IF((A1)=(2),1,IF(AND((INDEX(B1:XFD1,(A2)+(0)))=("writeheap"),(INDEX(B4:B404,(B3)+(1)))=(22)),INDEX(B4:B404,(B3)+(2)),IF((A1)=(2),1,IF((23)=(C3),C26,C26))))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404,(B27)+(1)),IF(("add")=(INDEX(B1:XFD1,(A2)+(0))),(INDEX(B4:B404,(B3)+(1)))+(B27),IF(("equals")=(INDEX(B1:XFD1,(A2)+(0))),(INDEX(B4:B404,(B3)+(1)))=(B27),IF(("leq")=(INDEX(B1:XFD1,(A2)+(0))),(INDEX(B4:B404,(B3)+(1)))&lt;=(B27),IF(("mod")=(INDEX(B1:XFD1,(A2)+(0))),MOD(INDEX(B4:B404,(B3)+(1)),B27),B27)))))))),B27))</f>
        <v>#VALUE!</v>
      </c>
      <c r="C27" t="e">
        <f ca="1">IF((A1)=(2),1,IF(AND((INDEX(B1:XFD1,(A2)+(0)))=("writeheap"),(INDEX(B4:B404,(B3)+(1)))=(23)),INDEX(B4:B404,(B3)+(2)),IF((A1)=(2),1,IF((24)=(C3),C27,C27))))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404,(B28)+(1)),IF(("add")=(INDEX(B1:XFD1,(A2)+(0))),(INDEX(B4:B404,(B3)+(1)))+(B28),IF(("equals")=(INDEX(B1:XFD1,(A2)+(0))),(INDEX(B4:B404,(B3)+(1)))=(B28),IF(("leq")=(INDEX(B1:XFD1,(A2)+(0))),(INDEX(B4:B404,(B3)+(1)))&lt;=(B28),IF(("mod")=(INDEX(B1:XFD1,(A2)+(0))),MOD(INDEX(B4:B404,(B3)+(1)),B28),B28)))))))),B28))</f>
        <v>#VALUE!</v>
      </c>
      <c r="C28" t="e">
        <f ca="1">IF((A1)=(2),1,IF(AND((INDEX(B1:XFD1,(A2)+(0)))=("writeheap"),(INDEX(B4:B404,(B3)+(1)))=(24)),INDEX(B4:B404,(B3)+(2)),IF((A1)=(2),1,IF((25)=(C3),C28,C28))))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404,(B29)+(1)),IF(("add")=(INDEX(B1:XFD1,(A2)+(0))),(INDEX(B4:B404,(B3)+(1)))+(B29),IF(("equals")=(INDEX(B1:XFD1,(A2)+(0))),(INDEX(B4:B404,(B3)+(1)))=(B29),IF(("leq")=(INDEX(B1:XFD1,(A2)+(0))),(INDEX(B4:B404,(B3)+(1)))&lt;=(B29),IF(("mod")=(INDEX(B1:XFD1,(A2)+(0))),MOD(INDEX(B4:B404,(B3)+(1)),B29),B29)))))))),B29))</f>
        <v>#VALUE!</v>
      </c>
      <c r="C29" t="e">
        <f ca="1">IF((A1)=(2),1,IF(AND((INDEX(B1:XFD1,(A2)+(0)))=("writeheap"),(INDEX(B4:B404,(B3)+(1)))=(25)),INDEX(B4:B404,(B3)+(2)),IF((A1)=(2),1,IF((26)=(C3),C29,C29))))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404,(B30)+(1)),IF(("add")=(INDEX(B1:XFD1,(A2)+(0))),(INDEX(B4:B404,(B3)+(1)))+(B30),IF(("equals")=(INDEX(B1:XFD1,(A2)+(0))),(INDEX(B4:B404,(B3)+(1)))=(B30),IF(("leq")=(INDEX(B1:XFD1,(A2)+(0))),(INDEX(B4:B404,(B3)+(1)))&lt;=(B30),IF(("mod")=(INDEX(B1:XFD1,(A2)+(0))),MOD(INDEX(B4:B404,(B3)+(1)),B30),B30)))))))),B30))</f>
        <v>#VALUE!</v>
      </c>
      <c r="C30" t="e">
        <f ca="1">IF((A1)=(2),1,IF(AND((INDEX(B1:XFD1,(A2)+(0)))=("writeheap"),(INDEX(B4:B404,(B3)+(1)))=(26)),INDEX(B4:B404,(B3)+(2)),IF((A1)=(2),1,IF((27)=(C3),C30,C30))))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404,(B31)+(1)),IF(("add")=(INDEX(B1:XFD1,(A2)+(0))),(INDEX(B4:B404,(B3)+(1)))+(B31),IF(("equals")=(INDEX(B1:XFD1,(A2)+(0))),(INDEX(B4:B404,(B3)+(1)))=(B31),IF(("leq")=(INDEX(B1:XFD1,(A2)+(0))),(INDEX(B4:B404,(B3)+(1)))&lt;=(B31),IF(("mod")=(INDEX(B1:XFD1,(A2)+(0))),MOD(INDEX(B4:B404,(B3)+(1)),B31),B31)))))))),B31))</f>
        <v>#VALUE!</v>
      </c>
      <c r="C31" t="e">
        <f ca="1">IF((A1)=(2),1,IF(AND((INDEX(B1:XFD1,(A2)+(0)))=("writeheap"),(INDEX(B4:B404,(B3)+(1)))=(27)),INDEX(B4:B404,(B3)+(2)),IF((A1)=(2),1,IF((28)=(C3),C31,C31))))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404,(B32)+(1)),IF(("add")=(INDEX(B1:XFD1,(A2)+(0))),(INDEX(B4:B404,(B3)+(1)))+(B32),IF(("equals")=(INDEX(B1:XFD1,(A2)+(0))),(INDEX(B4:B404,(B3)+(1)))=(B32),IF(("leq")=(INDEX(B1:XFD1,(A2)+(0))),(INDEX(B4:B404,(B3)+(1)))&lt;=(B32),IF(("mod")=(INDEX(B1:XFD1,(A2)+(0))),MOD(INDEX(B4:B404,(B3)+(1)),B32),B32)))))))),B32))</f>
        <v>#VALUE!</v>
      </c>
      <c r="C32" t="e">
        <f ca="1">IF((A1)=(2),1,IF(AND((INDEX(B1:XFD1,(A2)+(0)))=("writeheap"),(INDEX(B4:B404,(B3)+(1)))=(28)),INDEX(B4:B404,(B3)+(2)),IF((A1)=(2),1,IF((29)=(C3),C32,C32))))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404,(B33)+(1)),IF(("add")=(INDEX(B1:XFD1,(A2)+(0))),(INDEX(B4:B404,(B3)+(1)))+(B33),IF(("equals")=(INDEX(B1:XFD1,(A2)+(0))),(INDEX(B4:B404,(B3)+(1)))=(B33),IF(("leq")=(INDEX(B1:XFD1,(A2)+(0))),(INDEX(B4:B404,(B3)+(1)))&lt;=(B33),IF(("mod")=(INDEX(B1:XFD1,(A2)+(0))),MOD(INDEX(B4:B404,(B3)+(1)),B33),B33)))))))),B33))</f>
        <v>#VALUE!</v>
      </c>
      <c r="C33" t="e">
        <f ca="1">IF((A1)=(2),1,IF(AND((INDEX(B1:XFD1,(A2)+(0)))=("writeheap"),(INDEX(B4:B404,(B3)+(1)))=(29)),INDEX(B4:B404,(B3)+(2)),IF((A1)=(2),1,IF((30)=(C3),C33,C33))))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404,(B34)+(1)),IF(("add")=(INDEX(B1:XFD1,(A2)+(0))),(INDEX(B4:B404,(B3)+(1)))+(B34),IF(("equals")=(INDEX(B1:XFD1,(A2)+(0))),(INDEX(B4:B404,(B3)+(1)))=(B34),IF(("leq")=(INDEX(B1:XFD1,(A2)+(0))),(INDEX(B4:B404,(B3)+(1)))&lt;=(B34),IF(("mod")=(INDEX(B1:XFD1,(A2)+(0))),MOD(INDEX(B4:B404,(B3)+(1)),B34),B34)))))))),B34))</f>
        <v>#VALUE!</v>
      </c>
      <c r="C34" t="e">
        <f ca="1">IF((A1)=(2),1,IF(AND((INDEX(B1:XFD1,(A2)+(0)))=("writeheap"),(INDEX(B4:B404,(B3)+(1)))=(30)),INDEX(B4:B404,(B3)+(2)),IF((A1)=(2),1,IF((31)=(C3),C34,C34))))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404,(B35)+(1)),IF(("add")=(INDEX(B1:XFD1,(A2)+(0))),(INDEX(B4:B404,(B3)+(1)))+(B35),IF(("equals")=(INDEX(B1:XFD1,(A2)+(0))),(INDEX(B4:B404,(B3)+(1)))=(B35),IF(("leq")=(INDEX(B1:XFD1,(A2)+(0))),(INDEX(B4:B404,(B3)+(1)))&lt;=(B35),IF(("mod")=(INDEX(B1:XFD1,(A2)+(0))),MOD(INDEX(B4:B404,(B3)+(1)),B35),B35)))))))),B35))</f>
        <v>#VALUE!</v>
      </c>
      <c r="C35" t="e">
        <f ca="1">IF((A1)=(2),1,IF(AND((INDEX(B1:XFD1,(A2)+(0)))=("writeheap"),(INDEX(B4:B404,(B3)+(1)))=(31)),INDEX(B4:B404,(B3)+(2)),IF((A1)=(2),1,IF((32)=(C3),C35,C35))))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404,(B36)+(1)),IF(("add")=(INDEX(B1:XFD1,(A2)+(0))),(INDEX(B4:B404,(B3)+(1)))+(B36),IF(("equals")=(INDEX(B1:XFD1,(A2)+(0))),(INDEX(B4:B404,(B3)+(1)))=(B36),IF(("leq")=(INDEX(B1:XFD1,(A2)+(0))),(INDEX(B4:B404,(B3)+(1)))&lt;=(B36),IF(("mod")=(INDEX(B1:XFD1,(A2)+(0))),MOD(INDEX(B4:B404,(B3)+(1)),B36),B36)))))))),B36))</f>
        <v>#VALUE!</v>
      </c>
      <c r="C36" t="e">
        <f ca="1">IF((A1)=(2),1,IF(AND((INDEX(B1:XFD1,(A2)+(0)))=("writeheap"),(INDEX(B4:B404,(B3)+(1)))=(32)),INDEX(B4:B404,(B3)+(2)),IF((A1)=(2),1,IF((33)=(C3),C36,C36))))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404,(B37)+(1)),IF(("add")=(INDEX(B1:XFD1,(A2)+(0))),(INDEX(B4:B404,(B3)+(1)))+(B37),IF(("equals")=(INDEX(B1:XFD1,(A2)+(0))),(INDEX(B4:B404,(B3)+(1)))=(B37),IF(("leq")=(INDEX(B1:XFD1,(A2)+(0))),(INDEX(B4:B404,(B3)+(1)))&lt;=(B37),IF(("mod")=(INDEX(B1:XFD1,(A2)+(0))),MOD(INDEX(B4:B404,(B3)+(1)),B37),B37)))))))),B37))</f>
        <v>#VALUE!</v>
      </c>
      <c r="C37" t="e">
        <f ca="1">IF((A1)=(2),1,IF(AND((INDEX(B1:XFD1,(A2)+(0)))=("writeheap"),(INDEX(B4:B404,(B3)+(1)))=(33)),INDEX(B4:B404,(B3)+(2)),IF((A1)=(2),1,IF((34)=(C3),C37,C37))))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404,(B38)+(1)),IF(("add")=(INDEX(B1:XFD1,(A2)+(0))),(INDEX(B4:B404,(B3)+(1)))+(B38),IF(("equals")=(INDEX(B1:XFD1,(A2)+(0))),(INDEX(B4:B404,(B3)+(1)))=(B38),IF(("leq")=(INDEX(B1:XFD1,(A2)+(0))),(INDEX(B4:B404,(B3)+(1)))&lt;=(B38),IF(("mod")=(INDEX(B1:XFD1,(A2)+(0))),MOD(INDEX(B4:B404,(B3)+(1)),B38),B38)))))))),B38))</f>
        <v>#VALUE!</v>
      </c>
      <c r="C38" t="e">
        <f ca="1">IF((A1)=(2),1,IF(AND((INDEX(B1:XFD1,(A2)+(0)))=("writeheap"),(INDEX(B4:B404,(B3)+(1)))=(34)),INDEX(B4:B404,(B3)+(2)),IF((A1)=(2),1,IF((35)=(C3),C38,C38))))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404,(B39)+(1)),IF(("add")=(INDEX(B1:XFD1,(A2)+(0))),(INDEX(B4:B404,(B3)+(1)))+(B39),IF(("equals")=(INDEX(B1:XFD1,(A2)+(0))),(INDEX(B4:B404,(B3)+(1)))=(B39),IF(("leq")=(INDEX(B1:XFD1,(A2)+(0))),(INDEX(B4:B404,(B3)+(1)))&lt;=(B39),IF(("mod")=(INDEX(B1:XFD1,(A2)+(0))),MOD(INDEX(B4:B404,(B3)+(1)),B39),B39)))))))),B39))</f>
        <v>#VALUE!</v>
      </c>
      <c r="C39" t="e">
        <f ca="1">IF((A1)=(2),1,IF(AND((INDEX(B1:XFD1,(A2)+(0)))=("writeheap"),(INDEX(B4:B404,(B3)+(1)))=(35)),INDEX(B4:B404,(B3)+(2)),IF((A1)=(2),1,IF((36)=(C3),C39,C39))))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404,(B40)+(1)),IF(("add")=(INDEX(B1:XFD1,(A2)+(0))),(INDEX(B4:B404,(B3)+(1)))+(B40),IF(("equals")=(INDEX(B1:XFD1,(A2)+(0))),(INDEX(B4:B404,(B3)+(1)))=(B40),IF(("leq")=(INDEX(B1:XFD1,(A2)+(0))),(INDEX(B4:B404,(B3)+(1)))&lt;=(B40),IF(("mod")=(INDEX(B1:XFD1,(A2)+(0))),MOD(INDEX(B4:B404,(B3)+(1)),B40),B40)))))))),B40))</f>
        <v>#VALUE!</v>
      </c>
      <c r="C40" t="e">
        <f ca="1">IF((A1)=(2),1,IF(AND((INDEX(B1:XFD1,(A2)+(0)))=("writeheap"),(INDEX(B4:B404,(B3)+(1)))=(36)),INDEX(B4:B404,(B3)+(2)),IF((A1)=(2),1,IF((37)=(C3),C40,C40))))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404,(B41)+(1)),IF(("add")=(INDEX(B1:XFD1,(A2)+(0))),(INDEX(B4:B404,(B3)+(1)))+(B41),IF(("equals")=(INDEX(B1:XFD1,(A2)+(0))),(INDEX(B4:B404,(B3)+(1)))=(B41),IF(("leq")=(INDEX(B1:XFD1,(A2)+(0))),(INDEX(B4:B404,(B3)+(1)))&lt;=(B41),IF(("mod")=(INDEX(B1:XFD1,(A2)+(0))),MOD(INDEX(B4:B404,(B3)+(1)),B41),B41)))))))),B41))</f>
        <v>#VALUE!</v>
      </c>
      <c r="C41" t="e">
        <f ca="1">IF((A1)=(2),1,IF(AND((INDEX(B1:XFD1,(A2)+(0)))=("writeheap"),(INDEX(B4:B404,(B3)+(1)))=(37)),INDEX(B4:B404,(B3)+(2)),IF((A1)=(2),1,IF((38)=(C3),C41,C41))))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404,(B42)+(1)),IF(("add")=(INDEX(B1:XFD1,(A2)+(0))),(INDEX(B4:B404,(B3)+(1)))+(B42),IF(("equals")=(INDEX(B1:XFD1,(A2)+(0))),(INDEX(B4:B404,(B3)+(1)))=(B42),IF(("leq")=(INDEX(B1:XFD1,(A2)+(0))),(INDEX(B4:B404,(B3)+(1)))&lt;=(B42),IF(("mod")=(INDEX(B1:XFD1,(A2)+(0))),MOD(INDEX(B4:B404,(B3)+(1)),B42),B42)))))))),B42))</f>
        <v>#VALUE!</v>
      </c>
      <c r="C42" t="e">
        <f ca="1">IF((A1)=(2),1,IF(AND((INDEX(B1:XFD1,(A2)+(0)))=("writeheap"),(INDEX(B4:B404,(B3)+(1)))=(38)),INDEX(B4:B404,(B3)+(2)),IF((A1)=(2),1,IF((39)=(C3),C42,C42))))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404,(B43)+(1)),IF(("add")=(INDEX(B1:XFD1,(A2)+(0))),(INDEX(B4:B404,(B3)+(1)))+(B43),IF(("equals")=(INDEX(B1:XFD1,(A2)+(0))),(INDEX(B4:B404,(B3)+(1)))=(B43),IF(("leq")=(INDEX(B1:XFD1,(A2)+(0))),(INDEX(B4:B404,(B3)+(1)))&lt;=(B43),IF(("mod")=(INDEX(B1:XFD1,(A2)+(0))),MOD(INDEX(B4:B404,(B3)+(1)),B43),B43)))))))),B43))</f>
        <v>#VALUE!</v>
      </c>
      <c r="C43" t="e">
        <f ca="1">IF((A1)=(2),1,IF(AND((INDEX(B1:XFD1,(A2)+(0)))=("writeheap"),(INDEX(B4:B404,(B3)+(1)))=(39)),INDEX(B4:B404,(B3)+(2)),IF((A1)=(2),1,IF((40)=(C3),C43,C43))))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404,(B44)+(1)),IF(("add")=(INDEX(B1:XFD1,(A2)+(0))),(INDEX(B4:B404,(B3)+(1)))+(B44),IF(("equals")=(INDEX(B1:XFD1,(A2)+(0))),(INDEX(B4:B404,(B3)+(1)))=(B44),IF(("leq")=(INDEX(B1:XFD1,(A2)+(0))),(INDEX(B4:B404,(B3)+(1)))&lt;=(B44),IF(("mod")=(INDEX(B1:XFD1,(A2)+(0))),MOD(INDEX(B4:B404,(B3)+(1)),B44),B44)))))))),B44))</f>
        <v>#VALUE!</v>
      </c>
      <c r="C44" t="e">
        <f ca="1">IF((A1)=(2),1,IF(AND((INDEX(B1:XFD1,(A2)+(0)))=("writeheap"),(INDEX(B4:B404,(B3)+(1)))=(40)),INDEX(B4:B404,(B3)+(2)),IF((A1)=(2),1,IF((41)=(C3),C44,C44))))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404,(B45)+(1)),IF(("add")=(INDEX(B1:XFD1,(A2)+(0))),(INDEX(B4:B404,(B3)+(1)))+(B45),IF(("equals")=(INDEX(B1:XFD1,(A2)+(0))),(INDEX(B4:B404,(B3)+(1)))=(B45),IF(("leq")=(INDEX(B1:XFD1,(A2)+(0))),(INDEX(B4:B404,(B3)+(1)))&lt;=(B45),IF(("mod")=(INDEX(B1:XFD1,(A2)+(0))),MOD(INDEX(B4:B404,(B3)+(1)),B45),B45)))))))),B45))</f>
        <v>#VALUE!</v>
      </c>
      <c r="C45" t="e">
        <f ca="1">IF((A1)=(2),1,IF(AND((INDEX(B1:XFD1,(A2)+(0)))=("writeheap"),(INDEX(B4:B404,(B3)+(1)))=(41)),INDEX(B4:B404,(B3)+(2)),IF((A1)=(2),1,IF((42)=(C3),C45,C45))))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404,(B46)+(1)),IF(("add")=(INDEX(B1:XFD1,(A2)+(0))),(INDEX(B4:B404,(B3)+(1)))+(B46),IF(("equals")=(INDEX(B1:XFD1,(A2)+(0))),(INDEX(B4:B404,(B3)+(1)))=(B46),IF(("leq")=(INDEX(B1:XFD1,(A2)+(0))),(INDEX(B4:B404,(B3)+(1)))&lt;=(B46),IF(("mod")=(INDEX(B1:XFD1,(A2)+(0))),MOD(INDEX(B4:B404,(B3)+(1)),B46),B46)))))))),B46))</f>
        <v>#VALUE!</v>
      </c>
      <c r="C46" t="e">
        <f ca="1">IF((A1)=(2),1,IF(AND((INDEX(B1:XFD1,(A2)+(0)))=("writeheap"),(INDEX(B4:B404,(B3)+(1)))=(42)),INDEX(B4:B404,(B3)+(2)),IF((A1)=(2),1,IF((43)=(C3),C46,C46))))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404,(B47)+(1)),IF(("add")=(INDEX(B1:XFD1,(A2)+(0))),(INDEX(B4:B404,(B3)+(1)))+(B47),IF(("equals")=(INDEX(B1:XFD1,(A2)+(0))),(INDEX(B4:B404,(B3)+(1)))=(B47),IF(("leq")=(INDEX(B1:XFD1,(A2)+(0))),(INDEX(B4:B404,(B3)+(1)))&lt;=(B47),IF(("mod")=(INDEX(B1:XFD1,(A2)+(0))),MOD(INDEX(B4:B404,(B3)+(1)),B47),B47)))))))),B47))</f>
        <v>#VALUE!</v>
      </c>
      <c r="C47" t="e">
        <f ca="1">IF((A1)=(2),1,IF(AND((INDEX(B1:XFD1,(A2)+(0)))=("writeheap"),(INDEX(B4:B404,(B3)+(1)))=(43)),INDEX(B4:B404,(B3)+(2)),IF((A1)=(2),1,IF((44)=(C3),C47,C47))))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404,(B48)+(1)),IF(("add")=(INDEX(B1:XFD1,(A2)+(0))),(INDEX(B4:B404,(B3)+(1)))+(B48),IF(("equals")=(INDEX(B1:XFD1,(A2)+(0))),(INDEX(B4:B404,(B3)+(1)))=(B48),IF(("leq")=(INDEX(B1:XFD1,(A2)+(0))),(INDEX(B4:B404,(B3)+(1)))&lt;=(B48),IF(("mod")=(INDEX(B1:XFD1,(A2)+(0))),MOD(INDEX(B4:B404,(B3)+(1)),B48),B48)))))))),B48))</f>
        <v>#VALUE!</v>
      </c>
      <c r="C48" t="e">
        <f ca="1">IF((A1)=(2),1,IF(AND((INDEX(B1:XFD1,(A2)+(0)))=("writeheap"),(INDEX(B4:B404,(B3)+(1)))=(44)),INDEX(B4:B404,(B3)+(2)),IF((A1)=(2),1,IF((45)=(C3),C48,C48))))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404,(B49)+(1)),IF(("add")=(INDEX(B1:XFD1,(A2)+(0))),(INDEX(B4:B404,(B3)+(1)))+(B49),IF(("equals")=(INDEX(B1:XFD1,(A2)+(0))),(INDEX(B4:B404,(B3)+(1)))=(B49),IF(("leq")=(INDEX(B1:XFD1,(A2)+(0))),(INDEX(B4:B404,(B3)+(1)))&lt;=(B49),IF(("mod")=(INDEX(B1:XFD1,(A2)+(0))),MOD(INDEX(B4:B404,(B3)+(1)),B49),B49)))))))),B49))</f>
        <v>#VALUE!</v>
      </c>
      <c r="C49" t="e">
        <f ca="1">IF((A1)=(2),1,IF(AND((INDEX(B1:XFD1,(A2)+(0)))=("writeheap"),(INDEX(B4:B404,(B3)+(1)))=(45)),INDEX(B4:B404,(B3)+(2)),IF((A1)=(2),1,IF((46)=(C3),C49,C49))))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404,(B50)+(1)),IF(("add")=(INDEX(B1:XFD1,(A2)+(0))),(INDEX(B4:B404,(B3)+(1)))+(B50),IF(("equals")=(INDEX(B1:XFD1,(A2)+(0))),(INDEX(B4:B404,(B3)+(1)))=(B50),IF(("leq")=(INDEX(B1:XFD1,(A2)+(0))),(INDEX(B4:B404,(B3)+(1)))&lt;=(B50),IF(("mod")=(INDEX(B1:XFD1,(A2)+(0))),MOD(INDEX(B4:B404,(B3)+(1)),B50),B50)))))))),B50))</f>
        <v>#VALUE!</v>
      </c>
      <c r="C50" t="e">
        <f ca="1">IF((A1)=(2),1,IF(AND((INDEX(B1:XFD1,(A2)+(0)))=("writeheap"),(INDEX(B4:B404,(B3)+(1)))=(46)),INDEX(B4:B404,(B3)+(2)),IF((A1)=(2),1,IF((47)=(C3),C50,C50))))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404,(B51)+(1)),IF(("add")=(INDEX(B1:XFD1,(A2)+(0))),(INDEX(B4:B404,(B3)+(1)))+(B51),IF(("equals")=(INDEX(B1:XFD1,(A2)+(0))),(INDEX(B4:B404,(B3)+(1)))=(B51),IF(("leq")=(INDEX(B1:XFD1,(A2)+(0))),(INDEX(B4:B404,(B3)+(1)))&lt;=(B51),IF(("mod")=(INDEX(B1:XFD1,(A2)+(0))),MOD(INDEX(B4:B404,(B3)+(1)),B51),B51)))))))),B51))</f>
        <v>#VALUE!</v>
      </c>
      <c r="C51" t="e">
        <f ca="1">IF((A1)=(2),1,IF(AND((INDEX(B1:XFD1,(A2)+(0)))=("writeheap"),(INDEX(B4:B404,(B3)+(1)))=(47)),INDEX(B4:B404,(B3)+(2)),IF((A1)=(2),1,IF((48)=(C3),C51,C51))))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404,(B52)+(1)),IF(("add")=(INDEX(B1:XFD1,(A2)+(0))),(INDEX(B4:B404,(B3)+(1)))+(B52),IF(("equals")=(INDEX(B1:XFD1,(A2)+(0))),(INDEX(B4:B404,(B3)+(1)))=(B52),IF(("leq")=(INDEX(B1:XFD1,(A2)+(0))),(INDEX(B4:B404,(B3)+(1)))&lt;=(B52),IF(("mod")=(INDEX(B1:XFD1,(A2)+(0))),MOD(INDEX(B4:B404,(B3)+(1)),B52),B52)))))))),B52))</f>
        <v>#VALUE!</v>
      </c>
      <c r="C52" t="e">
        <f ca="1">IF((A1)=(2),1,IF(AND((INDEX(B1:XFD1,(A2)+(0)))=("writeheap"),(INDEX(B4:B404,(B3)+(1)))=(48)),INDEX(B4:B404,(B3)+(2)),IF((A1)=(2),1,IF((49)=(C3),C52,C52))))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404,(B53)+(1)),IF(("add")=(INDEX(B1:XFD1,(A2)+(0))),(INDEX(B4:B404,(B3)+(1)))+(B53),IF(("equals")=(INDEX(B1:XFD1,(A2)+(0))),(INDEX(B4:B404,(B3)+(1)))=(B53),IF(("leq")=(INDEX(B1:XFD1,(A2)+(0))),(INDEX(B4:B404,(B3)+(1)))&lt;=(B53),IF(("mod")=(INDEX(B1:XFD1,(A2)+(0))),MOD(INDEX(B4:B404,(B3)+(1)),B53),B53)))))))),B53))</f>
        <v>#VALUE!</v>
      </c>
      <c r="C53" t="e">
        <f ca="1">IF((A1)=(2),1,IF(AND((INDEX(B1:XFD1,(A2)+(0)))=("writeheap"),(INDEX(B4:B404,(B3)+(1)))=(49)),INDEX(B4:B404,(B3)+(2)),IF((A1)=(2),1,IF((50)=(C3),C53,C53))))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404,(B54)+(1)),IF(("add")=(INDEX(B1:XFD1,(A2)+(0))),(INDEX(B4:B404,(B3)+(1)))+(B54),IF(("equals")=(INDEX(B1:XFD1,(A2)+(0))),(INDEX(B4:B404,(B3)+(1)))=(B54),IF(("leq")=(INDEX(B1:XFD1,(A2)+(0))),(INDEX(B4:B404,(B3)+(1)))&lt;=(B54),IF(("mod")=(INDEX(B1:XFD1,(A2)+(0))),MOD(INDEX(B4:B404,(B3)+(1)),B54),B54)))))))),B54))</f>
        <v>#VALUE!</v>
      </c>
      <c r="C54" t="e">
        <f ca="1">IF((A1)=(2),1,IF(AND((INDEX(B1:XFD1,(A2)+(0)))=("writeheap"),(INDEX(B4:B404,(B3)+(1)))=(50)),INDEX(B4:B404,(B3)+(2)),IF((A1)=(2),1,IF((51)=(C3),C54,C54))))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404,(B55)+(1)),IF(("add")=(INDEX(B1:XFD1,(A2)+(0))),(INDEX(B4:B404,(B3)+(1)))+(B55),IF(("equals")=(INDEX(B1:XFD1,(A2)+(0))),(INDEX(B4:B404,(B3)+(1)))=(B55),IF(("leq")=(INDEX(B1:XFD1,(A2)+(0))),(INDEX(B4:B404,(B3)+(1)))&lt;=(B55),IF(("mod")=(INDEX(B1:XFD1,(A2)+(0))),MOD(INDEX(B4:B404,(B3)+(1)),B55),B55)))))))),B55))</f>
        <v>#VALUE!</v>
      </c>
      <c r="C55" t="e">
        <f ca="1">IF((A1)=(2),1,IF(AND((INDEX(B1:XFD1,(A2)+(0)))=("writeheap"),(INDEX(B4:B404,(B3)+(1)))=(51)),INDEX(B4:B404,(B3)+(2)),IF((A1)=(2),1,IF((52)=(C3),C55,C55))))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404,(B56)+(1)),IF(("add")=(INDEX(B1:XFD1,(A2)+(0))),(INDEX(B4:B404,(B3)+(1)))+(B56),IF(("equals")=(INDEX(B1:XFD1,(A2)+(0))),(INDEX(B4:B404,(B3)+(1)))=(B56),IF(("leq")=(INDEX(B1:XFD1,(A2)+(0))),(INDEX(B4:B404,(B3)+(1)))&lt;=(B56),IF(("mod")=(INDEX(B1:XFD1,(A2)+(0))),MOD(INDEX(B4:B404,(B3)+(1)),B56),B56)))))))),B56))</f>
        <v>#VALUE!</v>
      </c>
      <c r="C56" t="e">
        <f ca="1">IF((A1)=(2),1,IF(AND((INDEX(B1:XFD1,(A2)+(0)))=("writeheap"),(INDEX(B4:B404,(B3)+(1)))=(52)),INDEX(B4:B404,(B3)+(2)),IF((A1)=(2),1,IF((53)=(C3),C56,C56))))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404,(B57)+(1)),IF(("add")=(INDEX(B1:XFD1,(A2)+(0))),(INDEX(B4:B404,(B3)+(1)))+(B57),IF(("equals")=(INDEX(B1:XFD1,(A2)+(0))),(INDEX(B4:B404,(B3)+(1)))=(B57),IF(("leq")=(INDEX(B1:XFD1,(A2)+(0))),(INDEX(B4:B404,(B3)+(1)))&lt;=(B57),IF(("mod")=(INDEX(B1:XFD1,(A2)+(0))),MOD(INDEX(B4:B404,(B3)+(1)),B57),B57)))))))),B57))</f>
        <v>#VALUE!</v>
      </c>
      <c r="C57" t="e">
        <f ca="1">IF((A1)=(2),1,IF(AND((INDEX(B1:XFD1,(A2)+(0)))=("writeheap"),(INDEX(B4:B404,(B3)+(1)))=(53)),INDEX(B4:B404,(B3)+(2)),IF((A1)=(2),1,IF((54)=(C3),C57,C57))))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404,(B58)+(1)),IF(("add")=(INDEX(B1:XFD1,(A2)+(0))),(INDEX(B4:B404,(B3)+(1)))+(B58),IF(("equals")=(INDEX(B1:XFD1,(A2)+(0))),(INDEX(B4:B404,(B3)+(1)))=(B58),IF(("leq")=(INDEX(B1:XFD1,(A2)+(0))),(INDEX(B4:B404,(B3)+(1)))&lt;=(B58),IF(("mod")=(INDEX(B1:XFD1,(A2)+(0))),MOD(INDEX(B4:B404,(B3)+(1)),B58),B58)))))))),B58))</f>
        <v>#VALUE!</v>
      </c>
      <c r="C58" t="e">
        <f ca="1">IF((A1)=(2),1,IF(AND((INDEX(B1:XFD1,(A2)+(0)))=("writeheap"),(INDEX(B4:B404,(B3)+(1)))=(54)),INDEX(B4:B404,(B3)+(2)),IF((A1)=(2),1,IF((55)=(C3),C58,C58))))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404,(B59)+(1)),IF(("add")=(INDEX(B1:XFD1,(A2)+(0))),(INDEX(B4:B404,(B3)+(1)))+(B59),IF(("equals")=(INDEX(B1:XFD1,(A2)+(0))),(INDEX(B4:B404,(B3)+(1)))=(B59),IF(("leq")=(INDEX(B1:XFD1,(A2)+(0))),(INDEX(B4:B404,(B3)+(1)))&lt;=(B59),IF(("mod")=(INDEX(B1:XFD1,(A2)+(0))),MOD(INDEX(B4:B404,(B3)+(1)),B59),B59)))))))),B59))</f>
        <v>#VALUE!</v>
      </c>
      <c r="C59" t="e">
        <f ca="1">IF((A1)=(2),1,IF(AND((INDEX(B1:XFD1,(A2)+(0)))=("writeheap"),(INDEX(B4:B404,(B3)+(1)))=(55)),INDEX(B4:B404,(B3)+(2)),IF((A1)=(2),1,IF((56)=(C3),C59,C59))))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404,(B60)+(1)),IF(("add")=(INDEX(B1:XFD1,(A2)+(0))),(INDEX(B4:B404,(B3)+(1)))+(B60),IF(("equals")=(INDEX(B1:XFD1,(A2)+(0))),(INDEX(B4:B404,(B3)+(1)))=(B60),IF(("leq")=(INDEX(B1:XFD1,(A2)+(0))),(INDEX(B4:B404,(B3)+(1)))&lt;=(B60),IF(("mod")=(INDEX(B1:XFD1,(A2)+(0))),MOD(INDEX(B4:B404,(B3)+(1)),B60),B60)))))))),B60))</f>
        <v>#VALUE!</v>
      </c>
      <c r="C60" t="e">
        <f ca="1">IF((A1)=(2),1,IF(AND((INDEX(B1:XFD1,(A2)+(0)))=("writeheap"),(INDEX(B4:B404,(B3)+(1)))=(56)),INDEX(B4:B404,(B3)+(2)),IF((A1)=(2),1,IF((57)=(C3),C60,C60))))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404,(B61)+(1)),IF(("add")=(INDEX(B1:XFD1,(A2)+(0))),(INDEX(B4:B404,(B3)+(1)))+(B61),IF(("equals")=(INDEX(B1:XFD1,(A2)+(0))),(INDEX(B4:B404,(B3)+(1)))=(B61),IF(("leq")=(INDEX(B1:XFD1,(A2)+(0))),(INDEX(B4:B404,(B3)+(1)))&lt;=(B61),IF(("mod")=(INDEX(B1:XFD1,(A2)+(0))),MOD(INDEX(B4:B404,(B3)+(1)),B61),B61)))))))),B61))</f>
        <v>#VALUE!</v>
      </c>
      <c r="C61" t="e">
        <f ca="1">IF((A1)=(2),1,IF(AND((INDEX(B1:XFD1,(A2)+(0)))=("writeheap"),(INDEX(B4:B404,(B3)+(1)))=(57)),INDEX(B4:B404,(B3)+(2)),IF((A1)=(2),1,IF((58)=(C3),C61,C61))))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404,(B62)+(1)),IF(("add")=(INDEX(B1:XFD1,(A2)+(0))),(INDEX(B4:B404,(B3)+(1)))+(B62),IF(("equals")=(INDEX(B1:XFD1,(A2)+(0))),(INDEX(B4:B404,(B3)+(1)))=(B62),IF(("leq")=(INDEX(B1:XFD1,(A2)+(0))),(INDEX(B4:B404,(B3)+(1)))&lt;=(B62),IF(("mod")=(INDEX(B1:XFD1,(A2)+(0))),MOD(INDEX(B4:B404,(B3)+(1)),B62),B62)))))))),B62))</f>
        <v>#VALUE!</v>
      </c>
      <c r="C62" t="e">
        <f ca="1">IF((A1)=(2),1,IF(AND((INDEX(B1:XFD1,(A2)+(0)))=("writeheap"),(INDEX(B4:B404,(B3)+(1)))=(58)),INDEX(B4:B404,(B3)+(2)),IF((A1)=(2),1,IF((59)=(C3),C62,C62))))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404,(B63)+(1)),IF(("add")=(INDEX(B1:XFD1,(A2)+(0))),(INDEX(B4:B404,(B3)+(1)))+(B63),IF(("equals")=(INDEX(B1:XFD1,(A2)+(0))),(INDEX(B4:B404,(B3)+(1)))=(B63),IF(("leq")=(INDEX(B1:XFD1,(A2)+(0))),(INDEX(B4:B404,(B3)+(1)))&lt;=(B63),IF(("mod")=(INDEX(B1:XFD1,(A2)+(0))),MOD(INDEX(B4:B404,(B3)+(1)),B63),B63)))))))),B63))</f>
        <v>#VALUE!</v>
      </c>
      <c r="C63" t="e">
        <f ca="1">IF((A1)=(2),1,IF(AND((INDEX(B1:XFD1,(A2)+(0)))=("writeheap"),(INDEX(B4:B404,(B3)+(1)))=(59)),INDEX(B4:B404,(B3)+(2)),IF((A1)=(2),1,IF((60)=(C3),C63,C63))))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404,(B64)+(1)),IF(("add")=(INDEX(B1:XFD1,(A2)+(0))),(INDEX(B4:B404,(B3)+(1)))+(B64),IF(("equals")=(INDEX(B1:XFD1,(A2)+(0))),(INDEX(B4:B404,(B3)+(1)))=(B64),IF(("leq")=(INDEX(B1:XFD1,(A2)+(0))),(INDEX(B4:B404,(B3)+(1)))&lt;=(B64),IF(("mod")=(INDEX(B1:XFD1,(A2)+(0))),MOD(INDEX(B4:B404,(B3)+(1)),B64),B64)))))))),B64))</f>
        <v>#VALUE!</v>
      </c>
      <c r="C64" t="e">
        <f ca="1">IF((A1)=(2),1,IF(AND((INDEX(B1:XFD1,(A2)+(0)))=("writeheap"),(INDEX(B4:B404,(B3)+(1)))=(60)),INDEX(B4:B404,(B3)+(2)),IF((A1)=(2),1,IF((61)=(C3),C64,C64))))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404,(B65)+(1)),IF(("add")=(INDEX(B1:XFD1,(A2)+(0))),(INDEX(B4:B404,(B3)+(1)))+(B65),IF(("equals")=(INDEX(B1:XFD1,(A2)+(0))),(INDEX(B4:B404,(B3)+(1)))=(B65),IF(("leq")=(INDEX(B1:XFD1,(A2)+(0))),(INDEX(B4:B404,(B3)+(1)))&lt;=(B65),IF(("mod")=(INDEX(B1:XFD1,(A2)+(0))),MOD(INDEX(B4:B404,(B3)+(1)),B65),B65)))))))),B65))</f>
        <v>#VALUE!</v>
      </c>
      <c r="C65" t="e">
        <f ca="1">IF((A1)=(2),1,IF(AND((INDEX(B1:XFD1,(A2)+(0)))=("writeheap"),(INDEX(B4:B404,(B3)+(1)))=(61)),INDEX(B4:B404,(B3)+(2)),IF((A1)=(2),1,IF((62)=(C3),C65,C65))))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404,(B66)+(1)),IF(("add")=(INDEX(B1:XFD1,(A2)+(0))),(INDEX(B4:B404,(B3)+(1)))+(B66),IF(("equals")=(INDEX(B1:XFD1,(A2)+(0))),(INDEX(B4:B404,(B3)+(1)))=(B66),IF(("leq")=(INDEX(B1:XFD1,(A2)+(0))),(INDEX(B4:B404,(B3)+(1)))&lt;=(B66),IF(("mod")=(INDEX(B1:XFD1,(A2)+(0))),MOD(INDEX(B4:B404,(B3)+(1)),B66),B66)))))))),B66))</f>
        <v>#VALUE!</v>
      </c>
      <c r="C66" t="e">
        <f ca="1">IF((A1)=(2),1,IF(AND((INDEX(B1:XFD1,(A2)+(0)))=("writeheap"),(INDEX(B4:B404,(B3)+(1)))=(62)),INDEX(B4:B404,(B3)+(2)),IF((A1)=(2),1,IF((63)=(C3),C66,C66))))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404,(B67)+(1)),IF(("add")=(INDEX(B1:XFD1,(A2)+(0))),(INDEX(B4:B404,(B3)+(1)))+(B67),IF(("equals")=(INDEX(B1:XFD1,(A2)+(0))),(INDEX(B4:B404,(B3)+(1)))=(B67),IF(("leq")=(INDEX(B1:XFD1,(A2)+(0))),(INDEX(B4:B404,(B3)+(1)))&lt;=(B67),IF(("mod")=(INDEX(B1:XFD1,(A2)+(0))),MOD(INDEX(B4:B404,(B3)+(1)),B67),B67)))))))),B67))</f>
        <v>#VALUE!</v>
      </c>
      <c r="C67" t="e">
        <f ca="1">IF((A1)=(2),1,IF(AND((INDEX(B1:XFD1,(A2)+(0)))=("writeheap"),(INDEX(B4:B404,(B3)+(1)))=(63)),INDEX(B4:B404,(B3)+(2)),IF((A1)=(2),1,IF((64)=(C3),C67,C67))))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404,(B68)+(1)),IF(("add")=(INDEX(B1:XFD1,(A2)+(0))),(INDEX(B4:B404,(B3)+(1)))+(B68),IF(("equals")=(INDEX(B1:XFD1,(A2)+(0))),(INDEX(B4:B404,(B3)+(1)))=(B68),IF(("leq")=(INDEX(B1:XFD1,(A2)+(0))),(INDEX(B4:B404,(B3)+(1)))&lt;=(B68),IF(("mod")=(INDEX(B1:XFD1,(A2)+(0))),MOD(INDEX(B4:B404,(B3)+(1)),B68),B68)))))))),B68))</f>
        <v>#VALUE!</v>
      </c>
      <c r="C68" t="e">
        <f ca="1">IF((A1)=(2),1,IF(AND((INDEX(B1:XFD1,(A2)+(0)))=("writeheap"),(INDEX(B4:B404,(B3)+(1)))=(64)),INDEX(B4:B404,(B3)+(2)),IF((A1)=(2),1,IF((65)=(C3),C68,C68))))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404,(B69)+(1)),IF(("add")=(INDEX(B1:XFD1,(A2)+(0))),(INDEX(B4:B404,(B3)+(1)))+(B69),IF(("equals")=(INDEX(B1:XFD1,(A2)+(0))),(INDEX(B4:B404,(B3)+(1)))=(B69),IF(("leq")=(INDEX(B1:XFD1,(A2)+(0))),(INDEX(B4:B404,(B3)+(1)))&lt;=(B69),IF(("mod")=(INDEX(B1:XFD1,(A2)+(0))),MOD(INDEX(B4:B404,(B3)+(1)),B69),B69)))))))),B69))</f>
        <v>#VALUE!</v>
      </c>
      <c r="C69" t="e">
        <f ca="1">IF((A1)=(2),1,IF(AND((INDEX(B1:XFD1,(A2)+(0)))=("writeheap"),(INDEX(B4:B404,(B3)+(1)))=(65)),INDEX(B4:B404,(B3)+(2)),IF((A1)=(2),1,IF((66)=(C3),C69,C69))))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404,(B70)+(1)),IF(("add")=(INDEX(B1:XFD1,(A2)+(0))),(INDEX(B4:B404,(B3)+(1)))+(B70),IF(("equals")=(INDEX(B1:XFD1,(A2)+(0))),(INDEX(B4:B404,(B3)+(1)))=(B70),IF(("leq")=(INDEX(B1:XFD1,(A2)+(0))),(INDEX(B4:B404,(B3)+(1)))&lt;=(B70),IF(("mod")=(INDEX(B1:XFD1,(A2)+(0))),MOD(INDEX(B4:B404,(B3)+(1)),B70),B70)))))))),B70))</f>
        <v>#VALUE!</v>
      </c>
      <c r="C70" t="e">
        <f ca="1">IF((A1)=(2),1,IF(AND((INDEX(B1:XFD1,(A2)+(0)))=("writeheap"),(INDEX(B4:B404,(B3)+(1)))=(66)),INDEX(B4:B404,(B3)+(2)),IF((A1)=(2),1,IF((67)=(C3),C70,C70))))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404,(B71)+(1)),IF(("add")=(INDEX(B1:XFD1,(A2)+(0))),(INDEX(B4:B404,(B3)+(1)))+(B71),IF(("equals")=(INDEX(B1:XFD1,(A2)+(0))),(INDEX(B4:B404,(B3)+(1)))=(B71),IF(("leq")=(INDEX(B1:XFD1,(A2)+(0))),(INDEX(B4:B404,(B3)+(1)))&lt;=(B71),IF(("mod")=(INDEX(B1:XFD1,(A2)+(0))),MOD(INDEX(B4:B404,(B3)+(1)),B71),B71)))))))),B71))</f>
        <v>#VALUE!</v>
      </c>
      <c r="C71" t="e">
        <f ca="1">IF((A1)=(2),1,IF(AND((INDEX(B1:XFD1,(A2)+(0)))=("writeheap"),(INDEX(B4:B404,(B3)+(1)))=(67)),INDEX(B4:B404,(B3)+(2)),IF((A1)=(2),1,IF((68)=(C3),C71,C71))))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404,(B72)+(1)),IF(("add")=(INDEX(B1:XFD1,(A2)+(0))),(INDEX(B4:B404,(B3)+(1)))+(B72),IF(("equals")=(INDEX(B1:XFD1,(A2)+(0))),(INDEX(B4:B404,(B3)+(1)))=(B72),IF(("leq")=(INDEX(B1:XFD1,(A2)+(0))),(INDEX(B4:B404,(B3)+(1)))&lt;=(B72),IF(("mod")=(INDEX(B1:XFD1,(A2)+(0))),MOD(INDEX(B4:B404,(B3)+(1)),B72),B72)))))))),B72))</f>
        <v>#VALUE!</v>
      </c>
      <c r="C72" t="e">
        <f ca="1">IF((A1)=(2),1,IF(AND((INDEX(B1:XFD1,(A2)+(0)))=("writeheap"),(INDEX(B4:B404,(B3)+(1)))=(68)),INDEX(B4:B404,(B3)+(2)),IF((A1)=(2),1,IF((69)=(C3),C72,C72))))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404,(B73)+(1)),IF(("add")=(INDEX(B1:XFD1,(A2)+(0))),(INDEX(B4:B404,(B3)+(1)))+(B73),IF(("equals")=(INDEX(B1:XFD1,(A2)+(0))),(INDEX(B4:B404,(B3)+(1)))=(B73),IF(("leq")=(INDEX(B1:XFD1,(A2)+(0))),(INDEX(B4:B404,(B3)+(1)))&lt;=(B73),IF(("mod")=(INDEX(B1:XFD1,(A2)+(0))),MOD(INDEX(B4:B404,(B3)+(1)),B73),B73)))))))),B73))</f>
        <v>#VALUE!</v>
      </c>
      <c r="C73" t="e">
        <f ca="1">IF((A1)=(2),1,IF(AND((INDEX(B1:XFD1,(A2)+(0)))=("writeheap"),(INDEX(B4:B404,(B3)+(1)))=(69)),INDEX(B4:B404,(B3)+(2)),IF((A1)=(2),1,IF((70)=(C3),C73,C73))))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404,(B74)+(1)),IF(("add")=(INDEX(B1:XFD1,(A2)+(0))),(INDEX(B4:B404,(B3)+(1)))+(B74),IF(("equals")=(INDEX(B1:XFD1,(A2)+(0))),(INDEX(B4:B404,(B3)+(1)))=(B74),IF(("leq")=(INDEX(B1:XFD1,(A2)+(0))),(INDEX(B4:B404,(B3)+(1)))&lt;=(B74),IF(("mod")=(INDEX(B1:XFD1,(A2)+(0))),MOD(INDEX(B4:B404,(B3)+(1)),B74),B74)))))))),B74))</f>
        <v>#VALUE!</v>
      </c>
      <c r="C74" t="e">
        <f ca="1">IF((A1)=(2),1,IF(AND((INDEX(B1:XFD1,(A2)+(0)))=("writeheap"),(INDEX(B4:B404,(B3)+(1)))=(70)),INDEX(B4:B404,(B3)+(2)),IF((A1)=(2),1,IF((71)=(C3),C74,C74))))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404,(B75)+(1)),IF(("add")=(INDEX(B1:XFD1,(A2)+(0))),(INDEX(B4:B404,(B3)+(1)))+(B75),IF(("equals")=(INDEX(B1:XFD1,(A2)+(0))),(INDEX(B4:B404,(B3)+(1)))=(B75),IF(("leq")=(INDEX(B1:XFD1,(A2)+(0))),(INDEX(B4:B404,(B3)+(1)))&lt;=(B75),IF(("mod")=(INDEX(B1:XFD1,(A2)+(0))),MOD(INDEX(B4:B404,(B3)+(1)),B75),B75)))))))),B75))</f>
        <v>#VALUE!</v>
      </c>
      <c r="C75" t="e">
        <f ca="1">IF((A1)=(2),1,IF(AND((INDEX(B1:XFD1,(A2)+(0)))=("writeheap"),(INDEX(B4:B404,(B3)+(1)))=(71)),INDEX(B4:B404,(B3)+(2)),IF((A1)=(2),1,IF((72)=(C3),C75,C75))))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404,(B76)+(1)),IF(("add")=(INDEX(B1:XFD1,(A2)+(0))),(INDEX(B4:B404,(B3)+(1)))+(B76),IF(("equals")=(INDEX(B1:XFD1,(A2)+(0))),(INDEX(B4:B404,(B3)+(1)))=(B76),IF(("leq")=(INDEX(B1:XFD1,(A2)+(0))),(INDEX(B4:B404,(B3)+(1)))&lt;=(B76),IF(("mod")=(INDEX(B1:XFD1,(A2)+(0))),MOD(INDEX(B4:B404,(B3)+(1)),B76),B76)))))))),B76))</f>
        <v>#VALUE!</v>
      </c>
      <c r="C76" t="e">
        <f ca="1">IF((A1)=(2),1,IF(AND((INDEX(B1:XFD1,(A2)+(0)))=("writeheap"),(INDEX(B4:B404,(B3)+(1)))=(72)),INDEX(B4:B404,(B3)+(2)),IF((A1)=(2),1,IF((73)=(C3),C76,C76))))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404,(B77)+(1)),IF(("add")=(INDEX(B1:XFD1,(A2)+(0))),(INDEX(B4:B404,(B3)+(1)))+(B77),IF(("equals")=(INDEX(B1:XFD1,(A2)+(0))),(INDEX(B4:B404,(B3)+(1)))=(B77),IF(("leq")=(INDEX(B1:XFD1,(A2)+(0))),(INDEX(B4:B404,(B3)+(1)))&lt;=(B77),IF(("mod")=(INDEX(B1:XFD1,(A2)+(0))),MOD(INDEX(B4:B404,(B3)+(1)),B77),B77)))))))),B77))</f>
        <v>#VALUE!</v>
      </c>
      <c r="C77" t="e">
        <f ca="1">IF((A1)=(2),1,IF(AND((INDEX(B1:XFD1,(A2)+(0)))=("writeheap"),(INDEX(B4:B404,(B3)+(1)))=(73)),INDEX(B4:B404,(B3)+(2)),IF((A1)=(2),1,IF((74)=(C3),C77,C77))))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404,(B78)+(1)),IF(("add")=(INDEX(B1:XFD1,(A2)+(0))),(INDEX(B4:B404,(B3)+(1)))+(B78),IF(("equals")=(INDEX(B1:XFD1,(A2)+(0))),(INDEX(B4:B404,(B3)+(1)))=(B78),IF(("leq")=(INDEX(B1:XFD1,(A2)+(0))),(INDEX(B4:B404,(B3)+(1)))&lt;=(B78),IF(("mod")=(INDEX(B1:XFD1,(A2)+(0))),MOD(INDEX(B4:B404,(B3)+(1)),B78),B78)))))))),B78))</f>
        <v>#VALUE!</v>
      </c>
      <c r="C78" t="e">
        <f ca="1">IF((A1)=(2),1,IF(AND((INDEX(B1:XFD1,(A2)+(0)))=("writeheap"),(INDEX(B4:B404,(B3)+(1)))=(74)),INDEX(B4:B404,(B3)+(2)),IF((A1)=(2),1,IF((75)=(C3),C78,C78))))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404,(B79)+(1)),IF(("add")=(INDEX(B1:XFD1,(A2)+(0))),(INDEX(B4:B404,(B3)+(1)))+(B79),IF(("equals")=(INDEX(B1:XFD1,(A2)+(0))),(INDEX(B4:B404,(B3)+(1)))=(B79),IF(("leq")=(INDEX(B1:XFD1,(A2)+(0))),(INDEX(B4:B404,(B3)+(1)))&lt;=(B79),IF(("mod")=(INDEX(B1:XFD1,(A2)+(0))),MOD(INDEX(B4:B404,(B3)+(1)),B79),B79)))))))),B79))</f>
        <v>#VALUE!</v>
      </c>
      <c r="C79" t="e">
        <f ca="1">IF((A1)=(2),1,IF(AND((INDEX(B1:XFD1,(A2)+(0)))=("writeheap"),(INDEX(B4:B404,(B3)+(1)))=(75)),INDEX(B4:B404,(B3)+(2)),IF((A1)=(2),1,IF((76)=(C3),C79,C79))))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404,(B80)+(1)),IF(("add")=(INDEX(B1:XFD1,(A2)+(0))),(INDEX(B4:B404,(B3)+(1)))+(B80),IF(("equals")=(INDEX(B1:XFD1,(A2)+(0))),(INDEX(B4:B404,(B3)+(1)))=(B80),IF(("leq")=(INDEX(B1:XFD1,(A2)+(0))),(INDEX(B4:B404,(B3)+(1)))&lt;=(B80),IF(("mod")=(INDEX(B1:XFD1,(A2)+(0))),MOD(INDEX(B4:B404,(B3)+(1)),B80),B80)))))))),B80))</f>
        <v>#VALUE!</v>
      </c>
      <c r="C80" t="e">
        <f ca="1">IF((A1)=(2),1,IF(AND((INDEX(B1:XFD1,(A2)+(0)))=("writeheap"),(INDEX(B4:B404,(B3)+(1)))=(76)),INDEX(B4:B404,(B3)+(2)),IF((A1)=(2),1,IF((77)=(C3),C80,C80))))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404,(B81)+(1)),IF(("add")=(INDEX(B1:XFD1,(A2)+(0))),(INDEX(B4:B404,(B3)+(1)))+(B81),IF(("equals")=(INDEX(B1:XFD1,(A2)+(0))),(INDEX(B4:B404,(B3)+(1)))=(B81),IF(("leq")=(INDEX(B1:XFD1,(A2)+(0))),(INDEX(B4:B404,(B3)+(1)))&lt;=(B81),IF(("mod")=(INDEX(B1:XFD1,(A2)+(0))),MOD(INDEX(B4:B404,(B3)+(1)),B81),B81)))))))),B81))</f>
        <v>#VALUE!</v>
      </c>
      <c r="C81" t="e">
        <f ca="1">IF((A1)=(2),1,IF(AND((INDEX(B1:XFD1,(A2)+(0)))=("writeheap"),(INDEX(B4:B404,(B3)+(1)))=(77)),INDEX(B4:B404,(B3)+(2)),IF((A1)=(2),1,IF((78)=(C3),C81,C81))))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404,(B82)+(1)),IF(("add")=(INDEX(B1:XFD1,(A2)+(0))),(INDEX(B4:B404,(B3)+(1)))+(B82),IF(("equals")=(INDEX(B1:XFD1,(A2)+(0))),(INDEX(B4:B404,(B3)+(1)))=(B82),IF(("leq")=(INDEX(B1:XFD1,(A2)+(0))),(INDEX(B4:B404,(B3)+(1)))&lt;=(B82),IF(("mod")=(INDEX(B1:XFD1,(A2)+(0))),MOD(INDEX(B4:B404,(B3)+(1)),B82),B82)))))))),B82))</f>
        <v>#VALUE!</v>
      </c>
      <c r="C82" t="e">
        <f ca="1">IF((A1)=(2),1,IF(AND((INDEX(B1:XFD1,(A2)+(0)))=("writeheap"),(INDEX(B4:B404,(B3)+(1)))=(78)),INDEX(B4:B404,(B3)+(2)),IF((A1)=(2),1,IF((79)=(C3),C82,C82))))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404,(B83)+(1)),IF(("add")=(INDEX(B1:XFD1,(A2)+(0))),(INDEX(B4:B404,(B3)+(1)))+(B83),IF(("equals")=(INDEX(B1:XFD1,(A2)+(0))),(INDEX(B4:B404,(B3)+(1)))=(B83),IF(("leq")=(INDEX(B1:XFD1,(A2)+(0))),(INDEX(B4:B404,(B3)+(1)))&lt;=(B83),IF(("mod")=(INDEX(B1:XFD1,(A2)+(0))),MOD(INDEX(B4:B404,(B3)+(1)),B83),B83)))))))),B83))</f>
        <v>#VALUE!</v>
      </c>
      <c r="C83" t="e">
        <f ca="1">IF((A1)=(2),1,IF(AND((INDEX(B1:XFD1,(A2)+(0)))=("writeheap"),(INDEX(B4:B404,(B3)+(1)))=(79)),INDEX(B4:B404,(B3)+(2)),IF((A1)=(2),1,IF((80)=(C3),C83,C83))))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404,(B84)+(1)),IF(("add")=(INDEX(B1:XFD1,(A2)+(0))),(INDEX(B4:B404,(B3)+(1)))+(B84),IF(("equals")=(INDEX(B1:XFD1,(A2)+(0))),(INDEX(B4:B404,(B3)+(1)))=(B84),IF(("leq")=(INDEX(B1:XFD1,(A2)+(0))),(INDEX(B4:B404,(B3)+(1)))&lt;=(B84),IF(("mod")=(INDEX(B1:XFD1,(A2)+(0))),MOD(INDEX(B4:B404,(B3)+(1)),B84),B84)))))))),B84))</f>
        <v>#VALUE!</v>
      </c>
      <c r="C84" t="e">
        <f ca="1">IF((A1)=(2),1,IF(AND((INDEX(B1:XFD1,(A2)+(0)))=("writeheap"),(INDEX(B4:B404,(B3)+(1)))=(80)),INDEX(B4:B404,(B3)+(2)),IF((A1)=(2),1,IF((81)=(C3),C84,C84))))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404,(B85)+(1)),IF(("add")=(INDEX(B1:XFD1,(A2)+(0))),(INDEX(B4:B404,(B3)+(1)))+(B85),IF(("equals")=(INDEX(B1:XFD1,(A2)+(0))),(INDEX(B4:B404,(B3)+(1)))=(B85),IF(("leq")=(INDEX(B1:XFD1,(A2)+(0))),(INDEX(B4:B404,(B3)+(1)))&lt;=(B85),IF(("mod")=(INDEX(B1:XFD1,(A2)+(0))),MOD(INDEX(B4:B404,(B3)+(1)),B85),B85)))))))),B85))</f>
        <v>#VALUE!</v>
      </c>
      <c r="C85" t="e">
        <f ca="1">IF((A1)=(2),1,IF(AND((INDEX(B1:XFD1,(A2)+(0)))=("writeheap"),(INDEX(B4:B404,(B3)+(1)))=(81)),INDEX(B4:B404,(B3)+(2)),IF((A1)=(2),1,IF((82)=(C3),C85,C85))))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404,(B86)+(1)),IF(("add")=(INDEX(B1:XFD1,(A2)+(0))),(INDEX(B4:B404,(B3)+(1)))+(B86),IF(("equals")=(INDEX(B1:XFD1,(A2)+(0))),(INDEX(B4:B404,(B3)+(1)))=(B86),IF(("leq")=(INDEX(B1:XFD1,(A2)+(0))),(INDEX(B4:B404,(B3)+(1)))&lt;=(B86),IF(("mod")=(INDEX(B1:XFD1,(A2)+(0))),MOD(INDEX(B4:B404,(B3)+(1)),B86),B86)))))))),B86))</f>
        <v>#VALUE!</v>
      </c>
      <c r="C86" t="e">
        <f ca="1">IF((A1)=(2),1,IF(AND((INDEX(B1:XFD1,(A2)+(0)))=("writeheap"),(INDEX(B4:B404,(B3)+(1)))=(82)),INDEX(B4:B404,(B3)+(2)),IF((A1)=(2),1,IF((83)=(C3),C86,C86))))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404,(B87)+(1)),IF(("add")=(INDEX(B1:XFD1,(A2)+(0))),(INDEX(B4:B404,(B3)+(1)))+(B87),IF(("equals")=(INDEX(B1:XFD1,(A2)+(0))),(INDEX(B4:B404,(B3)+(1)))=(B87),IF(("leq")=(INDEX(B1:XFD1,(A2)+(0))),(INDEX(B4:B404,(B3)+(1)))&lt;=(B87),IF(("mod")=(INDEX(B1:XFD1,(A2)+(0))),MOD(INDEX(B4:B404,(B3)+(1)),B87),B87)))))))),B87))</f>
        <v>#VALUE!</v>
      </c>
      <c r="C87" t="e">
        <f ca="1">IF((A1)=(2),1,IF(AND((INDEX(B1:XFD1,(A2)+(0)))=("writeheap"),(INDEX(B4:B404,(B3)+(1)))=(83)),INDEX(B4:B404,(B3)+(2)),IF((A1)=(2),1,IF((84)=(C3),C87,C87))))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404,(B88)+(1)),IF(("add")=(INDEX(B1:XFD1,(A2)+(0))),(INDEX(B4:B404,(B3)+(1)))+(B88),IF(("equals")=(INDEX(B1:XFD1,(A2)+(0))),(INDEX(B4:B404,(B3)+(1)))=(B88),IF(("leq")=(INDEX(B1:XFD1,(A2)+(0))),(INDEX(B4:B404,(B3)+(1)))&lt;=(B88),IF(("mod")=(INDEX(B1:XFD1,(A2)+(0))),MOD(INDEX(B4:B404,(B3)+(1)),B88),B88)))))))),B88))</f>
        <v>#VALUE!</v>
      </c>
      <c r="C88" t="e">
        <f ca="1">IF((A1)=(2),1,IF(AND((INDEX(B1:XFD1,(A2)+(0)))=("writeheap"),(INDEX(B4:B404,(B3)+(1)))=(84)),INDEX(B4:B404,(B3)+(2)),IF((A1)=(2),1,IF((85)=(C3),C88,C88))))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404,(B89)+(1)),IF(("add")=(INDEX(B1:XFD1,(A2)+(0))),(INDEX(B4:B404,(B3)+(1)))+(B89),IF(("equals")=(INDEX(B1:XFD1,(A2)+(0))),(INDEX(B4:B404,(B3)+(1)))=(B89),IF(("leq")=(INDEX(B1:XFD1,(A2)+(0))),(INDEX(B4:B404,(B3)+(1)))&lt;=(B89),IF(("mod")=(INDEX(B1:XFD1,(A2)+(0))),MOD(INDEX(B4:B404,(B3)+(1)),B89),B89)))))))),B89))</f>
        <v>#VALUE!</v>
      </c>
      <c r="C89" t="e">
        <f ca="1">IF((A1)=(2),1,IF(AND((INDEX(B1:XFD1,(A2)+(0)))=("writeheap"),(INDEX(B4:B404,(B3)+(1)))=(85)),INDEX(B4:B404,(B3)+(2)),IF((A1)=(2),1,IF((86)=(C3),C89,C89))))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404,(B90)+(1)),IF(("add")=(INDEX(B1:XFD1,(A2)+(0))),(INDEX(B4:B404,(B3)+(1)))+(B90),IF(("equals")=(INDEX(B1:XFD1,(A2)+(0))),(INDEX(B4:B404,(B3)+(1)))=(B90),IF(("leq")=(INDEX(B1:XFD1,(A2)+(0))),(INDEX(B4:B404,(B3)+(1)))&lt;=(B90),IF(("mod")=(INDEX(B1:XFD1,(A2)+(0))),MOD(INDEX(B4:B404,(B3)+(1)),B90),B90)))))))),B90))</f>
        <v>#VALUE!</v>
      </c>
      <c r="C90" t="e">
        <f ca="1">IF((A1)=(2),1,IF(AND((INDEX(B1:XFD1,(A2)+(0)))=("writeheap"),(INDEX(B4:B404,(B3)+(1)))=(86)),INDEX(B4:B404,(B3)+(2)),IF((A1)=(2),1,IF((87)=(C3),C90,C90))))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404,(B91)+(1)),IF(("add")=(INDEX(B1:XFD1,(A2)+(0))),(INDEX(B4:B404,(B3)+(1)))+(B91),IF(("equals")=(INDEX(B1:XFD1,(A2)+(0))),(INDEX(B4:B404,(B3)+(1)))=(B91),IF(("leq")=(INDEX(B1:XFD1,(A2)+(0))),(INDEX(B4:B404,(B3)+(1)))&lt;=(B91),IF(("mod")=(INDEX(B1:XFD1,(A2)+(0))),MOD(INDEX(B4:B404,(B3)+(1)),B91),B91)))))))),B91))</f>
        <v>#VALUE!</v>
      </c>
      <c r="C91" t="e">
        <f ca="1">IF((A1)=(2),1,IF(AND((INDEX(B1:XFD1,(A2)+(0)))=("writeheap"),(INDEX(B4:B404,(B3)+(1)))=(87)),INDEX(B4:B404,(B3)+(2)),IF((A1)=(2),1,IF((88)=(C3),C91,C91))))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404,(B92)+(1)),IF(("add")=(INDEX(B1:XFD1,(A2)+(0))),(INDEX(B4:B404,(B3)+(1)))+(B92),IF(("equals")=(INDEX(B1:XFD1,(A2)+(0))),(INDEX(B4:B404,(B3)+(1)))=(B92),IF(("leq")=(INDEX(B1:XFD1,(A2)+(0))),(INDEX(B4:B404,(B3)+(1)))&lt;=(B92),IF(("mod")=(INDEX(B1:XFD1,(A2)+(0))),MOD(INDEX(B4:B404,(B3)+(1)),B92),B92)))))))),B92))</f>
        <v>#VALUE!</v>
      </c>
      <c r="C92" t="e">
        <f ca="1">IF((A1)=(2),1,IF(AND((INDEX(B1:XFD1,(A2)+(0)))=("writeheap"),(INDEX(B4:B404,(B3)+(1)))=(88)),INDEX(B4:B404,(B3)+(2)),IF((A1)=(2),1,IF((89)=(C3),C92,C92))))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404,(B93)+(1)),IF(("add")=(INDEX(B1:XFD1,(A2)+(0))),(INDEX(B4:B404,(B3)+(1)))+(B93),IF(("equals")=(INDEX(B1:XFD1,(A2)+(0))),(INDEX(B4:B404,(B3)+(1)))=(B93),IF(("leq")=(INDEX(B1:XFD1,(A2)+(0))),(INDEX(B4:B404,(B3)+(1)))&lt;=(B93),IF(("mod")=(INDEX(B1:XFD1,(A2)+(0))),MOD(INDEX(B4:B404,(B3)+(1)),B93),B93)))))))),B93))</f>
        <v>#VALUE!</v>
      </c>
      <c r="C93" t="e">
        <f ca="1">IF((A1)=(2),1,IF(AND((INDEX(B1:XFD1,(A2)+(0)))=("writeheap"),(INDEX(B4:B404,(B3)+(1)))=(89)),INDEX(B4:B404,(B3)+(2)),IF((A1)=(2),1,IF((90)=(C3),C93,C93))))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404,(B94)+(1)),IF(("add")=(INDEX(B1:XFD1,(A2)+(0))),(INDEX(B4:B404,(B3)+(1)))+(B94),IF(("equals")=(INDEX(B1:XFD1,(A2)+(0))),(INDEX(B4:B404,(B3)+(1)))=(B94),IF(("leq")=(INDEX(B1:XFD1,(A2)+(0))),(INDEX(B4:B404,(B3)+(1)))&lt;=(B94),IF(("mod")=(INDEX(B1:XFD1,(A2)+(0))),MOD(INDEX(B4:B404,(B3)+(1)),B94),B94)))))))),B94))</f>
        <v>#VALUE!</v>
      </c>
      <c r="C94" t="e">
        <f ca="1">IF((A1)=(2),1,IF(AND((INDEX(B1:XFD1,(A2)+(0)))=("writeheap"),(INDEX(B4:B404,(B3)+(1)))=(90)),INDEX(B4:B404,(B3)+(2)),IF((A1)=(2),1,IF((91)=(C3),C94,C94))))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404,(B95)+(1)),IF(("add")=(INDEX(B1:XFD1,(A2)+(0))),(INDEX(B4:B404,(B3)+(1)))+(B95),IF(("equals")=(INDEX(B1:XFD1,(A2)+(0))),(INDEX(B4:B404,(B3)+(1)))=(B95),IF(("leq")=(INDEX(B1:XFD1,(A2)+(0))),(INDEX(B4:B404,(B3)+(1)))&lt;=(B95),IF(("mod")=(INDEX(B1:XFD1,(A2)+(0))),MOD(INDEX(B4:B404,(B3)+(1)),B95),B95)))))))),B95))</f>
        <v>#VALUE!</v>
      </c>
      <c r="C95" t="e">
        <f ca="1">IF((A1)=(2),1,IF(AND((INDEX(B1:XFD1,(A2)+(0)))=("writeheap"),(INDEX(B4:B404,(B3)+(1)))=(91)),INDEX(B4:B404,(B3)+(2)),IF((A1)=(2),1,IF((92)=(C3),C95,C95))))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404,(B96)+(1)),IF(("add")=(INDEX(B1:XFD1,(A2)+(0))),(INDEX(B4:B404,(B3)+(1)))+(B96),IF(("equals")=(INDEX(B1:XFD1,(A2)+(0))),(INDEX(B4:B404,(B3)+(1)))=(B96),IF(("leq")=(INDEX(B1:XFD1,(A2)+(0))),(INDEX(B4:B404,(B3)+(1)))&lt;=(B96),IF(("mod")=(INDEX(B1:XFD1,(A2)+(0))),MOD(INDEX(B4:B404,(B3)+(1)),B96),B96)))))))),B96))</f>
        <v>#VALUE!</v>
      </c>
      <c r="C96" t="e">
        <f ca="1">IF((A1)=(2),1,IF(AND((INDEX(B1:XFD1,(A2)+(0)))=("writeheap"),(INDEX(B4:B404,(B3)+(1)))=(92)),INDEX(B4:B404,(B3)+(2)),IF((A1)=(2),1,IF((93)=(C3),C96,C96))))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404,(B97)+(1)),IF(("add")=(INDEX(B1:XFD1,(A2)+(0))),(INDEX(B4:B404,(B3)+(1)))+(B97),IF(("equals")=(INDEX(B1:XFD1,(A2)+(0))),(INDEX(B4:B404,(B3)+(1)))=(B97),IF(("leq")=(INDEX(B1:XFD1,(A2)+(0))),(INDEX(B4:B404,(B3)+(1)))&lt;=(B97),IF(("mod")=(INDEX(B1:XFD1,(A2)+(0))),MOD(INDEX(B4:B404,(B3)+(1)),B97),B97)))))))),B97))</f>
        <v>#VALUE!</v>
      </c>
      <c r="C97" t="e">
        <f ca="1">IF((A1)=(2),1,IF(AND((INDEX(B1:XFD1,(A2)+(0)))=("writeheap"),(INDEX(B4:B404,(B3)+(1)))=(93)),INDEX(B4:B404,(B3)+(2)),IF((A1)=(2),1,IF((94)=(C3),C97,C97))))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404,(B98)+(1)),IF(("add")=(INDEX(B1:XFD1,(A2)+(0))),(INDEX(B4:B404,(B3)+(1)))+(B98),IF(("equals")=(INDEX(B1:XFD1,(A2)+(0))),(INDEX(B4:B404,(B3)+(1)))=(B98),IF(("leq")=(INDEX(B1:XFD1,(A2)+(0))),(INDEX(B4:B404,(B3)+(1)))&lt;=(B98),IF(("mod")=(INDEX(B1:XFD1,(A2)+(0))),MOD(INDEX(B4:B404,(B3)+(1)),B98),B98)))))))),B98))</f>
        <v>#VALUE!</v>
      </c>
      <c r="C98" t="e">
        <f ca="1">IF((A1)=(2),1,IF(AND((INDEX(B1:XFD1,(A2)+(0)))=("writeheap"),(INDEX(B4:B404,(B3)+(1)))=(94)),INDEX(B4:B404,(B3)+(2)),IF((A1)=(2),1,IF((95)=(C3),C98,C98))))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404,(B99)+(1)),IF(("add")=(INDEX(B1:XFD1,(A2)+(0))),(INDEX(B4:B404,(B3)+(1)))+(B99),IF(("equals")=(INDEX(B1:XFD1,(A2)+(0))),(INDEX(B4:B404,(B3)+(1)))=(B99),IF(("leq")=(INDEX(B1:XFD1,(A2)+(0))),(INDEX(B4:B404,(B3)+(1)))&lt;=(B99),IF(("mod")=(INDEX(B1:XFD1,(A2)+(0))),MOD(INDEX(B4:B404,(B3)+(1)),B99),B99)))))))),B99))</f>
        <v>#VALUE!</v>
      </c>
      <c r="C99" t="e">
        <f ca="1">IF((A1)=(2),1,IF(AND((INDEX(B1:XFD1,(A2)+(0)))=("writeheap"),(INDEX(B4:B404,(B3)+(1)))=(95)),INDEX(B4:B404,(B3)+(2)),IF((A1)=(2),1,IF((96)=(C3),C99,C99))))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404,(B100)+(1)),IF(("add")=(INDEX(B1:XFD1,(A2)+(0))),(INDEX(B4:B404,(B3)+(1)))+(B100),IF(("equals")=(INDEX(B1:XFD1,(A2)+(0))),(INDEX(B4:B404,(B3)+(1)))=(B100),IF(("leq")=(INDEX(B1:XFD1,(A2)+(0))),(INDEX(B4:B404,(B3)+(1)))&lt;=(B100),IF(("mod")=(INDEX(B1:XFD1,(A2)+(0))),MOD(INDEX(B4:B404,(B3)+(1)),B100),B100)))))))),B100))</f>
        <v>#VALUE!</v>
      </c>
      <c r="C100" t="e">
        <f ca="1">IF((A1)=(2),1,IF(AND((INDEX(B1:XFD1,(A2)+(0)))=("writeheap"),(INDEX(B4:B404,(B3)+(1)))=(96)),INDEX(B4:B404,(B3)+(2)),IF((A1)=(2),1,IF((97)=(C3),C100,C100))))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404,(B101)+(1)),IF(("add")=(INDEX(B1:XFD1,(A2)+(0))),(INDEX(B4:B404,(B3)+(1)))+(B101),IF(("equals")=(INDEX(B1:XFD1,(A2)+(0))),(INDEX(B4:B404,(B3)+(1)))=(B101),IF(("leq")=(INDEX(B1:XFD1,(A2)+(0))),(INDEX(B4:B404,(B3)+(1)))&lt;=(B101),IF(("mod")=(INDEX(B1:XFD1,(A2)+(0))),MOD(INDEX(B4:B404,(B3)+(1)),B101),B101)))))))),B101))</f>
        <v>#VALUE!</v>
      </c>
      <c r="C101" t="e">
        <f ca="1">IF((A1)=(2),1,IF(AND((INDEX(B1:XFD1,(A2)+(0)))=("writeheap"),(INDEX(B4:B404,(B3)+(1)))=(97)),INDEX(B4:B404,(B3)+(2)),IF((A1)=(2),1,IF((98)=(C3),C101,C101))))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404,(B102)+(1)),IF(("add")=(INDEX(B1:XFD1,(A2)+(0))),(INDEX(B4:B404,(B3)+(1)))+(B102),IF(("equals")=(INDEX(B1:XFD1,(A2)+(0))),(INDEX(B4:B404,(B3)+(1)))=(B102),IF(("leq")=(INDEX(B1:XFD1,(A2)+(0))),(INDEX(B4:B404,(B3)+(1)))&lt;=(B102),IF(("mod")=(INDEX(B1:XFD1,(A2)+(0))),MOD(INDEX(B4:B404,(B3)+(1)),B102),B102)))))))),B102))</f>
        <v>#VALUE!</v>
      </c>
      <c r="C102" t="e">
        <f ca="1">IF((A1)=(2),1,IF(AND((INDEX(B1:XFD1,(A2)+(0)))=("writeheap"),(INDEX(B4:B404,(B3)+(1)))=(98)),INDEX(B4:B404,(B3)+(2)),IF((A1)=(2),1,IF((99)=(C3),C102,C102))))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404,(B103)+(1)),IF(("add")=(INDEX(B1:XFD1,(A2)+(0))),(INDEX(B4:B404,(B3)+(1)))+(B103),IF(("equals")=(INDEX(B1:XFD1,(A2)+(0))),(INDEX(B4:B404,(B3)+(1)))=(B103),IF(("leq")=(INDEX(B1:XFD1,(A2)+(0))),(INDEX(B4:B404,(B3)+(1)))&lt;=(B103),IF(("mod")=(INDEX(B1:XFD1,(A2)+(0))),MOD(INDEX(B4:B404,(B3)+(1)),B103),B103)))))))),B103))</f>
        <v>#VALUE!</v>
      </c>
      <c r="C103" t="e">
        <f ca="1">IF((A1)=(2),1,IF(AND((INDEX(B1:XFD1,(A2)+(0)))=("writeheap"),(INDEX(B4:B404,(B3)+(1)))=(99)),INDEX(B4:B404,(B3)+(2)),IF((A1)=(2),1,IF((100)=(C3),C103,C103))))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404,(B104)+(1)),IF(("add")=(INDEX(B1:XFD1,(A2)+(0))),(INDEX(B4:B404,(B3)+(1)))+(B104),IF(("equals")=(INDEX(B1:XFD1,(A2)+(0))),(INDEX(B4:B404,(B3)+(1)))=(B104),IF(("leq")=(INDEX(B1:XFD1,(A2)+(0))),(INDEX(B4:B404,(B3)+(1)))&lt;=(B104),IF(("mod")=(INDEX(B1:XFD1,(A2)+(0))),MOD(INDEX(B4:B404,(B3)+(1)),B104),B104)))))))),B104))</f>
        <v>#VALUE!</v>
      </c>
      <c r="C104" t="e">
        <f ca="1">IF((A1)=(2),1,IF(AND((INDEX(B1:XFD1,(A2)+(0)))=("writeheap"),(INDEX(B4:B404,(B3)+(1)))=(100)),INDEX(B4:B404,(B3)+(2)),IF((A1)=(2),1,IF((101)=(C3),C104,C104))))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404,(B105)+(1)),IF(("add")=(INDEX(B1:XFD1,(A2)+(0))),(INDEX(B4:B404,(B3)+(1)))+(B105),IF(("equals")=(INDEX(B1:XFD1,(A2)+(0))),(INDEX(B4:B404,(B3)+(1)))=(B105),IF(("leq")=(INDEX(B1:XFD1,(A2)+(0))),(INDEX(B4:B404,(B3)+(1)))&lt;=(B105),IF(("mod")=(INDEX(B1:XFD1,(A2)+(0))),MOD(INDEX(B4:B404,(B3)+(1)),B105),B105)))))))),B105))</f>
        <v>#VALUE!</v>
      </c>
      <c r="C105" t="e">
        <f ca="1">IF((A1)=(2),1,IF(AND((INDEX(B1:XFD1,(A2)+(0)))=("writeheap"),(INDEX(B4:B404,(B3)+(1)))=(101)),INDEX(B4:B404,(B3)+(2)),IF((A1)=(2),1,IF((102)=(C3),C105,C105))))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404,(B106)+(1)),IF(("add")=(INDEX(B1:XFD1,(A2)+(0))),(INDEX(B4:B404,(B3)+(1)))+(B106),IF(("equals")=(INDEX(B1:XFD1,(A2)+(0))),(INDEX(B4:B404,(B3)+(1)))=(B106),IF(("leq")=(INDEX(B1:XFD1,(A2)+(0))),(INDEX(B4:B404,(B3)+(1)))&lt;=(B106),IF(("mod")=(INDEX(B1:XFD1,(A2)+(0))),MOD(INDEX(B4:B404,(B3)+(1)),B106),B106)))))))),B106))</f>
        <v>#VALUE!</v>
      </c>
      <c r="C106" t="e">
        <f ca="1">IF((A1)=(2),1,IF(AND((INDEX(B1:XFD1,(A2)+(0)))=("writeheap"),(INDEX(B4:B404,(B3)+(1)))=(102)),INDEX(B4:B404,(B3)+(2)),IF((A1)=(2),1,IF((103)=(C3),C106,C106))))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404,(B107)+(1)),IF(("add")=(INDEX(B1:XFD1,(A2)+(0))),(INDEX(B4:B404,(B3)+(1)))+(B107),IF(("equals")=(INDEX(B1:XFD1,(A2)+(0))),(INDEX(B4:B404,(B3)+(1)))=(B107),IF(("leq")=(INDEX(B1:XFD1,(A2)+(0))),(INDEX(B4:B404,(B3)+(1)))&lt;=(B107),IF(("mod")=(INDEX(B1:XFD1,(A2)+(0))),MOD(INDEX(B4:B404,(B3)+(1)),B107),B107)))))))),B107))</f>
        <v>#VALUE!</v>
      </c>
      <c r="C107" t="e">
        <f ca="1">IF((A1)=(2),1,IF(AND((INDEX(B1:XFD1,(A2)+(0)))=("writeheap"),(INDEX(B4:B404,(B3)+(1)))=(103)),INDEX(B4:B404,(B3)+(2)),IF((A1)=(2),1,IF((104)=(C3),C107,C107))))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404,(B108)+(1)),IF(("add")=(INDEX(B1:XFD1,(A2)+(0))),(INDEX(B4:B404,(B3)+(1)))+(B108),IF(("equals")=(INDEX(B1:XFD1,(A2)+(0))),(INDEX(B4:B404,(B3)+(1)))=(B108),IF(("leq")=(INDEX(B1:XFD1,(A2)+(0))),(INDEX(B4:B404,(B3)+(1)))&lt;=(B108),IF(("mod")=(INDEX(B1:XFD1,(A2)+(0))),MOD(INDEX(B4:B404,(B3)+(1)),B108),B108)))))))),B108))</f>
        <v>#VALUE!</v>
      </c>
      <c r="C108" t="e">
        <f ca="1">IF((A1)=(2),1,IF(AND((INDEX(B1:XFD1,(A2)+(0)))=("writeheap"),(INDEX(B4:B404,(B3)+(1)))=(104)),INDEX(B4:B404,(B3)+(2)),IF((A1)=(2),1,IF((105)=(C3),C108,C108))))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404,(B109)+(1)),IF(("add")=(INDEX(B1:XFD1,(A2)+(0))),(INDEX(B4:B404,(B3)+(1)))+(B109),IF(("equals")=(INDEX(B1:XFD1,(A2)+(0))),(INDEX(B4:B404,(B3)+(1)))=(B109),IF(("leq")=(INDEX(B1:XFD1,(A2)+(0))),(INDEX(B4:B404,(B3)+(1)))&lt;=(B109),IF(("mod")=(INDEX(B1:XFD1,(A2)+(0))),MOD(INDEX(B4:B404,(B3)+(1)),B109),B109)))))))),B109))</f>
        <v>#VALUE!</v>
      </c>
      <c r="C109" t="e">
        <f ca="1">IF((A1)=(2),1,IF(AND((INDEX(B1:XFD1,(A2)+(0)))=("writeheap"),(INDEX(B4:B404,(B3)+(1)))=(105)),INDEX(B4:B404,(B3)+(2)),IF((A1)=(2),1,IF((106)=(C3),C109,C109))))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404,(B110)+(1)),IF(("add")=(INDEX(B1:XFD1,(A2)+(0))),(INDEX(B4:B404,(B3)+(1)))+(B110),IF(("equals")=(INDEX(B1:XFD1,(A2)+(0))),(INDEX(B4:B404,(B3)+(1)))=(B110),IF(("leq")=(INDEX(B1:XFD1,(A2)+(0))),(INDEX(B4:B404,(B3)+(1)))&lt;=(B110),IF(("mod")=(INDEX(B1:XFD1,(A2)+(0))),MOD(INDEX(B4:B404,(B3)+(1)),B110),B110)))))))),B110))</f>
        <v>#VALUE!</v>
      </c>
      <c r="C110" t="e">
        <f ca="1">IF((A1)=(2),1,IF(AND((INDEX(B1:XFD1,(A2)+(0)))=("writeheap"),(INDEX(B4:B404,(B3)+(1)))=(106)),INDEX(B4:B404,(B3)+(2)),IF((A1)=(2),1,IF((107)=(C3),C110,C110))))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404,(B111)+(1)),IF(("add")=(INDEX(B1:XFD1,(A2)+(0))),(INDEX(B4:B404,(B3)+(1)))+(B111),IF(("equals")=(INDEX(B1:XFD1,(A2)+(0))),(INDEX(B4:B404,(B3)+(1)))=(B111),IF(("leq")=(INDEX(B1:XFD1,(A2)+(0))),(INDEX(B4:B404,(B3)+(1)))&lt;=(B111),IF(("mod")=(INDEX(B1:XFD1,(A2)+(0))),MOD(INDEX(B4:B404,(B3)+(1)),B111),B111)))))))),B111))</f>
        <v>#VALUE!</v>
      </c>
      <c r="C111" t="e">
        <f ca="1">IF((A1)=(2),1,IF(AND((INDEX(B1:XFD1,(A2)+(0)))=("writeheap"),(INDEX(B4:B404,(B3)+(1)))=(107)),INDEX(B4:B404,(B3)+(2)),IF((A1)=(2),1,IF((108)=(C3),C111,C111))))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404,(B112)+(1)),IF(("add")=(INDEX(B1:XFD1,(A2)+(0))),(INDEX(B4:B404,(B3)+(1)))+(B112),IF(("equals")=(INDEX(B1:XFD1,(A2)+(0))),(INDEX(B4:B404,(B3)+(1)))=(B112),IF(("leq")=(INDEX(B1:XFD1,(A2)+(0))),(INDEX(B4:B404,(B3)+(1)))&lt;=(B112),IF(("mod")=(INDEX(B1:XFD1,(A2)+(0))),MOD(INDEX(B4:B404,(B3)+(1)),B112),B112)))))))),B112))</f>
        <v>#VALUE!</v>
      </c>
      <c r="C112" t="e">
        <f ca="1">IF((A1)=(2),1,IF(AND((INDEX(B1:XFD1,(A2)+(0)))=("writeheap"),(INDEX(B4:B404,(B3)+(1)))=(108)),INDEX(B4:B404,(B3)+(2)),IF((A1)=(2),1,IF((109)=(C3),C112,C112))))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404,(B113)+(1)),IF(("add")=(INDEX(B1:XFD1,(A2)+(0))),(INDEX(B4:B404,(B3)+(1)))+(B113),IF(("equals")=(INDEX(B1:XFD1,(A2)+(0))),(INDEX(B4:B404,(B3)+(1)))=(B113),IF(("leq")=(INDEX(B1:XFD1,(A2)+(0))),(INDEX(B4:B404,(B3)+(1)))&lt;=(B113),IF(("mod")=(INDEX(B1:XFD1,(A2)+(0))),MOD(INDEX(B4:B404,(B3)+(1)),B113),B113)))))))),B113))</f>
        <v>#VALUE!</v>
      </c>
      <c r="C113" t="e">
        <f ca="1">IF((A1)=(2),1,IF(AND((INDEX(B1:XFD1,(A2)+(0)))=("writeheap"),(INDEX(B4:B404,(B3)+(1)))=(109)),INDEX(B4:B404,(B3)+(2)),IF((A1)=(2),1,IF((110)=(C3),C113,C113))))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404,(B114)+(1)),IF(("add")=(INDEX(B1:XFD1,(A2)+(0))),(INDEX(B4:B404,(B3)+(1)))+(B114),IF(("equals")=(INDEX(B1:XFD1,(A2)+(0))),(INDEX(B4:B404,(B3)+(1)))=(B114),IF(("leq")=(INDEX(B1:XFD1,(A2)+(0))),(INDEX(B4:B404,(B3)+(1)))&lt;=(B114),IF(("mod")=(INDEX(B1:XFD1,(A2)+(0))),MOD(INDEX(B4:B404,(B3)+(1)),B114),B114)))))))),B114))</f>
        <v>#VALUE!</v>
      </c>
      <c r="C114" t="e">
        <f ca="1">IF((A1)=(2),1,IF(AND((INDEX(B1:XFD1,(A2)+(0)))=("writeheap"),(INDEX(B4:B404,(B3)+(1)))=(110)),INDEX(B4:B404,(B3)+(2)),IF((A1)=(2),1,IF((111)=(C3),C114,C114))))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404,(B115)+(1)),IF(("add")=(INDEX(B1:XFD1,(A2)+(0))),(INDEX(B4:B404,(B3)+(1)))+(B115),IF(("equals")=(INDEX(B1:XFD1,(A2)+(0))),(INDEX(B4:B404,(B3)+(1)))=(B115),IF(("leq")=(INDEX(B1:XFD1,(A2)+(0))),(INDEX(B4:B404,(B3)+(1)))&lt;=(B115),IF(("mod")=(INDEX(B1:XFD1,(A2)+(0))),MOD(INDEX(B4:B404,(B3)+(1)),B115),B115)))))))),B115))</f>
        <v>#VALUE!</v>
      </c>
      <c r="C115" t="e">
        <f ca="1">IF((A1)=(2),1,IF(AND((INDEX(B1:XFD1,(A2)+(0)))=("writeheap"),(INDEX(B4:B404,(B3)+(1)))=(111)),INDEX(B4:B404,(B3)+(2)),IF((A1)=(2),1,IF((112)=(C3),C115,C115))))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404,(B116)+(1)),IF(("add")=(INDEX(B1:XFD1,(A2)+(0))),(INDEX(B4:B404,(B3)+(1)))+(B116),IF(("equals")=(INDEX(B1:XFD1,(A2)+(0))),(INDEX(B4:B404,(B3)+(1)))=(B116),IF(("leq")=(INDEX(B1:XFD1,(A2)+(0))),(INDEX(B4:B404,(B3)+(1)))&lt;=(B116),IF(("mod")=(INDEX(B1:XFD1,(A2)+(0))),MOD(INDEX(B4:B404,(B3)+(1)),B116),B116)))))))),B116))</f>
        <v>#VALUE!</v>
      </c>
      <c r="C116" t="e">
        <f ca="1">IF((A1)=(2),1,IF(AND((INDEX(B1:XFD1,(A2)+(0)))=("writeheap"),(INDEX(B4:B404,(B3)+(1)))=(112)),INDEX(B4:B404,(B3)+(2)),IF((A1)=(2),1,IF((113)=(C3),C116,C116))))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404,(B117)+(1)),IF(("add")=(INDEX(B1:XFD1,(A2)+(0))),(INDEX(B4:B404,(B3)+(1)))+(B117),IF(("equals")=(INDEX(B1:XFD1,(A2)+(0))),(INDEX(B4:B404,(B3)+(1)))=(B117),IF(("leq")=(INDEX(B1:XFD1,(A2)+(0))),(INDEX(B4:B404,(B3)+(1)))&lt;=(B117),IF(("mod")=(INDEX(B1:XFD1,(A2)+(0))),MOD(INDEX(B4:B404,(B3)+(1)),B117),B117)))))))),B117))</f>
        <v>#VALUE!</v>
      </c>
      <c r="C117" t="e">
        <f ca="1">IF((A1)=(2),1,IF(AND((INDEX(B1:XFD1,(A2)+(0)))=("writeheap"),(INDEX(B4:B404,(B3)+(1)))=(113)),INDEX(B4:B404,(B3)+(2)),IF((A1)=(2),1,IF((114)=(C3),C117,C117))))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404,(B118)+(1)),IF(("add")=(INDEX(B1:XFD1,(A2)+(0))),(INDEX(B4:B404,(B3)+(1)))+(B118),IF(("equals")=(INDEX(B1:XFD1,(A2)+(0))),(INDEX(B4:B404,(B3)+(1)))=(B118),IF(("leq")=(INDEX(B1:XFD1,(A2)+(0))),(INDEX(B4:B404,(B3)+(1)))&lt;=(B118),IF(("mod")=(INDEX(B1:XFD1,(A2)+(0))),MOD(INDEX(B4:B404,(B3)+(1)),B118),B118)))))))),B118))</f>
        <v>#VALUE!</v>
      </c>
      <c r="C118" t="e">
        <f ca="1">IF((A1)=(2),1,IF(AND((INDEX(B1:XFD1,(A2)+(0)))=("writeheap"),(INDEX(B4:B404,(B3)+(1)))=(114)),INDEX(B4:B404,(B3)+(2)),IF((A1)=(2),1,IF((115)=(C3),C118,C118))))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404,(B119)+(1)),IF(("add")=(INDEX(B1:XFD1,(A2)+(0))),(INDEX(B4:B404,(B3)+(1)))+(B119),IF(("equals")=(INDEX(B1:XFD1,(A2)+(0))),(INDEX(B4:B404,(B3)+(1)))=(B119),IF(("leq")=(INDEX(B1:XFD1,(A2)+(0))),(INDEX(B4:B404,(B3)+(1)))&lt;=(B119),IF(("mod")=(INDEX(B1:XFD1,(A2)+(0))),MOD(INDEX(B4:B404,(B3)+(1)),B119),B119)))))))),B119))</f>
        <v>#VALUE!</v>
      </c>
      <c r="C119" t="e">
        <f ca="1">IF((A1)=(2),1,IF(AND((INDEX(B1:XFD1,(A2)+(0)))=("writeheap"),(INDEX(B4:B404,(B3)+(1)))=(115)),INDEX(B4:B404,(B3)+(2)),IF((A1)=(2),1,IF((116)=(C3),C119,C119))))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404,(B120)+(1)),IF(("add")=(INDEX(B1:XFD1,(A2)+(0))),(INDEX(B4:B404,(B3)+(1)))+(B120),IF(("equals")=(INDEX(B1:XFD1,(A2)+(0))),(INDEX(B4:B404,(B3)+(1)))=(B120),IF(("leq")=(INDEX(B1:XFD1,(A2)+(0))),(INDEX(B4:B404,(B3)+(1)))&lt;=(B120),IF(("mod")=(INDEX(B1:XFD1,(A2)+(0))),MOD(INDEX(B4:B404,(B3)+(1)),B120),B120)))))))),B120))</f>
        <v>#VALUE!</v>
      </c>
      <c r="C120" t="e">
        <f ca="1">IF((A1)=(2),1,IF(AND((INDEX(B1:XFD1,(A2)+(0)))=("writeheap"),(INDEX(B4:B404,(B3)+(1)))=(116)),INDEX(B4:B404,(B3)+(2)),IF((A1)=(2),1,IF((117)=(C3),C120,C120))))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404,(B121)+(1)),IF(("add")=(INDEX(B1:XFD1,(A2)+(0))),(INDEX(B4:B404,(B3)+(1)))+(B121),IF(("equals")=(INDEX(B1:XFD1,(A2)+(0))),(INDEX(B4:B404,(B3)+(1)))=(B121),IF(("leq")=(INDEX(B1:XFD1,(A2)+(0))),(INDEX(B4:B404,(B3)+(1)))&lt;=(B121),IF(("mod")=(INDEX(B1:XFD1,(A2)+(0))),MOD(INDEX(B4:B404,(B3)+(1)),B121),B121)))))))),B121))</f>
        <v>#VALUE!</v>
      </c>
      <c r="C121" t="e">
        <f ca="1">IF((A1)=(2),1,IF(AND((INDEX(B1:XFD1,(A2)+(0)))=("writeheap"),(INDEX(B4:B404,(B3)+(1)))=(117)),INDEX(B4:B404,(B3)+(2)),IF((A1)=(2),1,IF((118)=(C3),C121,C121))))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404,(B122)+(1)),IF(("add")=(INDEX(B1:XFD1,(A2)+(0))),(INDEX(B4:B404,(B3)+(1)))+(B122),IF(("equals")=(INDEX(B1:XFD1,(A2)+(0))),(INDEX(B4:B404,(B3)+(1)))=(B122),IF(("leq")=(INDEX(B1:XFD1,(A2)+(0))),(INDEX(B4:B404,(B3)+(1)))&lt;=(B122),IF(("mod")=(INDEX(B1:XFD1,(A2)+(0))),MOD(INDEX(B4:B404,(B3)+(1)),B122),B122)))))))),B122))</f>
        <v>#VALUE!</v>
      </c>
      <c r="C122" t="e">
        <f ca="1">IF((A1)=(2),1,IF(AND((INDEX(B1:XFD1,(A2)+(0)))=("writeheap"),(INDEX(B4:B404,(B3)+(1)))=(118)),INDEX(B4:B404,(B3)+(2)),IF((A1)=(2),1,IF((119)=(C3),C122,C122))))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404,(B123)+(1)),IF(("add")=(INDEX(B1:XFD1,(A2)+(0))),(INDEX(B4:B404,(B3)+(1)))+(B123),IF(("equals")=(INDEX(B1:XFD1,(A2)+(0))),(INDEX(B4:B404,(B3)+(1)))=(B123),IF(("leq")=(INDEX(B1:XFD1,(A2)+(0))),(INDEX(B4:B404,(B3)+(1)))&lt;=(B123),IF(("mod")=(INDEX(B1:XFD1,(A2)+(0))),MOD(INDEX(B4:B404,(B3)+(1)),B123),B123)))))))),B123))</f>
        <v>#VALUE!</v>
      </c>
      <c r="C123" t="e">
        <f ca="1">IF((A1)=(2),1,IF(AND((INDEX(B1:XFD1,(A2)+(0)))=("writeheap"),(INDEX(B4:B404,(B3)+(1)))=(119)),INDEX(B4:B404,(B3)+(2)),IF((A1)=(2),1,IF((120)=(C3),C123,C123))))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404,(B124)+(1)),IF(("add")=(INDEX(B1:XFD1,(A2)+(0))),(INDEX(B4:B404,(B3)+(1)))+(B124),IF(("equals")=(INDEX(B1:XFD1,(A2)+(0))),(INDEX(B4:B404,(B3)+(1)))=(B124),IF(("leq")=(INDEX(B1:XFD1,(A2)+(0))),(INDEX(B4:B404,(B3)+(1)))&lt;=(B124),IF(("mod")=(INDEX(B1:XFD1,(A2)+(0))),MOD(INDEX(B4:B404,(B3)+(1)),B124),B124)))))))),B124))</f>
        <v>#VALUE!</v>
      </c>
      <c r="C124" t="e">
        <f ca="1">IF((A1)=(2),1,IF(AND((INDEX(B1:XFD1,(A2)+(0)))=("writeheap"),(INDEX(B4:B404,(B3)+(1)))=(120)),INDEX(B4:B404,(B3)+(2)),IF((A1)=(2),1,IF((121)=(C3),C124,C124))))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404,(B125)+(1)),IF(("add")=(INDEX(B1:XFD1,(A2)+(0))),(INDEX(B4:B404,(B3)+(1)))+(B125),IF(("equals")=(INDEX(B1:XFD1,(A2)+(0))),(INDEX(B4:B404,(B3)+(1)))=(B125),IF(("leq")=(INDEX(B1:XFD1,(A2)+(0))),(INDEX(B4:B404,(B3)+(1)))&lt;=(B125),IF(("mod")=(INDEX(B1:XFD1,(A2)+(0))),MOD(INDEX(B4:B404,(B3)+(1)),B125),B125)))))))),B125))</f>
        <v>#VALUE!</v>
      </c>
      <c r="C125" t="e">
        <f ca="1">IF((A1)=(2),1,IF(AND((INDEX(B1:XFD1,(A2)+(0)))=("writeheap"),(INDEX(B4:B404,(B3)+(1)))=(121)),INDEX(B4:B404,(B3)+(2)),IF((A1)=(2),1,IF((122)=(C3),C125,C125))))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404,(B126)+(1)),IF(("add")=(INDEX(B1:XFD1,(A2)+(0))),(INDEX(B4:B404,(B3)+(1)))+(B126),IF(("equals")=(INDEX(B1:XFD1,(A2)+(0))),(INDEX(B4:B404,(B3)+(1)))=(B126),IF(("leq")=(INDEX(B1:XFD1,(A2)+(0))),(INDEX(B4:B404,(B3)+(1)))&lt;=(B126),IF(("mod")=(INDEX(B1:XFD1,(A2)+(0))),MOD(INDEX(B4:B404,(B3)+(1)),B126),B126)))))))),B126))</f>
        <v>#VALUE!</v>
      </c>
      <c r="C126" t="e">
        <f ca="1">IF((A1)=(2),1,IF(AND((INDEX(B1:XFD1,(A2)+(0)))=("writeheap"),(INDEX(B4:B404,(B3)+(1)))=(122)),INDEX(B4:B404,(B3)+(2)),IF((A1)=(2),1,IF((123)=(C3),C126,C126))))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404,(B127)+(1)),IF(("add")=(INDEX(B1:XFD1,(A2)+(0))),(INDEX(B4:B404,(B3)+(1)))+(B127),IF(("equals")=(INDEX(B1:XFD1,(A2)+(0))),(INDEX(B4:B404,(B3)+(1)))=(B127),IF(("leq")=(INDEX(B1:XFD1,(A2)+(0))),(INDEX(B4:B404,(B3)+(1)))&lt;=(B127),IF(("mod")=(INDEX(B1:XFD1,(A2)+(0))),MOD(INDEX(B4:B404,(B3)+(1)),B127),B127)))))))),B127))</f>
        <v>#VALUE!</v>
      </c>
      <c r="C127" t="e">
        <f ca="1">IF((A1)=(2),1,IF(AND((INDEX(B1:XFD1,(A2)+(0)))=("writeheap"),(INDEX(B4:B404,(B3)+(1)))=(123)),INDEX(B4:B404,(B3)+(2)),IF((A1)=(2),1,IF((124)=(C3),C127,C127))))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404,(B128)+(1)),IF(("add")=(INDEX(B1:XFD1,(A2)+(0))),(INDEX(B4:B404,(B3)+(1)))+(B128),IF(("equals")=(INDEX(B1:XFD1,(A2)+(0))),(INDEX(B4:B404,(B3)+(1)))=(B128),IF(("leq")=(INDEX(B1:XFD1,(A2)+(0))),(INDEX(B4:B404,(B3)+(1)))&lt;=(B128),IF(("mod")=(INDEX(B1:XFD1,(A2)+(0))),MOD(INDEX(B4:B404,(B3)+(1)),B128),B128)))))))),B128))</f>
        <v>#VALUE!</v>
      </c>
      <c r="C128" t="e">
        <f ca="1">IF((A1)=(2),1,IF(AND((INDEX(B1:XFD1,(A2)+(0)))=("writeheap"),(INDEX(B4:B404,(B3)+(1)))=(124)),INDEX(B4:B404,(B3)+(2)),IF((A1)=(2),1,IF((125)=(C3),C128,C128))))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404,(B129)+(1)),IF(("add")=(INDEX(B1:XFD1,(A2)+(0))),(INDEX(B4:B404,(B3)+(1)))+(B129),IF(("equals")=(INDEX(B1:XFD1,(A2)+(0))),(INDEX(B4:B404,(B3)+(1)))=(B129),IF(("leq")=(INDEX(B1:XFD1,(A2)+(0))),(INDEX(B4:B404,(B3)+(1)))&lt;=(B129),IF(("mod")=(INDEX(B1:XFD1,(A2)+(0))),MOD(INDEX(B4:B404,(B3)+(1)),B129),B129)))))))),B129))</f>
        <v>#VALUE!</v>
      </c>
      <c r="C129" t="e">
        <f ca="1">IF((A1)=(2),1,IF(AND((INDEX(B1:XFD1,(A2)+(0)))=("writeheap"),(INDEX(B4:B404,(B3)+(1)))=(125)),INDEX(B4:B404,(B3)+(2)),IF((A1)=(2),1,IF((126)=(C3),C129,C129))))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404,(B130)+(1)),IF(("add")=(INDEX(B1:XFD1,(A2)+(0))),(INDEX(B4:B404,(B3)+(1)))+(B130),IF(("equals")=(INDEX(B1:XFD1,(A2)+(0))),(INDEX(B4:B404,(B3)+(1)))=(B130),IF(("leq")=(INDEX(B1:XFD1,(A2)+(0))),(INDEX(B4:B404,(B3)+(1)))&lt;=(B130),IF(("mod")=(INDEX(B1:XFD1,(A2)+(0))),MOD(INDEX(B4:B404,(B3)+(1)),B130),B130)))))))),B130))</f>
        <v>#VALUE!</v>
      </c>
      <c r="C130" t="e">
        <f ca="1">IF((A1)=(2),1,IF(AND((INDEX(B1:XFD1,(A2)+(0)))=("writeheap"),(INDEX(B4:B404,(B3)+(1)))=(126)),INDEX(B4:B404,(B3)+(2)),IF((A1)=(2),1,IF((127)=(C3),C130,C130))))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404,(B131)+(1)),IF(("add")=(INDEX(B1:XFD1,(A2)+(0))),(INDEX(B4:B404,(B3)+(1)))+(B131),IF(("equals")=(INDEX(B1:XFD1,(A2)+(0))),(INDEX(B4:B404,(B3)+(1)))=(B131),IF(("leq")=(INDEX(B1:XFD1,(A2)+(0))),(INDEX(B4:B404,(B3)+(1)))&lt;=(B131),IF(("mod")=(INDEX(B1:XFD1,(A2)+(0))),MOD(INDEX(B4:B404,(B3)+(1)),B131),B131)))))))),B131))</f>
        <v>#VALUE!</v>
      </c>
      <c r="C131" t="e">
        <f ca="1">IF((A1)=(2),1,IF(AND((INDEX(B1:XFD1,(A2)+(0)))=("writeheap"),(INDEX(B4:B404,(B3)+(1)))=(127)),INDEX(B4:B404,(B3)+(2)),IF((A1)=(2),1,IF((128)=(C3),C131,C131))))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404,(B132)+(1)),IF(("add")=(INDEX(B1:XFD1,(A2)+(0))),(INDEX(B4:B404,(B3)+(1)))+(B132),IF(("equals")=(INDEX(B1:XFD1,(A2)+(0))),(INDEX(B4:B404,(B3)+(1)))=(B132),IF(("leq")=(INDEX(B1:XFD1,(A2)+(0))),(INDEX(B4:B404,(B3)+(1)))&lt;=(B132),IF(("mod")=(INDEX(B1:XFD1,(A2)+(0))),MOD(INDEX(B4:B404,(B3)+(1)),B132),B132)))))))),B132))</f>
        <v>#VALUE!</v>
      </c>
      <c r="C132" t="e">
        <f ca="1">IF((A1)=(2),1,IF(AND((INDEX(B1:XFD1,(A2)+(0)))=("writeheap"),(INDEX(B4:B404,(B3)+(1)))=(128)),INDEX(B4:B404,(B3)+(2)),IF((A1)=(2),1,IF((129)=(C3),C132,C132))))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404,(B133)+(1)),IF(("add")=(INDEX(B1:XFD1,(A2)+(0))),(INDEX(B4:B404,(B3)+(1)))+(B133),IF(("equals")=(INDEX(B1:XFD1,(A2)+(0))),(INDEX(B4:B404,(B3)+(1)))=(B133),IF(("leq")=(INDEX(B1:XFD1,(A2)+(0))),(INDEX(B4:B404,(B3)+(1)))&lt;=(B133),IF(("mod")=(INDEX(B1:XFD1,(A2)+(0))),MOD(INDEX(B4:B404,(B3)+(1)),B133),B133)))))))),B133))</f>
        <v>#VALUE!</v>
      </c>
      <c r="C133" t="e">
        <f ca="1">IF((A1)=(2),1,IF(AND((INDEX(B1:XFD1,(A2)+(0)))=("writeheap"),(INDEX(B4:B404,(B3)+(1)))=(129)),INDEX(B4:B404,(B3)+(2)),IF((A1)=(2),1,IF((130)=(C3),C133,C133))))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404,(B134)+(1)),IF(("add")=(INDEX(B1:XFD1,(A2)+(0))),(INDEX(B4:B404,(B3)+(1)))+(B134),IF(("equals")=(INDEX(B1:XFD1,(A2)+(0))),(INDEX(B4:B404,(B3)+(1)))=(B134),IF(("leq")=(INDEX(B1:XFD1,(A2)+(0))),(INDEX(B4:B404,(B3)+(1)))&lt;=(B134),IF(("mod")=(INDEX(B1:XFD1,(A2)+(0))),MOD(INDEX(B4:B404,(B3)+(1)),B134),B134)))))))),B134))</f>
        <v>#VALUE!</v>
      </c>
      <c r="C134" t="e">
        <f ca="1">IF((A1)=(2),1,IF(AND((INDEX(B1:XFD1,(A2)+(0)))=("writeheap"),(INDEX(B4:B404,(B3)+(1)))=(130)),INDEX(B4:B404,(B3)+(2)),IF((A1)=(2),1,IF((131)=(C3),C134,C134))))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404,(B135)+(1)),IF(("add")=(INDEX(B1:XFD1,(A2)+(0))),(INDEX(B4:B404,(B3)+(1)))+(B135),IF(("equals")=(INDEX(B1:XFD1,(A2)+(0))),(INDEX(B4:B404,(B3)+(1)))=(B135),IF(("leq")=(INDEX(B1:XFD1,(A2)+(0))),(INDEX(B4:B404,(B3)+(1)))&lt;=(B135),IF(("mod")=(INDEX(B1:XFD1,(A2)+(0))),MOD(INDEX(B4:B404,(B3)+(1)),B135),B135)))))))),B135))</f>
        <v>#VALUE!</v>
      </c>
      <c r="C135" t="e">
        <f ca="1">IF((A1)=(2),1,IF(AND((INDEX(B1:XFD1,(A2)+(0)))=("writeheap"),(INDEX(B4:B404,(B3)+(1)))=(131)),INDEX(B4:B404,(B3)+(2)),IF((A1)=(2),1,IF((132)=(C3),C135,C135))))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404,(B136)+(1)),IF(("add")=(INDEX(B1:XFD1,(A2)+(0))),(INDEX(B4:B404,(B3)+(1)))+(B136),IF(("equals")=(INDEX(B1:XFD1,(A2)+(0))),(INDEX(B4:B404,(B3)+(1)))=(B136),IF(("leq")=(INDEX(B1:XFD1,(A2)+(0))),(INDEX(B4:B404,(B3)+(1)))&lt;=(B136),IF(("mod")=(INDEX(B1:XFD1,(A2)+(0))),MOD(INDEX(B4:B404,(B3)+(1)),B136),B136)))))))),B136))</f>
        <v>#VALUE!</v>
      </c>
      <c r="C136" t="e">
        <f ca="1">IF((A1)=(2),1,IF(AND((INDEX(B1:XFD1,(A2)+(0)))=("writeheap"),(INDEX(B4:B404,(B3)+(1)))=(132)),INDEX(B4:B404,(B3)+(2)),IF((A1)=(2),1,IF((133)=(C3),C136,C136))))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404,(B137)+(1)),IF(("add")=(INDEX(B1:XFD1,(A2)+(0))),(INDEX(B4:B404,(B3)+(1)))+(B137),IF(("equals")=(INDEX(B1:XFD1,(A2)+(0))),(INDEX(B4:B404,(B3)+(1)))=(B137),IF(("leq")=(INDEX(B1:XFD1,(A2)+(0))),(INDEX(B4:B404,(B3)+(1)))&lt;=(B137),IF(("mod")=(INDEX(B1:XFD1,(A2)+(0))),MOD(INDEX(B4:B404,(B3)+(1)),B137),B137)))))))),B137))</f>
        <v>#VALUE!</v>
      </c>
      <c r="C137" t="e">
        <f ca="1">IF((A1)=(2),1,IF(AND((INDEX(B1:XFD1,(A2)+(0)))=("writeheap"),(INDEX(B4:B404,(B3)+(1)))=(133)),INDEX(B4:B404,(B3)+(2)),IF((A1)=(2),1,IF((134)=(C3),C137,C137))))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404,(B138)+(1)),IF(("add")=(INDEX(B1:XFD1,(A2)+(0))),(INDEX(B4:B404,(B3)+(1)))+(B138),IF(("equals")=(INDEX(B1:XFD1,(A2)+(0))),(INDEX(B4:B404,(B3)+(1)))=(B138),IF(("leq")=(INDEX(B1:XFD1,(A2)+(0))),(INDEX(B4:B404,(B3)+(1)))&lt;=(B138),IF(("mod")=(INDEX(B1:XFD1,(A2)+(0))),MOD(INDEX(B4:B404,(B3)+(1)),B138),B138)))))))),B138))</f>
        <v>#VALUE!</v>
      </c>
      <c r="C138" t="e">
        <f ca="1">IF((A1)=(2),1,IF(AND((INDEX(B1:XFD1,(A2)+(0)))=("writeheap"),(INDEX(B4:B404,(B3)+(1)))=(134)),INDEX(B4:B404,(B3)+(2)),IF((A1)=(2),1,IF((135)=(C3),C138,C138))))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404,(B139)+(1)),IF(("add")=(INDEX(B1:XFD1,(A2)+(0))),(INDEX(B4:B404,(B3)+(1)))+(B139),IF(("equals")=(INDEX(B1:XFD1,(A2)+(0))),(INDEX(B4:B404,(B3)+(1)))=(B139),IF(("leq")=(INDEX(B1:XFD1,(A2)+(0))),(INDEX(B4:B404,(B3)+(1)))&lt;=(B139),IF(("mod")=(INDEX(B1:XFD1,(A2)+(0))),MOD(INDEX(B4:B404,(B3)+(1)),B139),B139)))))))),B139))</f>
        <v>#VALUE!</v>
      </c>
      <c r="C139" t="e">
        <f ca="1">IF((A1)=(2),1,IF(AND((INDEX(B1:XFD1,(A2)+(0)))=("writeheap"),(INDEX(B4:B404,(B3)+(1)))=(135)),INDEX(B4:B404,(B3)+(2)),IF((A1)=(2),1,IF((136)=(C3),C139,C139))))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404,(B140)+(1)),IF(("add")=(INDEX(B1:XFD1,(A2)+(0))),(INDEX(B4:B404,(B3)+(1)))+(B140),IF(("equals")=(INDEX(B1:XFD1,(A2)+(0))),(INDEX(B4:B404,(B3)+(1)))=(B140),IF(("leq")=(INDEX(B1:XFD1,(A2)+(0))),(INDEX(B4:B404,(B3)+(1)))&lt;=(B140),IF(("mod")=(INDEX(B1:XFD1,(A2)+(0))),MOD(INDEX(B4:B404,(B3)+(1)),B140),B140)))))))),B140))</f>
        <v>#VALUE!</v>
      </c>
      <c r="C140" t="e">
        <f ca="1">IF((A1)=(2),1,IF(AND((INDEX(B1:XFD1,(A2)+(0)))=("writeheap"),(INDEX(B4:B404,(B3)+(1)))=(136)),INDEX(B4:B404,(B3)+(2)),IF((A1)=(2),1,IF((137)=(C3),C140,C140))))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404,(B141)+(1)),IF(("add")=(INDEX(B1:XFD1,(A2)+(0))),(INDEX(B4:B404,(B3)+(1)))+(B141),IF(("equals")=(INDEX(B1:XFD1,(A2)+(0))),(INDEX(B4:B404,(B3)+(1)))=(B141),IF(("leq")=(INDEX(B1:XFD1,(A2)+(0))),(INDEX(B4:B404,(B3)+(1)))&lt;=(B141),IF(("mod")=(INDEX(B1:XFD1,(A2)+(0))),MOD(INDEX(B4:B404,(B3)+(1)),B141),B141)))))))),B141))</f>
        <v>#VALUE!</v>
      </c>
      <c r="C141" t="e">
        <f ca="1">IF((A1)=(2),1,IF(AND((INDEX(B1:XFD1,(A2)+(0)))=("writeheap"),(INDEX(B4:B404,(B3)+(1)))=(137)),INDEX(B4:B404,(B3)+(2)),IF((A1)=(2),1,IF((138)=(C3),C141,C141))))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404,(B142)+(1)),IF(("add")=(INDEX(B1:XFD1,(A2)+(0))),(INDEX(B4:B404,(B3)+(1)))+(B142),IF(("equals")=(INDEX(B1:XFD1,(A2)+(0))),(INDEX(B4:B404,(B3)+(1)))=(B142),IF(("leq")=(INDEX(B1:XFD1,(A2)+(0))),(INDEX(B4:B404,(B3)+(1)))&lt;=(B142),IF(("mod")=(INDEX(B1:XFD1,(A2)+(0))),MOD(INDEX(B4:B404,(B3)+(1)),B142),B142)))))))),B142))</f>
        <v>#VALUE!</v>
      </c>
      <c r="C142" t="e">
        <f ca="1">IF((A1)=(2),1,IF(AND((INDEX(B1:XFD1,(A2)+(0)))=("writeheap"),(INDEX(B4:B404,(B3)+(1)))=(138)),INDEX(B4:B404,(B3)+(2)),IF((A1)=(2),1,IF((139)=(C3),C142,C142))))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404,(B143)+(1)),IF(("add")=(INDEX(B1:XFD1,(A2)+(0))),(INDEX(B4:B404,(B3)+(1)))+(B143),IF(("equals")=(INDEX(B1:XFD1,(A2)+(0))),(INDEX(B4:B404,(B3)+(1)))=(B143),IF(("leq")=(INDEX(B1:XFD1,(A2)+(0))),(INDEX(B4:B404,(B3)+(1)))&lt;=(B143),IF(("mod")=(INDEX(B1:XFD1,(A2)+(0))),MOD(INDEX(B4:B404,(B3)+(1)),B143),B143)))))))),B143))</f>
        <v>#VALUE!</v>
      </c>
      <c r="C143" t="e">
        <f ca="1">IF((A1)=(2),1,IF(AND((INDEX(B1:XFD1,(A2)+(0)))=("writeheap"),(INDEX(B4:B404,(B3)+(1)))=(139)),INDEX(B4:B404,(B3)+(2)),IF((A1)=(2),1,IF((140)=(C3),C143,C143))))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404,(B144)+(1)),IF(("add")=(INDEX(B1:XFD1,(A2)+(0))),(INDEX(B4:B404,(B3)+(1)))+(B144),IF(("equals")=(INDEX(B1:XFD1,(A2)+(0))),(INDEX(B4:B404,(B3)+(1)))=(B144),IF(("leq")=(INDEX(B1:XFD1,(A2)+(0))),(INDEX(B4:B404,(B3)+(1)))&lt;=(B144),IF(("mod")=(INDEX(B1:XFD1,(A2)+(0))),MOD(INDEX(B4:B404,(B3)+(1)),B144),B144)))))))),B144))</f>
        <v>#VALUE!</v>
      </c>
      <c r="C144" t="e">
        <f ca="1">IF((A1)=(2),1,IF(AND((INDEX(B1:XFD1,(A2)+(0)))=("writeheap"),(INDEX(B4:B404,(B3)+(1)))=(140)),INDEX(B4:B404,(B3)+(2)),IF((A1)=(2),1,IF((141)=(C3),C144,C144))))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404,(B145)+(1)),IF(("add")=(INDEX(B1:XFD1,(A2)+(0))),(INDEX(B4:B404,(B3)+(1)))+(B145),IF(("equals")=(INDEX(B1:XFD1,(A2)+(0))),(INDEX(B4:B404,(B3)+(1)))=(B145),IF(("leq")=(INDEX(B1:XFD1,(A2)+(0))),(INDEX(B4:B404,(B3)+(1)))&lt;=(B145),IF(("mod")=(INDEX(B1:XFD1,(A2)+(0))),MOD(INDEX(B4:B404,(B3)+(1)),B145),B145)))))))),B145))</f>
        <v>#VALUE!</v>
      </c>
      <c r="C145" t="e">
        <f ca="1">IF((A1)=(2),1,IF(AND((INDEX(B1:XFD1,(A2)+(0)))=("writeheap"),(INDEX(B4:B404,(B3)+(1)))=(141)),INDEX(B4:B404,(B3)+(2)),IF((A1)=(2),1,IF((142)=(C3),C145,C145))))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404,(B146)+(1)),IF(("add")=(INDEX(B1:XFD1,(A2)+(0))),(INDEX(B4:B404,(B3)+(1)))+(B146),IF(("equals")=(INDEX(B1:XFD1,(A2)+(0))),(INDEX(B4:B404,(B3)+(1)))=(B146),IF(("leq")=(INDEX(B1:XFD1,(A2)+(0))),(INDEX(B4:B404,(B3)+(1)))&lt;=(B146),IF(("mod")=(INDEX(B1:XFD1,(A2)+(0))),MOD(INDEX(B4:B404,(B3)+(1)),B146),B146)))))))),B146))</f>
        <v>#VALUE!</v>
      </c>
      <c r="C146" t="e">
        <f ca="1">IF((A1)=(2),1,IF(AND((INDEX(B1:XFD1,(A2)+(0)))=("writeheap"),(INDEX(B4:B404,(B3)+(1)))=(142)),INDEX(B4:B404,(B3)+(2)),IF((A1)=(2),1,IF((143)=(C3),C146,C146))))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404,(B147)+(1)),IF(("add")=(INDEX(B1:XFD1,(A2)+(0))),(INDEX(B4:B404,(B3)+(1)))+(B147),IF(("equals")=(INDEX(B1:XFD1,(A2)+(0))),(INDEX(B4:B404,(B3)+(1)))=(B147),IF(("leq")=(INDEX(B1:XFD1,(A2)+(0))),(INDEX(B4:B404,(B3)+(1)))&lt;=(B147),IF(("mod")=(INDEX(B1:XFD1,(A2)+(0))),MOD(INDEX(B4:B404,(B3)+(1)),B147),B147)))))))),B147))</f>
        <v>#VALUE!</v>
      </c>
      <c r="C147" t="e">
        <f ca="1">IF((A1)=(2),1,IF(AND((INDEX(B1:XFD1,(A2)+(0)))=("writeheap"),(INDEX(B4:B404,(B3)+(1)))=(143)),INDEX(B4:B404,(B3)+(2)),IF((A1)=(2),1,IF((144)=(C3),C147,C147))))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404,(B148)+(1)),IF(("add")=(INDEX(B1:XFD1,(A2)+(0))),(INDEX(B4:B404,(B3)+(1)))+(B148),IF(("equals")=(INDEX(B1:XFD1,(A2)+(0))),(INDEX(B4:B404,(B3)+(1)))=(B148),IF(("leq")=(INDEX(B1:XFD1,(A2)+(0))),(INDEX(B4:B404,(B3)+(1)))&lt;=(B148),IF(("mod")=(INDEX(B1:XFD1,(A2)+(0))),MOD(INDEX(B4:B404,(B3)+(1)),B148),B148)))))))),B148))</f>
        <v>#VALUE!</v>
      </c>
      <c r="C148" t="e">
        <f ca="1">IF((A1)=(2),1,IF(AND((INDEX(B1:XFD1,(A2)+(0)))=("writeheap"),(INDEX(B4:B404,(B3)+(1)))=(144)),INDEX(B4:B404,(B3)+(2)),IF((A1)=(2),1,IF((145)=(C3),C148,C148))))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404,(B149)+(1)),IF(("add")=(INDEX(B1:XFD1,(A2)+(0))),(INDEX(B4:B404,(B3)+(1)))+(B149),IF(("equals")=(INDEX(B1:XFD1,(A2)+(0))),(INDEX(B4:B404,(B3)+(1)))=(B149),IF(("leq")=(INDEX(B1:XFD1,(A2)+(0))),(INDEX(B4:B404,(B3)+(1)))&lt;=(B149),IF(("mod")=(INDEX(B1:XFD1,(A2)+(0))),MOD(INDEX(B4:B404,(B3)+(1)),B149),B149)))))))),B149))</f>
        <v>#VALUE!</v>
      </c>
      <c r="C149" t="e">
        <f ca="1">IF((A1)=(2),1,IF(AND((INDEX(B1:XFD1,(A2)+(0)))=("writeheap"),(INDEX(B4:B404,(B3)+(1)))=(145)),INDEX(B4:B404,(B3)+(2)),IF((A1)=(2),1,IF((146)=(C3),C149,C149))))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404,(B150)+(1)),IF(("add")=(INDEX(B1:XFD1,(A2)+(0))),(INDEX(B4:B404,(B3)+(1)))+(B150),IF(("equals")=(INDEX(B1:XFD1,(A2)+(0))),(INDEX(B4:B404,(B3)+(1)))=(B150),IF(("leq")=(INDEX(B1:XFD1,(A2)+(0))),(INDEX(B4:B404,(B3)+(1)))&lt;=(B150),IF(("mod")=(INDEX(B1:XFD1,(A2)+(0))),MOD(INDEX(B4:B404,(B3)+(1)),B150),B150)))))))),B150))</f>
        <v>#VALUE!</v>
      </c>
      <c r="C150" t="e">
        <f ca="1">IF((A1)=(2),1,IF(AND((INDEX(B1:XFD1,(A2)+(0)))=("writeheap"),(INDEX(B4:B404,(B3)+(1)))=(146)),INDEX(B4:B404,(B3)+(2)),IF((A1)=(2),1,IF((147)=(C3),C150,C150))))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404,(B151)+(1)),IF(("add")=(INDEX(B1:XFD1,(A2)+(0))),(INDEX(B4:B404,(B3)+(1)))+(B151),IF(("equals")=(INDEX(B1:XFD1,(A2)+(0))),(INDEX(B4:B404,(B3)+(1)))=(B151),IF(("leq")=(INDEX(B1:XFD1,(A2)+(0))),(INDEX(B4:B404,(B3)+(1)))&lt;=(B151),IF(("mod")=(INDEX(B1:XFD1,(A2)+(0))),MOD(INDEX(B4:B404,(B3)+(1)),B151),B151)))))))),B151))</f>
        <v>#VALUE!</v>
      </c>
      <c r="C151" t="e">
        <f ca="1">IF((A1)=(2),1,IF(AND((INDEX(B1:XFD1,(A2)+(0)))=("writeheap"),(INDEX(B4:B404,(B3)+(1)))=(147)),INDEX(B4:B404,(B3)+(2)),IF((A1)=(2),1,IF((148)=(C3),C151,C151))))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404,(B152)+(1)),IF(("add")=(INDEX(B1:XFD1,(A2)+(0))),(INDEX(B4:B404,(B3)+(1)))+(B152),IF(("equals")=(INDEX(B1:XFD1,(A2)+(0))),(INDEX(B4:B404,(B3)+(1)))=(B152),IF(("leq")=(INDEX(B1:XFD1,(A2)+(0))),(INDEX(B4:B404,(B3)+(1)))&lt;=(B152),IF(("mod")=(INDEX(B1:XFD1,(A2)+(0))),MOD(INDEX(B4:B404,(B3)+(1)),B152),B152)))))))),B152))</f>
        <v>#VALUE!</v>
      </c>
      <c r="C152" t="e">
        <f ca="1">IF((A1)=(2),1,IF(AND((INDEX(B1:XFD1,(A2)+(0)))=("writeheap"),(INDEX(B4:B404,(B3)+(1)))=(148)),INDEX(B4:B404,(B3)+(2)),IF((A1)=(2),1,IF((149)=(C3),C152,C152))))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404,(B153)+(1)),IF(("add")=(INDEX(B1:XFD1,(A2)+(0))),(INDEX(B4:B404,(B3)+(1)))+(B153),IF(("equals")=(INDEX(B1:XFD1,(A2)+(0))),(INDEX(B4:B404,(B3)+(1)))=(B153),IF(("leq")=(INDEX(B1:XFD1,(A2)+(0))),(INDEX(B4:B404,(B3)+(1)))&lt;=(B153),IF(("mod")=(INDEX(B1:XFD1,(A2)+(0))),MOD(INDEX(B4:B404,(B3)+(1)),B153),B153)))))))),B153))</f>
        <v>#VALUE!</v>
      </c>
      <c r="C153" t="e">
        <f ca="1">IF((A1)=(2),1,IF(AND((INDEX(B1:XFD1,(A2)+(0)))=("writeheap"),(INDEX(B4:B404,(B3)+(1)))=(149)),INDEX(B4:B404,(B3)+(2)),IF((A1)=(2),1,IF((150)=(C3),C153,C153))))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404,(B154)+(1)),IF(("add")=(INDEX(B1:XFD1,(A2)+(0))),(INDEX(B4:B404,(B3)+(1)))+(B154),IF(("equals")=(INDEX(B1:XFD1,(A2)+(0))),(INDEX(B4:B404,(B3)+(1)))=(B154),IF(("leq")=(INDEX(B1:XFD1,(A2)+(0))),(INDEX(B4:B404,(B3)+(1)))&lt;=(B154),IF(("mod")=(INDEX(B1:XFD1,(A2)+(0))),MOD(INDEX(B4:B404,(B3)+(1)),B154),B154)))))))),B154))</f>
        <v>#VALUE!</v>
      </c>
      <c r="C154" t="e">
        <f ca="1">IF((A1)=(2),1,IF(AND((INDEX(B1:XFD1,(A2)+(0)))=("writeheap"),(INDEX(B4:B404,(B3)+(1)))=(150)),INDEX(B4:B404,(B3)+(2)),IF((A1)=(2),1,IF((151)=(C3),C154,C154))))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404,(B155)+(1)),IF(("add")=(INDEX(B1:XFD1,(A2)+(0))),(INDEX(B4:B404,(B3)+(1)))+(B155),IF(("equals")=(INDEX(B1:XFD1,(A2)+(0))),(INDEX(B4:B404,(B3)+(1)))=(B155),IF(("leq")=(INDEX(B1:XFD1,(A2)+(0))),(INDEX(B4:B404,(B3)+(1)))&lt;=(B155),IF(("mod")=(INDEX(B1:XFD1,(A2)+(0))),MOD(INDEX(B4:B404,(B3)+(1)),B155),B155)))))))),B155))</f>
        <v>#VALUE!</v>
      </c>
      <c r="C155" t="e">
        <f ca="1">IF((A1)=(2),1,IF(AND((INDEX(B1:XFD1,(A2)+(0)))=("writeheap"),(INDEX(B4:B404,(B3)+(1)))=(151)),INDEX(B4:B404,(B3)+(2)),IF((A1)=(2),1,IF((152)=(C3),C155,C155))))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404,(B156)+(1)),IF(("add")=(INDEX(B1:XFD1,(A2)+(0))),(INDEX(B4:B404,(B3)+(1)))+(B156),IF(("equals")=(INDEX(B1:XFD1,(A2)+(0))),(INDEX(B4:B404,(B3)+(1)))=(B156),IF(("leq")=(INDEX(B1:XFD1,(A2)+(0))),(INDEX(B4:B404,(B3)+(1)))&lt;=(B156),IF(("mod")=(INDEX(B1:XFD1,(A2)+(0))),MOD(INDEX(B4:B404,(B3)+(1)),B156),B156)))))))),B156))</f>
        <v>#VALUE!</v>
      </c>
      <c r="C156" t="e">
        <f ca="1">IF((A1)=(2),1,IF(AND((INDEX(B1:XFD1,(A2)+(0)))=("writeheap"),(INDEX(B4:B404,(B3)+(1)))=(152)),INDEX(B4:B404,(B3)+(2)),IF((A1)=(2),1,IF((153)=(C3),C156,C156))))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404,(B157)+(1)),IF(("add")=(INDEX(B1:XFD1,(A2)+(0))),(INDEX(B4:B404,(B3)+(1)))+(B157),IF(("equals")=(INDEX(B1:XFD1,(A2)+(0))),(INDEX(B4:B404,(B3)+(1)))=(B157),IF(("leq")=(INDEX(B1:XFD1,(A2)+(0))),(INDEX(B4:B404,(B3)+(1)))&lt;=(B157),IF(("mod")=(INDEX(B1:XFD1,(A2)+(0))),MOD(INDEX(B4:B404,(B3)+(1)),B157),B157)))))))),B157))</f>
        <v>#VALUE!</v>
      </c>
      <c r="C157" t="e">
        <f ca="1">IF((A1)=(2),1,IF(AND((INDEX(B1:XFD1,(A2)+(0)))=("writeheap"),(INDEX(B4:B404,(B3)+(1)))=(153)),INDEX(B4:B404,(B3)+(2)),IF((A1)=(2),1,IF((154)=(C3),C157,C157))))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404,(B158)+(1)),IF(("add")=(INDEX(B1:XFD1,(A2)+(0))),(INDEX(B4:B404,(B3)+(1)))+(B158),IF(("equals")=(INDEX(B1:XFD1,(A2)+(0))),(INDEX(B4:B404,(B3)+(1)))=(B158),IF(("leq")=(INDEX(B1:XFD1,(A2)+(0))),(INDEX(B4:B404,(B3)+(1)))&lt;=(B158),IF(("mod")=(INDEX(B1:XFD1,(A2)+(0))),MOD(INDEX(B4:B404,(B3)+(1)),B158),B158)))))))),B158))</f>
        <v>#VALUE!</v>
      </c>
      <c r="C158" t="e">
        <f ca="1">IF((A1)=(2),1,IF(AND((INDEX(B1:XFD1,(A2)+(0)))=("writeheap"),(INDEX(B4:B404,(B3)+(1)))=(154)),INDEX(B4:B404,(B3)+(2)),IF((A1)=(2),1,IF((155)=(C3),C158,C158))))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404,(B159)+(1)),IF(("add")=(INDEX(B1:XFD1,(A2)+(0))),(INDEX(B4:B404,(B3)+(1)))+(B159),IF(("equals")=(INDEX(B1:XFD1,(A2)+(0))),(INDEX(B4:B404,(B3)+(1)))=(B159),IF(("leq")=(INDEX(B1:XFD1,(A2)+(0))),(INDEX(B4:B404,(B3)+(1)))&lt;=(B159),IF(("mod")=(INDEX(B1:XFD1,(A2)+(0))),MOD(INDEX(B4:B404,(B3)+(1)),B159),B159)))))))),B159))</f>
        <v>#VALUE!</v>
      </c>
      <c r="C159" t="e">
        <f ca="1">IF((A1)=(2),1,IF(AND((INDEX(B1:XFD1,(A2)+(0)))=("writeheap"),(INDEX(B4:B404,(B3)+(1)))=(155)),INDEX(B4:B404,(B3)+(2)),IF((A1)=(2),1,IF((156)=(C3),C159,C159))))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404,(B160)+(1)),IF(("add")=(INDEX(B1:XFD1,(A2)+(0))),(INDEX(B4:B404,(B3)+(1)))+(B160),IF(("equals")=(INDEX(B1:XFD1,(A2)+(0))),(INDEX(B4:B404,(B3)+(1)))=(B160),IF(("leq")=(INDEX(B1:XFD1,(A2)+(0))),(INDEX(B4:B404,(B3)+(1)))&lt;=(B160),IF(("mod")=(INDEX(B1:XFD1,(A2)+(0))),MOD(INDEX(B4:B404,(B3)+(1)),B160),B160)))))))),B160))</f>
        <v>#VALUE!</v>
      </c>
      <c r="C160" t="e">
        <f ca="1">IF((A1)=(2),1,IF(AND((INDEX(B1:XFD1,(A2)+(0)))=("writeheap"),(INDEX(B4:B404,(B3)+(1)))=(156)),INDEX(B4:B404,(B3)+(2)),IF((A1)=(2),1,IF((157)=(C3),C160,C160))))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404,(B161)+(1)),IF(("add")=(INDEX(B1:XFD1,(A2)+(0))),(INDEX(B4:B404,(B3)+(1)))+(B161),IF(("equals")=(INDEX(B1:XFD1,(A2)+(0))),(INDEX(B4:B404,(B3)+(1)))=(B161),IF(("leq")=(INDEX(B1:XFD1,(A2)+(0))),(INDEX(B4:B404,(B3)+(1)))&lt;=(B161),IF(("mod")=(INDEX(B1:XFD1,(A2)+(0))),MOD(INDEX(B4:B404,(B3)+(1)),B161),B161)))))))),B161))</f>
        <v>#VALUE!</v>
      </c>
      <c r="C161" t="e">
        <f ca="1">IF((A1)=(2),1,IF(AND((INDEX(B1:XFD1,(A2)+(0)))=("writeheap"),(INDEX(B4:B404,(B3)+(1)))=(157)),INDEX(B4:B404,(B3)+(2)),IF((A1)=(2),1,IF((158)=(C3),C161,C161))))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404,(B162)+(1)),IF(("add")=(INDEX(B1:XFD1,(A2)+(0))),(INDEX(B4:B404,(B3)+(1)))+(B162),IF(("equals")=(INDEX(B1:XFD1,(A2)+(0))),(INDEX(B4:B404,(B3)+(1)))=(B162),IF(("leq")=(INDEX(B1:XFD1,(A2)+(0))),(INDEX(B4:B404,(B3)+(1)))&lt;=(B162),IF(("mod")=(INDEX(B1:XFD1,(A2)+(0))),MOD(INDEX(B4:B404,(B3)+(1)),B162),B162)))))))),B162))</f>
        <v>#VALUE!</v>
      </c>
      <c r="C162" t="e">
        <f ca="1">IF((A1)=(2),1,IF(AND((INDEX(B1:XFD1,(A2)+(0)))=("writeheap"),(INDEX(B4:B404,(B3)+(1)))=(158)),INDEX(B4:B404,(B3)+(2)),IF((A1)=(2),1,IF((159)=(C3),C162,C162))))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404,(B163)+(1)),IF(("add")=(INDEX(B1:XFD1,(A2)+(0))),(INDEX(B4:B404,(B3)+(1)))+(B163),IF(("equals")=(INDEX(B1:XFD1,(A2)+(0))),(INDEX(B4:B404,(B3)+(1)))=(B163),IF(("leq")=(INDEX(B1:XFD1,(A2)+(0))),(INDEX(B4:B404,(B3)+(1)))&lt;=(B163),IF(("mod")=(INDEX(B1:XFD1,(A2)+(0))),MOD(INDEX(B4:B404,(B3)+(1)),B163),B163)))))))),B163))</f>
        <v>#VALUE!</v>
      </c>
      <c r="C163" t="e">
        <f ca="1">IF((A1)=(2),1,IF(AND((INDEX(B1:XFD1,(A2)+(0)))=("writeheap"),(INDEX(B4:B404,(B3)+(1)))=(159)),INDEX(B4:B404,(B3)+(2)),IF((A1)=(2),1,IF((160)=(C3),C163,C163))))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404,(B164)+(1)),IF(("add")=(INDEX(B1:XFD1,(A2)+(0))),(INDEX(B4:B404,(B3)+(1)))+(B164),IF(("equals")=(INDEX(B1:XFD1,(A2)+(0))),(INDEX(B4:B404,(B3)+(1)))=(B164),IF(("leq")=(INDEX(B1:XFD1,(A2)+(0))),(INDEX(B4:B404,(B3)+(1)))&lt;=(B164),IF(("mod")=(INDEX(B1:XFD1,(A2)+(0))),MOD(INDEX(B4:B404,(B3)+(1)),B164),B164)))))))),B164))</f>
        <v>#VALUE!</v>
      </c>
      <c r="C164" t="e">
        <f ca="1">IF((A1)=(2),1,IF(AND((INDEX(B1:XFD1,(A2)+(0)))=("writeheap"),(INDEX(B4:B404,(B3)+(1)))=(160)),INDEX(B4:B404,(B3)+(2)),IF((A1)=(2),1,IF((161)=(C3),C164,C164))))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404,(B165)+(1)),IF(("add")=(INDEX(B1:XFD1,(A2)+(0))),(INDEX(B4:B404,(B3)+(1)))+(B165),IF(("equals")=(INDEX(B1:XFD1,(A2)+(0))),(INDEX(B4:B404,(B3)+(1)))=(B165),IF(("leq")=(INDEX(B1:XFD1,(A2)+(0))),(INDEX(B4:B404,(B3)+(1)))&lt;=(B165),IF(("mod")=(INDEX(B1:XFD1,(A2)+(0))),MOD(INDEX(B4:B404,(B3)+(1)),B165),B165)))))))),B165))</f>
        <v>#VALUE!</v>
      </c>
      <c r="C165" t="e">
        <f ca="1">IF((A1)=(2),1,IF(AND((INDEX(B1:XFD1,(A2)+(0)))=("writeheap"),(INDEX(B4:B404,(B3)+(1)))=(161)),INDEX(B4:B404,(B3)+(2)),IF((A1)=(2),1,IF((162)=(C3),C165,C165))))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404,(B166)+(1)),IF(("add")=(INDEX(B1:XFD1,(A2)+(0))),(INDEX(B4:B404,(B3)+(1)))+(B166),IF(("equals")=(INDEX(B1:XFD1,(A2)+(0))),(INDEX(B4:B404,(B3)+(1)))=(B166),IF(("leq")=(INDEX(B1:XFD1,(A2)+(0))),(INDEX(B4:B404,(B3)+(1)))&lt;=(B166),IF(("mod")=(INDEX(B1:XFD1,(A2)+(0))),MOD(INDEX(B4:B404,(B3)+(1)),B166),B166)))))))),B166))</f>
        <v>#VALUE!</v>
      </c>
      <c r="C166" t="e">
        <f ca="1">IF((A1)=(2),1,IF(AND((INDEX(B1:XFD1,(A2)+(0)))=("writeheap"),(INDEX(B4:B404,(B3)+(1)))=(162)),INDEX(B4:B404,(B3)+(2)),IF((A1)=(2),1,IF((163)=(C3),C166,C166))))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404,(B167)+(1)),IF(("add")=(INDEX(B1:XFD1,(A2)+(0))),(INDEX(B4:B404,(B3)+(1)))+(B167),IF(("equals")=(INDEX(B1:XFD1,(A2)+(0))),(INDEX(B4:B404,(B3)+(1)))=(B167),IF(("leq")=(INDEX(B1:XFD1,(A2)+(0))),(INDEX(B4:B404,(B3)+(1)))&lt;=(B167),IF(("mod")=(INDEX(B1:XFD1,(A2)+(0))),MOD(INDEX(B4:B404,(B3)+(1)),B167),B167)))))))),B167))</f>
        <v>#VALUE!</v>
      </c>
      <c r="C167" t="e">
        <f ca="1">IF((A1)=(2),1,IF(AND((INDEX(B1:XFD1,(A2)+(0)))=("writeheap"),(INDEX(B4:B404,(B3)+(1)))=(163)),INDEX(B4:B404,(B3)+(2)),IF((A1)=(2),1,IF((164)=(C3),C167,C167))))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404,(B168)+(1)),IF(("add")=(INDEX(B1:XFD1,(A2)+(0))),(INDEX(B4:B404,(B3)+(1)))+(B168),IF(("equals")=(INDEX(B1:XFD1,(A2)+(0))),(INDEX(B4:B404,(B3)+(1)))=(B168),IF(("leq")=(INDEX(B1:XFD1,(A2)+(0))),(INDEX(B4:B404,(B3)+(1)))&lt;=(B168),IF(("mod")=(INDEX(B1:XFD1,(A2)+(0))),MOD(INDEX(B4:B404,(B3)+(1)),B168),B168)))))))),B168))</f>
        <v>#VALUE!</v>
      </c>
      <c r="C168" t="e">
        <f ca="1">IF((A1)=(2),1,IF(AND((INDEX(B1:XFD1,(A2)+(0)))=("writeheap"),(INDEX(B4:B404,(B3)+(1)))=(164)),INDEX(B4:B404,(B3)+(2)),IF((A1)=(2),1,IF((165)=(C3),C168,C168))))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404,(B169)+(1)),IF(("add")=(INDEX(B1:XFD1,(A2)+(0))),(INDEX(B4:B404,(B3)+(1)))+(B169),IF(("equals")=(INDEX(B1:XFD1,(A2)+(0))),(INDEX(B4:B404,(B3)+(1)))=(B169),IF(("leq")=(INDEX(B1:XFD1,(A2)+(0))),(INDEX(B4:B404,(B3)+(1)))&lt;=(B169),IF(("mod")=(INDEX(B1:XFD1,(A2)+(0))),MOD(INDEX(B4:B404,(B3)+(1)),B169),B169)))))))),B169))</f>
        <v>#VALUE!</v>
      </c>
      <c r="C169" t="e">
        <f ca="1">IF((A1)=(2),1,IF(AND((INDEX(B1:XFD1,(A2)+(0)))=("writeheap"),(INDEX(B4:B404,(B3)+(1)))=(165)),INDEX(B4:B404,(B3)+(2)),IF((A1)=(2),1,IF((166)=(C3),C169,C169))))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404,(B170)+(1)),IF(("add")=(INDEX(B1:XFD1,(A2)+(0))),(INDEX(B4:B404,(B3)+(1)))+(B170),IF(("equals")=(INDEX(B1:XFD1,(A2)+(0))),(INDEX(B4:B404,(B3)+(1)))=(B170),IF(("leq")=(INDEX(B1:XFD1,(A2)+(0))),(INDEX(B4:B404,(B3)+(1)))&lt;=(B170),IF(("mod")=(INDEX(B1:XFD1,(A2)+(0))),MOD(INDEX(B4:B404,(B3)+(1)),B170),B170)))))))),B170))</f>
        <v>#VALUE!</v>
      </c>
      <c r="C170" t="e">
        <f ca="1">IF((A1)=(2),1,IF(AND((INDEX(B1:XFD1,(A2)+(0)))=("writeheap"),(INDEX(B4:B404,(B3)+(1)))=(166)),INDEX(B4:B404,(B3)+(2)),IF((A1)=(2),1,IF((167)=(C3),C170,C170))))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404,(B171)+(1)),IF(("add")=(INDEX(B1:XFD1,(A2)+(0))),(INDEX(B4:B404,(B3)+(1)))+(B171),IF(("equals")=(INDEX(B1:XFD1,(A2)+(0))),(INDEX(B4:B404,(B3)+(1)))=(B171),IF(("leq")=(INDEX(B1:XFD1,(A2)+(0))),(INDEX(B4:B404,(B3)+(1)))&lt;=(B171),IF(("mod")=(INDEX(B1:XFD1,(A2)+(0))),MOD(INDEX(B4:B404,(B3)+(1)),B171),B171)))))))),B171))</f>
        <v>#VALUE!</v>
      </c>
      <c r="C171" t="e">
        <f ca="1">IF((A1)=(2),1,IF(AND((INDEX(B1:XFD1,(A2)+(0)))=("writeheap"),(INDEX(B4:B404,(B3)+(1)))=(167)),INDEX(B4:B404,(B3)+(2)),IF((A1)=(2),1,IF((168)=(C3),C171,C171))))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404,(B172)+(1)),IF(("add")=(INDEX(B1:XFD1,(A2)+(0))),(INDEX(B4:B404,(B3)+(1)))+(B172),IF(("equals")=(INDEX(B1:XFD1,(A2)+(0))),(INDEX(B4:B404,(B3)+(1)))=(B172),IF(("leq")=(INDEX(B1:XFD1,(A2)+(0))),(INDEX(B4:B404,(B3)+(1)))&lt;=(B172),IF(("mod")=(INDEX(B1:XFD1,(A2)+(0))),MOD(INDEX(B4:B404,(B3)+(1)),B172),B172)))))))),B172))</f>
        <v>#VALUE!</v>
      </c>
      <c r="C172" t="e">
        <f ca="1">IF((A1)=(2),1,IF(AND((INDEX(B1:XFD1,(A2)+(0)))=("writeheap"),(INDEX(B4:B404,(B3)+(1)))=(168)),INDEX(B4:B404,(B3)+(2)),IF((A1)=(2),1,IF((169)=(C3),C172,C172))))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404,(B173)+(1)),IF(("add")=(INDEX(B1:XFD1,(A2)+(0))),(INDEX(B4:B404,(B3)+(1)))+(B173),IF(("equals")=(INDEX(B1:XFD1,(A2)+(0))),(INDEX(B4:B404,(B3)+(1)))=(B173),IF(("leq")=(INDEX(B1:XFD1,(A2)+(0))),(INDEX(B4:B404,(B3)+(1)))&lt;=(B173),IF(("mod")=(INDEX(B1:XFD1,(A2)+(0))),MOD(INDEX(B4:B404,(B3)+(1)),B173),B173)))))))),B173))</f>
        <v>#VALUE!</v>
      </c>
      <c r="C173" t="e">
        <f ca="1">IF((A1)=(2),1,IF(AND((INDEX(B1:XFD1,(A2)+(0)))=("writeheap"),(INDEX(B4:B404,(B3)+(1)))=(169)),INDEX(B4:B404,(B3)+(2)),IF((A1)=(2),1,IF((170)=(C3),C173,C173))))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404,(B174)+(1)),IF(("add")=(INDEX(B1:XFD1,(A2)+(0))),(INDEX(B4:B404,(B3)+(1)))+(B174),IF(("equals")=(INDEX(B1:XFD1,(A2)+(0))),(INDEX(B4:B404,(B3)+(1)))=(B174),IF(("leq")=(INDEX(B1:XFD1,(A2)+(0))),(INDEX(B4:B404,(B3)+(1)))&lt;=(B174),IF(("mod")=(INDEX(B1:XFD1,(A2)+(0))),MOD(INDEX(B4:B404,(B3)+(1)),B174),B174)))))))),B174))</f>
        <v>#VALUE!</v>
      </c>
      <c r="C174" t="e">
        <f ca="1">IF((A1)=(2),1,IF(AND((INDEX(B1:XFD1,(A2)+(0)))=("writeheap"),(INDEX(B4:B404,(B3)+(1)))=(170)),INDEX(B4:B404,(B3)+(2)),IF((A1)=(2),1,IF((171)=(C3),C174,C174))))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404,(B175)+(1)),IF(("add")=(INDEX(B1:XFD1,(A2)+(0))),(INDEX(B4:B404,(B3)+(1)))+(B175),IF(("equals")=(INDEX(B1:XFD1,(A2)+(0))),(INDEX(B4:B404,(B3)+(1)))=(B175),IF(("leq")=(INDEX(B1:XFD1,(A2)+(0))),(INDEX(B4:B404,(B3)+(1)))&lt;=(B175),IF(("mod")=(INDEX(B1:XFD1,(A2)+(0))),MOD(INDEX(B4:B404,(B3)+(1)),B175),B175)))))))),B175))</f>
        <v>#VALUE!</v>
      </c>
      <c r="C175" t="e">
        <f ca="1">IF((A1)=(2),1,IF(AND((INDEX(B1:XFD1,(A2)+(0)))=("writeheap"),(INDEX(B4:B404,(B3)+(1)))=(171)),INDEX(B4:B404,(B3)+(2)),IF((A1)=(2),1,IF((172)=(C3),C175,C175))))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404,(B176)+(1)),IF(("add")=(INDEX(B1:XFD1,(A2)+(0))),(INDEX(B4:B404,(B3)+(1)))+(B176),IF(("equals")=(INDEX(B1:XFD1,(A2)+(0))),(INDEX(B4:B404,(B3)+(1)))=(B176),IF(("leq")=(INDEX(B1:XFD1,(A2)+(0))),(INDEX(B4:B404,(B3)+(1)))&lt;=(B176),IF(("mod")=(INDEX(B1:XFD1,(A2)+(0))),MOD(INDEX(B4:B404,(B3)+(1)),B176),B176)))))))),B176))</f>
        <v>#VALUE!</v>
      </c>
      <c r="C176" t="e">
        <f ca="1">IF((A1)=(2),1,IF(AND((INDEX(B1:XFD1,(A2)+(0)))=("writeheap"),(INDEX(B4:B404,(B3)+(1)))=(172)),INDEX(B4:B404,(B3)+(2)),IF((A1)=(2),1,IF((173)=(C3),C176,C176))))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404,(B177)+(1)),IF(("add")=(INDEX(B1:XFD1,(A2)+(0))),(INDEX(B4:B404,(B3)+(1)))+(B177),IF(("equals")=(INDEX(B1:XFD1,(A2)+(0))),(INDEX(B4:B404,(B3)+(1)))=(B177),IF(("leq")=(INDEX(B1:XFD1,(A2)+(0))),(INDEX(B4:B404,(B3)+(1)))&lt;=(B177),IF(("mod")=(INDEX(B1:XFD1,(A2)+(0))),MOD(INDEX(B4:B404,(B3)+(1)),B177),B177)))))))),B177))</f>
        <v>#VALUE!</v>
      </c>
      <c r="C177" t="e">
        <f ca="1">IF((A1)=(2),1,IF(AND((INDEX(B1:XFD1,(A2)+(0)))=("writeheap"),(INDEX(B4:B404,(B3)+(1)))=(173)),INDEX(B4:B404,(B3)+(2)),IF((A1)=(2),1,IF((174)=(C3),C177,C177))))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404,(B178)+(1)),IF(("add")=(INDEX(B1:XFD1,(A2)+(0))),(INDEX(B4:B404,(B3)+(1)))+(B178),IF(("equals")=(INDEX(B1:XFD1,(A2)+(0))),(INDEX(B4:B404,(B3)+(1)))=(B178),IF(("leq")=(INDEX(B1:XFD1,(A2)+(0))),(INDEX(B4:B404,(B3)+(1)))&lt;=(B178),IF(("mod")=(INDEX(B1:XFD1,(A2)+(0))),MOD(INDEX(B4:B404,(B3)+(1)),B178),B178)))))))),B178))</f>
        <v>#VALUE!</v>
      </c>
      <c r="C178" t="e">
        <f ca="1">IF((A1)=(2),1,IF(AND((INDEX(B1:XFD1,(A2)+(0)))=("writeheap"),(INDEX(B4:B404,(B3)+(1)))=(174)),INDEX(B4:B404,(B3)+(2)),IF((A1)=(2),1,IF((175)=(C3),C178,C178))))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404,(B179)+(1)),IF(("add")=(INDEX(B1:XFD1,(A2)+(0))),(INDEX(B4:B404,(B3)+(1)))+(B179),IF(("equals")=(INDEX(B1:XFD1,(A2)+(0))),(INDEX(B4:B404,(B3)+(1)))=(B179),IF(("leq")=(INDEX(B1:XFD1,(A2)+(0))),(INDEX(B4:B404,(B3)+(1)))&lt;=(B179),IF(("mod")=(INDEX(B1:XFD1,(A2)+(0))),MOD(INDEX(B4:B404,(B3)+(1)),B179),B179)))))))),B179))</f>
        <v>#VALUE!</v>
      </c>
      <c r="C179" t="e">
        <f ca="1">IF((A1)=(2),1,IF(AND((INDEX(B1:XFD1,(A2)+(0)))=("writeheap"),(INDEX(B4:B404,(B3)+(1)))=(175)),INDEX(B4:B404,(B3)+(2)),IF((A1)=(2),1,IF((176)=(C3),C179,C179))))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404,(B180)+(1)),IF(("add")=(INDEX(B1:XFD1,(A2)+(0))),(INDEX(B4:B404,(B3)+(1)))+(B180),IF(("equals")=(INDEX(B1:XFD1,(A2)+(0))),(INDEX(B4:B404,(B3)+(1)))=(B180),IF(("leq")=(INDEX(B1:XFD1,(A2)+(0))),(INDEX(B4:B404,(B3)+(1)))&lt;=(B180),IF(("mod")=(INDEX(B1:XFD1,(A2)+(0))),MOD(INDEX(B4:B404,(B3)+(1)),B180),B180)))))))),B180))</f>
        <v>#VALUE!</v>
      </c>
      <c r="C180" t="e">
        <f ca="1">IF((A1)=(2),1,IF(AND((INDEX(B1:XFD1,(A2)+(0)))=("writeheap"),(INDEX(B4:B404,(B3)+(1)))=(176)),INDEX(B4:B404,(B3)+(2)),IF((A1)=(2),1,IF((177)=(C3),C180,C180))))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404,(B181)+(1)),IF(("add")=(INDEX(B1:XFD1,(A2)+(0))),(INDEX(B4:B404,(B3)+(1)))+(B181),IF(("equals")=(INDEX(B1:XFD1,(A2)+(0))),(INDEX(B4:B404,(B3)+(1)))=(B181),IF(("leq")=(INDEX(B1:XFD1,(A2)+(0))),(INDEX(B4:B404,(B3)+(1)))&lt;=(B181),IF(("mod")=(INDEX(B1:XFD1,(A2)+(0))),MOD(INDEX(B4:B404,(B3)+(1)),B181),B181)))))))),B181))</f>
        <v>#VALUE!</v>
      </c>
      <c r="C181" t="e">
        <f ca="1">IF((A1)=(2),1,IF(AND((INDEX(B1:XFD1,(A2)+(0)))=("writeheap"),(INDEX(B4:B404,(B3)+(1)))=(177)),INDEX(B4:B404,(B3)+(2)),IF((A1)=(2),1,IF((178)=(C3),C181,C181))))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404,(B182)+(1)),IF(("add")=(INDEX(B1:XFD1,(A2)+(0))),(INDEX(B4:B404,(B3)+(1)))+(B182),IF(("equals")=(INDEX(B1:XFD1,(A2)+(0))),(INDEX(B4:B404,(B3)+(1)))=(B182),IF(("leq")=(INDEX(B1:XFD1,(A2)+(0))),(INDEX(B4:B404,(B3)+(1)))&lt;=(B182),IF(("mod")=(INDEX(B1:XFD1,(A2)+(0))),MOD(INDEX(B4:B404,(B3)+(1)),B182),B182)))))))),B182))</f>
        <v>#VALUE!</v>
      </c>
      <c r="C182" t="e">
        <f ca="1">IF((A1)=(2),1,IF(AND((INDEX(B1:XFD1,(A2)+(0)))=("writeheap"),(INDEX(B4:B404,(B3)+(1)))=(178)),INDEX(B4:B404,(B3)+(2)),IF((A1)=(2),1,IF((179)=(C3),C182,C182))))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404,(B183)+(1)),IF(("add")=(INDEX(B1:XFD1,(A2)+(0))),(INDEX(B4:B404,(B3)+(1)))+(B183),IF(("equals")=(INDEX(B1:XFD1,(A2)+(0))),(INDEX(B4:B404,(B3)+(1)))=(B183),IF(("leq")=(INDEX(B1:XFD1,(A2)+(0))),(INDEX(B4:B404,(B3)+(1)))&lt;=(B183),IF(("mod")=(INDEX(B1:XFD1,(A2)+(0))),MOD(INDEX(B4:B404,(B3)+(1)),B183),B183)))))))),B183))</f>
        <v>#VALUE!</v>
      </c>
      <c r="C183" t="e">
        <f ca="1">IF((A1)=(2),1,IF(AND((INDEX(B1:XFD1,(A2)+(0)))=("writeheap"),(INDEX(B4:B404,(B3)+(1)))=(179)),INDEX(B4:B404,(B3)+(2)),IF((A1)=(2),1,IF((180)=(C3),C183,C183))))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404,(B184)+(1)),IF(("add")=(INDEX(B1:XFD1,(A2)+(0))),(INDEX(B4:B404,(B3)+(1)))+(B184),IF(("equals")=(INDEX(B1:XFD1,(A2)+(0))),(INDEX(B4:B404,(B3)+(1)))=(B184),IF(("leq")=(INDEX(B1:XFD1,(A2)+(0))),(INDEX(B4:B404,(B3)+(1)))&lt;=(B184),IF(("mod")=(INDEX(B1:XFD1,(A2)+(0))),MOD(INDEX(B4:B404,(B3)+(1)),B184),B184)))))))),B184))</f>
        <v>#VALUE!</v>
      </c>
      <c r="C184" t="e">
        <f ca="1">IF((A1)=(2),1,IF(AND((INDEX(B1:XFD1,(A2)+(0)))=("writeheap"),(INDEX(B4:B404,(B3)+(1)))=(180)),INDEX(B4:B404,(B3)+(2)),IF((A1)=(2),1,IF((181)=(C3),C184,C184))))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404,(B185)+(1)),IF(("add")=(INDEX(B1:XFD1,(A2)+(0))),(INDEX(B4:B404,(B3)+(1)))+(B185),IF(("equals")=(INDEX(B1:XFD1,(A2)+(0))),(INDEX(B4:B404,(B3)+(1)))=(B185),IF(("leq")=(INDEX(B1:XFD1,(A2)+(0))),(INDEX(B4:B404,(B3)+(1)))&lt;=(B185),IF(("mod")=(INDEX(B1:XFD1,(A2)+(0))),MOD(INDEX(B4:B404,(B3)+(1)),B185),B185)))))))),B185))</f>
        <v>#VALUE!</v>
      </c>
      <c r="C185" t="e">
        <f ca="1">IF((A1)=(2),1,IF(AND((INDEX(B1:XFD1,(A2)+(0)))=("writeheap"),(INDEX(B4:B404,(B3)+(1)))=(181)),INDEX(B4:B404,(B3)+(2)),IF((A1)=(2),1,IF((182)=(C3),C185,C185))))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404,(B186)+(1)),IF(("add")=(INDEX(B1:XFD1,(A2)+(0))),(INDEX(B4:B404,(B3)+(1)))+(B186),IF(("equals")=(INDEX(B1:XFD1,(A2)+(0))),(INDEX(B4:B404,(B3)+(1)))=(B186),IF(("leq")=(INDEX(B1:XFD1,(A2)+(0))),(INDEX(B4:B404,(B3)+(1)))&lt;=(B186),IF(("mod")=(INDEX(B1:XFD1,(A2)+(0))),MOD(INDEX(B4:B404,(B3)+(1)),B186),B186)))))))),B186))</f>
        <v>#VALUE!</v>
      </c>
      <c r="C186" t="e">
        <f ca="1">IF((A1)=(2),1,IF(AND((INDEX(B1:XFD1,(A2)+(0)))=("writeheap"),(INDEX(B4:B404,(B3)+(1)))=(182)),INDEX(B4:B404,(B3)+(2)),IF((A1)=(2),1,IF((183)=(C3),C186,C186))))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404,(B187)+(1)),IF(("add")=(INDEX(B1:XFD1,(A2)+(0))),(INDEX(B4:B404,(B3)+(1)))+(B187),IF(("equals")=(INDEX(B1:XFD1,(A2)+(0))),(INDEX(B4:B404,(B3)+(1)))=(B187),IF(("leq")=(INDEX(B1:XFD1,(A2)+(0))),(INDEX(B4:B404,(B3)+(1)))&lt;=(B187),IF(("mod")=(INDEX(B1:XFD1,(A2)+(0))),MOD(INDEX(B4:B404,(B3)+(1)),B187),B187)))))))),B187))</f>
        <v>#VALUE!</v>
      </c>
      <c r="C187" t="e">
        <f ca="1">IF((A1)=(2),1,IF(AND((INDEX(B1:XFD1,(A2)+(0)))=("writeheap"),(INDEX(B4:B404,(B3)+(1)))=(183)),INDEX(B4:B404,(B3)+(2)),IF((A1)=(2),1,IF((184)=(C3),C187,C187))))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404,(B188)+(1)),IF(("add")=(INDEX(B1:XFD1,(A2)+(0))),(INDEX(B4:B404,(B3)+(1)))+(B188),IF(("equals")=(INDEX(B1:XFD1,(A2)+(0))),(INDEX(B4:B404,(B3)+(1)))=(B188),IF(("leq")=(INDEX(B1:XFD1,(A2)+(0))),(INDEX(B4:B404,(B3)+(1)))&lt;=(B188),IF(("mod")=(INDEX(B1:XFD1,(A2)+(0))),MOD(INDEX(B4:B404,(B3)+(1)),B188),B188)))))))),B188))</f>
        <v>#VALUE!</v>
      </c>
      <c r="C188" t="e">
        <f ca="1">IF((A1)=(2),1,IF(AND((INDEX(B1:XFD1,(A2)+(0)))=("writeheap"),(INDEX(B4:B404,(B3)+(1)))=(184)),INDEX(B4:B404,(B3)+(2)),IF((A1)=(2),1,IF((185)=(C3),C188,C188))))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404,(B189)+(1)),IF(("add")=(INDEX(B1:XFD1,(A2)+(0))),(INDEX(B4:B404,(B3)+(1)))+(B189),IF(("equals")=(INDEX(B1:XFD1,(A2)+(0))),(INDEX(B4:B404,(B3)+(1)))=(B189),IF(("leq")=(INDEX(B1:XFD1,(A2)+(0))),(INDEX(B4:B404,(B3)+(1)))&lt;=(B189),IF(("mod")=(INDEX(B1:XFD1,(A2)+(0))),MOD(INDEX(B4:B404,(B3)+(1)),B189),B189)))))))),B189))</f>
        <v>#VALUE!</v>
      </c>
      <c r="C189" t="e">
        <f ca="1">IF((A1)=(2),1,IF(AND((INDEX(B1:XFD1,(A2)+(0)))=("writeheap"),(INDEX(B4:B404,(B3)+(1)))=(185)),INDEX(B4:B404,(B3)+(2)),IF((A1)=(2),1,IF((186)=(C3),C189,C189))))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404,(B190)+(1)),IF(("add")=(INDEX(B1:XFD1,(A2)+(0))),(INDEX(B4:B404,(B3)+(1)))+(B190),IF(("equals")=(INDEX(B1:XFD1,(A2)+(0))),(INDEX(B4:B404,(B3)+(1)))=(B190),IF(("leq")=(INDEX(B1:XFD1,(A2)+(0))),(INDEX(B4:B404,(B3)+(1)))&lt;=(B190),IF(("mod")=(INDEX(B1:XFD1,(A2)+(0))),MOD(INDEX(B4:B404,(B3)+(1)),B190),B190)))))))),B190))</f>
        <v>#VALUE!</v>
      </c>
      <c r="C190" t="e">
        <f ca="1">IF((A1)=(2),1,IF(AND((INDEX(B1:XFD1,(A2)+(0)))=("writeheap"),(INDEX(B4:B404,(B3)+(1)))=(186)),INDEX(B4:B404,(B3)+(2)),IF((A1)=(2),1,IF((187)=(C3),C190,C190))))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404,(B191)+(1)),IF(("add")=(INDEX(B1:XFD1,(A2)+(0))),(INDEX(B4:B404,(B3)+(1)))+(B191),IF(("equals")=(INDEX(B1:XFD1,(A2)+(0))),(INDEX(B4:B404,(B3)+(1)))=(B191),IF(("leq")=(INDEX(B1:XFD1,(A2)+(0))),(INDEX(B4:B404,(B3)+(1)))&lt;=(B191),IF(("mod")=(INDEX(B1:XFD1,(A2)+(0))),MOD(INDEX(B4:B404,(B3)+(1)),B191),B191)))))))),B191))</f>
        <v>#VALUE!</v>
      </c>
      <c r="C191" t="e">
        <f ca="1">IF((A1)=(2),1,IF(AND((INDEX(B1:XFD1,(A2)+(0)))=("writeheap"),(INDEX(B4:B404,(B3)+(1)))=(187)),INDEX(B4:B404,(B3)+(2)),IF((A1)=(2),1,IF((188)=(C3),C191,C191))))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404,(B192)+(1)),IF(("add")=(INDEX(B1:XFD1,(A2)+(0))),(INDEX(B4:B404,(B3)+(1)))+(B192),IF(("equals")=(INDEX(B1:XFD1,(A2)+(0))),(INDEX(B4:B404,(B3)+(1)))=(B192),IF(("leq")=(INDEX(B1:XFD1,(A2)+(0))),(INDEX(B4:B404,(B3)+(1)))&lt;=(B192),IF(("mod")=(INDEX(B1:XFD1,(A2)+(0))),MOD(INDEX(B4:B404,(B3)+(1)),B192),B192)))))))),B192))</f>
        <v>#VALUE!</v>
      </c>
      <c r="C192" t="e">
        <f ca="1">IF((A1)=(2),1,IF(AND((INDEX(B1:XFD1,(A2)+(0)))=("writeheap"),(INDEX(B4:B404,(B3)+(1)))=(188)),INDEX(B4:B404,(B3)+(2)),IF((A1)=(2),1,IF((189)=(C3),C192,C192))))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404,(B193)+(1)),IF(("add")=(INDEX(B1:XFD1,(A2)+(0))),(INDEX(B4:B404,(B3)+(1)))+(B193),IF(("equals")=(INDEX(B1:XFD1,(A2)+(0))),(INDEX(B4:B404,(B3)+(1)))=(B193),IF(("leq")=(INDEX(B1:XFD1,(A2)+(0))),(INDEX(B4:B404,(B3)+(1)))&lt;=(B193),IF(("mod")=(INDEX(B1:XFD1,(A2)+(0))),MOD(INDEX(B4:B404,(B3)+(1)),B193),B193)))))))),B193))</f>
        <v>#VALUE!</v>
      </c>
      <c r="C193" t="e">
        <f ca="1">IF((A1)=(2),1,IF(AND((INDEX(B1:XFD1,(A2)+(0)))=("writeheap"),(INDEX(B4:B404,(B3)+(1)))=(189)),INDEX(B4:B404,(B3)+(2)),IF((A1)=(2),1,IF((190)=(C3),C193,C193))))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404,(B194)+(1)),IF(("add")=(INDEX(B1:XFD1,(A2)+(0))),(INDEX(B4:B404,(B3)+(1)))+(B194),IF(("equals")=(INDEX(B1:XFD1,(A2)+(0))),(INDEX(B4:B404,(B3)+(1)))=(B194),IF(("leq")=(INDEX(B1:XFD1,(A2)+(0))),(INDEX(B4:B404,(B3)+(1)))&lt;=(B194),IF(("mod")=(INDEX(B1:XFD1,(A2)+(0))),MOD(INDEX(B4:B404,(B3)+(1)),B194),B194)))))))),B194))</f>
        <v>#VALUE!</v>
      </c>
      <c r="C194" t="e">
        <f ca="1">IF((A1)=(2),1,IF(AND((INDEX(B1:XFD1,(A2)+(0)))=("writeheap"),(INDEX(B4:B404,(B3)+(1)))=(190)),INDEX(B4:B404,(B3)+(2)),IF((A1)=(2),1,IF((191)=(C3),C194,C194))))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404,(B195)+(1)),IF(("add")=(INDEX(B1:XFD1,(A2)+(0))),(INDEX(B4:B404,(B3)+(1)))+(B195),IF(("equals")=(INDEX(B1:XFD1,(A2)+(0))),(INDEX(B4:B404,(B3)+(1)))=(B195),IF(("leq")=(INDEX(B1:XFD1,(A2)+(0))),(INDEX(B4:B404,(B3)+(1)))&lt;=(B195),IF(("mod")=(INDEX(B1:XFD1,(A2)+(0))),MOD(INDEX(B4:B404,(B3)+(1)),B195),B195)))))))),B195))</f>
        <v>#VALUE!</v>
      </c>
      <c r="C195" t="e">
        <f ca="1">IF((A1)=(2),1,IF(AND((INDEX(B1:XFD1,(A2)+(0)))=("writeheap"),(INDEX(B4:B404,(B3)+(1)))=(191)),INDEX(B4:B404,(B3)+(2)),IF((A1)=(2),1,IF((192)=(C3),C195,C195))))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404,(B196)+(1)),IF(("add")=(INDEX(B1:XFD1,(A2)+(0))),(INDEX(B4:B404,(B3)+(1)))+(B196),IF(("equals")=(INDEX(B1:XFD1,(A2)+(0))),(INDEX(B4:B404,(B3)+(1)))=(B196),IF(("leq")=(INDEX(B1:XFD1,(A2)+(0))),(INDEX(B4:B404,(B3)+(1)))&lt;=(B196),IF(("mod")=(INDEX(B1:XFD1,(A2)+(0))),MOD(INDEX(B4:B404,(B3)+(1)),B196),B196)))))))),B196))</f>
        <v>#VALUE!</v>
      </c>
      <c r="C196" t="e">
        <f ca="1">IF((A1)=(2),1,IF(AND((INDEX(B1:XFD1,(A2)+(0)))=("writeheap"),(INDEX(B4:B404,(B3)+(1)))=(192)),INDEX(B4:B404,(B3)+(2)),IF((A1)=(2),1,IF((193)=(C3),C196,C196))))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404,(B197)+(1)),IF(("add")=(INDEX(B1:XFD1,(A2)+(0))),(INDEX(B4:B404,(B3)+(1)))+(B197),IF(("equals")=(INDEX(B1:XFD1,(A2)+(0))),(INDEX(B4:B404,(B3)+(1)))=(B197),IF(("leq")=(INDEX(B1:XFD1,(A2)+(0))),(INDEX(B4:B404,(B3)+(1)))&lt;=(B197),IF(("mod")=(INDEX(B1:XFD1,(A2)+(0))),MOD(INDEX(B4:B404,(B3)+(1)),B197),B197)))))))),B197))</f>
        <v>#VALUE!</v>
      </c>
      <c r="C197" t="e">
        <f ca="1">IF((A1)=(2),1,IF(AND((INDEX(B1:XFD1,(A2)+(0)))=("writeheap"),(INDEX(B4:B404,(B3)+(1)))=(193)),INDEX(B4:B404,(B3)+(2)),IF((A1)=(2),1,IF((194)=(C3),C197,C197))))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404,(B198)+(1)),IF(("add")=(INDEX(B1:XFD1,(A2)+(0))),(INDEX(B4:B404,(B3)+(1)))+(B198),IF(("equals")=(INDEX(B1:XFD1,(A2)+(0))),(INDEX(B4:B404,(B3)+(1)))=(B198),IF(("leq")=(INDEX(B1:XFD1,(A2)+(0))),(INDEX(B4:B404,(B3)+(1)))&lt;=(B198),IF(("mod")=(INDEX(B1:XFD1,(A2)+(0))),MOD(INDEX(B4:B404,(B3)+(1)),B198),B198)))))))),B198))</f>
        <v>#VALUE!</v>
      </c>
      <c r="C198" t="e">
        <f ca="1">IF((A1)=(2),1,IF(AND((INDEX(B1:XFD1,(A2)+(0)))=("writeheap"),(INDEX(B4:B404,(B3)+(1)))=(194)),INDEX(B4:B404,(B3)+(2)),IF((A1)=(2),1,IF((195)=(C3),C198,C198))))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404,(B199)+(1)),IF(("add")=(INDEX(B1:XFD1,(A2)+(0))),(INDEX(B4:B404,(B3)+(1)))+(B199),IF(("equals")=(INDEX(B1:XFD1,(A2)+(0))),(INDEX(B4:B404,(B3)+(1)))=(B199),IF(("leq")=(INDEX(B1:XFD1,(A2)+(0))),(INDEX(B4:B404,(B3)+(1)))&lt;=(B199),IF(("mod")=(INDEX(B1:XFD1,(A2)+(0))),MOD(INDEX(B4:B404,(B3)+(1)),B199),B199)))))))),B199))</f>
        <v>#VALUE!</v>
      </c>
      <c r="C199" t="e">
        <f ca="1">IF((A1)=(2),1,IF(AND((INDEX(B1:XFD1,(A2)+(0)))=("writeheap"),(INDEX(B4:B404,(B3)+(1)))=(195)),INDEX(B4:B404,(B3)+(2)),IF((A1)=(2),1,IF((196)=(C3),C199,C199))))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404,(B200)+(1)),IF(("add")=(INDEX(B1:XFD1,(A2)+(0))),(INDEX(B4:B404,(B3)+(1)))+(B200),IF(("equals")=(INDEX(B1:XFD1,(A2)+(0))),(INDEX(B4:B404,(B3)+(1)))=(B200),IF(("leq")=(INDEX(B1:XFD1,(A2)+(0))),(INDEX(B4:B404,(B3)+(1)))&lt;=(B200),IF(("mod")=(INDEX(B1:XFD1,(A2)+(0))),MOD(INDEX(B4:B404,(B3)+(1)),B200),B200)))))))),B200))</f>
        <v>#VALUE!</v>
      </c>
      <c r="C200" t="e">
        <f ca="1">IF((A1)=(2),1,IF(AND((INDEX(B1:XFD1,(A2)+(0)))=("writeheap"),(INDEX(B4:B404,(B3)+(1)))=(196)),INDEX(B4:B404,(B3)+(2)),IF((A1)=(2),1,IF((197)=(C3),C200,C200))))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404,(B201)+(1)),IF(("add")=(INDEX(B1:XFD1,(A2)+(0))),(INDEX(B4:B404,(B3)+(1)))+(B201),IF(("equals")=(INDEX(B1:XFD1,(A2)+(0))),(INDEX(B4:B404,(B3)+(1)))=(B201),IF(("leq")=(INDEX(B1:XFD1,(A2)+(0))),(INDEX(B4:B404,(B3)+(1)))&lt;=(B201),IF(("mod")=(INDEX(B1:XFD1,(A2)+(0))),MOD(INDEX(B4:B404,(B3)+(1)),B201),B201)))))))),B201))</f>
        <v>#VALUE!</v>
      </c>
      <c r="C201" t="e">
        <f ca="1">IF((A1)=(2),1,IF(AND((INDEX(B1:XFD1,(A2)+(0)))=("writeheap"),(INDEX(B4:B404,(B3)+(1)))=(197)),INDEX(B4:B404,(B3)+(2)),IF((A1)=(2),1,IF((198)=(C3),C201,C201))))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404,(B202)+(1)),IF(("add")=(INDEX(B1:XFD1,(A2)+(0))),(INDEX(B4:B404,(B3)+(1)))+(B202),IF(("equals")=(INDEX(B1:XFD1,(A2)+(0))),(INDEX(B4:B404,(B3)+(1)))=(B202),IF(("leq")=(INDEX(B1:XFD1,(A2)+(0))),(INDEX(B4:B404,(B3)+(1)))&lt;=(B202),IF(("mod")=(INDEX(B1:XFD1,(A2)+(0))),MOD(INDEX(B4:B404,(B3)+(1)),B202),B202)))))))),B202))</f>
        <v>#VALUE!</v>
      </c>
      <c r="C202" t="e">
        <f ca="1">IF((A1)=(2),1,IF(AND((INDEX(B1:XFD1,(A2)+(0)))=("writeheap"),(INDEX(B4:B404,(B3)+(1)))=(198)),INDEX(B4:B404,(B3)+(2)),IF((A1)=(2),1,IF((199)=(C3),C202,C202))))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404,(B203)+(1)),IF(("add")=(INDEX(B1:XFD1,(A2)+(0))),(INDEX(B4:B404,(B3)+(1)))+(B203),IF(("equals")=(INDEX(B1:XFD1,(A2)+(0))),(INDEX(B4:B404,(B3)+(1)))=(B203),IF(("leq")=(INDEX(B1:XFD1,(A2)+(0))),(INDEX(B4:B404,(B3)+(1)))&lt;=(B203),IF(("mod")=(INDEX(B1:XFD1,(A2)+(0))),MOD(INDEX(B4:B404,(B3)+(1)),B203),B203)))))))),B203))</f>
        <v>#VALUE!</v>
      </c>
      <c r="C203" t="e">
        <f ca="1">IF((A1)=(2),1,IF(AND((INDEX(B1:XFD1,(A2)+(0)))=("writeheap"),(INDEX(B4:B404,(B3)+(1)))=(199)),INDEX(B4:B404,(B3)+(2)),IF((A1)=(2),1,IF((200)=(C3),C203,C203))))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404,(B204)+(1)),IF(("add")=(INDEX(B1:XFD1,(A2)+(0))),(INDEX(B4:B404,(B3)+(1)))+(B204),IF(("equals")=(INDEX(B1:XFD1,(A2)+(0))),(INDEX(B4:B404,(B3)+(1)))=(B204),IF(("leq")=(INDEX(B1:XFD1,(A2)+(0))),(INDEX(B4:B404,(B3)+(1)))&lt;=(B204),IF(("mod")=(INDEX(B1:XFD1,(A2)+(0))),MOD(INDEX(B4:B404,(B3)+(1)),B204),B204)))))))),B204))</f>
        <v>#VALUE!</v>
      </c>
      <c r="C204" t="e">
        <f ca="1">IF((A1)=(2),1,IF(AND((INDEX(B1:XFD1,(A2)+(0)))=("writeheap"),(INDEX(B4:B404,(B3)+(1)))=(200)),INDEX(B4:B404,(B3)+(2)),IF((A1)=(2),1,IF((201)=(C3),C204,C204))))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404,(B205)+(1)),IF(("add")=(INDEX(B1:XFD1,(A2)+(0))),(INDEX(B4:B404,(B3)+(1)))+(B205),IF(("equals")=(INDEX(B1:XFD1,(A2)+(0))),(INDEX(B4:B404,(B3)+(1)))=(B205),IF(("leq")=(INDEX(B1:XFD1,(A2)+(0))),(INDEX(B4:B404,(B3)+(1)))&lt;=(B205),IF(("mod")=(INDEX(B1:XFD1,(A2)+(0))),MOD(INDEX(B4:B404,(B3)+(1)),B205),B205)))))))),B205))</f>
        <v>#VALUE!</v>
      </c>
      <c r="C205" t="e">
        <f ca="1">IF((A1)=(2),1,IF(AND((INDEX(B1:XFD1,(A2)+(0)))=("writeheap"),(INDEX(B4:B404,(B3)+(1)))=(201)),INDEX(B4:B404,(B3)+(2)),IF((A1)=(2),1,IF((202)=(C3),C205,C205))))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404,(B206)+(1)),IF(("add")=(INDEX(B1:XFD1,(A2)+(0))),(INDEX(B4:B404,(B3)+(1)))+(B206),IF(("equals")=(INDEX(B1:XFD1,(A2)+(0))),(INDEX(B4:B404,(B3)+(1)))=(B206),IF(("leq")=(INDEX(B1:XFD1,(A2)+(0))),(INDEX(B4:B404,(B3)+(1)))&lt;=(B206),IF(("mod")=(INDEX(B1:XFD1,(A2)+(0))),MOD(INDEX(B4:B404,(B3)+(1)),B206),B206)))))))),B206))</f>
        <v>#VALUE!</v>
      </c>
      <c r="C206" t="e">
        <f ca="1">IF((A1)=(2),1,IF(AND((INDEX(B1:XFD1,(A2)+(0)))=("writeheap"),(INDEX(B4:B404,(B3)+(1)))=(202)),INDEX(B4:B404,(B3)+(2)),IF((A1)=(2),1,IF((203)=(C3),C206,C206))))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404,(B207)+(1)),IF(("add")=(INDEX(B1:XFD1,(A2)+(0))),(INDEX(B4:B404,(B3)+(1)))+(B207),IF(("equals")=(INDEX(B1:XFD1,(A2)+(0))),(INDEX(B4:B404,(B3)+(1)))=(B207),IF(("leq")=(INDEX(B1:XFD1,(A2)+(0))),(INDEX(B4:B404,(B3)+(1)))&lt;=(B207),IF(("mod")=(INDEX(B1:XFD1,(A2)+(0))),MOD(INDEX(B4:B404,(B3)+(1)),B207),B207)))))))),B207))</f>
        <v>#VALUE!</v>
      </c>
      <c r="C207" t="e">
        <f ca="1">IF((A1)=(2),1,IF(AND((INDEX(B1:XFD1,(A2)+(0)))=("writeheap"),(INDEX(B4:B404,(B3)+(1)))=(203)),INDEX(B4:B404,(B3)+(2)),IF((A1)=(2),1,IF((204)=(C3),C207,C207))))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404,(B208)+(1)),IF(("add")=(INDEX(B1:XFD1,(A2)+(0))),(INDEX(B4:B404,(B3)+(1)))+(B208),IF(("equals")=(INDEX(B1:XFD1,(A2)+(0))),(INDEX(B4:B404,(B3)+(1)))=(B208),IF(("leq")=(INDEX(B1:XFD1,(A2)+(0))),(INDEX(B4:B404,(B3)+(1)))&lt;=(B208),IF(("mod")=(INDEX(B1:XFD1,(A2)+(0))),MOD(INDEX(B4:B404,(B3)+(1)),B208),B208)))))))),B208))</f>
        <v>#VALUE!</v>
      </c>
      <c r="C208" t="e">
        <f ca="1">IF((A1)=(2),1,IF(AND((INDEX(B1:XFD1,(A2)+(0)))=("writeheap"),(INDEX(B4:B404,(B3)+(1)))=(204)),INDEX(B4:B404,(B3)+(2)),IF((A1)=(2),1,IF((205)=(C3),C208,C208))))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404,(B209)+(1)),IF(("add")=(INDEX(B1:XFD1,(A2)+(0))),(INDEX(B4:B404,(B3)+(1)))+(B209),IF(("equals")=(INDEX(B1:XFD1,(A2)+(0))),(INDEX(B4:B404,(B3)+(1)))=(B209),IF(("leq")=(INDEX(B1:XFD1,(A2)+(0))),(INDEX(B4:B404,(B3)+(1)))&lt;=(B209),IF(("mod")=(INDEX(B1:XFD1,(A2)+(0))),MOD(INDEX(B4:B404,(B3)+(1)),B209),B209)))))))),B209))</f>
        <v>#VALUE!</v>
      </c>
      <c r="C209" t="e">
        <f ca="1">IF((A1)=(2),1,IF(AND((INDEX(B1:XFD1,(A2)+(0)))=("writeheap"),(INDEX(B4:B404,(B3)+(1)))=(205)),INDEX(B4:B404,(B3)+(2)),IF((A1)=(2),1,IF((206)=(C3),C209,C209))))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404,(B210)+(1)),IF(("add")=(INDEX(B1:XFD1,(A2)+(0))),(INDEX(B4:B404,(B3)+(1)))+(B210),IF(("equals")=(INDEX(B1:XFD1,(A2)+(0))),(INDEX(B4:B404,(B3)+(1)))=(B210),IF(("leq")=(INDEX(B1:XFD1,(A2)+(0))),(INDEX(B4:B404,(B3)+(1)))&lt;=(B210),IF(("mod")=(INDEX(B1:XFD1,(A2)+(0))),MOD(INDEX(B4:B404,(B3)+(1)),B210),B210)))))))),B210))</f>
        <v>#VALUE!</v>
      </c>
      <c r="C210" t="e">
        <f ca="1">IF((A1)=(2),1,IF(AND((INDEX(B1:XFD1,(A2)+(0)))=("writeheap"),(INDEX(B4:B404,(B3)+(1)))=(206)),INDEX(B4:B404,(B3)+(2)),IF((A1)=(2),1,IF((207)=(C3),C210,C210))))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404,(B211)+(1)),IF(("add")=(INDEX(B1:XFD1,(A2)+(0))),(INDEX(B4:B404,(B3)+(1)))+(B211),IF(("equals")=(INDEX(B1:XFD1,(A2)+(0))),(INDEX(B4:B404,(B3)+(1)))=(B211),IF(("leq")=(INDEX(B1:XFD1,(A2)+(0))),(INDEX(B4:B404,(B3)+(1)))&lt;=(B211),IF(("mod")=(INDEX(B1:XFD1,(A2)+(0))),MOD(INDEX(B4:B404,(B3)+(1)),B211),B211)))))))),B211))</f>
        <v>#VALUE!</v>
      </c>
      <c r="C211" t="e">
        <f ca="1">IF((A1)=(2),1,IF(AND((INDEX(B1:XFD1,(A2)+(0)))=("writeheap"),(INDEX(B4:B404,(B3)+(1)))=(207)),INDEX(B4:B404,(B3)+(2)),IF((A1)=(2),1,IF((208)=(C3),C211,C211))))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404,(B212)+(1)),IF(("add")=(INDEX(B1:XFD1,(A2)+(0))),(INDEX(B4:B404,(B3)+(1)))+(B212),IF(("equals")=(INDEX(B1:XFD1,(A2)+(0))),(INDEX(B4:B404,(B3)+(1)))=(B212),IF(("leq")=(INDEX(B1:XFD1,(A2)+(0))),(INDEX(B4:B404,(B3)+(1)))&lt;=(B212),IF(("mod")=(INDEX(B1:XFD1,(A2)+(0))),MOD(INDEX(B4:B404,(B3)+(1)),B212),B212)))))))),B212))</f>
        <v>#VALUE!</v>
      </c>
      <c r="C212" t="e">
        <f ca="1">IF((A1)=(2),1,IF(AND((INDEX(B1:XFD1,(A2)+(0)))=("writeheap"),(INDEX(B4:B404,(B3)+(1)))=(208)),INDEX(B4:B404,(B3)+(2)),IF((A1)=(2),1,IF((209)=(C3),C212,C212))))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404,(B213)+(1)),IF(("add")=(INDEX(B1:XFD1,(A2)+(0))),(INDEX(B4:B404,(B3)+(1)))+(B213),IF(("equals")=(INDEX(B1:XFD1,(A2)+(0))),(INDEX(B4:B404,(B3)+(1)))=(B213),IF(("leq")=(INDEX(B1:XFD1,(A2)+(0))),(INDEX(B4:B404,(B3)+(1)))&lt;=(B213),IF(("mod")=(INDEX(B1:XFD1,(A2)+(0))),MOD(INDEX(B4:B404,(B3)+(1)),B213),B213)))))))),B213))</f>
        <v>#VALUE!</v>
      </c>
      <c r="C213" t="e">
        <f ca="1">IF((A1)=(2),1,IF(AND((INDEX(B1:XFD1,(A2)+(0)))=("writeheap"),(INDEX(B4:B404,(B3)+(1)))=(209)),INDEX(B4:B404,(B3)+(2)),IF((A1)=(2),1,IF((210)=(C3),C213,C213))))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404,(B214)+(1)),IF(("add")=(INDEX(B1:XFD1,(A2)+(0))),(INDEX(B4:B404,(B3)+(1)))+(B214),IF(("equals")=(INDEX(B1:XFD1,(A2)+(0))),(INDEX(B4:B404,(B3)+(1)))=(B214),IF(("leq")=(INDEX(B1:XFD1,(A2)+(0))),(INDEX(B4:B404,(B3)+(1)))&lt;=(B214),IF(("mod")=(INDEX(B1:XFD1,(A2)+(0))),MOD(INDEX(B4:B404,(B3)+(1)),B214),B214)))))))),B214))</f>
        <v>#VALUE!</v>
      </c>
      <c r="C214" t="e">
        <f ca="1">IF((A1)=(2),1,IF(AND((INDEX(B1:XFD1,(A2)+(0)))=("writeheap"),(INDEX(B4:B404,(B3)+(1)))=(210)),INDEX(B4:B404,(B3)+(2)),IF((A1)=(2),1,IF((211)=(C3),C214,C214))))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404,(B215)+(1)),IF(("add")=(INDEX(B1:XFD1,(A2)+(0))),(INDEX(B4:B404,(B3)+(1)))+(B215),IF(("equals")=(INDEX(B1:XFD1,(A2)+(0))),(INDEX(B4:B404,(B3)+(1)))=(B215),IF(("leq")=(INDEX(B1:XFD1,(A2)+(0))),(INDEX(B4:B404,(B3)+(1)))&lt;=(B215),IF(("mod")=(INDEX(B1:XFD1,(A2)+(0))),MOD(INDEX(B4:B404,(B3)+(1)),B215),B215)))))))),B215))</f>
        <v>#VALUE!</v>
      </c>
      <c r="C215" t="e">
        <f ca="1">IF((A1)=(2),1,IF(AND((INDEX(B1:XFD1,(A2)+(0)))=("writeheap"),(INDEX(B4:B404,(B3)+(1)))=(211)),INDEX(B4:B404,(B3)+(2)),IF((A1)=(2),1,IF((212)=(C3),C215,C215))))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404,(B216)+(1)),IF(("add")=(INDEX(B1:XFD1,(A2)+(0))),(INDEX(B4:B404,(B3)+(1)))+(B216),IF(("equals")=(INDEX(B1:XFD1,(A2)+(0))),(INDEX(B4:B404,(B3)+(1)))=(B216),IF(("leq")=(INDEX(B1:XFD1,(A2)+(0))),(INDEX(B4:B404,(B3)+(1)))&lt;=(B216),IF(("mod")=(INDEX(B1:XFD1,(A2)+(0))),MOD(INDEX(B4:B404,(B3)+(1)),B216),B216)))))))),B216))</f>
        <v>#VALUE!</v>
      </c>
      <c r="C216" t="e">
        <f ca="1">IF((A1)=(2),1,IF(AND((INDEX(B1:XFD1,(A2)+(0)))=("writeheap"),(INDEX(B4:B404,(B3)+(1)))=(212)),INDEX(B4:B404,(B3)+(2)),IF((A1)=(2),1,IF((213)=(C3),C216,C216))))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404,(B217)+(1)),IF(("add")=(INDEX(B1:XFD1,(A2)+(0))),(INDEX(B4:B404,(B3)+(1)))+(B217),IF(("equals")=(INDEX(B1:XFD1,(A2)+(0))),(INDEX(B4:B404,(B3)+(1)))=(B217),IF(("leq")=(INDEX(B1:XFD1,(A2)+(0))),(INDEX(B4:B404,(B3)+(1)))&lt;=(B217),IF(("mod")=(INDEX(B1:XFD1,(A2)+(0))),MOD(INDEX(B4:B404,(B3)+(1)),B217),B217)))))))),B217))</f>
        <v>#VALUE!</v>
      </c>
      <c r="C217" t="e">
        <f ca="1">IF((A1)=(2),1,IF(AND((INDEX(B1:XFD1,(A2)+(0)))=("writeheap"),(INDEX(B4:B404,(B3)+(1)))=(213)),INDEX(B4:B404,(B3)+(2)),IF((A1)=(2),1,IF((214)=(C3),C217,C217))))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404,(B218)+(1)),IF(("add")=(INDEX(B1:XFD1,(A2)+(0))),(INDEX(B4:B404,(B3)+(1)))+(B218),IF(("equals")=(INDEX(B1:XFD1,(A2)+(0))),(INDEX(B4:B404,(B3)+(1)))=(B218),IF(("leq")=(INDEX(B1:XFD1,(A2)+(0))),(INDEX(B4:B404,(B3)+(1)))&lt;=(B218),IF(("mod")=(INDEX(B1:XFD1,(A2)+(0))),MOD(INDEX(B4:B404,(B3)+(1)),B218),B218)))))))),B218))</f>
        <v>#VALUE!</v>
      </c>
      <c r="C218" t="e">
        <f ca="1">IF((A1)=(2),1,IF(AND((INDEX(B1:XFD1,(A2)+(0)))=("writeheap"),(INDEX(B4:B404,(B3)+(1)))=(214)),INDEX(B4:B404,(B3)+(2)),IF((A1)=(2),1,IF((215)=(C3),C218,C218))))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404,(B219)+(1)),IF(("add")=(INDEX(B1:XFD1,(A2)+(0))),(INDEX(B4:B404,(B3)+(1)))+(B219),IF(("equals")=(INDEX(B1:XFD1,(A2)+(0))),(INDEX(B4:B404,(B3)+(1)))=(B219),IF(("leq")=(INDEX(B1:XFD1,(A2)+(0))),(INDEX(B4:B404,(B3)+(1)))&lt;=(B219),IF(("mod")=(INDEX(B1:XFD1,(A2)+(0))),MOD(INDEX(B4:B404,(B3)+(1)),B219),B219)))))))),B219))</f>
        <v>#VALUE!</v>
      </c>
      <c r="C219" t="e">
        <f ca="1">IF((A1)=(2),1,IF(AND((INDEX(B1:XFD1,(A2)+(0)))=("writeheap"),(INDEX(B4:B404,(B3)+(1)))=(215)),INDEX(B4:B404,(B3)+(2)),IF((A1)=(2),1,IF((216)=(C3),C219,C219))))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404,(B220)+(1)),IF(("add")=(INDEX(B1:XFD1,(A2)+(0))),(INDEX(B4:B404,(B3)+(1)))+(B220),IF(("equals")=(INDEX(B1:XFD1,(A2)+(0))),(INDEX(B4:B404,(B3)+(1)))=(B220),IF(("leq")=(INDEX(B1:XFD1,(A2)+(0))),(INDEX(B4:B404,(B3)+(1)))&lt;=(B220),IF(("mod")=(INDEX(B1:XFD1,(A2)+(0))),MOD(INDEX(B4:B404,(B3)+(1)),B220),B220)))))))),B220))</f>
        <v>#VALUE!</v>
      </c>
      <c r="C220" t="e">
        <f ca="1">IF((A1)=(2),1,IF(AND((INDEX(B1:XFD1,(A2)+(0)))=("writeheap"),(INDEX(B4:B404,(B3)+(1)))=(216)),INDEX(B4:B404,(B3)+(2)),IF((A1)=(2),1,IF((217)=(C3),C220,C220))))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404,(B221)+(1)),IF(("add")=(INDEX(B1:XFD1,(A2)+(0))),(INDEX(B4:B404,(B3)+(1)))+(B221),IF(("equals")=(INDEX(B1:XFD1,(A2)+(0))),(INDEX(B4:B404,(B3)+(1)))=(B221),IF(("leq")=(INDEX(B1:XFD1,(A2)+(0))),(INDEX(B4:B404,(B3)+(1)))&lt;=(B221),IF(("mod")=(INDEX(B1:XFD1,(A2)+(0))),MOD(INDEX(B4:B404,(B3)+(1)),B221),B221)))))))),B221))</f>
        <v>#VALUE!</v>
      </c>
      <c r="C221" t="e">
        <f ca="1">IF((A1)=(2),1,IF(AND((INDEX(B1:XFD1,(A2)+(0)))=("writeheap"),(INDEX(B4:B404,(B3)+(1)))=(217)),INDEX(B4:B404,(B3)+(2)),IF((A1)=(2),1,IF((218)=(C3),C221,C221))))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404,(B222)+(1)),IF(("add")=(INDEX(B1:XFD1,(A2)+(0))),(INDEX(B4:B404,(B3)+(1)))+(B222),IF(("equals")=(INDEX(B1:XFD1,(A2)+(0))),(INDEX(B4:B404,(B3)+(1)))=(B222),IF(("leq")=(INDEX(B1:XFD1,(A2)+(0))),(INDEX(B4:B404,(B3)+(1)))&lt;=(B222),IF(("mod")=(INDEX(B1:XFD1,(A2)+(0))),MOD(INDEX(B4:B404,(B3)+(1)),B222),B222)))))))),B222))</f>
        <v>#VALUE!</v>
      </c>
      <c r="C222" t="e">
        <f ca="1">IF((A1)=(2),1,IF(AND((INDEX(B1:XFD1,(A2)+(0)))=("writeheap"),(INDEX(B4:B404,(B3)+(1)))=(218)),INDEX(B4:B404,(B3)+(2)),IF((A1)=(2),1,IF((219)=(C3),C222,C222))))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404,(B223)+(1)),IF(("add")=(INDEX(B1:XFD1,(A2)+(0))),(INDEX(B4:B404,(B3)+(1)))+(B223),IF(("equals")=(INDEX(B1:XFD1,(A2)+(0))),(INDEX(B4:B404,(B3)+(1)))=(B223),IF(("leq")=(INDEX(B1:XFD1,(A2)+(0))),(INDEX(B4:B404,(B3)+(1)))&lt;=(B223),IF(("mod")=(INDEX(B1:XFD1,(A2)+(0))),MOD(INDEX(B4:B404,(B3)+(1)),B223),B223)))))))),B223))</f>
        <v>#VALUE!</v>
      </c>
      <c r="C223" t="e">
        <f ca="1">IF((A1)=(2),1,IF(AND((INDEX(B1:XFD1,(A2)+(0)))=("writeheap"),(INDEX(B4:B404,(B3)+(1)))=(219)),INDEX(B4:B404,(B3)+(2)),IF((A1)=(2),1,IF((220)=(C3),C223,C223))))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404,(B224)+(1)),IF(("add")=(INDEX(B1:XFD1,(A2)+(0))),(INDEX(B4:B404,(B3)+(1)))+(B224),IF(("equals")=(INDEX(B1:XFD1,(A2)+(0))),(INDEX(B4:B404,(B3)+(1)))=(B224),IF(("leq")=(INDEX(B1:XFD1,(A2)+(0))),(INDEX(B4:B404,(B3)+(1)))&lt;=(B224),IF(("mod")=(INDEX(B1:XFD1,(A2)+(0))),MOD(INDEX(B4:B404,(B3)+(1)),B224),B224)))))))),B224))</f>
        <v>#VALUE!</v>
      </c>
      <c r="C224" t="e">
        <f ca="1">IF((A1)=(2),1,IF(AND((INDEX(B1:XFD1,(A2)+(0)))=("writeheap"),(INDEX(B4:B404,(B3)+(1)))=(220)),INDEX(B4:B404,(B3)+(2)),IF((A1)=(2),1,IF((221)=(C3),C224,C224))))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404,(B225)+(1)),IF(("add")=(INDEX(B1:XFD1,(A2)+(0))),(INDEX(B4:B404,(B3)+(1)))+(B225),IF(("equals")=(INDEX(B1:XFD1,(A2)+(0))),(INDEX(B4:B404,(B3)+(1)))=(B225),IF(("leq")=(INDEX(B1:XFD1,(A2)+(0))),(INDEX(B4:B404,(B3)+(1)))&lt;=(B225),IF(("mod")=(INDEX(B1:XFD1,(A2)+(0))),MOD(INDEX(B4:B404,(B3)+(1)),B225),B225)))))))),B225))</f>
        <v>#VALUE!</v>
      </c>
      <c r="C225" t="e">
        <f ca="1">IF((A1)=(2),1,IF(AND((INDEX(B1:XFD1,(A2)+(0)))=("writeheap"),(INDEX(B4:B404,(B3)+(1)))=(221)),INDEX(B4:B404,(B3)+(2)),IF((A1)=(2),1,IF((222)=(C3),C225,C225))))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404,(B226)+(1)),IF(("add")=(INDEX(B1:XFD1,(A2)+(0))),(INDEX(B4:B404,(B3)+(1)))+(B226),IF(("equals")=(INDEX(B1:XFD1,(A2)+(0))),(INDEX(B4:B404,(B3)+(1)))=(B226),IF(("leq")=(INDEX(B1:XFD1,(A2)+(0))),(INDEX(B4:B404,(B3)+(1)))&lt;=(B226),IF(("mod")=(INDEX(B1:XFD1,(A2)+(0))),MOD(INDEX(B4:B404,(B3)+(1)),B226),B226)))))))),B226))</f>
        <v>#VALUE!</v>
      </c>
      <c r="C226" t="e">
        <f ca="1">IF((A1)=(2),1,IF(AND((INDEX(B1:XFD1,(A2)+(0)))=("writeheap"),(INDEX(B4:B404,(B3)+(1)))=(222)),INDEX(B4:B404,(B3)+(2)),IF((A1)=(2),1,IF((223)=(C3),C226,C226))))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404,(B227)+(1)),IF(("add")=(INDEX(B1:XFD1,(A2)+(0))),(INDEX(B4:B404,(B3)+(1)))+(B227),IF(("equals")=(INDEX(B1:XFD1,(A2)+(0))),(INDEX(B4:B404,(B3)+(1)))=(B227),IF(("leq")=(INDEX(B1:XFD1,(A2)+(0))),(INDEX(B4:B404,(B3)+(1)))&lt;=(B227),IF(("mod")=(INDEX(B1:XFD1,(A2)+(0))),MOD(INDEX(B4:B404,(B3)+(1)),B227),B227)))))))),B227))</f>
        <v>#VALUE!</v>
      </c>
      <c r="C227" t="e">
        <f ca="1">IF((A1)=(2),1,IF(AND((INDEX(B1:XFD1,(A2)+(0)))=("writeheap"),(INDEX(B4:B404,(B3)+(1)))=(223)),INDEX(B4:B404,(B3)+(2)),IF((A1)=(2),1,IF((224)=(C3),C227,C227))))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404,(B228)+(1)),IF(("add")=(INDEX(B1:XFD1,(A2)+(0))),(INDEX(B4:B404,(B3)+(1)))+(B228),IF(("equals")=(INDEX(B1:XFD1,(A2)+(0))),(INDEX(B4:B404,(B3)+(1)))=(B228),IF(("leq")=(INDEX(B1:XFD1,(A2)+(0))),(INDEX(B4:B404,(B3)+(1)))&lt;=(B228),IF(("mod")=(INDEX(B1:XFD1,(A2)+(0))),MOD(INDEX(B4:B404,(B3)+(1)),B228),B228)))))))),B228))</f>
        <v>#VALUE!</v>
      </c>
      <c r="C228" t="e">
        <f ca="1">IF((A1)=(2),1,IF(AND((INDEX(B1:XFD1,(A2)+(0)))=("writeheap"),(INDEX(B4:B404,(B3)+(1)))=(224)),INDEX(B4:B404,(B3)+(2)),IF((A1)=(2),1,IF((225)=(C3),C228,C228))))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404,(B229)+(1)),IF(("add")=(INDEX(B1:XFD1,(A2)+(0))),(INDEX(B4:B404,(B3)+(1)))+(B229),IF(("equals")=(INDEX(B1:XFD1,(A2)+(0))),(INDEX(B4:B404,(B3)+(1)))=(B229),IF(("leq")=(INDEX(B1:XFD1,(A2)+(0))),(INDEX(B4:B404,(B3)+(1)))&lt;=(B229),IF(("mod")=(INDEX(B1:XFD1,(A2)+(0))),MOD(INDEX(B4:B404,(B3)+(1)),B229),B229)))))))),B229))</f>
        <v>#VALUE!</v>
      </c>
      <c r="C229" t="e">
        <f ca="1">IF((A1)=(2),1,IF(AND((INDEX(B1:XFD1,(A2)+(0)))=("writeheap"),(INDEX(B4:B404,(B3)+(1)))=(225)),INDEX(B4:B404,(B3)+(2)),IF((A1)=(2),1,IF((226)=(C3),C229,C229))))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404,(B230)+(1)),IF(("add")=(INDEX(B1:XFD1,(A2)+(0))),(INDEX(B4:B404,(B3)+(1)))+(B230),IF(("equals")=(INDEX(B1:XFD1,(A2)+(0))),(INDEX(B4:B404,(B3)+(1)))=(B230),IF(("leq")=(INDEX(B1:XFD1,(A2)+(0))),(INDEX(B4:B404,(B3)+(1)))&lt;=(B230),IF(("mod")=(INDEX(B1:XFD1,(A2)+(0))),MOD(INDEX(B4:B404,(B3)+(1)),B230),B230)))))))),B230))</f>
        <v>#VALUE!</v>
      </c>
      <c r="C230" t="e">
        <f ca="1">IF((A1)=(2),1,IF(AND((INDEX(B1:XFD1,(A2)+(0)))=("writeheap"),(INDEX(B4:B404,(B3)+(1)))=(226)),INDEX(B4:B404,(B3)+(2)),IF((A1)=(2),1,IF((227)=(C3),C230,C230))))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404,(B231)+(1)),IF(("add")=(INDEX(B1:XFD1,(A2)+(0))),(INDEX(B4:B404,(B3)+(1)))+(B231),IF(("equals")=(INDEX(B1:XFD1,(A2)+(0))),(INDEX(B4:B404,(B3)+(1)))=(B231),IF(("leq")=(INDEX(B1:XFD1,(A2)+(0))),(INDEX(B4:B404,(B3)+(1)))&lt;=(B231),IF(("mod")=(INDEX(B1:XFD1,(A2)+(0))),MOD(INDEX(B4:B404,(B3)+(1)),B231),B231)))))))),B231))</f>
        <v>#VALUE!</v>
      </c>
      <c r="C231" t="e">
        <f ca="1">IF((A1)=(2),1,IF(AND((INDEX(B1:XFD1,(A2)+(0)))=("writeheap"),(INDEX(B4:B404,(B3)+(1)))=(227)),INDEX(B4:B404,(B3)+(2)),IF((A1)=(2),1,IF((228)=(C3),C231,C231))))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404,(B232)+(1)),IF(("add")=(INDEX(B1:XFD1,(A2)+(0))),(INDEX(B4:B404,(B3)+(1)))+(B232),IF(("equals")=(INDEX(B1:XFD1,(A2)+(0))),(INDEX(B4:B404,(B3)+(1)))=(B232),IF(("leq")=(INDEX(B1:XFD1,(A2)+(0))),(INDEX(B4:B404,(B3)+(1)))&lt;=(B232),IF(("mod")=(INDEX(B1:XFD1,(A2)+(0))),MOD(INDEX(B4:B404,(B3)+(1)),B232),B232)))))))),B232))</f>
        <v>#VALUE!</v>
      </c>
      <c r="C232" t="e">
        <f ca="1">IF((A1)=(2),1,IF(AND((INDEX(B1:XFD1,(A2)+(0)))=("writeheap"),(INDEX(B4:B404,(B3)+(1)))=(228)),INDEX(B4:B404,(B3)+(2)),IF((A1)=(2),1,IF((229)=(C3),C232,C232))))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404,(B233)+(1)),IF(("add")=(INDEX(B1:XFD1,(A2)+(0))),(INDEX(B4:B404,(B3)+(1)))+(B233),IF(("equals")=(INDEX(B1:XFD1,(A2)+(0))),(INDEX(B4:B404,(B3)+(1)))=(B233),IF(("leq")=(INDEX(B1:XFD1,(A2)+(0))),(INDEX(B4:B404,(B3)+(1)))&lt;=(B233),IF(("mod")=(INDEX(B1:XFD1,(A2)+(0))),MOD(INDEX(B4:B404,(B3)+(1)),B233),B233)))))))),B233))</f>
        <v>#VALUE!</v>
      </c>
      <c r="C233" t="e">
        <f ca="1">IF((A1)=(2),1,IF(AND((INDEX(B1:XFD1,(A2)+(0)))=("writeheap"),(INDEX(B4:B404,(B3)+(1)))=(229)),INDEX(B4:B404,(B3)+(2)),IF((A1)=(2),1,IF((230)=(C3),C233,C233))))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404,(B234)+(1)),IF(("add")=(INDEX(B1:XFD1,(A2)+(0))),(INDEX(B4:B404,(B3)+(1)))+(B234),IF(("equals")=(INDEX(B1:XFD1,(A2)+(0))),(INDEX(B4:B404,(B3)+(1)))=(B234),IF(("leq")=(INDEX(B1:XFD1,(A2)+(0))),(INDEX(B4:B404,(B3)+(1)))&lt;=(B234),IF(("mod")=(INDEX(B1:XFD1,(A2)+(0))),MOD(INDEX(B4:B404,(B3)+(1)),B234),B234)))))))),B234))</f>
        <v>#VALUE!</v>
      </c>
      <c r="C234" t="e">
        <f ca="1">IF((A1)=(2),1,IF(AND((INDEX(B1:XFD1,(A2)+(0)))=("writeheap"),(INDEX(B4:B404,(B3)+(1)))=(230)),INDEX(B4:B404,(B3)+(2)),IF((A1)=(2),1,IF((231)=(C3),C234,C234))))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404,(B235)+(1)),IF(("add")=(INDEX(B1:XFD1,(A2)+(0))),(INDEX(B4:B404,(B3)+(1)))+(B235),IF(("equals")=(INDEX(B1:XFD1,(A2)+(0))),(INDEX(B4:B404,(B3)+(1)))=(B235),IF(("leq")=(INDEX(B1:XFD1,(A2)+(0))),(INDEX(B4:B404,(B3)+(1)))&lt;=(B235),IF(("mod")=(INDEX(B1:XFD1,(A2)+(0))),MOD(INDEX(B4:B404,(B3)+(1)),B235),B235)))))))),B235))</f>
        <v>#VALUE!</v>
      </c>
      <c r="C235" t="e">
        <f ca="1">IF((A1)=(2),1,IF(AND((INDEX(B1:XFD1,(A2)+(0)))=("writeheap"),(INDEX(B4:B404,(B3)+(1)))=(231)),INDEX(B4:B404,(B3)+(2)),IF((A1)=(2),1,IF((232)=(C3),C235,C235))))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404,(B236)+(1)),IF(("add")=(INDEX(B1:XFD1,(A2)+(0))),(INDEX(B4:B404,(B3)+(1)))+(B236),IF(("equals")=(INDEX(B1:XFD1,(A2)+(0))),(INDEX(B4:B404,(B3)+(1)))=(B236),IF(("leq")=(INDEX(B1:XFD1,(A2)+(0))),(INDEX(B4:B404,(B3)+(1)))&lt;=(B236),IF(("mod")=(INDEX(B1:XFD1,(A2)+(0))),MOD(INDEX(B4:B404,(B3)+(1)),B236),B236)))))))),B236))</f>
        <v>#VALUE!</v>
      </c>
      <c r="C236" t="e">
        <f ca="1">IF((A1)=(2),1,IF(AND((INDEX(B1:XFD1,(A2)+(0)))=("writeheap"),(INDEX(B4:B404,(B3)+(1)))=(232)),INDEX(B4:B404,(B3)+(2)),IF((A1)=(2),1,IF((233)=(C3),C236,C236))))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404,(B237)+(1)),IF(("add")=(INDEX(B1:XFD1,(A2)+(0))),(INDEX(B4:B404,(B3)+(1)))+(B237),IF(("equals")=(INDEX(B1:XFD1,(A2)+(0))),(INDEX(B4:B404,(B3)+(1)))=(B237),IF(("leq")=(INDEX(B1:XFD1,(A2)+(0))),(INDEX(B4:B404,(B3)+(1)))&lt;=(B237),IF(("mod")=(INDEX(B1:XFD1,(A2)+(0))),MOD(INDEX(B4:B404,(B3)+(1)),B237),B237)))))))),B237))</f>
        <v>#VALUE!</v>
      </c>
      <c r="C237" t="e">
        <f ca="1">IF((A1)=(2),1,IF(AND((INDEX(B1:XFD1,(A2)+(0)))=("writeheap"),(INDEX(B4:B404,(B3)+(1)))=(233)),INDEX(B4:B404,(B3)+(2)),IF((A1)=(2),1,IF((234)=(C3),C237,C237))))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404,(B238)+(1)),IF(("add")=(INDEX(B1:XFD1,(A2)+(0))),(INDEX(B4:B404,(B3)+(1)))+(B238),IF(("equals")=(INDEX(B1:XFD1,(A2)+(0))),(INDEX(B4:B404,(B3)+(1)))=(B238),IF(("leq")=(INDEX(B1:XFD1,(A2)+(0))),(INDEX(B4:B404,(B3)+(1)))&lt;=(B238),IF(("mod")=(INDEX(B1:XFD1,(A2)+(0))),MOD(INDEX(B4:B404,(B3)+(1)),B238),B238)))))))),B238))</f>
        <v>#VALUE!</v>
      </c>
      <c r="C238" t="e">
        <f ca="1">IF((A1)=(2),1,IF(AND((INDEX(B1:XFD1,(A2)+(0)))=("writeheap"),(INDEX(B4:B404,(B3)+(1)))=(234)),INDEX(B4:B404,(B3)+(2)),IF((A1)=(2),1,IF((235)=(C3),C238,C238))))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404,(B239)+(1)),IF(("add")=(INDEX(B1:XFD1,(A2)+(0))),(INDEX(B4:B404,(B3)+(1)))+(B239),IF(("equals")=(INDEX(B1:XFD1,(A2)+(0))),(INDEX(B4:B404,(B3)+(1)))=(B239),IF(("leq")=(INDEX(B1:XFD1,(A2)+(0))),(INDEX(B4:B404,(B3)+(1)))&lt;=(B239),IF(("mod")=(INDEX(B1:XFD1,(A2)+(0))),MOD(INDEX(B4:B404,(B3)+(1)),B239),B239)))))))),B239))</f>
        <v>#VALUE!</v>
      </c>
      <c r="C239" t="e">
        <f ca="1">IF((A1)=(2),1,IF(AND((INDEX(B1:XFD1,(A2)+(0)))=("writeheap"),(INDEX(B4:B404,(B3)+(1)))=(235)),INDEX(B4:B404,(B3)+(2)),IF((A1)=(2),1,IF((236)=(C3),C239,C239))))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404,(B240)+(1)),IF(("add")=(INDEX(B1:XFD1,(A2)+(0))),(INDEX(B4:B404,(B3)+(1)))+(B240),IF(("equals")=(INDEX(B1:XFD1,(A2)+(0))),(INDEX(B4:B404,(B3)+(1)))=(B240),IF(("leq")=(INDEX(B1:XFD1,(A2)+(0))),(INDEX(B4:B404,(B3)+(1)))&lt;=(B240),IF(("mod")=(INDEX(B1:XFD1,(A2)+(0))),MOD(INDEX(B4:B404,(B3)+(1)),B240),B240)))))))),B240))</f>
        <v>#VALUE!</v>
      </c>
      <c r="C240" t="e">
        <f ca="1">IF((A1)=(2),1,IF(AND((INDEX(B1:XFD1,(A2)+(0)))=("writeheap"),(INDEX(B4:B404,(B3)+(1)))=(236)),INDEX(B4:B404,(B3)+(2)),IF((A1)=(2),1,IF((237)=(C3),C240,C240))))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404,(B241)+(1)),IF(("add")=(INDEX(B1:XFD1,(A2)+(0))),(INDEX(B4:B404,(B3)+(1)))+(B241),IF(("equals")=(INDEX(B1:XFD1,(A2)+(0))),(INDEX(B4:B404,(B3)+(1)))=(B241),IF(("leq")=(INDEX(B1:XFD1,(A2)+(0))),(INDEX(B4:B404,(B3)+(1)))&lt;=(B241),IF(("mod")=(INDEX(B1:XFD1,(A2)+(0))),MOD(INDEX(B4:B404,(B3)+(1)),B241),B241)))))))),B241))</f>
        <v>#VALUE!</v>
      </c>
      <c r="C241" t="e">
        <f ca="1">IF((A1)=(2),1,IF(AND((INDEX(B1:XFD1,(A2)+(0)))=("writeheap"),(INDEX(B4:B404,(B3)+(1)))=(237)),INDEX(B4:B404,(B3)+(2)),IF((A1)=(2),1,IF((238)=(C3),C241,C241))))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404,(B242)+(1)),IF(("add")=(INDEX(B1:XFD1,(A2)+(0))),(INDEX(B4:B404,(B3)+(1)))+(B242),IF(("equals")=(INDEX(B1:XFD1,(A2)+(0))),(INDEX(B4:B404,(B3)+(1)))=(B242),IF(("leq")=(INDEX(B1:XFD1,(A2)+(0))),(INDEX(B4:B404,(B3)+(1)))&lt;=(B242),IF(("mod")=(INDEX(B1:XFD1,(A2)+(0))),MOD(INDEX(B4:B404,(B3)+(1)),B242),B242)))))))),B242))</f>
        <v>#VALUE!</v>
      </c>
      <c r="C242" t="e">
        <f ca="1">IF((A1)=(2),1,IF(AND((INDEX(B1:XFD1,(A2)+(0)))=("writeheap"),(INDEX(B4:B404,(B3)+(1)))=(238)),INDEX(B4:B404,(B3)+(2)),IF((A1)=(2),1,IF((239)=(C3),C242,C242))))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404,(B243)+(1)),IF(("add")=(INDEX(B1:XFD1,(A2)+(0))),(INDEX(B4:B404,(B3)+(1)))+(B243),IF(("equals")=(INDEX(B1:XFD1,(A2)+(0))),(INDEX(B4:B404,(B3)+(1)))=(B243),IF(("leq")=(INDEX(B1:XFD1,(A2)+(0))),(INDEX(B4:B404,(B3)+(1)))&lt;=(B243),IF(("mod")=(INDEX(B1:XFD1,(A2)+(0))),MOD(INDEX(B4:B404,(B3)+(1)),B243),B243)))))))),B243))</f>
        <v>#VALUE!</v>
      </c>
      <c r="C243" t="e">
        <f ca="1">IF((A1)=(2),1,IF(AND((INDEX(B1:XFD1,(A2)+(0)))=("writeheap"),(INDEX(B4:B404,(B3)+(1)))=(239)),INDEX(B4:B404,(B3)+(2)),IF((A1)=(2),1,IF((240)=(C3),C243,C243))))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404,(B244)+(1)),IF(("add")=(INDEX(B1:XFD1,(A2)+(0))),(INDEX(B4:B404,(B3)+(1)))+(B244),IF(("equals")=(INDEX(B1:XFD1,(A2)+(0))),(INDEX(B4:B404,(B3)+(1)))=(B244),IF(("leq")=(INDEX(B1:XFD1,(A2)+(0))),(INDEX(B4:B404,(B3)+(1)))&lt;=(B244),IF(("mod")=(INDEX(B1:XFD1,(A2)+(0))),MOD(INDEX(B4:B404,(B3)+(1)),B244),B244)))))))),B244))</f>
        <v>#VALUE!</v>
      </c>
      <c r="C244" t="e">
        <f ca="1">IF((A1)=(2),1,IF(AND((INDEX(B1:XFD1,(A2)+(0)))=("writeheap"),(INDEX(B4:B404,(B3)+(1)))=(240)),INDEX(B4:B404,(B3)+(2)),IF((A1)=(2),1,IF((241)=(C3),C244,C244))))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404,(B245)+(1)),IF(("add")=(INDEX(B1:XFD1,(A2)+(0))),(INDEX(B4:B404,(B3)+(1)))+(B245),IF(("equals")=(INDEX(B1:XFD1,(A2)+(0))),(INDEX(B4:B404,(B3)+(1)))=(B245),IF(("leq")=(INDEX(B1:XFD1,(A2)+(0))),(INDEX(B4:B404,(B3)+(1)))&lt;=(B245),IF(("mod")=(INDEX(B1:XFD1,(A2)+(0))),MOD(INDEX(B4:B404,(B3)+(1)),B245),B245)))))))),B245))</f>
        <v>#VALUE!</v>
      </c>
      <c r="C245" t="e">
        <f ca="1">IF((A1)=(2),1,IF(AND((INDEX(B1:XFD1,(A2)+(0)))=("writeheap"),(INDEX(B4:B404,(B3)+(1)))=(241)),INDEX(B4:B404,(B3)+(2)),IF((A1)=(2),1,IF((242)=(C3),C245,C245))))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404,(B246)+(1)),IF(("add")=(INDEX(B1:XFD1,(A2)+(0))),(INDEX(B4:B404,(B3)+(1)))+(B246),IF(("equals")=(INDEX(B1:XFD1,(A2)+(0))),(INDEX(B4:B404,(B3)+(1)))=(B246),IF(("leq")=(INDEX(B1:XFD1,(A2)+(0))),(INDEX(B4:B404,(B3)+(1)))&lt;=(B246),IF(("mod")=(INDEX(B1:XFD1,(A2)+(0))),MOD(INDEX(B4:B404,(B3)+(1)),B246),B246)))))))),B246))</f>
        <v>#VALUE!</v>
      </c>
      <c r="C246" t="e">
        <f ca="1">IF((A1)=(2),1,IF(AND((INDEX(B1:XFD1,(A2)+(0)))=("writeheap"),(INDEX(B4:B404,(B3)+(1)))=(242)),INDEX(B4:B404,(B3)+(2)),IF((A1)=(2),1,IF((243)=(C3),C246,C246))))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404,(B247)+(1)),IF(("add")=(INDEX(B1:XFD1,(A2)+(0))),(INDEX(B4:B404,(B3)+(1)))+(B247),IF(("equals")=(INDEX(B1:XFD1,(A2)+(0))),(INDEX(B4:B404,(B3)+(1)))=(B247),IF(("leq")=(INDEX(B1:XFD1,(A2)+(0))),(INDEX(B4:B404,(B3)+(1)))&lt;=(B247),IF(("mod")=(INDEX(B1:XFD1,(A2)+(0))),MOD(INDEX(B4:B404,(B3)+(1)),B247),B247)))))))),B247))</f>
        <v>#VALUE!</v>
      </c>
      <c r="C247" t="e">
        <f ca="1">IF((A1)=(2),1,IF(AND((INDEX(B1:XFD1,(A2)+(0)))=("writeheap"),(INDEX(B4:B404,(B3)+(1)))=(243)),INDEX(B4:B404,(B3)+(2)),IF((A1)=(2),1,IF((244)=(C3),C247,C247))))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404,(B248)+(1)),IF(("add")=(INDEX(B1:XFD1,(A2)+(0))),(INDEX(B4:B404,(B3)+(1)))+(B248),IF(("equals")=(INDEX(B1:XFD1,(A2)+(0))),(INDEX(B4:B404,(B3)+(1)))=(B248),IF(("leq")=(INDEX(B1:XFD1,(A2)+(0))),(INDEX(B4:B404,(B3)+(1)))&lt;=(B248),IF(("mod")=(INDEX(B1:XFD1,(A2)+(0))),MOD(INDEX(B4:B404,(B3)+(1)),B248),B248)))))))),B248))</f>
        <v>#VALUE!</v>
      </c>
      <c r="C248" t="e">
        <f ca="1">IF((A1)=(2),1,IF(AND((INDEX(B1:XFD1,(A2)+(0)))=("writeheap"),(INDEX(B4:B404,(B3)+(1)))=(244)),INDEX(B4:B404,(B3)+(2)),IF((A1)=(2),1,IF((245)=(C3),C248,C248))))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404,(B249)+(1)),IF(("add")=(INDEX(B1:XFD1,(A2)+(0))),(INDEX(B4:B404,(B3)+(1)))+(B249),IF(("equals")=(INDEX(B1:XFD1,(A2)+(0))),(INDEX(B4:B404,(B3)+(1)))=(B249),IF(("leq")=(INDEX(B1:XFD1,(A2)+(0))),(INDEX(B4:B404,(B3)+(1)))&lt;=(B249),IF(("mod")=(INDEX(B1:XFD1,(A2)+(0))),MOD(INDEX(B4:B404,(B3)+(1)),B249),B249)))))))),B249))</f>
        <v>#VALUE!</v>
      </c>
      <c r="C249" t="e">
        <f ca="1">IF((A1)=(2),1,IF(AND((INDEX(B1:XFD1,(A2)+(0)))=("writeheap"),(INDEX(B4:B404,(B3)+(1)))=(245)),INDEX(B4:B404,(B3)+(2)),IF((A1)=(2),1,IF((246)=(C3),C249,C249))))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404,(B250)+(1)),IF(("add")=(INDEX(B1:XFD1,(A2)+(0))),(INDEX(B4:B404,(B3)+(1)))+(B250),IF(("equals")=(INDEX(B1:XFD1,(A2)+(0))),(INDEX(B4:B404,(B3)+(1)))=(B250),IF(("leq")=(INDEX(B1:XFD1,(A2)+(0))),(INDEX(B4:B404,(B3)+(1)))&lt;=(B250),IF(("mod")=(INDEX(B1:XFD1,(A2)+(0))),MOD(INDEX(B4:B404,(B3)+(1)),B250),B250)))))))),B250))</f>
        <v>#VALUE!</v>
      </c>
      <c r="C250" t="e">
        <f ca="1">IF((A1)=(2),1,IF(AND((INDEX(B1:XFD1,(A2)+(0)))=("writeheap"),(INDEX(B4:B404,(B3)+(1)))=(246)),INDEX(B4:B404,(B3)+(2)),IF((A1)=(2),1,IF((247)=(C3),C250,C250))))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404,(B251)+(1)),IF(("add")=(INDEX(B1:XFD1,(A2)+(0))),(INDEX(B4:B404,(B3)+(1)))+(B251),IF(("equals")=(INDEX(B1:XFD1,(A2)+(0))),(INDEX(B4:B404,(B3)+(1)))=(B251),IF(("leq")=(INDEX(B1:XFD1,(A2)+(0))),(INDEX(B4:B404,(B3)+(1)))&lt;=(B251),IF(("mod")=(INDEX(B1:XFD1,(A2)+(0))),MOD(INDEX(B4:B404,(B3)+(1)),B251),B251)))))))),B251))</f>
        <v>#VALUE!</v>
      </c>
      <c r="C251" t="e">
        <f ca="1">IF((A1)=(2),1,IF(AND((INDEX(B1:XFD1,(A2)+(0)))=("writeheap"),(INDEX(B4:B404,(B3)+(1)))=(247)),INDEX(B4:B404,(B3)+(2)),IF((A1)=(2),1,IF((248)=(C3),C251,C251))))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404,(B252)+(1)),IF(("add")=(INDEX(B1:XFD1,(A2)+(0))),(INDEX(B4:B404,(B3)+(1)))+(B252),IF(("equals")=(INDEX(B1:XFD1,(A2)+(0))),(INDEX(B4:B404,(B3)+(1)))=(B252),IF(("leq")=(INDEX(B1:XFD1,(A2)+(0))),(INDEX(B4:B404,(B3)+(1)))&lt;=(B252),IF(("mod")=(INDEX(B1:XFD1,(A2)+(0))),MOD(INDEX(B4:B404,(B3)+(1)),B252),B252)))))))),B252))</f>
        <v>#VALUE!</v>
      </c>
      <c r="C252" t="e">
        <f ca="1">IF((A1)=(2),1,IF(AND((INDEX(B1:XFD1,(A2)+(0)))=("writeheap"),(INDEX(B4:B404,(B3)+(1)))=(248)),INDEX(B4:B404,(B3)+(2)),IF((A1)=(2),1,IF((249)=(C3),C252,C252))))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404,(B253)+(1)),IF(("add")=(INDEX(B1:XFD1,(A2)+(0))),(INDEX(B4:B404,(B3)+(1)))+(B253),IF(("equals")=(INDEX(B1:XFD1,(A2)+(0))),(INDEX(B4:B404,(B3)+(1)))=(B253),IF(("leq")=(INDEX(B1:XFD1,(A2)+(0))),(INDEX(B4:B404,(B3)+(1)))&lt;=(B253),IF(("mod")=(INDEX(B1:XFD1,(A2)+(0))),MOD(INDEX(B4:B404,(B3)+(1)),B253),B253)))))))),B253))</f>
        <v>#VALUE!</v>
      </c>
      <c r="C253" t="e">
        <f ca="1">IF((A1)=(2),1,IF(AND((INDEX(B1:XFD1,(A2)+(0)))=("writeheap"),(INDEX(B4:B404,(B3)+(1)))=(249)),INDEX(B4:B404,(B3)+(2)),IF((A1)=(2),1,IF((250)=(C3),C253,C253))))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404,(B254)+(1)),IF(("add")=(INDEX(B1:XFD1,(A2)+(0))),(INDEX(B4:B404,(B3)+(1)))+(B254),IF(("equals")=(INDEX(B1:XFD1,(A2)+(0))),(INDEX(B4:B404,(B3)+(1)))=(B254),IF(("leq")=(INDEX(B1:XFD1,(A2)+(0))),(INDEX(B4:B404,(B3)+(1)))&lt;=(B254),IF(("mod")=(INDEX(B1:XFD1,(A2)+(0))),MOD(INDEX(B4:B404,(B3)+(1)),B254),B254)))))))),B254))</f>
        <v>#VALUE!</v>
      </c>
      <c r="C254" t="e">
        <f ca="1">IF((A1)=(2),1,IF(AND((INDEX(B1:XFD1,(A2)+(0)))=("writeheap"),(INDEX(B4:B404,(B3)+(1)))=(250)),INDEX(B4:B404,(B3)+(2)),IF((A1)=(2),1,IF((251)=(C3),C254,C254))))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404,(B255)+(1)),IF(("add")=(INDEX(B1:XFD1,(A2)+(0))),(INDEX(B4:B404,(B3)+(1)))+(B255),IF(("equals")=(INDEX(B1:XFD1,(A2)+(0))),(INDEX(B4:B404,(B3)+(1)))=(B255),IF(("leq")=(INDEX(B1:XFD1,(A2)+(0))),(INDEX(B4:B404,(B3)+(1)))&lt;=(B255),IF(("mod")=(INDEX(B1:XFD1,(A2)+(0))),MOD(INDEX(B4:B404,(B3)+(1)),B255),B255)))))))),B255))</f>
        <v>#VALUE!</v>
      </c>
      <c r="C255" t="e">
        <f ca="1">IF((A1)=(2),1,IF(AND((INDEX(B1:XFD1,(A2)+(0)))=("writeheap"),(INDEX(B4:B404,(B3)+(1)))=(251)),INDEX(B4:B404,(B3)+(2)),IF((A1)=(2),1,IF((252)=(C3),C255,C255))))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404,(B256)+(1)),IF(("add")=(INDEX(B1:XFD1,(A2)+(0))),(INDEX(B4:B404,(B3)+(1)))+(B256),IF(("equals")=(INDEX(B1:XFD1,(A2)+(0))),(INDEX(B4:B404,(B3)+(1)))=(B256),IF(("leq")=(INDEX(B1:XFD1,(A2)+(0))),(INDEX(B4:B404,(B3)+(1)))&lt;=(B256),IF(("mod")=(INDEX(B1:XFD1,(A2)+(0))),MOD(INDEX(B4:B404,(B3)+(1)),B256),B256)))))))),B256))</f>
        <v>#VALUE!</v>
      </c>
      <c r="C256" t="e">
        <f ca="1">IF((A1)=(2),1,IF(AND((INDEX(B1:XFD1,(A2)+(0)))=("writeheap"),(INDEX(B4:B404,(B3)+(1)))=(252)),INDEX(B4:B404,(B3)+(2)),IF((A1)=(2),1,IF((253)=(C3),C256,C256))))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404,(B257)+(1)),IF(("add")=(INDEX(B1:XFD1,(A2)+(0))),(INDEX(B4:B404,(B3)+(1)))+(B257),IF(("equals")=(INDEX(B1:XFD1,(A2)+(0))),(INDEX(B4:B404,(B3)+(1)))=(B257),IF(("leq")=(INDEX(B1:XFD1,(A2)+(0))),(INDEX(B4:B404,(B3)+(1)))&lt;=(B257),IF(("mod")=(INDEX(B1:XFD1,(A2)+(0))),MOD(INDEX(B4:B404,(B3)+(1)),B257),B257)))))))),B257))</f>
        <v>#VALUE!</v>
      </c>
      <c r="C257" t="e">
        <f ca="1">IF((A1)=(2),1,IF(AND((INDEX(B1:XFD1,(A2)+(0)))=("writeheap"),(INDEX(B4:B404,(B3)+(1)))=(253)),INDEX(B4:B404,(B3)+(2)),IF((A1)=(2),1,IF((254)=(C3),C257,C257))))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404,(B258)+(1)),IF(("add")=(INDEX(B1:XFD1,(A2)+(0))),(INDEX(B4:B404,(B3)+(1)))+(B258),IF(("equals")=(INDEX(B1:XFD1,(A2)+(0))),(INDEX(B4:B404,(B3)+(1)))=(B258),IF(("leq")=(INDEX(B1:XFD1,(A2)+(0))),(INDEX(B4:B404,(B3)+(1)))&lt;=(B258),IF(("mod")=(INDEX(B1:XFD1,(A2)+(0))),MOD(INDEX(B4:B404,(B3)+(1)),B258),B258)))))))),B258))</f>
        <v>#VALUE!</v>
      </c>
      <c r="C258" t="e">
        <f ca="1">IF((A1)=(2),1,IF(AND((INDEX(B1:XFD1,(A2)+(0)))=("writeheap"),(INDEX(B4:B404,(B3)+(1)))=(254)),INDEX(B4:B404,(B3)+(2)),IF((A1)=(2),1,IF((255)=(C3),C258,C258))))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404,(B259)+(1)),IF(("add")=(INDEX(B1:XFD1,(A2)+(0))),(INDEX(B4:B404,(B3)+(1)))+(B259),IF(("equals")=(INDEX(B1:XFD1,(A2)+(0))),(INDEX(B4:B404,(B3)+(1)))=(B259),IF(("leq")=(INDEX(B1:XFD1,(A2)+(0))),(INDEX(B4:B404,(B3)+(1)))&lt;=(B259),IF(("mod")=(INDEX(B1:XFD1,(A2)+(0))),MOD(INDEX(B4:B404,(B3)+(1)),B259),B259)))))))),B259))</f>
        <v>#VALUE!</v>
      </c>
      <c r="C259" t="e">
        <f ca="1">IF((A1)=(2),1,IF(AND((INDEX(B1:XFD1,(A2)+(0)))=("writeheap"),(INDEX(B4:B404,(B3)+(1)))=(255)),INDEX(B4:B404,(B3)+(2)),IF((A1)=(2),1,IF((256)=(C3),C259,C259))))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404,(B260)+(1)),IF(("add")=(INDEX(B1:XFD1,(A2)+(0))),(INDEX(B4:B404,(B3)+(1)))+(B260),IF(("equals")=(INDEX(B1:XFD1,(A2)+(0))),(INDEX(B4:B404,(B3)+(1)))=(B260),IF(("leq")=(INDEX(B1:XFD1,(A2)+(0))),(INDEX(B4:B404,(B3)+(1)))&lt;=(B260),IF(("mod")=(INDEX(B1:XFD1,(A2)+(0))),MOD(INDEX(B4:B404,(B3)+(1)),B260),B260)))))))),B260))</f>
        <v>#VALUE!</v>
      </c>
      <c r="C260" t="e">
        <f ca="1">IF((A1)=(2),1,IF(AND((INDEX(B1:XFD1,(A2)+(0)))=("writeheap"),(INDEX(B4:B404,(B3)+(1)))=(256)),INDEX(B4:B404,(B3)+(2)),IF((A1)=(2),1,IF((257)=(C3),C260,C260))))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404,(B261)+(1)),IF(("add")=(INDEX(B1:XFD1,(A2)+(0))),(INDEX(B4:B404,(B3)+(1)))+(B261),IF(("equals")=(INDEX(B1:XFD1,(A2)+(0))),(INDEX(B4:B404,(B3)+(1)))=(B261),IF(("leq")=(INDEX(B1:XFD1,(A2)+(0))),(INDEX(B4:B404,(B3)+(1)))&lt;=(B261),IF(("mod")=(INDEX(B1:XFD1,(A2)+(0))),MOD(INDEX(B4:B404,(B3)+(1)),B261),B261)))))))),B261))</f>
        <v>#VALUE!</v>
      </c>
      <c r="C261" t="e">
        <f ca="1">IF((A1)=(2),1,IF(AND((INDEX(B1:XFD1,(A2)+(0)))=("writeheap"),(INDEX(B4:B404,(B3)+(1)))=(257)),INDEX(B4:B404,(B3)+(2)),IF((A1)=(2),1,IF((258)=(C3),C261,C261))))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404,(B262)+(1)),IF(("add")=(INDEX(B1:XFD1,(A2)+(0))),(INDEX(B4:B404,(B3)+(1)))+(B262),IF(("equals")=(INDEX(B1:XFD1,(A2)+(0))),(INDEX(B4:B404,(B3)+(1)))=(B262),IF(("leq")=(INDEX(B1:XFD1,(A2)+(0))),(INDEX(B4:B404,(B3)+(1)))&lt;=(B262),IF(("mod")=(INDEX(B1:XFD1,(A2)+(0))),MOD(INDEX(B4:B404,(B3)+(1)),B262),B262)))))))),B262))</f>
        <v>#VALUE!</v>
      </c>
      <c r="C262" t="e">
        <f ca="1">IF((A1)=(2),1,IF(AND((INDEX(B1:XFD1,(A2)+(0)))=("writeheap"),(INDEX(B4:B404,(B3)+(1)))=(258)),INDEX(B4:B404,(B3)+(2)),IF((A1)=(2),1,IF((259)=(C3),C262,C262))))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404,(B263)+(1)),IF(("add")=(INDEX(B1:XFD1,(A2)+(0))),(INDEX(B4:B404,(B3)+(1)))+(B263),IF(("equals")=(INDEX(B1:XFD1,(A2)+(0))),(INDEX(B4:B404,(B3)+(1)))=(B263),IF(("leq")=(INDEX(B1:XFD1,(A2)+(0))),(INDEX(B4:B404,(B3)+(1)))&lt;=(B263),IF(("mod")=(INDEX(B1:XFD1,(A2)+(0))),MOD(INDEX(B4:B404,(B3)+(1)),B263),B263)))))))),B263))</f>
        <v>#VALUE!</v>
      </c>
      <c r="C263" t="e">
        <f ca="1">IF((A1)=(2),1,IF(AND((INDEX(B1:XFD1,(A2)+(0)))=("writeheap"),(INDEX(B4:B404,(B3)+(1)))=(259)),INDEX(B4:B404,(B3)+(2)),IF((A1)=(2),1,IF((260)=(C3),C263,C263))))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404,(B264)+(1)),IF(("add")=(INDEX(B1:XFD1,(A2)+(0))),(INDEX(B4:B404,(B3)+(1)))+(B264),IF(("equals")=(INDEX(B1:XFD1,(A2)+(0))),(INDEX(B4:B404,(B3)+(1)))=(B264),IF(("leq")=(INDEX(B1:XFD1,(A2)+(0))),(INDEX(B4:B404,(B3)+(1)))&lt;=(B264),IF(("mod")=(INDEX(B1:XFD1,(A2)+(0))),MOD(INDEX(B4:B404,(B3)+(1)),B264),B264)))))))),B264))</f>
        <v>#VALUE!</v>
      </c>
      <c r="C264" t="e">
        <f ca="1">IF((A1)=(2),1,IF(AND((INDEX(B1:XFD1,(A2)+(0)))=("writeheap"),(INDEX(B4:B404,(B3)+(1)))=(260)),INDEX(B4:B404,(B3)+(2)),IF((A1)=(2),1,IF((261)=(C3),C264,C264))))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404,(B265)+(1)),IF(("add")=(INDEX(B1:XFD1,(A2)+(0))),(INDEX(B4:B404,(B3)+(1)))+(B265),IF(("equals")=(INDEX(B1:XFD1,(A2)+(0))),(INDEX(B4:B404,(B3)+(1)))=(B265),IF(("leq")=(INDEX(B1:XFD1,(A2)+(0))),(INDEX(B4:B404,(B3)+(1)))&lt;=(B265),IF(("mod")=(INDEX(B1:XFD1,(A2)+(0))),MOD(INDEX(B4:B404,(B3)+(1)),B265),B265)))))))),B265))</f>
        <v>#VALUE!</v>
      </c>
      <c r="C265" t="e">
        <f ca="1">IF((A1)=(2),1,IF(AND((INDEX(B1:XFD1,(A2)+(0)))=("writeheap"),(INDEX(B4:B404,(B3)+(1)))=(261)),INDEX(B4:B404,(B3)+(2)),IF((A1)=(2),1,IF((262)=(C3),C265,C265))))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404,(B266)+(1)),IF(("add")=(INDEX(B1:XFD1,(A2)+(0))),(INDEX(B4:B404,(B3)+(1)))+(B266),IF(("equals")=(INDEX(B1:XFD1,(A2)+(0))),(INDEX(B4:B404,(B3)+(1)))=(B266),IF(("leq")=(INDEX(B1:XFD1,(A2)+(0))),(INDEX(B4:B404,(B3)+(1)))&lt;=(B266),IF(("mod")=(INDEX(B1:XFD1,(A2)+(0))),MOD(INDEX(B4:B404,(B3)+(1)),B266),B266)))))))),B266))</f>
        <v>#VALUE!</v>
      </c>
      <c r="C266" t="e">
        <f ca="1">IF((A1)=(2),1,IF(AND((INDEX(B1:XFD1,(A2)+(0)))=("writeheap"),(INDEX(B4:B404,(B3)+(1)))=(262)),INDEX(B4:B404,(B3)+(2)),IF((A1)=(2),1,IF((263)=(C3),C266,C266))))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404,(B267)+(1)),IF(("add")=(INDEX(B1:XFD1,(A2)+(0))),(INDEX(B4:B404,(B3)+(1)))+(B267),IF(("equals")=(INDEX(B1:XFD1,(A2)+(0))),(INDEX(B4:B404,(B3)+(1)))=(B267),IF(("leq")=(INDEX(B1:XFD1,(A2)+(0))),(INDEX(B4:B404,(B3)+(1)))&lt;=(B267),IF(("mod")=(INDEX(B1:XFD1,(A2)+(0))),MOD(INDEX(B4:B404,(B3)+(1)),B267),B267)))))))),B267))</f>
        <v>#VALUE!</v>
      </c>
      <c r="C267" t="e">
        <f ca="1">IF((A1)=(2),1,IF(AND((INDEX(B1:XFD1,(A2)+(0)))=("writeheap"),(INDEX(B4:B404,(B3)+(1)))=(263)),INDEX(B4:B404,(B3)+(2)),IF((A1)=(2),1,IF((264)=(C3),C267,C267))))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404,(B268)+(1)),IF(("add")=(INDEX(B1:XFD1,(A2)+(0))),(INDEX(B4:B404,(B3)+(1)))+(B268),IF(("equals")=(INDEX(B1:XFD1,(A2)+(0))),(INDEX(B4:B404,(B3)+(1)))=(B268),IF(("leq")=(INDEX(B1:XFD1,(A2)+(0))),(INDEX(B4:B404,(B3)+(1)))&lt;=(B268),IF(("mod")=(INDEX(B1:XFD1,(A2)+(0))),MOD(INDEX(B4:B404,(B3)+(1)),B268),B268)))))))),B268))</f>
        <v>#VALUE!</v>
      </c>
      <c r="C268" t="e">
        <f ca="1">IF((A1)=(2),1,IF(AND((INDEX(B1:XFD1,(A2)+(0)))=("writeheap"),(INDEX(B4:B404,(B3)+(1)))=(264)),INDEX(B4:B404,(B3)+(2)),IF((A1)=(2),1,IF((265)=(C3),C268,C268))))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404,(B269)+(1)),IF(("add")=(INDEX(B1:XFD1,(A2)+(0))),(INDEX(B4:B404,(B3)+(1)))+(B269),IF(("equals")=(INDEX(B1:XFD1,(A2)+(0))),(INDEX(B4:B404,(B3)+(1)))=(B269),IF(("leq")=(INDEX(B1:XFD1,(A2)+(0))),(INDEX(B4:B404,(B3)+(1)))&lt;=(B269),IF(("mod")=(INDEX(B1:XFD1,(A2)+(0))),MOD(INDEX(B4:B404,(B3)+(1)),B269),B269)))))))),B269))</f>
        <v>#VALUE!</v>
      </c>
      <c r="C269" t="e">
        <f ca="1">IF((A1)=(2),1,IF(AND((INDEX(B1:XFD1,(A2)+(0)))=("writeheap"),(INDEX(B4:B404,(B3)+(1)))=(265)),INDEX(B4:B404,(B3)+(2)),IF((A1)=(2),1,IF((266)=(C3),C269,C269))))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404,(B270)+(1)),IF(("add")=(INDEX(B1:XFD1,(A2)+(0))),(INDEX(B4:B404,(B3)+(1)))+(B270),IF(("equals")=(INDEX(B1:XFD1,(A2)+(0))),(INDEX(B4:B404,(B3)+(1)))=(B270),IF(("leq")=(INDEX(B1:XFD1,(A2)+(0))),(INDEX(B4:B404,(B3)+(1)))&lt;=(B270),IF(("mod")=(INDEX(B1:XFD1,(A2)+(0))),MOD(INDEX(B4:B404,(B3)+(1)),B270),B270)))))))),B270))</f>
        <v>#VALUE!</v>
      </c>
      <c r="C270" t="e">
        <f ca="1">IF((A1)=(2),1,IF(AND((INDEX(B1:XFD1,(A2)+(0)))=("writeheap"),(INDEX(B4:B404,(B3)+(1)))=(266)),INDEX(B4:B404,(B3)+(2)),IF((A1)=(2),1,IF((267)=(C3),C270,C270))))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404,(B271)+(1)),IF(("add")=(INDEX(B1:XFD1,(A2)+(0))),(INDEX(B4:B404,(B3)+(1)))+(B271),IF(("equals")=(INDEX(B1:XFD1,(A2)+(0))),(INDEX(B4:B404,(B3)+(1)))=(B271),IF(("leq")=(INDEX(B1:XFD1,(A2)+(0))),(INDEX(B4:B404,(B3)+(1)))&lt;=(B271),IF(("mod")=(INDEX(B1:XFD1,(A2)+(0))),MOD(INDEX(B4:B404,(B3)+(1)),B271),B271)))))))),B271))</f>
        <v>#VALUE!</v>
      </c>
      <c r="C271" t="e">
        <f ca="1">IF((A1)=(2),1,IF(AND((INDEX(B1:XFD1,(A2)+(0)))=("writeheap"),(INDEX(B4:B404,(B3)+(1)))=(267)),INDEX(B4:B404,(B3)+(2)),IF((A1)=(2),1,IF((268)=(C3),C271,C271))))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404,(B272)+(1)),IF(("add")=(INDEX(B1:XFD1,(A2)+(0))),(INDEX(B4:B404,(B3)+(1)))+(B272),IF(("equals")=(INDEX(B1:XFD1,(A2)+(0))),(INDEX(B4:B404,(B3)+(1)))=(B272),IF(("leq")=(INDEX(B1:XFD1,(A2)+(0))),(INDEX(B4:B404,(B3)+(1)))&lt;=(B272),IF(("mod")=(INDEX(B1:XFD1,(A2)+(0))),MOD(INDEX(B4:B404,(B3)+(1)),B272),B272)))))))),B272))</f>
        <v>#VALUE!</v>
      </c>
      <c r="C272" t="e">
        <f ca="1">IF((A1)=(2),1,IF(AND((INDEX(B1:XFD1,(A2)+(0)))=("writeheap"),(INDEX(B4:B404,(B3)+(1)))=(268)),INDEX(B4:B404,(B3)+(2)),IF((A1)=(2),1,IF((269)=(C3),C272,C272))))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404,(B273)+(1)),IF(("add")=(INDEX(B1:XFD1,(A2)+(0))),(INDEX(B4:B404,(B3)+(1)))+(B273),IF(("equals")=(INDEX(B1:XFD1,(A2)+(0))),(INDEX(B4:B404,(B3)+(1)))=(B273),IF(("leq")=(INDEX(B1:XFD1,(A2)+(0))),(INDEX(B4:B404,(B3)+(1)))&lt;=(B273),IF(("mod")=(INDEX(B1:XFD1,(A2)+(0))),MOD(INDEX(B4:B404,(B3)+(1)),B273),B273)))))))),B273))</f>
        <v>#VALUE!</v>
      </c>
      <c r="C273" t="e">
        <f ca="1">IF((A1)=(2),1,IF(AND((INDEX(B1:XFD1,(A2)+(0)))=("writeheap"),(INDEX(B4:B404,(B3)+(1)))=(269)),INDEX(B4:B404,(B3)+(2)),IF((A1)=(2),1,IF((270)=(C3),C273,C273))))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404,(B274)+(1)),IF(("add")=(INDEX(B1:XFD1,(A2)+(0))),(INDEX(B4:B404,(B3)+(1)))+(B274),IF(("equals")=(INDEX(B1:XFD1,(A2)+(0))),(INDEX(B4:B404,(B3)+(1)))=(B274),IF(("leq")=(INDEX(B1:XFD1,(A2)+(0))),(INDEX(B4:B404,(B3)+(1)))&lt;=(B274),IF(("mod")=(INDEX(B1:XFD1,(A2)+(0))),MOD(INDEX(B4:B404,(B3)+(1)),B274),B274)))))))),B274))</f>
        <v>#VALUE!</v>
      </c>
      <c r="C274" t="e">
        <f ca="1">IF((A1)=(2),1,IF(AND((INDEX(B1:XFD1,(A2)+(0)))=("writeheap"),(INDEX(B4:B404,(B3)+(1)))=(270)),INDEX(B4:B404,(B3)+(2)),IF((A1)=(2),1,IF((271)=(C3),C274,C274))))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404,(B275)+(1)),IF(("add")=(INDEX(B1:XFD1,(A2)+(0))),(INDEX(B4:B404,(B3)+(1)))+(B275),IF(("equals")=(INDEX(B1:XFD1,(A2)+(0))),(INDEX(B4:B404,(B3)+(1)))=(B275),IF(("leq")=(INDEX(B1:XFD1,(A2)+(0))),(INDEX(B4:B404,(B3)+(1)))&lt;=(B275),IF(("mod")=(INDEX(B1:XFD1,(A2)+(0))),MOD(INDEX(B4:B404,(B3)+(1)),B275),B275)))))))),B275))</f>
        <v>#VALUE!</v>
      </c>
      <c r="C275" t="e">
        <f ca="1">IF((A1)=(2),1,IF(AND((INDEX(B1:XFD1,(A2)+(0)))=("writeheap"),(INDEX(B4:B404,(B3)+(1)))=(271)),INDEX(B4:B404,(B3)+(2)),IF((A1)=(2),1,IF((272)=(C3),C275,C275))))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404,(B276)+(1)),IF(("add")=(INDEX(B1:XFD1,(A2)+(0))),(INDEX(B4:B404,(B3)+(1)))+(B276),IF(("equals")=(INDEX(B1:XFD1,(A2)+(0))),(INDEX(B4:B404,(B3)+(1)))=(B276),IF(("leq")=(INDEX(B1:XFD1,(A2)+(0))),(INDEX(B4:B404,(B3)+(1)))&lt;=(B276),IF(("mod")=(INDEX(B1:XFD1,(A2)+(0))),MOD(INDEX(B4:B404,(B3)+(1)),B276),B276)))))))),B276))</f>
        <v>#VALUE!</v>
      </c>
      <c r="C276" t="e">
        <f ca="1">IF((A1)=(2),1,IF(AND((INDEX(B1:XFD1,(A2)+(0)))=("writeheap"),(INDEX(B4:B404,(B3)+(1)))=(272)),INDEX(B4:B404,(B3)+(2)),IF((A1)=(2),1,IF((273)=(C3),C276,C276))))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404,(B277)+(1)),IF(("add")=(INDEX(B1:XFD1,(A2)+(0))),(INDEX(B4:B404,(B3)+(1)))+(B277),IF(("equals")=(INDEX(B1:XFD1,(A2)+(0))),(INDEX(B4:B404,(B3)+(1)))=(B277),IF(("leq")=(INDEX(B1:XFD1,(A2)+(0))),(INDEX(B4:B404,(B3)+(1)))&lt;=(B277),IF(("mod")=(INDEX(B1:XFD1,(A2)+(0))),MOD(INDEX(B4:B404,(B3)+(1)),B277),B277)))))))),B277))</f>
        <v>#VALUE!</v>
      </c>
      <c r="C277" t="e">
        <f ca="1">IF((A1)=(2),1,IF(AND((INDEX(B1:XFD1,(A2)+(0)))=("writeheap"),(INDEX(B4:B404,(B3)+(1)))=(273)),INDEX(B4:B404,(B3)+(2)),IF((A1)=(2),1,IF((274)=(C3),C277,C277))))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404,(B278)+(1)),IF(("add")=(INDEX(B1:XFD1,(A2)+(0))),(INDEX(B4:B404,(B3)+(1)))+(B278),IF(("equals")=(INDEX(B1:XFD1,(A2)+(0))),(INDEX(B4:B404,(B3)+(1)))=(B278),IF(("leq")=(INDEX(B1:XFD1,(A2)+(0))),(INDEX(B4:B404,(B3)+(1)))&lt;=(B278),IF(("mod")=(INDEX(B1:XFD1,(A2)+(0))),MOD(INDEX(B4:B404,(B3)+(1)),B278),B278)))))))),B278))</f>
        <v>#VALUE!</v>
      </c>
      <c r="C278" t="e">
        <f ca="1">IF((A1)=(2),1,IF(AND((INDEX(B1:XFD1,(A2)+(0)))=("writeheap"),(INDEX(B4:B404,(B3)+(1)))=(274)),INDEX(B4:B404,(B3)+(2)),IF((A1)=(2),1,IF((275)=(C3),C278,C278))))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404,(B279)+(1)),IF(("add")=(INDEX(B1:XFD1,(A2)+(0))),(INDEX(B4:B404,(B3)+(1)))+(B279),IF(("equals")=(INDEX(B1:XFD1,(A2)+(0))),(INDEX(B4:B404,(B3)+(1)))=(B279),IF(("leq")=(INDEX(B1:XFD1,(A2)+(0))),(INDEX(B4:B404,(B3)+(1)))&lt;=(B279),IF(("mod")=(INDEX(B1:XFD1,(A2)+(0))),MOD(INDEX(B4:B404,(B3)+(1)),B279),B279)))))))),B279))</f>
        <v>#VALUE!</v>
      </c>
      <c r="C279" t="e">
        <f ca="1">IF((A1)=(2),1,IF(AND((INDEX(B1:XFD1,(A2)+(0)))=("writeheap"),(INDEX(B4:B404,(B3)+(1)))=(275)),INDEX(B4:B404,(B3)+(2)),IF((A1)=(2),1,IF((276)=(C3),C279,C279))))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404,(B280)+(1)),IF(("add")=(INDEX(B1:XFD1,(A2)+(0))),(INDEX(B4:B404,(B3)+(1)))+(B280),IF(("equals")=(INDEX(B1:XFD1,(A2)+(0))),(INDEX(B4:B404,(B3)+(1)))=(B280),IF(("leq")=(INDEX(B1:XFD1,(A2)+(0))),(INDEX(B4:B404,(B3)+(1)))&lt;=(B280),IF(("mod")=(INDEX(B1:XFD1,(A2)+(0))),MOD(INDEX(B4:B404,(B3)+(1)),B280),B280)))))))),B280))</f>
        <v>#VALUE!</v>
      </c>
      <c r="C280" t="e">
        <f ca="1">IF((A1)=(2),1,IF(AND((INDEX(B1:XFD1,(A2)+(0)))=("writeheap"),(INDEX(B4:B404,(B3)+(1)))=(276)),INDEX(B4:B404,(B3)+(2)),IF((A1)=(2),1,IF((277)=(C3),C280,C280))))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404,(B281)+(1)),IF(("add")=(INDEX(B1:XFD1,(A2)+(0))),(INDEX(B4:B404,(B3)+(1)))+(B281),IF(("equals")=(INDEX(B1:XFD1,(A2)+(0))),(INDEX(B4:B404,(B3)+(1)))=(B281),IF(("leq")=(INDEX(B1:XFD1,(A2)+(0))),(INDEX(B4:B404,(B3)+(1)))&lt;=(B281),IF(("mod")=(INDEX(B1:XFD1,(A2)+(0))),MOD(INDEX(B4:B404,(B3)+(1)),B281),B281)))))))),B281))</f>
        <v>#VALUE!</v>
      </c>
      <c r="C281" t="e">
        <f ca="1">IF((A1)=(2),1,IF(AND((INDEX(B1:XFD1,(A2)+(0)))=("writeheap"),(INDEX(B4:B404,(B3)+(1)))=(277)),INDEX(B4:B404,(B3)+(2)),IF((A1)=(2),1,IF((278)=(C3),C281,C281))))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404,(B282)+(1)),IF(("add")=(INDEX(B1:XFD1,(A2)+(0))),(INDEX(B4:B404,(B3)+(1)))+(B282),IF(("equals")=(INDEX(B1:XFD1,(A2)+(0))),(INDEX(B4:B404,(B3)+(1)))=(B282),IF(("leq")=(INDEX(B1:XFD1,(A2)+(0))),(INDEX(B4:B404,(B3)+(1)))&lt;=(B282),IF(("mod")=(INDEX(B1:XFD1,(A2)+(0))),MOD(INDEX(B4:B404,(B3)+(1)),B282),B282)))))))),B282))</f>
        <v>#VALUE!</v>
      </c>
      <c r="C282" t="e">
        <f ca="1">IF((A1)=(2),1,IF(AND((INDEX(B1:XFD1,(A2)+(0)))=("writeheap"),(INDEX(B4:B404,(B3)+(1)))=(278)),INDEX(B4:B404,(B3)+(2)),IF((A1)=(2),1,IF((279)=(C3),C282,C282))))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404,(B283)+(1)),IF(("add")=(INDEX(B1:XFD1,(A2)+(0))),(INDEX(B4:B404,(B3)+(1)))+(B283),IF(("equals")=(INDEX(B1:XFD1,(A2)+(0))),(INDEX(B4:B404,(B3)+(1)))=(B283),IF(("leq")=(INDEX(B1:XFD1,(A2)+(0))),(INDEX(B4:B404,(B3)+(1)))&lt;=(B283),IF(("mod")=(INDEX(B1:XFD1,(A2)+(0))),MOD(INDEX(B4:B404,(B3)+(1)),B283),B283)))))))),B283))</f>
        <v>#VALUE!</v>
      </c>
      <c r="C283" t="e">
        <f ca="1">IF((A1)=(2),1,IF(AND((INDEX(B1:XFD1,(A2)+(0)))=("writeheap"),(INDEX(B4:B404,(B3)+(1)))=(279)),INDEX(B4:B404,(B3)+(2)),IF((A1)=(2),1,IF((280)=(C3),C283,C283))))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404,(B284)+(1)),IF(("add")=(INDEX(B1:XFD1,(A2)+(0))),(INDEX(B4:B404,(B3)+(1)))+(B284),IF(("equals")=(INDEX(B1:XFD1,(A2)+(0))),(INDEX(B4:B404,(B3)+(1)))=(B284),IF(("leq")=(INDEX(B1:XFD1,(A2)+(0))),(INDEX(B4:B404,(B3)+(1)))&lt;=(B284),IF(("mod")=(INDEX(B1:XFD1,(A2)+(0))),MOD(INDEX(B4:B404,(B3)+(1)),B284),B284)))))))),B284))</f>
        <v>#VALUE!</v>
      </c>
      <c r="C284" t="e">
        <f ca="1">IF((A1)=(2),1,IF(AND((INDEX(B1:XFD1,(A2)+(0)))=("writeheap"),(INDEX(B4:B404,(B3)+(1)))=(280)),INDEX(B4:B404,(B3)+(2)),IF((A1)=(2),1,IF((281)=(C3),C284,C284))))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404,(B285)+(1)),IF(("add")=(INDEX(B1:XFD1,(A2)+(0))),(INDEX(B4:B404,(B3)+(1)))+(B285),IF(("equals")=(INDEX(B1:XFD1,(A2)+(0))),(INDEX(B4:B404,(B3)+(1)))=(B285),IF(("leq")=(INDEX(B1:XFD1,(A2)+(0))),(INDEX(B4:B404,(B3)+(1)))&lt;=(B285),IF(("mod")=(INDEX(B1:XFD1,(A2)+(0))),MOD(INDEX(B4:B404,(B3)+(1)),B285),B285)))))))),B285))</f>
        <v>#VALUE!</v>
      </c>
      <c r="C285" t="e">
        <f ca="1">IF((A1)=(2),1,IF(AND((INDEX(B1:XFD1,(A2)+(0)))=("writeheap"),(INDEX(B4:B404,(B3)+(1)))=(281)),INDEX(B4:B404,(B3)+(2)),IF((A1)=(2),1,IF((282)=(C3),C285,C285))))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404,(B286)+(1)),IF(("add")=(INDEX(B1:XFD1,(A2)+(0))),(INDEX(B4:B404,(B3)+(1)))+(B286),IF(("equals")=(INDEX(B1:XFD1,(A2)+(0))),(INDEX(B4:B404,(B3)+(1)))=(B286),IF(("leq")=(INDEX(B1:XFD1,(A2)+(0))),(INDEX(B4:B404,(B3)+(1)))&lt;=(B286),IF(("mod")=(INDEX(B1:XFD1,(A2)+(0))),MOD(INDEX(B4:B404,(B3)+(1)),B286),B286)))))))),B286))</f>
        <v>#VALUE!</v>
      </c>
      <c r="C286" t="e">
        <f ca="1">IF((A1)=(2),1,IF(AND((INDEX(B1:XFD1,(A2)+(0)))=("writeheap"),(INDEX(B4:B404,(B3)+(1)))=(282)),INDEX(B4:B404,(B3)+(2)),IF((A1)=(2),1,IF((283)=(C3),C286,C286))))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404,(B287)+(1)),IF(("add")=(INDEX(B1:XFD1,(A2)+(0))),(INDEX(B4:B404,(B3)+(1)))+(B287),IF(("equals")=(INDEX(B1:XFD1,(A2)+(0))),(INDEX(B4:B404,(B3)+(1)))=(B287),IF(("leq")=(INDEX(B1:XFD1,(A2)+(0))),(INDEX(B4:B404,(B3)+(1)))&lt;=(B287),IF(("mod")=(INDEX(B1:XFD1,(A2)+(0))),MOD(INDEX(B4:B404,(B3)+(1)),B287),B287)))))))),B287))</f>
        <v>#VALUE!</v>
      </c>
      <c r="C287" t="e">
        <f ca="1">IF((A1)=(2),1,IF(AND((INDEX(B1:XFD1,(A2)+(0)))=("writeheap"),(INDEX(B4:B404,(B3)+(1)))=(283)),INDEX(B4:B404,(B3)+(2)),IF((A1)=(2),1,IF((284)=(C3),C287,C287))))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404,(B288)+(1)),IF(("add")=(INDEX(B1:XFD1,(A2)+(0))),(INDEX(B4:B404,(B3)+(1)))+(B288),IF(("equals")=(INDEX(B1:XFD1,(A2)+(0))),(INDEX(B4:B404,(B3)+(1)))=(B288),IF(("leq")=(INDEX(B1:XFD1,(A2)+(0))),(INDEX(B4:B404,(B3)+(1)))&lt;=(B288),IF(("mod")=(INDEX(B1:XFD1,(A2)+(0))),MOD(INDEX(B4:B404,(B3)+(1)),B288),B288)))))))),B288))</f>
        <v>#VALUE!</v>
      </c>
      <c r="C288" t="e">
        <f ca="1">IF((A1)=(2),1,IF(AND((INDEX(B1:XFD1,(A2)+(0)))=("writeheap"),(INDEX(B4:B404,(B3)+(1)))=(284)),INDEX(B4:B404,(B3)+(2)),IF((A1)=(2),1,IF((285)=(C3),C288,C288))))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404,(B289)+(1)),IF(("add")=(INDEX(B1:XFD1,(A2)+(0))),(INDEX(B4:B404,(B3)+(1)))+(B289),IF(("equals")=(INDEX(B1:XFD1,(A2)+(0))),(INDEX(B4:B404,(B3)+(1)))=(B289),IF(("leq")=(INDEX(B1:XFD1,(A2)+(0))),(INDEX(B4:B404,(B3)+(1)))&lt;=(B289),IF(("mod")=(INDEX(B1:XFD1,(A2)+(0))),MOD(INDEX(B4:B404,(B3)+(1)),B289),B289)))))))),B289))</f>
        <v>#VALUE!</v>
      </c>
      <c r="C289" t="e">
        <f ca="1">IF((A1)=(2),1,IF(AND((INDEX(B1:XFD1,(A2)+(0)))=("writeheap"),(INDEX(B4:B404,(B3)+(1)))=(285)),INDEX(B4:B404,(B3)+(2)),IF((A1)=(2),1,IF((286)=(C3),C289,C289))))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404,(B290)+(1)),IF(("add")=(INDEX(B1:XFD1,(A2)+(0))),(INDEX(B4:B404,(B3)+(1)))+(B290),IF(("equals")=(INDEX(B1:XFD1,(A2)+(0))),(INDEX(B4:B404,(B3)+(1)))=(B290),IF(("leq")=(INDEX(B1:XFD1,(A2)+(0))),(INDEX(B4:B404,(B3)+(1)))&lt;=(B290),IF(("mod")=(INDEX(B1:XFD1,(A2)+(0))),MOD(INDEX(B4:B404,(B3)+(1)),B290),B290)))))))),B290))</f>
        <v>#VALUE!</v>
      </c>
      <c r="C290" t="e">
        <f ca="1">IF((A1)=(2),1,IF(AND((INDEX(B1:XFD1,(A2)+(0)))=("writeheap"),(INDEX(B4:B404,(B3)+(1)))=(286)),INDEX(B4:B404,(B3)+(2)),IF((A1)=(2),1,IF((287)=(C3),C290,C290))))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404,(B291)+(1)),IF(("add")=(INDEX(B1:XFD1,(A2)+(0))),(INDEX(B4:B404,(B3)+(1)))+(B291),IF(("equals")=(INDEX(B1:XFD1,(A2)+(0))),(INDEX(B4:B404,(B3)+(1)))=(B291),IF(("leq")=(INDEX(B1:XFD1,(A2)+(0))),(INDEX(B4:B404,(B3)+(1)))&lt;=(B291),IF(("mod")=(INDEX(B1:XFD1,(A2)+(0))),MOD(INDEX(B4:B404,(B3)+(1)),B291),B291)))))))),B291))</f>
        <v>#VALUE!</v>
      </c>
      <c r="C291" t="e">
        <f ca="1">IF((A1)=(2),1,IF(AND((INDEX(B1:XFD1,(A2)+(0)))=("writeheap"),(INDEX(B4:B404,(B3)+(1)))=(287)),INDEX(B4:B404,(B3)+(2)),IF((A1)=(2),1,IF((288)=(C3),C291,C291))))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404,(B292)+(1)),IF(("add")=(INDEX(B1:XFD1,(A2)+(0))),(INDEX(B4:B404,(B3)+(1)))+(B292),IF(("equals")=(INDEX(B1:XFD1,(A2)+(0))),(INDEX(B4:B404,(B3)+(1)))=(B292),IF(("leq")=(INDEX(B1:XFD1,(A2)+(0))),(INDEX(B4:B404,(B3)+(1)))&lt;=(B292),IF(("mod")=(INDEX(B1:XFD1,(A2)+(0))),MOD(INDEX(B4:B404,(B3)+(1)),B292),B292)))))))),B292))</f>
        <v>#VALUE!</v>
      </c>
      <c r="C292" t="e">
        <f ca="1">IF((A1)=(2),1,IF(AND((INDEX(B1:XFD1,(A2)+(0)))=("writeheap"),(INDEX(B4:B404,(B3)+(1)))=(288)),INDEX(B4:B404,(B3)+(2)),IF((A1)=(2),1,IF((289)=(C3),C292,C292))))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404,(B293)+(1)),IF(("add")=(INDEX(B1:XFD1,(A2)+(0))),(INDEX(B4:B404,(B3)+(1)))+(B293),IF(("equals")=(INDEX(B1:XFD1,(A2)+(0))),(INDEX(B4:B404,(B3)+(1)))=(B293),IF(("leq")=(INDEX(B1:XFD1,(A2)+(0))),(INDEX(B4:B404,(B3)+(1)))&lt;=(B293),IF(("mod")=(INDEX(B1:XFD1,(A2)+(0))),MOD(INDEX(B4:B404,(B3)+(1)),B293),B293)))))))),B293))</f>
        <v>#VALUE!</v>
      </c>
      <c r="C293" t="e">
        <f ca="1">IF((A1)=(2),1,IF(AND((INDEX(B1:XFD1,(A2)+(0)))=("writeheap"),(INDEX(B4:B404,(B3)+(1)))=(289)),INDEX(B4:B404,(B3)+(2)),IF((A1)=(2),1,IF((290)=(C3),C293,C293))))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404,(B294)+(1)),IF(("add")=(INDEX(B1:XFD1,(A2)+(0))),(INDEX(B4:B404,(B3)+(1)))+(B294),IF(("equals")=(INDEX(B1:XFD1,(A2)+(0))),(INDEX(B4:B404,(B3)+(1)))=(B294),IF(("leq")=(INDEX(B1:XFD1,(A2)+(0))),(INDEX(B4:B404,(B3)+(1)))&lt;=(B294),IF(("mod")=(INDEX(B1:XFD1,(A2)+(0))),MOD(INDEX(B4:B404,(B3)+(1)),B294),B294)))))))),B294))</f>
        <v>#VALUE!</v>
      </c>
      <c r="C294" t="e">
        <f ca="1">IF((A1)=(2),1,IF(AND((INDEX(B1:XFD1,(A2)+(0)))=("writeheap"),(INDEX(B4:B404,(B3)+(1)))=(290)),INDEX(B4:B404,(B3)+(2)),IF((A1)=(2),1,IF((291)=(C3),C294,C294))))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404,(B295)+(1)),IF(("add")=(INDEX(B1:XFD1,(A2)+(0))),(INDEX(B4:B404,(B3)+(1)))+(B295),IF(("equals")=(INDEX(B1:XFD1,(A2)+(0))),(INDEX(B4:B404,(B3)+(1)))=(B295),IF(("leq")=(INDEX(B1:XFD1,(A2)+(0))),(INDEX(B4:B404,(B3)+(1)))&lt;=(B295),IF(("mod")=(INDEX(B1:XFD1,(A2)+(0))),MOD(INDEX(B4:B404,(B3)+(1)),B295),B295)))))))),B295))</f>
        <v>#VALUE!</v>
      </c>
      <c r="C295" t="e">
        <f ca="1">IF((A1)=(2),1,IF(AND((INDEX(B1:XFD1,(A2)+(0)))=("writeheap"),(INDEX(B4:B404,(B3)+(1)))=(291)),INDEX(B4:B404,(B3)+(2)),IF((A1)=(2),1,IF((292)=(C3),C295,C295))))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404,(B296)+(1)),IF(("add")=(INDEX(B1:XFD1,(A2)+(0))),(INDEX(B4:B404,(B3)+(1)))+(B296),IF(("equals")=(INDEX(B1:XFD1,(A2)+(0))),(INDEX(B4:B404,(B3)+(1)))=(B296),IF(("leq")=(INDEX(B1:XFD1,(A2)+(0))),(INDEX(B4:B404,(B3)+(1)))&lt;=(B296),IF(("mod")=(INDEX(B1:XFD1,(A2)+(0))),MOD(INDEX(B4:B404,(B3)+(1)),B296),B296)))))))),B296))</f>
        <v>#VALUE!</v>
      </c>
      <c r="C296" t="e">
        <f ca="1">IF((A1)=(2),1,IF(AND((INDEX(B1:XFD1,(A2)+(0)))=("writeheap"),(INDEX(B4:B404,(B3)+(1)))=(292)),INDEX(B4:B404,(B3)+(2)),IF((A1)=(2),1,IF((293)=(C3),C296,C296))))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404,(B297)+(1)),IF(("add")=(INDEX(B1:XFD1,(A2)+(0))),(INDEX(B4:B404,(B3)+(1)))+(B297),IF(("equals")=(INDEX(B1:XFD1,(A2)+(0))),(INDEX(B4:B404,(B3)+(1)))=(B297),IF(("leq")=(INDEX(B1:XFD1,(A2)+(0))),(INDEX(B4:B404,(B3)+(1)))&lt;=(B297),IF(("mod")=(INDEX(B1:XFD1,(A2)+(0))),MOD(INDEX(B4:B404,(B3)+(1)),B297),B297)))))))),B297))</f>
        <v>#VALUE!</v>
      </c>
      <c r="C297" t="e">
        <f ca="1">IF((A1)=(2),1,IF(AND((INDEX(B1:XFD1,(A2)+(0)))=("writeheap"),(INDEX(B4:B404,(B3)+(1)))=(293)),INDEX(B4:B404,(B3)+(2)),IF((A1)=(2),1,IF((294)=(C3),C297,C297))))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404,(B298)+(1)),IF(("add")=(INDEX(B1:XFD1,(A2)+(0))),(INDEX(B4:B404,(B3)+(1)))+(B298),IF(("equals")=(INDEX(B1:XFD1,(A2)+(0))),(INDEX(B4:B404,(B3)+(1)))=(B298),IF(("leq")=(INDEX(B1:XFD1,(A2)+(0))),(INDEX(B4:B404,(B3)+(1)))&lt;=(B298),IF(("mod")=(INDEX(B1:XFD1,(A2)+(0))),MOD(INDEX(B4:B404,(B3)+(1)),B298),B298)))))))),B298))</f>
        <v>#VALUE!</v>
      </c>
      <c r="C298" t="e">
        <f ca="1">IF((A1)=(2),1,IF(AND((INDEX(B1:XFD1,(A2)+(0)))=("writeheap"),(INDEX(B4:B404,(B3)+(1)))=(294)),INDEX(B4:B404,(B3)+(2)),IF((A1)=(2),1,IF((295)=(C3),C298,C298))))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404,(B299)+(1)),IF(("add")=(INDEX(B1:XFD1,(A2)+(0))),(INDEX(B4:B404,(B3)+(1)))+(B299),IF(("equals")=(INDEX(B1:XFD1,(A2)+(0))),(INDEX(B4:B404,(B3)+(1)))=(B299),IF(("leq")=(INDEX(B1:XFD1,(A2)+(0))),(INDEX(B4:B404,(B3)+(1)))&lt;=(B299),IF(("mod")=(INDEX(B1:XFD1,(A2)+(0))),MOD(INDEX(B4:B404,(B3)+(1)),B299),B299)))))))),B299))</f>
        <v>#VALUE!</v>
      </c>
      <c r="C299" t="e">
        <f ca="1">IF((A1)=(2),1,IF(AND((INDEX(B1:XFD1,(A2)+(0)))=("writeheap"),(INDEX(B4:B404,(B3)+(1)))=(295)),INDEX(B4:B404,(B3)+(2)),IF((A1)=(2),1,IF((296)=(C3),C299,C299))))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404,(B300)+(1)),IF(("add")=(INDEX(B1:XFD1,(A2)+(0))),(INDEX(B4:B404,(B3)+(1)))+(B300),IF(("equals")=(INDEX(B1:XFD1,(A2)+(0))),(INDEX(B4:B404,(B3)+(1)))=(B300),IF(("leq")=(INDEX(B1:XFD1,(A2)+(0))),(INDEX(B4:B404,(B3)+(1)))&lt;=(B300),IF(("mod")=(INDEX(B1:XFD1,(A2)+(0))),MOD(INDEX(B4:B404,(B3)+(1)),B300),B300)))))))),B300))</f>
        <v>#VALUE!</v>
      </c>
      <c r="C300" t="e">
        <f ca="1">IF((A1)=(2),1,IF(AND((INDEX(B1:XFD1,(A2)+(0)))=("writeheap"),(INDEX(B4:B404,(B3)+(1)))=(296)),INDEX(B4:B404,(B3)+(2)),IF((A1)=(2),1,IF((297)=(C3),C300,C300))))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404,(B301)+(1)),IF(("add")=(INDEX(B1:XFD1,(A2)+(0))),(INDEX(B4:B404,(B3)+(1)))+(B301),IF(("equals")=(INDEX(B1:XFD1,(A2)+(0))),(INDEX(B4:B404,(B3)+(1)))=(B301),IF(("leq")=(INDEX(B1:XFD1,(A2)+(0))),(INDEX(B4:B404,(B3)+(1)))&lt;=(B301),IF(("mod")=(INDEX(B1:XFD1,(A2)+(0))),MOD(INDEX(B4:B404,(B3)+(1)),B301),B301)))))))),B301))</f>
        <v>#VALUE!</v>
      </c>
      <c r="C301" t="e">
        <f ca="1">IF((A1)=(2),1,IF(AND((INDEX(B1:XFD1,(A2)+(0)))=("writeheap"),(INDEX(B4:B404,(B3)+(1)))=(297)),INDEX(B4:B404,(B3)+(2)),IF((A1)=(2),1,IF((298)=(C3),C301,C301))))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404,(B302)+(1)),IF(("add")=(INDEX(B1:XFD1,(A2)+(0))),(INDEX(B4:B404,(B3)+(1)))+(B302),IF(("equals")=(INDEX(B1:XFD1,(A2)+(0))),(INDEX(B4:B404,(B3)+(1)))=(B302),IF(("leq")=(INDEX(B1:XFD1,(A2)+(0))),(INDEX(B4:B404,(B3)+(1)))&lt;=(B302),IF(("mod")=(INDEX(B1:XFD1,(A2)+(0))),MOD(INDEX(B4:B404,(B3)+(1)),B302),B302)))))))),B302))</f>
        <v>#VALUE!</v>
      </c>
      <c r="C302" t="e">
        <f ca="1">IF((A1)=(2),1,IF(AND((INDEX(B1:XFD1,(A2)+(0)))=("writeheap"),(INDEX(B4:B404,(B3)+(1)))=(298)),INDEX(B4:B404,(B3)+(2)),IF((A1)=(2),1,IF((299)=(C3),C302,C302))))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404,(B303)+(1)),IF(("add")=(INDEX(B1:XFD1,(A2)+(0))),(INDEX(B4:B404,(B3)+(1)))+(B303),IF(("equals")=(INDEX(B1:XFD1,(A2)+(0))),(INDEX(B4:B404,(B3)+(1)))=(B303),IF(("leq")=(INDEX(B1:XFD1,(A2)+(0))),(INDEX(B4:B404,(B3)+(1)))&lt;=(B303),IF(("mod")=(INDEX(B1:XFD1,(A2)+(0))),MOD(INDEX(B4:B404,(B3)+(1)),B303),B303)))))))),B303))</f>
        <v>#VALUE!</v>
      </c>
      <c r="C303" t="e">
        <f ca="1">IF((A1)=(2),1,IF(AND((INDEX(B1:XFD1,(A2)+(0)))=("writeheap"),(INDEX(B4:B404,(B3)+(1)))=(299)),INDEX(B4:B404,(B3)+(2)),IF((A1)=(2),1,IF((300)=(C3),C303,C303))))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  <row r="304" spans="1:30" x14ac:dyDescent="0.25">
      <c r="A304" t="e">
        <f ca="1">IF((A1)=(2),1,IF((301)=(A3),IF(("call")=(INDEX(B1:XFD1,(A2)+(0))),((B2)*(2))+(1),IF(("goto")=(INDEX(B1:XFD1,(A2)+(0))),((INDEX(B1:XFD1,(A2)+(1)))*(2))+(1),IF(("gotoiftrue")=(INDEX(B1:XFD1,(A2)+(0))),IF(B2,((INDEX(B1:XFD1,(A2)+(1)))*(2))+(1),(A304)+(2)),(A304)+(2)))),A304))</f>
        <v>#VALUE!</v>
      </c>
      <c r="B304" t="e">
        <f ca="1">IF((A1)=(2),1,IF((301)=(B3),IF(("push")=(INDEX(B1:XFD1,(A2)+(0))),INDEX(B1:XFD1,(A2)+(1)),IF(("load")=(INDEX(B1:XFD1,(A2)+(0))),INDEX(F2:XFD2,INDEX(B1:XFD1,(A2)+(1))),IF(("newheap")=(INDEX(B1:XFD1,(A2)+(0))),(C3)-(2),IF(("getheap")=(INDEX(B1:XFD1,(A2)+(0))),INDEX(C4:C404,(B304)+(1)),IF(("add")=(INDEX(B1:XFD1,(A2)+(0))),(INDEX(B4:B404,(B3)+(1)))+(B304),IF(("equals")=(INDEX(B1:XFD1,(A2)+(0))),(INDEX(B4:B404,(B3)+(1)))=(B304),IF(("leq")=(INDEX(B1:XFD1,(A2)+(0))),(INDEX(B4:B404,(B3)+(1)))&lt;=(B304),IF(("mod")=(INDEX(B1:XFD1,(A2)+(0))),MOD(INDEX(B4:B404,(B3)+(1)),B304),B304)))))))),B304))</f>
        <v>#VALUE!</v>
      </c>
      <c r="C304" t="e">
        <f ca="1">IF((A1)=(2),1,IF(AND((INDEX(B1:XFD1,(A2)+(0)))=("writeheap"),(INDEX(B4:B404,(B3)+(1)))=(300)),INDEX(B4:B404,(B3)+(2)),IF((A1)=(2),1,IF((301)=(C3),C304,C304))))</f>
        <v>#VALUE!</v>
      </c>
      <c r="E304" t="e">
        <f ca="1">IF((A1)=(2),1,IF((301)=(E3),IF(("outputline")=(INDEX(B1:XFD1,(A2)+(0))),B2,E304),E304))</f>
        <v>#VALUE!</v>
      </c>
      <c r="F304" t="e">
        <f ca="1">IF((A1)=(2),1,IF((301)=(F3),IF(IF((INDEX(B1:XFD1,(A2)+(0)))=("store"),(INDEX(B1:XFD1,(A2)+(1)))=("F"),"false"),B2,F304),F304))</f>
        <v>#VALUE!</v>
      </c>
      <c r="G304" t="e">
        <f ca="1">IF((A1)=(2),1,IF((301)=(G3),IF(IF((INDEX(B1:XFD1,(A2)+(0)))=("store"),(INDEX(B1:XFD1,(A2)+(1)))=("G"),"false"),B2,G304),G304))</f>
        <v>#VALUE!</v>
      </c>
      <c r="H304" t="e">
        <f ca="1">IF((A1)=(2),1,IF((301)=(H3),IF(IF((INDEX(B1:XFD1,(A2)+(0)))=("store"),(INDEX(B1:XFD1,(A2)+(1)))=("H"),"false"),B2,H304),H304))</f>
        <v>#VALUE!</v>
      </c>
      <c r="I304" t="e">
        <f ca="1">IF((A1)=(2),1,IF((301)=(I3),IF(IF((INDEX(B1:XFD1,(A2)+(0)))=("store"),(INDEX(B1:XFD1,(A2)+(1)))=("I"),"false"),B2,I304),I304))</f>
        <v>#VALUE!</v>
      </c>
      <c r="J304" t="e">
        <f ca="1">IF((A1)=(2),1,IF((301)=(J3),IF(IF((INDEX(B1:XFD1,(A2)+(0)))=("store"),(INDEX(B1:XFD1,(A2)+(1)))=("J"),"false"),B2,J304),J304))</f>
        <v>#VALUE!</v>
      </c>
      <c r="K304" t="e">
        <f ca="1">IF((A1)=(2),1,IF((301)=(K3),IF(IF((INDEX(B1:XFD1,(A2)+(0)))=("store"),(INDEX(B1:XFD1,(A2)+(1)))=("K"),"false"),B2,K304),K304))</f>
        <v>#VALUE!</v>
      </c>
      <c r="L304" t="e">
        <f ca="1">IF((A1)=(2),1,IF((301)=(L3),IF(IF((INDEX(B1:XFD1,(A2)+(0)))=("store"),(INDEX(B1:XFD1,(A2)+(1)))=("L"),"false"),B2,L304),L304))</f>
        <v>#VALUE!</v>
      </c>
      <c r="M304" t="e">
        <f ca="1">IF((A1)=(2),1,IF((301)=(M3),IF(IF((INDEX(B1:XFD1,(A2)+(0)))=("store"),(INDEX(B1:XFD1,(A2)+(1)))=("M"),"false"),B2,M304),M304))</f>
        <v>#VALUE!</v>
      </c>
      <c r="N304" t="e">
        <f ca="1">IF((A1)=(2),1,IF((301)=(N3),IF(IF((INDEX(B1:XFD1,(A2)+(0)))=("store"),(INDEX(B1:XFD1,(A2)+(1)))=("N"),"false"),B2,N304),N304))</f>
        <v>#VALUE!</v>
      </c>
      <c r="O304" t="e">
        <f ca="1">IF((A1)=(2),1,IF((301)=(O3),IF(IF((INDEX(B1:XFD1,(A2)+(0)))=("store"),(INDEX(B1:XFD1,(A2)+(1)))=("O"),"false"),B2,O304),O304))</f>
        <v>#VALUE!</v>
      </c>
      <c r="P304" t="e">
        <f ca="1">IF((A1)=(2),1,IF((301)=(P3),IF(IF((INDEX(B1:XFD1,(A2)+(0)))=("store"),(INDEX(B1:XFD1,(A2)+(1)))=("P"),"false"),B2,P304),P304))</f>
        <v>#VALUE!</v>
      </c>
      <c r="Q304" t="e">
        <f ca="1">IF((A1)=(2),1,IF((301)=(Q3),IF(IF((INDEX(B1:XFD1,(A2)+(0)))=("store"),(INDEX(B1:XFD1,(A2)+(1)))=("Q"),"false"),B2,Q304),Q304))</f>
        <v>#VALUE!</v>
      </c>
      <c r="R304" t="e">
        <f ca="1">IF((A1)=(2),1,IF((301)=(R3),IF(IF((INDEX(B1:XFD1,(A2)+(0)))=("store"),(INDEX(B1:XFD1,(A2)+(1)))=("R"),"false"),B2,R304),R304))</f>
        <v>#VALUE!</v>
      </c>
      <c r="S304" t="e">
        <f ca="1">IF((A1)=(2),1,IF((301)=(S3),IF(IF((INDEX(B1:XFD1,(A2)+(0)))=("store"),(INDEX(B1:XFD1,(A2)+(1)))=("S"),"false"),B2,S304),S304))</f>
        <v>#VALUE!</v>
      </c>
      <c r="T304" t="e">
        <f ca="1">IF((A1)=(2),1,IF((301)=(T3),IF(IF((INDEX(B1:XFD1,(A2)+(0)))=("store"),(INDEX(B1:XFD1,(A2)+(1)))=("T"),"false"),B2,T304),T304))</f>
        <v>#VALUE!</v>
      </c>
      <c r="U304" t="e">
        <f ca="1">IF((A1)=(2),1,IF((301)=(U3),IF(IF((INDEX(B1:XFD1,(A2)+(0)))=("store"),(INDEX(B1:XFD1,(A2)+(1)))=("U"),"false"),B2,U304),U304))</f>
        <v>#VALUE!</v>
      </c>
      <c r="V304" t="e">
        <f ca="1">IF((A1)=(2),1,IF((301)=(V3),IF(IF((INDEX(B1:XFD1,(A2)+(0)))=("store"),(INDEX(B1:XFD1,(A2)+(1)))=("V"),"false"),B2,V304),V304))</f>
        <v>#VALUE!</v>
      </c>
      <c r="W304" t="e">
        <f ca="1">IF((A1)=(2),1,IF((301)=(W3),IF(IF((INDEX(B1:XFD1,(A2)+(0)))=("store"),(INDEX(B1:XFD1,(A2)+(1)))=("W"),"false"),B2,W304),W304))</f>
        <v>#VALUE!</v>
      </c>
      <c r="X304" t="e">
        <f ca="1">IF((A1)=(2),1,IF((301)=(X3),IF(IF((INDEX(B1:XFD1,(A2)+(0)))=("store"),(INDEX(B1:XFD1,(A2)+(1)))=("X"),"false"),B2,X304),X304))</f>
        <v>#VALUE!</v>
      </c>
      <c r="Y304" t="e">
        <f ca="1">IF((A1)=(2),1,IF((301)=(Y3),IF(IF((INDEX(B1:XFD1,(A2)+(0)))=("store"),(INDEX(B1:XFD1,(A2)+(1)))=("Y"),"false"),B2,Y304),Y304))</f>
        <v>#VALUE!</v>
      </c>
      <c r="Z304" t="e">
        <f ca="1">IF((A1)=(2),1,IF((301)=(Z3),IF(IF((INDEX(B1:XFD1,(A2)+(0)))=("store"),(INDEX(B1:XFD1,(A2)+(1)))=("Z"),"false"),B2,Z304),Z304))</f>
        <v>#VALUE!</v>
      </c>
      <c r="AA304" t="e">
        <f ca="1">IF((A1)=(2),1,IF((301)=(AA3),IF(IF((INDEX(B1:XFD1,(A2)+(0)))=("store"),(INDEX(B1:XFD1,(A2)+(1)))=("AA"),"false"),B2,AA304),AA304))</f>
        <v>#VALUE!</v>
      </c>
      <c r="AB304" t="e">
        <f ca="1">IF((A1)=(2),1,IF((301)=(AB3),IF(IF((INDEX(B1:XFD1,(A2)+(0)))=("store"),(INDEX(B1:XFD1,(A2)+(1)))=("AB"),"false"),B2,AB304),AB304))</f>
        <v>#VALUE!</v>
      </c>
      <c r="AC304" t="e">
        <f ca="1">IF((A1)=(2),1,IF((301)=(AC3),IF(IF((INDEX(B1:XFD1,(A2)+(0)))=("store"),(INDEX(B1:XFD1,(A2)+(1)))=("AC"),"false"),B2,AC304),AC304))</f>
        <v>#VALUE!</v>
      </c>
      <c r="AD304" t="e">
        <f ca="1">IF((A1)=(2),1,IF((301)=(AD3),IF(IF((INDEX(B1:XFD1,(A2)+(0)))=("store"),(INDEX(B1:XFD1,(A2)+(1)))=("AD"),"false"),B2,AD304),AD304))</f>
        <v>#VALUE!</v>
      </c>
    </row>
    <row r="305" spans="1:30" x14ac:dyDescent="0.25">
      <c r="A305" t="e">
        <f ca="1">IF((A1)=(2),1,IF((302)=(A3),IF(("call")=(INDEX(B1:XFD1,(A2)+(0))),((B2)*(2))+(1),IF(("goto")=(INDEX(B1:XFD1,(A2)+(0))),((INDEX(B1:XFD1,(A2)+(1)))*(2))+(1),IF(("gotoiftrue")=(INDEX(B1:XFD1,(A2)+(0))),IF(B2,((INDEX(B1:XFD1,(A2)+(1)))*(2))+(1),(A305)+(2)),(A305)+(2)))),A305))</f>
        <v>#VALUE!</v>
      </c>
      <c r="B305" t="e">
        <f ca="1">IF((A1)=(2),1,IF((302)=(B3),IF(("push")=(INDEX(B1:XFD1,(A2)+(0))),INDEX(B1:XFD1,(A2)+(1)),IF(("load")=(INDEX(B1:XFD1,(A2)+(0))),INDEX(F2:XFD2,INDEX(B1:XFD1,(A2)+(1))),IF(("newheap")=(INDEX(B1:XFD1,(A2)+(0))),(C3)-(2),IF(("getheap")=(INDEX(B1:XFD1,(A2)+(0))),INDEX(C4:C404,(B305)+(1)),IF(("add")=(INDEX(B1:XFD1,(A2)+(0))),(INDEX(B4:B404,(B3)+(1)))+(B305),IF(("equals")=(INDEX(B1:XFD1,(A2)+(0))),(INDEX(B4:B404,(B3)+(1)))=(B305),IF(("leq")=(INDEX(B1:XFD1,(A2)+(0))),(INDEX(B4:B404,(B3)+(1)))&lt;=(B305),IF(("mod")=(INDEX(B1:XFD1,(A2)+(0))),MOD(INDEX(B4:B404,(B3)+(1)),B305),B305)))))))),B305))</f>
        <v>#VALUE!</v>
      </c>
      <c r="C305" t="e">
        <f ca="1">IF((A1)=(2),1,IF(AND((INDEX(B1:XFD1,(A2)+(0)))=("writeheap"),(INDEX(B4:B404,(B3)+(1)))=(301)),INDEX(B4:B404,(B3)+(2)),IF((A1)=(2),1,IF((302)=(C3),C305,C305))))</f>
        <v>#VALUE!</v>
      </c>
      <c r="E305" t="e">
        <f ca="1">IF((A1)=(2),1,IF((302)=(E3),IF(("outputline")=(INDEX(B1:XFD1,(A2)+(0))),B2,E305),E305))</f>
        <v>#VALUE!</v>
      </c>
      <c r="F305" t="e">
        <f ca="1">IF((A1)=(2),1,IF((302)=(F3),IF(IF((INDEX(B1:XFD1,(A2)+(0)))=("store"),(INDEX(B1:XFD1,(A2)+(1)))=("F"),"false"),B2,F305),F305))</f>
        <v>#VALUE!</v>
      </c>
      <c r="G305" t="e">
        <f ca="1">IF((A1)=(2),1,IF((302)=(G3),IF(IF((INDEX(B1:XFD1,(A2)+(0)))=("store"),(INDEX(B1:XFD1,(A2)+(1)))=("G"),"false"),B2,G305),G305))</f>
        <v>#VALUE!</v>
      </c>
      <c r="H305" t="e">
        <f ca="1">IF((A1)=(2),1,IF((302)=(H3),IF(IF((INDEX(B1:XFD1,(A2)+(0)))=("store"),(INDEX(B1:XFD1,(A2)+(1)))=("H"),"false"),B2,H305),H305))</f>
        <v>#VALUE!</v>
      </c>
      <c r="I305" t="e">
        <f ca="1">IF((A1)=(2),1,IF((302)=(I3),IF(IF((INDEX(B1:XFD1,(A2)+(0)))=("store"),(INDEX(B1:XFD1,(A2)+(1)))=("I"),"false"),B2,I305),I305))</f>
        <v>#VALUE!</v>
      </c>
      <c r="J305" t="e">
        <f ca="1">IF((A1)=(2),1,IF((302)=(J3),IF(IF((INDEX(B1:XFD1,(A2)+(0)))=("store"),(INDEX(B1:XFD1,(A2)+(1)))=("J"),"false"),B2,J305),J305))</f>
        <v>#VALUE!</v>
      </c>
      <c r="K305" t="e">
        <f ca="1">IF((A1)=(2),1,IF((302)=(K3),IF(IF((INDEX(B1:XFD1,(A2)+(0)))=("store"),(INDEX(B1:XFD1,(A2)+(1)))=("K"),"false"),B2,K305),K305))</f>
        <v>#VALUE!</v>
      </c>
      <c r="L305" t="e">
        <f ca="1">IF((A1)=(2),1,IF((302)=(L3),IF(IF((INDEX(B1:XFD1,(A2)+(0)))=("store"),(INDEX(B1:XFD1,(A2)+(1)))=("L"),"false"),B2,L305),L305))</f>
        <v>#VALUE!</v>
      </c>
      <c r="M305" t="e">
        <f ca="1">IF((A1)=(2),1,IF((302)=(M3),IF(IF((INDEX(B1:XFD1,(A2)+(0)))=("store"),(INDEX(B1:XFD1,(A2)+(1)))=("M"),"false"),B2,M305),M305))</f>
        <v>#VALUE!</v>
      </c>
      <c r="N305" t="e">
        <f ca="1">IF((A1)=(2),1,IF((302)=(N3),IF(IF((INDEX(B1:XFD1,(A2)+(0)))=("store"),(INDEX(B1:XFD1,(A2)+(1)))=("N"),"false"),B2,N305),N305))</f>
        <v>#VALUE!</v>
      </c>
      <c r="O305" t="e">
        <f ca="1">IF((A1)=(2),1,IF((302)=(O3),IF(IF((INDEX(B1:XFD1,(A2)+(0)))=("store"),(INDEX(B1:XFD1,(A2)+(1)))=("O"),"false"),B2,O305),O305))</f>
        <v>#VALUE!</v>
      </c>
      <c r="P305" t="e">
        <f ca="1">IF((A1)=(2),1,IF((302)=(P3),IF(IF((INDEX(B1:XFD1,(A2)+(0)))=("store"),(INDEX(B1:XFD1,(A2)+(1)))=("P"),"false"),B2,P305),P305))</f>
        <v>#VALUE!</v>
      </c>
      <c r="Q305" t="e">
        <f ca="1">IF((A1)=(2),1,IF((302)=(Q3),IF(IF((INDEX(B1:XFD1,(A2)+(0)))=("store"),(INDEX(B1:XFD1,(A2)+(1)))=("Q"),"false"),B2,Q305),Q305))</f>
        <v>#VALUE!</v>
      </c>
      <c r="R305" t="e">
        <f ca="1">IF((A1)=(2),1,IF((302)=(R3),IF(IF((INDEX(B1:XFD1,(A2)+(0)))=("store"),(INDEX(B1:XFD1,(A2)+(1)))=("R"),"false"),B2,R305),R305))</f>
        <v>#VALUE!</v>
      </c>
      <c r="S305" t="e">
        <f ca="1">IF((A1)=(2),1,IF((302)=(S3),IF(IF((INDEX(B1:XFD1,(A2)+(0)))=("store"),(INDEX(B1:XFD1,(A2)+(1)))=("S"),"false"),B2,S305),S305))</f>
        <v>#VALUE!</v>
      </c>
      <c r="T305" t="e">
        <f ca="1">IF((A1)=(2),1,IF((302)=(T3),IF(IF((INDEX(B1:XFD1,(A2)+(0)))=("store"),(INDEX(B1:XFD1,(A2)+(1)))=("T"),"false"),B2,T305),T305))</f>
        <v>#VALUE!</v>
      </c>
      <c r="U305" t="e">
        <f ca="1">IF((A1)=(2),1,IF((302)=(U3),IF(IF((INDEX(B1:XFD1,(A2)+(0)))=("store"),(INDEX(B1:XFD1,(A2)+(1)))=("U"),"false"),B2,U305),U305))</f>
        <v>#VALUE!</v>
      </c>
      <c r="V305" t="e">
        <f ca="1">IF((A1)=(2),1,IF((302)=(V3),IF(IF((INDEX(B1:XFD1,(A2)+(0)))=("store"),(INDEX(B1:XFD1,(A2)+(1)))=("V"),"false"),B2,V305),V305))</f>
        <v>#VALUE!</v>
      </c>
      <c r="W305" t="e">
        <f ca="1">IF((A1)=(2),1,IF((302)=(W3),IF(IF((INDEX(B1:XFD1,(A2)+(0)))=("store"),(INDEX(B1:XFD1,(A2)+(1)))=("W"),"false"),B2,W305),W305))</f>
        <v>#VALUE!</v>
      </c>
      <c r="X305" t="e">
        <f ca="1">IF((A1)=(2),1,IF((302)=(X3),IF(IF((INDEX(B1:XFD1,(A2)+(0)))=("store"),(INDEX(B1:XFD1,(A2)+(1)))=("X"),"false"),B2,X305),X305))</f>
        <v>#VALUE!</v>
      </c>
      <c r="Y305" t="e">
        <f ca="1">IF((A1)=(2),1,IF((302)=(Y3),IF(IF((INDEX(B1:XFD1,(A2)+(0)))=("store"),(INDEX(B1:XFD1,(A2)+(1)))=("Y"),"false"),B2,Y305),Y305))</f>
        <v>#VALUE!</v>
      </c>
      <c r="Z305" t="e">
        <f ca="1">IF((A1)=(2),1,IF((302)=(Z3),IF(IF((INDEX(B1:XFD1,(A2)+(0)))=("store"),(INDEX(B1:XFD1,(A2)+(1)))=("Z"),"false"),B2,Z305),Z305))</f>
        <v>#VALUE!</v>
      </c>
      <c r="AA305" t="e">
        <f ca="1">IF((A1)=(2),1,IF((302)=(AA3),IF(IF((INDEX(B1:XFD1,(A2)+(0)))=("store"),(INDEX(B1:XFD1,(A2)+(1)))=("AA"),"false"),B2,AA305),AA305))</f>
        <v>#VALUE!</v>
      </c>
      <c r="AB305" t="e">
        <f ca="1">IF((A1)=(2),1,IF((302)=(AB3),IF(IF((INDEX(B1:XFD1,(A2)+(0)))=("store"),(INDEX(B1:XFD1,(A2)+(1)))=("AB"),"false"),B2,AB305),AB305))</f>
        <v>#VALUE!</v>
      </c>
      <c r="AC305" t="e">
        <f ca="1">IF((A1)=(2),1,IF((302)=(AC3),IF(IF((INDEX(B1:XFD1,(A2)+(0)))=("store"),(INDEX(B1:XFD1,(A2)+(1)))=("AC"),"false"),B2,AC305),AC305))</f>
        <v>#VALUE!</v>
      </c>
      <c r="AD305" t="e">
        <f ca="1">IF((A1)=(2),1,IF((302)=(AD3),IF(IF((INDEX(B1:XFD1,(A2)+(0)))=("store"),(INDEX(B1:XFD1,(A2)+(1)))=("AD"),"false"),B2,AD305),AD305))</f>
        <v>#VALUE!</v>
      </c>
    </row>
    <row r="306" spans="1:30" x14ac:dyDescent="0.25">
      <c r="A306" t="e">
        <f ca="1">IF((A1)=(2),1,IF((303)=(A3),IF(("call")=(INDEX(B1:XFD1,(A2)+(0))),((B2)*(2))+(1),IF(("goto")=(INDEX(B1:XFD1,(A2)+(0))),((INDEX(B1:XFD1,(A2)+(1)))*(2))+(1),IF(("gotoiftrue")=(INDEX(B1:XFD1,(A2)+(0))),IF(B2,((INDEX(B1:XFD1,(A2)+(1)))*(2))+(1),(A306)+(2)),(A306)+(2)))),A306))</f>
        <v>#VALUE!</v>
      </c>
      <c r="B306" t="e">
        <f ca="1">IF((A1)=(2),1,IF((303)=(B3),IF(("push")=(INDEX(B1:XFD1,(A2)+(0))),INDEX(B1:XFD1,(A2)+(1)),IF(("load")=(INDEX(B1:XFD1,(A2)+(0))),INDEX(F2:XFD2,INDEX(B1:XFD1,(A2)+(1))),IF(("newheap")=(INDEX(B1:XFD1,(A2)+(0))),(C3)-(2),IF(("getheap")=(INDEX(B1:XFD1,(A2)+(0))),INDEX(C4:C404,(B306)+(1)),IF(("add")=(INDEX(B1:XFD1,(A2)+(0))),(INDEX(B4:B404,(B3)+(1)))+(B306),IF(("equals")=(INDEX(B1:XFD1,(A2)+(0))),(INDEX(B4:B404,(B3)+(1)))=(B306),IF(("leq")=(INDEX(B1:XFD1,(A2)+(0))),(INDEX(B4:B404,(B3)+(1)))&lt;=(B306),IF(("mod")=(INDEX(B1:XFD1,(A2)+(0))),MOD(INDEX(B4:B404,(B3)+(1)),B306),B306)))))))),B306))</f>
        <v>#VALUE!</v>
      </c>
      <c r="C306" t="e">
        <f ca="1">IF((A1)=(2),1,IF(AND((INDEX(B1:XFD1,(A2)+(0)))=("writeheap"),(INDEX(B4:B404,(B3)+(1)))=(302)),INDEX(B4:B404,(B3)+(2)),IF((A1)=(2),1,IF((303)=(C3),C306,C306))))</f>
        <v>#VALUE!</v>
      </c>
      <c r="E306" t="e">
        <f ca="1">IF((A1)=(2),1,IF((303)=(E3),IF(("outputline")=(INDEX(B1:XFD1,(A2)+(0))),B2,E306),E306))</f>
        <v>#VALUE!</v>
      </c>
      <c r="F306" t="e">
        <f ca="1">IF((A1)=(2),1,IF((303)=(F3),IF(IF((INDEX(B1:XFD1,(A2)+(0)))=("store"),(INDEX(B1:XFD1,(A2)+(1)))=("F"),"false"),B2,F306),F306))</f>
        <v>#VALUE!</v>
      </c>
      <c r="G306" t="e">
        <f ca="1">IF((A1)=(2),1,IF((303)=(G3),IF(IF((INDEX(B1:XFD1,(A2)+(0)))=("store"),(INDEX(B1:XFD1,(A2)+(1)))=("G"),"false"),B2,G306),G306))</f>
        <v>#VALUE!</v>
      </c>
      <c r="H306" t="e">
        <f ca="1">IF((A1)=(2),1,IF((303)=(H3),IF(IF((INDEX(B1:XFD1,(A2)+(0)))=("store"),(INDEX(B1:XFD1,(A2)+(1)))=("H"),"false"),B2,H306),H306))</f>
        <v>#VALUE!</v>
      </c>
      <c r="I306" t="e">
        <f ca="1">IF((A1)=(2),1,IF((303)=(I3),IF(IF((INDEX(B1:XFD1,(A2)+(0)))=("store"),(INDEX(B1:XFD1,(A2)+(1)))=("I"),"false"),B2,I306),I306))</f>
        <v>#VALUE!</v>
      </c>
      <c r="J306" t="e">
        <f ca="1">IF((A1)=(2),1,IF((303)=(J3),IF(IF((INDEX(B1:XFD1,(A2)+(0)))=("store"),(INDEX(B1:XFD1,(A2)+(1)))=("J"),"false"),B2,J306),J306))</f>
        <v>#VALUE!</v>
      </c>
      <c r="K306" t="e">
        <f ca="1">IF((A1)=(2),1,IF((303)=(K3),IF(IF((INDEX(B1:XFD1,(A2)+(0)))=("store"),(INDEX(B1:XFD1,(A2)+(1)))=("K"),"false"),B2,K306),K306))</f>
        <v>#VALUE!</v>
      </c>
      <c r="L306" t="e">
        <f ca="1">IF((A1)=(2),1,IF((303)=(L3),IF(IF((INDEX(B1:XFD1,(A2)+(0)))=("store"),(INDEX(B1:XFD1,(A2)+(1)))=("L"),"false"),B2,L306),L306))</f>
        <v>#VALUE!</v>
      </c>
      <c r="M306" t="e">
        <f ca="1">IF((A1)=(2),1,IF((303)=(M3),IF(IF((INDEX(B1:XFD1,(A2)+(0)))=("store"),(INDEX(B1:XFD1,(A2)+(1)))=("M"),"false"),B2,M306),M306))</f>
        <v>#VALUE!</v>
      </c>
      <c r="N306" t="e">
        <f ca="1">IF((A1)=(2),1,IF((303)=(N3),IF(IF((INDEX(B1:XFD1,(A2)+(0)))=("store"),(INDEX(B1:XFD1,(A2)+(1)))=("N"),"false"),B2,N306),N306))</f>
        <v>#VALUE!</v>
      </c>
      <c r="O306" t="e">
        <f ca="1">IF((A1)=(2),1,IF((303)=(O3),IF(IF((INDEX(B1:XFD1,(A2)+(0)))=("store"),(INDEX(B1:XFD1,(A2)+(1)))=("O"),"false"),B2,O306),O306))</f>
        <v>#VALUE!</v>
      </c>
      <c r="P306" t="e">
        <f ca="1">IF((A1)=(2),1,IF((303)=(P3),IF(IF((INDEX(B1:XFD1,(A2)+(0)))=("store"),(INDEX(B1:XFD1,(A2)+(1)))=("P"),"false"),B2,P306),P306))</f>
        <v>#VALUE!</v>
      </c>
      <c r="Q306" t="e">
        <f ca="1">IF((A1)=(2),1,IF((303)=(Q3),IF(IF((INDEX(B1:XFD1,(A2)+(0)))=("store"),(INDEX(B1:XFD1,(A2)+(1)))=("Q"),"false"),B2,Q306),Q306))</f>
        <v>#VALUE!</v>
      </c>
      <c r="R306" t="e">
        <f ca="1">IF((A1)=(2),1,IF((303)=(R3),IF(IF((INDEX(B1:XFD1,(A2)+(0)))=("store"),(INDEX(B1:XFD1,(A2)+(1)))=("R"),"false"),B2,R306),R306))</f>
        <v>#VALUE!</v>
      </c>
      <c r="S306" t="e">
        <f ca="1">IF((A1)=(2),1,IF((303)=(S3),IF(IF((INDEX(B1:XFD1,(A2)+(0)))=("store"),(INDEX(B1:XFD1,(A2)+(1)))=("S"),"false"),B2,S306),S306))</f>
        <v>#VALUE!</v>
      </c>
      <c r="T306" t="e">
        <f ca="1">IF((A1)=(2),1,IF((303)=(T3),IF(IF((INDEX(B1:XFD1,(A2)+(0)))=("store"),(INDEX(B1:XFD1,(A2)+(1)))=("T"),"false"),B2,T306),T306))</f>
        <v>#VALUE!</v>
      </c>
      <c r="U306" t="e">
        <f ca="1">IF((A1)=(2),1,IF((303)=(U3),IF(IF((INDEX(B1:XFD1,(A2)+(0)))=("store"),(INDEX(B1:XFD1,(A2)+(1)))=("U"),"false"),B2,U306),U306))</f>
        <v>#VALUE!</v>
      </c>
      <c r="V306" t="e">
        <f ca="1">IF((A1)=(2),1,IF((303)=(V3),IF(IF((INDEX(B1:XFD1,(A2)+(0)))=("store"),(INDEX(B1:XFD1,(A2)+(1)))=("V"),"false"),B2,V306),V306))</f>
        <v>#VALUE!</v>
      </c>
      <c r="W306" t="e">
        <f ca="1">IF((A1)=(2),1,IF((303)=(W3),IF(IF((INDEX(B1:XFD1,(A2)+(0)))=("store"),(INDEX(B1:XFD1,(A2)+(1)))=("W"),"false"),B2,W306),W306))</f>
        <v>#VALUE!</v>
      </c>
      <c r="X306" t="e">
        <f ca="1">IF((A1)=(2),1,IF((303)=(X3),IF(IF((INDEX(B1:XFD1,(A2)+(0)))=("store"),(INDEX(B1:XFD1,(A2)+(1)))=("X"),"false"),B2,X306),X306))</f>
        <v>#VALUE!</v>
      </c>
      <c r="Y306" t="e">
        <f ca="1">IF((A1)=(2),1,IF((303)=(Y3),IF(IF((INDEX(B1:XFD1,(A2)+(0)))=("store"),(INDEX(B1:XFD1,(A2)+(1)))=("Y"),"false"),B2,Y306),Y306))</f>
        <v>#VALUE!</v>
      </c>
      <c r="Z306" t="e">
        <f ca="1">IF((A1)=(2),1,IF((303)=(Z3),IF(IF((INDEX(B1:XFD1,(A2)+(0)))=("store"),(INDEX(B1:XFD1,(A2)+(1)))=("Z"),"false"),B2,Z306),Z306))</f>
        <v>#VALUE!</v>
      </c>
      <c r="AA306" t="e">
        <f ca="1">IF((A1)=(2),1,IF((303)=(AA3),IF(IF((INDEX(B1:XFD1,(A2)+(0)))=("store"),(INDEX(B1:XFD1,(A2)+(1)))=("AA"),"false"),B2,AA306),AA306))</f>
        <v>#VALUE!</v>
      </c>
      <c r="AB306" t="e">
        <f ca="1">IF((A1)=(2),1,IF((303)=(AB3),IF(IF((INDEX(B1:XFD1,(A2)+(0)))=("store"),(INDEX(B1:XFD1,(A2)+(1)))=("AB"),"false"),B2,AB306),AB306))</f>
        <v>#VALUE!</v>
      </c>
      <c r="AC306" t="e">
        <f ca="1">IF((A1)=(2),1,IF((303)=(AC3),IF(IF((INDEX(B1:XFD1,(A2)+(0)))=("store"),(INDEX(B1:XFD1,(A2)+(1)))=("AC"),"false"),B2,AC306),AC306))</f>
        <v>#VALUE!</v>
      </c>
      <c r="AD306" t="e">
        <f ca="1">IF((A1)=(2),1,IF((303)=(AD3),IF(IF((INDEX(B1:XFD1,(A2)+(0)))=("store"),(INDEX(B1:XFD1,(A2)+(1)))=("AD"),"false"),B2,AD306),AD306))</f>
        <v>#VALUE!</v>
      </c>
    </row>
    <row r="307" spans="1:30" x14ac:dyDescent="0.25">
      <c r="A307" t="e">
        <f ca="1">IF((A1)=(2),1,IF((304)=(A3),IF(("call")=(INDEX(B1:XFD1,(A2)+(0))),((B2)*(2))+(1),IF(("goto")=(INDEX(B1:XFD1,(A2)+(0))),((INDEX(B1:XFD1,(A2)+(1)))*(2))+(1),IF(("gotoiftrue")=(INDEX(B1:XFD1,(A2)+(0))),IF(B2,((INDEX(B1:XFD1,(A2)+(1)))*(2))+(1),(A307)+(2)),(A307)+(2)))),A307))</f>
        <v>#VALUE!</v>
      </c>
      <c r="B307" t="e">
        <f ca="1">IF((A1)=(2),1,IF((304)=(B3),IF(("push")=(INDEX(B1:XFD1,(A2)+(0))),INDEX(B1:XFD1,(A2)+(1)),IF(("load")=(INDEX(B1:XFD1,(A2)+(0))),INDEX(F2:XFD2,INDEX(B1:XFD1,(A2)+(1))),IF(("newheap")=(INDEX(B1:XFD1,(A2)+(0))),(C3)-(2),IF(("getheap")=(INDEX(B1:XFD1,(A2)+(0))),INDEX(C4:C404,(B307)+(1)),IF(("add")=(INDEX(B1:XFD1,(A2)+(0))),(INDEX(B4:B404,(B3)+(1)))+(B307),IF(("equals")=(INDEX(B1:XFD1,(A2)+(0))),(INDEX(B4:B404,(B3)+(1)))=(B307),IF(("leq")=(INDEX(B1:XFD1,(A2)+(0))),(INDEX(B4:B404,(B3)+(1)))&lt;=(B307),IF(("mod")=(INDEX(B1:XFD1,(A2)+(0))),MOD(INDEX(B4:B404,(B3)+(1)),B307),B307)))))))),B307))</f>
        <v>#VALUE!</v>
      </c>
      <c r="C307" t="e">
        <f ca="1">IF((A1)=(2),1,IF(AND((INDEX(B1:XFD1,(A2)+(0)))=("writeheap"),(INDEX(B4:B404,(B3)+(1)))=(303)),INDEX(B4:B404,(B3)+(2)),IF((A1)=(2),1,IF((304)=(C3),C307,C307))))</f>
        <v>#VALUE!</v>
      </c>
      <c r="E307" t="e">
        <f ca="1">IF((A1)=(2),1,IF((304)=(E3),IF(("outputline")=(INDEX(B1:XFD1,(A2)+(0))),B2,E307),E307))</f>
        <v>#VALUE!</v>
      </c>
      <c r="F307" t="e">
        <f ca="1">IF((A1)=(2),1,IF((304)=(F3),IF(IF((INDEX(B1:XFD1,(A2)+(0)))=("store"),(INDEX(B1:XFD1,(A2)+(1)))=("F"),"false"),B2,F307),F307))</f>
        <v>#VALUE!</v>
      </c>
      <c r="G307" t="e">
        <f ca="1">IF((A1)=(2),1,IF((304)=(G3),IF(IF((INDEX(B1:XFD1,(A2)+(0)))=("store"),(INDEX(B1:XFD1,(A2)+(1)))=("G"),"false"),B2,G307),G307))</f>
        <v>#VALUE!</v>
      </c>
      <c r="H307" t="e">
        <f ca="1">IF((A1)=(2),1,IF((304)=(H3),IF(IF((INDEX(B1:XFD1,(A2)+(0)))=("store"),(INDEX(B1:XFD1,(A2)+(1)))=("H"),"false"),B2,H307),H307))</f>
        <v>#VALUE!</v>
      </c>
      <c r="I307" t="e">
        <f ca="1">IF((A1)=(2),1,IF((304)=(I3),IF(IF((INDEX(B1:XFD1,(A2)+(0)))=("store"),(INDEX(B1:XFD1,(A2)+(1)))=("I"),"false"),B2,I307),I307))</f>
        <v>#VALUE!</v>
      </c>
      <c r="J307" t="e">
        <f ca="1">IF((A1)=(2),1,IF((304)=(J3),IF(IF((INDEX(B1:XFD1,(A2)+(0)))=("store"),(INDEX(B1:XFD1,(A2)+(1)))=("J"),"false"),B2,J307),J307))</f>
        <v>#VALUE!</v>
      </c>
      <c r="K307" t="e">
        <f ca="1">IF((A1)=(2),1,IF((304)=(K3),IF(IF((INDEX(B1:XFD1,(A2)+(0)))=("store"),(INDEX(B1:XFD1,(A2)+(1)))=("K"),"false"),B2,K307),K307))</f>
        <v>#VALUE!</v>
      </c>
      <c r="L307" t="e">
        <f ca="1">IF((A1)=(2),1,IF((304)=(L3),IF(IF((INDEX(B1:XFD1,(A2)+(0)))=("store"),(INDEX(B1:XFD1,(A2)+(1)))=("L"),"false"),B2,L307),L307))</f>
        <v>#VALUE!</v>
      </c>
      <c r="M307" t="e">
        <f ca="1">IF((A1)=(2),1,IF((304)=(M3),IF(IF((INDEX(B1:XFD1,(A2)+(0)))=("store"),(INDEX(B1:XFD1,(A2)+(1)))=("M"),"false"),B2,M307),M307))</f>
        <v>#VALUE!</v>
      </c>
      <c r="N307" t="e">
        <f ca="1">IF((A1)=(2),1,IF((304)=(N3),IF(IF((INDEX(B1:XFD1,(A2)+(0)))=("store"),(INDEX(B1:XFD1,(A2)+(1)))=("N"),"false"),B2,N307),N307))</f>
        <v>#VALUE!</v>
      </c>
      <c r="O307" t="e">
        <f ca="1">IF((A1)=(2),1,IF((304)=(O3),IF(IF((INDEX(B1:XFD1,(A2)+(0)))=("store"),(INDEX(B1:XFD1,(A2)+(1)))=("O"),"false"),B2,O307),O307))</f>
        <v>#VALUE!</v>
      </c>
      <c r="P307" t="e">
        <f ca="1">IF((A1)=(2),1,IF((304)=(P3),IF(IF((INDEX(B1:XFD1,(A2)+(0)))=("store"),(INDEX(B1:XFD1,(A2)+(1)))=("P"),"false"),B2,P307),P307))</f>
        <v>#VALUE!</v>
      </c>
      <c r="Q307" t="e">
        <f ca="1">IF((A1)=(2),1,IF((304)=(Q3),IF(IF((INDEX(B1:XFD1,(A2)+(0)))=("store"),(INDEX(B1:XFD1,(A2)+(1)))=("Q"),"false"),B2,Q307),Q307))</f>
        <v>#VALUE!</v>
      </c>
      <c r="R307" t="e">
        <f ca="1">IF((A1)=(2),1,IF((304)=(R3),IF(IF((INDEX(B1:XFD1,(A2)+(0)))=("store"),(INDEX(B1:XFD1,(A2)+(1)))=("R"),"false"),B2,R307),R307))</f>
        <v>#VALUE!</v>
      </c>
      <c r="S307" t="e">
        <f ca="1">IF((A1)=(2),1,IF((304)=(S3),IF(IF((INDEX(B1:XFD1,(A2)+(0)))=("store"),(INDEX(B1:XFD1,(A2)+(1)))=("S"),"false"),B2,S307),S307))</f>
        <v>#VALUE!</v>
      </c>
      <c r="T307" t="e">
        <f ca="1">IF((A1)=(2),1,IF((304)=(T3),IF(IF((INDEX(B1:XFD1,(A2)+(0)))=("store"),(INDEX(B1:XFD1,(A2)+(1)))=("T"),"false"),B2,T307),T307))</f>
        <v>#VALUE!</v>
      </c>
      <c r="U307" t="e">
        <f ca="1">IF((A1)=(2),1,IF((304)=(U3),IF(IF((INDEX(B1:XFD1,(A2)+(0)))=("store"),(INDEX(B1:XFD1,(A2)+(1)))=("U"),"false"),B2,U307),U307))</f>
        <v>#VALUE!</v>
      </c>
      <c r="V307" t="e">
        <f ca="1">IF((A1)=(2),1,IF((304)=(V3),IF(IF((INDEX(B1:XFD1,(A2)+(0)))=("store"),(INDEX(B1:XFD1,(A2)+(1)))=("V"),"false"),B2,V307),V307))</f>
        <v>#VALUE!</v>
      </c>
      <c r="W307" t="e">
        <f ca="1">IF((A1)=(2),1,IF((304)=(W3),IF(IF((INDEX(B1:XFD1,(A2)+(0)))=("store"),(INDEX(B1:XFD1,(A2)+(1)))=("W"),"false"),B2,W307),W307))</f>
        <v>#VALUE!</v>
      </c>
      <c r="X307" t="e">
        <f ca="1">IF((A1)=(2),1,IF((304)=(X3),IF(IF((INDEX(B1:XFD1,(A2)+(0)))=("store"),(INDEX(B1:XFD1,(A2)+(1)))=("X"),"false"),B2,X307),X307))</f>
        <v>#VALUE!</v>
      </c>
      <c r="Y307" t="e">
        <f ca="1">IF((A1)=(2),1,IF((304)=(Y3),IF(IF((INDEX(B1:XFD1,(A2)+(0)))=("store"),(INDEX(B1:XFD1,(A2)+(1)))=("Y"),"false"),B2,Y307),Y307))</f>
        <v>#VALUE!</v>
      </c>
      <c r="Z307" t="e">
        <f ca="1">IF((A1)=(2),1,IF((304)=(Z3),IF(IF((INDEX(B1:XFD1,(A2)+(0)))=("store"),(INDEX(B1:XFD1,(A2)+(1)))=("Z"),"false"),B2,Z307),Z307))</f>
        <v>#VALUE!</v>
      </c>
      <c r="AA307" t="e">
        <f ca="1">IF((A1)=(2),1,IF((304)=(AA3),IF(IF((INDEX(B1:XFD1,(A2)+(0)))=("store"),(INDEX(B1:XFD1,(A2)+(1)))=("AA"),"false"),B2,AA307),AA307))</f>
        <v>#VALUE!</v>
      </c>
      <c r="AB307" t="e">
        <f ca="1">IF((A1)=(2),1,IF((304)=(AB3),IF(IF((INDEX(B1:XFD1,(A2)+(0)))=("store"),(INDEX(B1:XFD1,(A2)+(1)))=("AB"),"false"),B2,AB307),AB307))</f>
        <v>#VALUE!</v>
      </c>
      <c r="AC307" t="e">
        <f ca="1">IF((A1)=(2),1,IF((304)=(AC3),IF(IF((INDEX(B1:XFD1,(A2)+(0)))=("store"),(INDEX(B1:XFD1,(A2)+(1)))=("AC"),"false"),B2,AC307),AC307))</f>
        <v>#VALUE!</v>
      </c>
      <c r="AD307" t="e">
        <f ca="1">IF((A1)=(2),1,IF((304)=(AD3),IF(IF((INDEX(B1:XFD1,(A2)+(0)))=("store"),(INDEX(B1:XFD1,(A2)+(1)))=("AD"),"false"),B2,AD307),AD307))</f>
        <v>#VALUE!</v>
      </c>
    </row>
    <row r="308" spans="1:30" x14ac:dyDescent="0.25">
      <c r="A308" t="e">
        <f ca="1">IF((A1)=(2),1,IF((305)=(A3),IF(("call")=(INDEX(B1:XFD1,(A2)+(0))),((B2)*(2))+(1),IF(("goto")=(INDEX(B1:XFD1,(A2)+(0))),((INDEX(B1:XFD1,(A2)+(1)))*(2))+(1),IF(("gotoiftrue")=(INDEX(B1:XFD1,(A2)+(0))),IF(B2,((INDEX(B1:XFD1,(A2)+(1)))*(2))+(1),(A308)+(2)),(A308)+(2)))),A308))</f>
        <v>#VALUE!</v>
      </c>
      <c r="B308" t="e">
        <f ca="1">IF((A1)=(2),1,IF((305)=(B3),IF(("push")=(INDEX(B1:XFD1,(A2)+(0))),INDEX(B1:XFD1,(A2)+(1)),IF(("load")=(INDEX(B1:XFD1,(A2)+(0))),INDEX(F2:XFD2,INDEX(B1:XFD1,(A2)+(1))),IF(("newheap")=(INDEX(B1:XFD1,(A2)+(0))),(C3)-(2),IF(("getheap")=(INDEX(B1:XFD1,(A2)+(0))),INDEX(C4:C404,(B308)+(1)),IF(("add")=(INDEX(B1:XFD1,(A2)+(0))),(INDEX(B4:B404,(B3)+(1)))+(B308),IF(("equals")=(INDEX(B1:XFD1,(A2)+(0))),(INDEX(B4:B404,(B3)+(1)))=(B308),IF(("leq")=(INDEX(B1:XFD1,(A2)+(0))),(INDEX(B4:B404,(B3)+(1)))&lt;=(B308),IF(("mod")=(INDEX(B1:XFD1,(A2)+(0))),MOD(INDEX(B4:B404,(B3)+(1)),B308),B308)))))))),B308))</f>
        <v>#VALUE!</v>
      </c>
      <c r="C308" t="e">
        <f ca="1">IF((A1)=(2),1,IF(AND((INDEX(B1:XFD1,(A2)+(0)))=("writeheap"),(INDEX(B4:B404,(B3)+(1)))=(304)),INDEX(B4:B404,(B3)+(2)),IF((A1)=(2),1,IF((305)=(C3),C308,C308))))</f>
        <v>#VALUE!</v>
      </c>
      <c r="E308" t="e">
        <f ca="1">IF((A1)=(2),1,IF((305)=(E3),IF(("outputline")=(INDEX(B1:XFD1,(A2)+(0))),B2,E308),E308))</f>
        <v>#VALUE!</v>
      </c>
      <c r="F308" t="e">
        <f ca="1">IF((A1)=(2),1,IF((305)=(F3),IF(IF((INDEX(B1:XFD1,(A2)+(0)))=("store"),(INDEX(B1:XFD1,(A2)+(1)))=("F"),"false"),B2,F308),F308))</f>
        <v>#VALUE!</v>
      </c>
      <c r="G308" t="e">
        <f ca="1">IF((A1)=(2),1,IF((305)=(G3),IF(IF((INDEX(B1:XFD1,(A2)+(0)))=("store"),(INDEX(B1:XFD1,(A2)+(1)))=("G"),"false"),B2,G308),G308))</f>
        <v>#VALUE!</v>
      </c>
      <c r="H308" t="e">
        <f ca="1">IF((A1)=(2),1,IF((305)=(H3),IF(IF((INDEX(B1:XFD1,(A2)+(0)))=("store"),(INDEX(B1:XFD1,(A2)+(1)))=("H"),"false"),B2,H308),H308))</f>
        <v>#VALUE!</v>
      </c>
      <c r="I308" t="e">
        <f ca="1">IF((A1)=(2),1,IF((305)=(I3),IF(IF((INDEX(B1:XFD1,(A2)+(0)))=("store"),(INDEX(B1:XFD1,(A2)+(1)))=("I"),"false"),B2,I308),I308))</f>
        <v>#VALUE!</v>
      </c>
      <c r="J308" t="e">
        <f ca="1">IF((A1)=(2),1,IF((305)=(J3),IF(IF((INDEX(B1:XFD1,(A2)+(0)))=("store"),(INDEX(B1:XFD1,(A2)+(1)))=("J"),"false"),B2,J308),J308))</f>
        <v>#VALUE!</v>
      </c>
      <c r="K308" t="e">
        <f ca="1">IF((A1)=(2),1,IF((305)=(K3),IF(IF((INDEX(B1:XFD1,(A2)+(0)))=("store"),(INDEX(B1:XFD1,(A2)+(1)))=("K"),"false"),B2,K308),K308))</f>
        <v>#VALUE!</v>
      </c>
      <c r="L308" t="e">
        <f ca="1">IF((A1)=(2),1,IF((305)=(L3),IF(IF((INDEX(B1:XFD1,(A2)+(0)))=("store"),(INDEX(B1:XFD1,(A2)+(1)))=("L"),"false"),B2,L308),L308))</f>
        <v>#VALUE!</v>
      </c>
      <c r="M308" t="e">
        <f ca="1">IF((A1)=(2),1,IF((305)=(M3),IF(IF((INDEX(B1:XFD1,(A2)+(0)))=("store"),(INDEX(B1:XFD1,(A2)+(1)))=("M"),"false"),B2,M308),M308))</f>
        <v>#VALUE!</v>
      </c>
      <c r="N308" t="e">
        <f ca="1">IF((A1)=(2),1,IF((305)=(N3),IF(IF((INDEX(B1:XFD1,(A2)+(0)))=("store"),(INDEX(B1:XFD1,(A2)+(1)))=("N"),"false"),B2,N308),N308))</f>
        <v>#VALUE!</v>
      </c>
      <c r="O308" t="e">
        <f ca="1">IF((A1)=(2),1,IF((305)=(O3),IF(IF((INDEX(B1:XFD1,(A2)+(0)))=("store"),(INDEX(B1:XFD1,(A2)+(1)))=("O"),"false"),B2,O308),O308))</f>
        <v>#VALUE!</v>
      </c>
      <c r="P308" t="e">
        <f ca="1">IF((A1)=(2),1,IF((305)=(P3),IF(IF((INDEX(B1:XFD1,(A2)+(0)))=("store"),(INDEX(B1:XFD1,(A2)+(1)))=("P"),"false"),B2,P308),P308))</f>
        <v>#VALUE!</v>
      </c>
      <c r="Q308" t="e">
        <f ca="1">IF((A1)=(2),1,IF((305)=(Q3),IF(IF((INDEX(B1:XFD1,(A2)+(0)))=("store"),(INDEX(B1:XFD1,(A2)+(1)))=("Q"),"false"),B2,Q308),Q308))</f>
        <v>#VALUE!</v>
      </c>
      <c r="R308" t="e">
        <f ca="1">IF((A1)=(2),1,IF((305)=(R3),IF(IF((INDEX(B1:XFD1,(A2)+(0)))=("store"),(INDEX(B1:XFD1,(A2)+(1)))=("R"),"false"),B2,R308),R308))</f>
        <v>#VALUE!</v>
      </c>
      <c r="S308" t="e">
        <f ca="1">IF((A1)=(2),1,IF((305)=(S3),IF(IF((INDEX(B1:XFD1,(A2)+(0)))=("store"),(INDEX(B1:XFD1,(A2)+(1)))=("S"),"false"),B2,S308),S308))</f>
        <v>#VALUE!</v>
      </c>
      <c r="T308" t="e">
        <f ca="1">IF((A1)=(2),1,IF((305)=(T3),IF(IF((INDEX(B1:XFD1,(A2)+(0)))=("store"),(INDEX(B1:XFD1,(A2)+(1)))=("T"),"false"),B2,T308),T308))</f>
        <v>#VALUE!</v>
      </c>
      <c r="U308" t="e">
        <f ca="1">IF((A1)=(2),1,IF((305)=(U3),IF(IF((INDEX(B1:XFD1,(A2)+(0)))=("store"),(INDEX(B1:XFD1,(A2)+(1)))=("U"),"false"),B2,U308),U308))</f>
        <v>#VALUE!</v>
      </c>
      <c r="V308" t="e">
        <f ca="1">IF((A1)=(2),1,IF((305)=(V3),IF(IF((INDEX(B1:XFD1,(A2)+(0)))=("store"),(INDEX(B1:XFD1,(A2)+(1)))=("V"),"false"),B2,V308),V308))</f>
        <v>#VALUE!</v>
      </c>
      <c r="W308" t="e">
        <f ca="1">IF((A1)=(2),1,IF((305)=(W3),IF(IF((INDEX(B1:XFD1,(A2)+(0)))=("store"),(INDEX(B1:XFD1,(A2)+(1)))=("W"),"false"),B2,W308),W308))</f>
        <v>#VALUE!</v>
      </c>
      <c r="X308" t="e">
        <f ca="1">IF((A1)=(2),1,IF((305)=(X3),IF(IF((INDEX(B1:XFD1,(A2)+(0)))=("store"),(INDEX(B1:XFD1,(A2)+(1)))=("X"),"false"),B2,X308),X308))</f>
        <v>#VALUE!</v>
      </c>
      <c r="Y308" t="e">
        <f ca="1">IF((A1)=(2),1,IF((305)=(Y3),IF(IF((INDEX(B1:XFD1,(A2)+(0)))=("store"),(INDEX(B1:XFD1,(A2)+(1)))=("Y"),"false"),B2,Y308),Y308))</f>
        <v>#VALUE!</v>
      </c>
      <c r="Z308" t="e">
        <f ca="1">IF((A1)=(2),1,IF((305)=(Z3),IF(IF((INDEX(B1:XFD1,(A2)+(0)))=("store"),(INDEX(B1:XFD1,(A2)+(1)))=("Z"),"false"),B2,Z308),Z308))</f>
        <v>#VALUE!</v>
      </c>
      <c r="AA308" t="e">
        <f ca="1">IF((A1)=(2),1,IF((305)=(AA3),IF(IF((INDEX(B1:XFD1,(A2)+(0)))=("store"),(INDEX(B1:XFD1,(A2)+(1)))=("AA"),"false"),B2,AA308),AA308))</f>
        <v>#VALUE!</v>
      </c>
      <c r="AB308" t="e">
        <f ca="1">IF((A1)=(2),1,IF((305)=(AB3),IF(IF((INDEX(B1:XFD1,(A2)+(0)))=("store"),(INDEX(B1:XFD1,(A2)+(1)))=("AB"),"false"),B2,AB308),AB308))</f>
        <v>#VALUE!</v>
      </c>
      <c r="AC308" t="e">
        <f ca="1">IF((A1)=(2),1,IF((305)=(AC3),IF(IF((INDEX(B1:XFD1,(A2)+(0)))=("store"),(INDEX(B1:XFD1,(A2)+(1)))=("AC"),"false"),B2,AC308),AC308))</f>
        <v>#VALUE!</v>
      </c>
      <c r="AD308" t="e">
        <f ca="1">IF((A1)=(2),1,IF((305)=(AD3),IF(IF((INDEX(B1:XFD1,(A2)+(0)))=("store"),(INDEX(B1:XFD1,(A2)+(1)))=("AD"),"false"),B2,AD308),AD308))</f>
        <v>#VALUE!</v>
      </c>
    </row>
    <row r="309" spans="1:30" x14ac:dyDescent="0.25">
      <c r="A309" t="e">
        <f ca="1">IF((A1)=(2),1,IF((306)=(A3),IF(("call")=(INDEX(B1:XFD1,(A2)+(0))),((B2)*(2))+(1),IF(("goto")=(INDEX(B1:XFD1,(A2)+(0))),((INDEX(B1:XFD1,(A2)+(1)))*(2))+(1),IF(("gotoiftrue")=(INDEX(B1:XFD1,(A2)+(0))),IF(B2,((INDEX(B1:XFD1,(A2)+(1)))*(2))+(1),(A309)+(2)),(A309)+(2)))),A309))</f>
        <v>#VALUE!</v>
      </c>
      <c r="B309" t="e">
        <f ca="1">IF((A1)=(2),1,IF((306)=(B3),IF(("push")=(INDEX(B1:XFD1,(A2)+(0))),INDEX(B1:XFD1,(A2)+(1)),IF(("load")=(INDEX(B1:XFD1,(A2)+(0))),INDEX(F2:XFD2,INDEX(B1:XFD1,(A2)+(1))),IF(("newheap")=(INDEX(B1:XFD1,(A2)+(0))),(C3)-(2),IF(("getheap")=(INDEX(B1:XFD1,(A2)+(0))),INDEX(C4:C404,(B309)+(1)),IF(("add")=(INDEX(B1:XFD1,(A2)+(0))),(INDEX(B4:B404,(B3)+(1)))+(B309),IF(("equals")=(INDEX(B1:XFD1,(A2)+(0))),(INDEX(B4:B404,(B3)+(1)))=(B309),IF(("leq")=(INDEX(B1:XFD1,(A2)+(0))),(INDEX(B4:B404,(B3)+(1)))&lt;=(B309),IF(("mod")=(INDEX(B1:XFD1,(A2)+(0))),MOD(INDEX(B4:B404,(B3)+(1)),B309),B309)))))))),B309))</f>
        <v>#VALUE!</v>
      </c>
      <c r="C309" t="e">
        <f ca="1">IF((A1)=(2),1,IF(AND((INDEX(B1:XFD1,(A2)+(0)))=("writeheap"),(INDEX(B4:B404,(B3)+(1)))=(305)),INDEX(B4:B404,(B3)+(2)),IF((A1)=(2),1,IF((306)=(C3),C309,C309))))</f>
        <v>#VALUE!</v>
      </c>
      <c r="E309" t="e">
        <f ca="1">IF((A1)=(2),1,IF((306)=(E3),IF(("outputline")=(INDEX(B1:XFD1,(A2)+(0))),B2,E309),E309))</f>
        <v>#VALUE!</v>
      </c>
      <c r="F309" t="e">
        <f ca="1">IF((A1)=(2),1,IF((306)=(F3),IF(IF((INDEX(B1:XFD1,(A2)+(0)))=("store"),(INDEX(B1:XFD1,(A2)+(1)))=("F"),"false"),B2,F309),F309))</f>
        <v>#VALUE!</v>
      </c>
      <c r="G309" t="e">
        <f ca="1">IF((A1)=(2),1,IF((306)=(G3),IF(IF((INDEX(B1:XFD1,(A2)+(0)))=("store"),(INDEX(B1:XFD1,(A2)+(1)))=("G"),"false"),B2,G309),G309))</f>
        <v>#VALUE!</v>
      </c>
      <c r="H309" t="e">
        <f ca="1">IF((A1)=(2),1,IF((306)=(H3),IF(IF((INDEX(B1:XFD1,(A2)+(0)))=("store"),(INDEX(B1:XFD1,(A2)+(1)))=("H"),"false"),B2,H309),H309))</f>
        <v>#VALUE!</v>
      </c>
      <c r="I309" t="e">
        <f ca="1">IF((A1)=(2),1,IF((306)=(I3),IF(IF((INDEX(B1:XFD1,(A2)+(0)))=("store"),(INDEX(B1:XFD1,(A2)+(1)))=("I"),"false"),B2,I309),I309))</f>
        <v>#VALUE!</v>
      </c>
      <c r="J309" t="e">
        <f ca="1">IF((A1)=(2),1,IF((306)=(J3),IF(IF((INDEX(B1:XFD1,(A2)+(0)))=("store"),(INDEX(B1:XFD1,(A2)+(1)))=("J"),"false"),B2,J309),J309))</f>
        <v>#VALUE!</v>
      </c>
      <c r="K309" t="e">
        <f ca="1">IF((A1)=(2),1,IF((306)=(K3),IF(IF((INDEX(B1:XFD1,(A2)+(0)))=("store"),(INDEX(B1:XFD1,(A2)+(1)))=("K"),"false"),B2,K309),K309))</f>
        <v>#VALUE!</v>
      </c>
      <c r="L309" t="e">
        <f ca="1">IF((A1)=(2),1,IF((306)=(L3),IF(IF((INDEX(B1:XFD1,(A2)+(0)))=("store"),(INDEX(B1:XFD1,(A2)+(1)))=("L"),"false"),B2,L309),L309))</f>
        <v>#VALUE!</v>
      </c>
      <c r="M309" t="e">
        <f ca="1">IF((A1)=(2),1,IF((306)=(M3),IF(IF((INDEX(B1:XFD1,(A2)+(0)))=("store"),(INDEX(B1:XFD1,(A2)+(1)))=("M"),"false"),B2,M309),M309))</f>
        <v>#VALUE!</v>
      </c>
      <c r="N309" t="e">
        <f ca="1">IF((A1)=(2),1,IF((306)=(N3),IF(IF((INDEX(B1:XFD1,(A2)+(0)))=("store"),(INDEX(B1:XFD1,(A2)+(1)))=("N"),"false"),B2,N309),N309))</f>
        <v>#VALUE!</v>
      </c>
      <c r="O309" t="e">
        <f ca="1">IF((A1)=(2),1,IF((306)=(O3),IF(IF((INDEX(B1:XFD1,(A2)+(0)))=("store"),(INDEX(B1:XFD1,(A2)+(1)))=("O"),"false"),B2,O309),O309))</f>
        <v>#VALUE!</v>
      </c>
      <c r="P309" t="e">
        <f ca="1">IF((A1)=(2),1,IF((306)=(P3),IF(IF((INDEX(B1:XFD1,(A2)+(0)))=("store"),(INDEX(B1:XFD1,(A2)+(1)))=("P"),"false"),B2,P309),P309))</f>
        <v>#VALUE!</v>
      </c>
      <c r="Q309" t="e">
        <f ca="1">IF((A1)=(2),1,IF((306)=(Q3),IF(IF((INDEX(B1:XFD1,(A2)+(0)))=("store"),(INDEX(B1:XFD1,(A2)+(1)))=("Q"),"false"),B2,Q309),Q309))</f>
        <v>#VALUE!</v>
      </c>
      <c r="R309" t="e">
        <f ca="1">IF((A1)=(2),1,IF((306)=(R3),IF(IF((INDEX(B1:XFD1,(A2)+(0)))=("store"),(INDEX(B1:XFD1,(A2)+(1)))=("R"),"false"),B2,R309),R309))</f>
        <v>#VALUE!</v>
      </c>
      <c r="S309" t="e">
        <f ca="1">IF((A1)=(2),1,IF((306)=(S3),IF(IF((INDEX(B1:XFD1,(A2)+(0)))=("store"),(INDEX(B1:XFD1,(A2)+(1)))=("S"),"false"),B2,S309),S309))</f>
        <v>#VALUE!</v>
      </c>
      <c r="T309" t="e">
        <f ca="1">IF((A1)=(2),1,IF((306)=(T3),IF(IF((INDEX(B1:XFD1,(A2)+(0)))=("store"),(INDEX(B1:XFD1,(A2)+(1)))=("T"),"false"),B2,T309),T309))</f>
        <v>#VALUE!</v>
      </c>
      <c r="U309" t="e">
        <f ca="1">IF((A1)=(2),1,IF((306)=(U3),IF(IF((INDEX(B1:XFD1,(A2)+(0)))=("store"),(INDEX(B1:XFD1,(A2)+(1)))=("U"),"false"),B2,U309),U309))</f>
        <v>#VALUE!</v>
      </c>
      <c r="V309" t="e">
        <f ca="1">IF((A1)=(2),1,IF((306)=(V3),IF(IF((INDEX(B1:XFD1,(A2)+(0)))=("store"),(INDEX(B1:XFD1,(A2)+(1)))=("V"),"false"),B2,V309),V309))</f>
        <v>#VALUE!</v>
      </c>
      <c r="W309" t="e">
        <f ca="1">IF((A1)=(2),1,IF((306)=(W3),IF(IF((INDEX(B1:XFD1,(A2)+(0)))=("store"),(INDEX(B1:XFD1,(A2)+(1)))=("W"),"false"),B2,W309),W309))</f>
        <v>#VALUE!</v>
      </c>
      <c r="X309" t="e">
        <f ca="1">IF((A1)=(2),1,IF((306)=(X3),IF(IF((INDEX(B1:XFD1,(A2)+(0)))=("store"),(INDEX(B1:XFD1,(A2)+(1)))=("X"),"false"),B2,X309),X309))</f>
        <v>#VALUE!</v>
      </c>
      <c r="Y309" t="e">
        <f ca="1">IF((A1)=(2),1,IF((306)=(Y3),IF(IF((INDEX(B1:XFD1,(A2)+(0)))=("store"),(INDEX(B1:XFD1,(A2)+(1)))=("Y"),"false"),B2,Y309),Y309))</f>
        <v>#VALUE!</v>
      </c>
      <c r="Z309" t="e">
        <f ca="1">IF((A1)=(2),1,IF((306)=(Z3),IF(IF((INDEX(B1:XFD1,(A2)+(0)))=("store"),(INDEX(B1:XFD1,(A2)+(1)))=("Z"),"false"),B2,Z309),Z309))</f>
        <v>#VALUE!</v>
      </c>
      <c r="AA309" t="e">
        <f ca="1">IF((A1)=(2),1,IF((306)=(AA3),IF(IF((INDEX(B1:XFD1,(A2)+(0)))=("store"),(INDEX(B1:XFD1,(A2)+(1)))=("AA"),"false"),B2,AA309),AA309))</f>
        <v>#VALUE!</v>
      </c>
      <c r="AB309" t="e">
        <f ca="1">IF((A1)=(2),1,IF((306)=(AB3),IF(IF((INDEX(B1:XFD1,(A2)+(0)))=("store"),(INDEX(B1:XFD1,(A2)+(1)))=("AB"),"false"),B2,AB309),AB309))</f>
        <v>#VALUE!</v>
      </c>
      <c r="AC309" t="e">
        <f ca="1">IF((A1)=(2),1,IF((306)=(AC3),IF(IF((INDEX(B1:XFD1,(A2)+(0)))=("store"),(INDEX(B1:XFD1,(A2)+(1)))=("AC"),"false"),B2,AC309),AC309))</f>
        <v>#VALUE!</v>
      </c>
      <c r="AD309" t="e">
        <f ca="1">IF((A1)=(2),1,IF((306)=(AD3),IF(IF((INDEX(B1:XFD1,(A2)+(0)))=("store"),(INDEX(B1:XFD1,(A2)+(1)))=("AD"),"false"),B2,AD309),AD309))</f>
        <v>#VALUE!</v>
      </c>
    </row>
    <row r="310" spans="1:30" x14ac:dyDescent="0.25">
      <c r="A310" t="e">
        <f ca="1">IF((A1)=(2),1,IF((307)=(A3),IF(("call")=(INDEX(B1:XFD1,(A2)+(0))),((B2)*(2))+(1),IF(("goto")=(INDEX(B1:XFD1,(A2)+(0))),((INDEX(B1:XFD1,(A2)+(1)))*(2))+(1),IF(("gotoiftrue")=(INDEX(B1:XFD1,(A2)+(0))),IF(B2,((INDEX(B1:XFD1,(A2)+(1)))*(2))+(1),(A310)+(2)),(A310)+(2)))),A310))</f>
        <v>#VALUE!</v>
      </c>
      <c r="B310" t="e">
        <f ca="1">IF((A1)=(2),1,IF((307)=(B3),IF(("push")=(INDEX(B1:XFD1,(A2)+(0))),INDEX(B1:XFD1,(A2)+(1)),IF(("load")=(INDEX(B1:XFD1,(A2)+(0))),INDEX(F2:XFD2,INDEX(B1:XFD1,(A2)+(1))),IF(("newheap")=(INDEX(B1:XFD1,(A2)+(0))),(C3)-(2),IF(("getheap")=(INDEX(B1:XFD1,(A2)+(0))),INDEX(C4:C404,(B310)+(1)),IF(("add")=(INDEX(B1:XFD1,(A2)+(0))),(INDEX(B4:B404,(B3)+(1)))+(B310),IF(("equals")=(INDEX(B1:XFD1,(A2)+(0))),(INDEX(B4:B404,(B3)+(1)))=(B310),IF(("leq")=(INDEX(B1:XFD1,(A2)+(0))),(INDEX(B4:B404,(B3)+(1)))&lt;=(B310),IF(("mod")=(INDEX(B1:XFD1,(A2)+(0))),MOD(INDEX(B4:B404,(B3)+(1)),B310),B310)))))))),B310))</f>
        <v>#VALUE!</v>
      </c>
      <c r="C310" t="e">
        <f ca="1">IF((A1)=(2),1,IF(AND((INDEX(B1:XFD1,(A2)+(0)))=("writeheap"),(INDEX(B4:B404,(B3)+(1)))=(306)),INDEX(B4:B404,(B3)+(2)),IF((A1)=(2),1,IF((307)=(C3),C310,C310))))</f>
        <v>#VALUE!</v>
      </c>
      <c r="E310" t="e">
        <f ca="1">IF((A1)=(2),1,IF((307)=(E3),IF(("outputline")=(INDEX(B1:XFD1,(A2)+(0))),B2,E310),E310))</f>
        <v>#VALUE!</v>
      </c>
      <c r="F310" t="e">
        <f ca="1">IF((A1)=(2),1,IF((307)=(F3),IF(IF((INDEX(B1:XFD1,(A2)+(0)))=("store"),(INDEX(B1:XFD1,(A2)+(1)))=("F"),"false"),B2,F310),F310))</f>
        <v>#VALUE!</v>
      </c>
      <c r="G310" t="e">
        <f ca="1">IF((A1)=(2),1,IF((307)=(G3),IF(IF((INDEX(B1:XFD1,(A2)+(0)))=("store"),(INDEX(B1:XFD1,(A2)+(1)))=("G"),"false"),B2,G310),G310))</f>
        <v>#VALUE!</v>
      </c>
      <c r="H310" t="e">
        <f ca="1">IF((A1)=(2),1,IF((307)=(H3),IF(IF((INDEX(B1:XFD1,(A2)+(0)))=("store"),(INDEX(B1:XFD1,(A2)+(1)))=("H"),"false"),B2,H310),H310))</f>
        <v>#VALUE!</v>
      </c>
      <c r="I310" t="e">
        <f ca="1">IF((A1)=(2),1,IF((307)=(I3),IF(IF((INDEX(B1:XFD1,(A2)+(0)))=("store"),(INDEX(B1:XFD1,(A2)+(1)))=("I"),"false"),B2,I310),I310))</f>
        <v>#VALUE!</v>
      </c>
      <c r="J310" t="e">
        <f ca="1">IF((A1)=(2),1,IF((307)=(J3),IF(IF((INDEX(B1:XFD1,(A2)+(0)))=("store"),(INDEX(B1:XFD1,(A2)+(1)))=("J"),"false"),B2,J310),J310))</f>
        <v>#VALUE!</v>
      </c>
      <c r="K310" t="e">
        <f ca="1">IF((A1)=(2),1,IF((307)=(K3),IF(IF((INDEX(B1:XFD1,(A2)+(0)))=("store"),(INDEX(B1:XFD1,(A2)+(1)))=("K"),"false"),B2,K310),K310))</f>
        <v>#VALUE!</v>
      </c>
      <c r="L310" t="e">
        <f ca="1">IF((A1)=(2),1,IF((307)=(L3),IF(IF((INDEX(B1:XFD1,(A2)+(0)))=("store"),(INDEX(B1:XFD1,(A2)+(1)))=("L"),"false"),B2,L310),L310))</f>
        <v>#VALUE!</v>
      </c>
      <c r="M310" t="e">
        <f ca="1">IF((A1)=(2),1,IF((307)=(M3),IF(IF((INDEX(B1:XFD1,(A2)+(0)))=("store"),(INDEX(B1:XFD1,(A2)+(1)))=("M"),"false"),B2,M310),M310))</f>
        <v>#VALUE!</v>
      </c>
      <c r="N310" t="e">
        <f ca="1">IF((A1)=(2),1,IF((307)=(N3),IF(IF((INDEX(B1:XFD1,(A2)+(0)))=("store"),(INDEX(B1:XFD1,(A2)+(1)))=("N"),"false"),B2,N310),N310))</f>
        <v>#VALUE!</v>
      </c>
      <c r="O310" t="e">
        <f ca="1">IF((A1)=(2),1,IF((307)=(O3),IF(IF((INDEX(B1:XFD1,(A2)+(0)))=("store"),(INDEX(B1:XFD1,(A2)+(1)))=("O"),"false"),B2,O310),O310))</f>
        <v>#VALUE!</v>
      </c>
      <c r="P310" t="e">
        <f ca="1">IF((A1)=(2),1,IF((307)=(P3),IF(IF((INDEX(B1:XFD1,(A2)+(0)))=("store"),(INDEX(B1:XFD1,(A2)+(1)))=("P"),"false"),B2,P310),P310))</f>
        <v>#VALUE!</v>
      </c>
      <c r="Q310" t="e">
        <f ca="1">IF((A1)=(2),1,IF((307)=(Q3),IF(IF((INDEX(B1:XFD1,(A2)+(0)))=("store"),(INDEX(B1:XFD1,(A2)+(1)))=("Q"),"false"),B2,Q310),Q310))</f>
        <v>#VALUE!</v>
      </c>
      <c r="R310" t="e">
        <f ca="1">IF((A1)=(2),1,IF((307)=(R3),IF(IF((INDEX(B1:XFD1,(A2)+(0)))=("store"),(INDEX(B1:XFD1,(A2)+(1)))=("R"),"false"),B2,R310),R310))</f>
        <v>#VALUE!</v>
      </c>
      <c r="S310" t="e">
        <f ca="1">IF((A1)=(2),1,IF((307)=(S3),IF(IF((INDEX(B1:XFD1,(A2)+(0)))=("store"),(INDEX(B1:XFD1,(A2)+(1)))=("S"),"false"),B2,S310),S310))</f>
        <v>#VALUE!</v>
      </c>
      <c r="T310" t="e">
        <f ca="1">IF((A1)=(2),1,IF((307)=(T3),IF(IF((INDEX(B1:XFD1,(A2)+(0)))=("store"),(INDEX(B1:XFD1,(A2)+(1)))=("T"),"false"),B2,T310),T310))</f>
        <v>#VALUE!</v>
      </c>
      <c r="U310" t="e">
        <f ca="1">IF((A1)=(2),1,IF((307)=(U3),IF(IF((INDEX(B1:XFD1,(A2)+(0)))=("store"),(INDEX(B1:XFD1,(A2)+(1)))=("U"),"false"),B2,U310),U310))</f>
        <v>#VALUE!</v>
      </c>
      <c r="V310" t="e">
        <f ca="1">IF((A1)=(2),1,IF((307)=(V3),IF(IF((INDEX(B1:XFD1,(A2)+(0)))=("store"),(INDEX(B1:XFD1,(A2)+(1)))=("V"),"false"),B2,V310),V310))</f>
        <v>#VALUE!</v>
      </c>
      <c r="W310" t="e">
        <f ca="1">IF((A1)=(2),1,IF((307)=(W3),IF(IF((INDEX(B1:XFD1,(A2)+(0)))=("store"),(INDEX(B1:XFD1,(A2)+(1)))=("W"),"false"),B2,W310),W310))</f>
        <v>#VALUE!</v>
      </c>
      <c r="X310" t="e">
        <f ca="1">IF((A1)=(2),1,IF((307)=(X3),IF(IF((INDEX(B1:XFD1,(A2)+(0)))=("store"),(INDEX(B1:XFD1,(A2)+(1)))=("X"),"false"),B2,X310),X310))</f>
        <v>#VALUE!</v>
      </c>
      <c r="Y310" t="e">
        <f ca="1">IF((A1)=(2),1,IF((307)=(Y3),IF(IF((INDEX(B1:XFD1,(A2)+(0)))=("store"),(INDEX(B1:XFD1,(A2)+(1)))=("Y"),"false"),B2,Y310),Y310))</f>
        <v>#VALUE!</v>
      </c>
      <c r="Z310" t="e">
        <f ca="1">IF((A1)=(2),1,IF((307)=(Z3),IF(IF((INDEX(B1:XFD1,(A2)+(0)))=("store"),(INDEX(B1:XFD1,(A2)+(1)))=("Z"),"false"),B2,Z310),Z310))</f>
        <v>#VALUE!</v>
      </c>
      <c r="AA310" t="e">
        <f ca="1">IF((A1)=(2),1,IF((307)=(AA3),IF(IF((INDEX(B1:XFD1,(A2)+(0)))=("store"),(INDEX(B1:XFD1,(A2)+(1)))=("AA"),"false"),B2,AA310),AA310))</f>
        <v>#VALUE!</v>
      </c>
      <c r="AB310" t="e">
        <f ca="1">IF((A1)=(2),1,IF((307)=(AB3),IF(IF((INDEX(B1:XFD1,(A2)+(0)))=("store"),(INDEX(B1:XFD1,(A2)+(1)))=("AB"),"false"),B2,AB310),AB310))</f>
        <v>#VALUE!</v>
      </c>
      <c r="AC310" t="e">
        <f ca="1">IF((A1)=(2),1,IF((307)=(AC3),IF(IF((INDEX(B1:XFD1,(A2)+(0)))=("store"),(INDEX(B1:XFD1,(A2)+(1)))=("AC"),"false"),B2,AC310),AC310))</f>
        <v>#VALUE!</v>
      </c>
      <c r="AD310" t="e">
        <f ca="1">IF((A1)=(2),1,IF((307)=(AD3),IF(IF((INDEX(B1:XFD1,(A2)+(0)))=("store"),(INDEX(B1:XFD1,(A2)+(1)))=("AD"),"false"),B2,AD310),AD310))</f>
        <v>#VALUE!</v>
      </c>
    </row>
    <row r="311" spans="1:30" x14ac:dyDescent="0.25">
      <c r="A311" t="e">
        <f ca="1">IF((A1)=(2),1,IF((308)=(A3),IF(("call")=(INDEX(B1:XFD1,(A2)+(0))),((B2)*(2))+(1),IF(("goto")=(INDEX(B1:XFD1,(A2)+(0))),((INDEX(B1:XFD1,(A2)+(1)))*(2))+(1),IF(("gotoiftrue")=(INDEX(B1:XFD1,(A2)+(0))),IF(B2,((INDEX(B1:XFD1,(A2)+(1)))*(2))+(1),(A311)+(2)),(A311)+(2)))),A311))</f>
        <v>#VALUE!</v>
      </c>
      <c r="B311" t="e">
        <f ca="1">IF((A1)=(2),1,IF((308)=(B3),IF(("push")=(INDEX(B1:XFD1,(A2)+(0))),INDEX(B1:XFD1,(A2)+(1)),IF(("load")=(INDEX(B1:XFD1,(A2)+(0))),INDEX(F2:XFD2,INDEX(B1:XFD1,(A2)+(1))),IF(("newheap")=(INDEX(B1:XFD1,(A2)+(0))),(C3)-(2),IF(("getheap")=(INDEX(B1:XFD1,(A2)+(0))),INDEX(C4:C404,(B311)+(1)),IF(("add")=(INDEX(B1:XFD1,(A2)+(0))),(INDEX(B4:B404,(B3)+(1)))+(B311),IF(("equals")=(INDEX(B1:XFD1,(A2)+(0))),(INDEX(B4:B404,(B3)+(1)))=(B311),IF(("leq")=(INDEX(B1:XFD1,(A2)+(0))),(INDEX(B4:B404,(B3)+(1)))&lt;=(B311),IF(("mod")=(INDEX(B1:XFD1,(A2)+(0))),MOD(INDEX(B4:B404,(B3)+(1)),B311),B311)))))))),B311))</f>
        <v>#VALUE!</v>
      </c>
      <c r="C311" t="e">
        <f ca="1">IF((A1)=(2),1,IF(AND((INDEX(B1:XFD1,(A2)+(0)))=("writeheap"),(INDEX(B4:B404,(B3)+(1)))=(307)),INDEX(B4:B404,(B3)+(2)),IF((A1)=(2),1,IF((308)=(C3),C311,C311))))</f>
        <v>#VALUE!</v>
      </c>
      <c r="E311" t="e">
        <f ca="1">IF((A1)=(2),1,IF((308)=(E3),IF(("outputline")=(INDEX(B1:XFD1,(A2)+(0))),B2,E311),E311))</f>
        <v>#VALUE!</v>
      </c>
      <c r="F311" t="e">
        <f ca="1">IF((A1)=(2),1,IF((308)=(F3),IF(IF((INDEX(B1:XFD1,(A2)+(0)))=("store"),(INDEX(B1:XFD1,(A2)+(1)))=("F"),"false"),B2,F311),F311))</f>
        <v>#VALUE!</v>
      </c>
      <c r="G311" t="e">
        <f ca="1">IF((A1)=(2),1,IF((308)=(G3),IF(IF((INDEX(B1:XFD1,(A2)+(0)))=("store"),(INDEX(B1:XFD1,(A2)+(1)))=("G"),"false"),B2,G311),G311))</f>
        <v>#VALUE!</v>
      </c>
      <c r="H311" t="e">
        <f ca="1">IF((A1)=(2),1,IF((308)=(H3),IF(IF((INDEX(B1:XFD1,(A2)+(0)))=("store"),(INDEX(B1:XFD1,(A2)+(1)))=("H"),"false"),B2,H311),H311))</f>
        <v>#VALUE!</v>
      </c>
      <c r="I311" t="e">
        <f ca="1">IF((A1)=(2),1,IF((308)=(I3),IF(IF((INDEX(B1:XFD1,(A2)+(0)))=("store"),(INDEX(B1:XFD1,(A2)+(1)))=("I"),"false"),B2,I311),I311))</f>
        <v>#VALUE!</v>
      </c>
      <c r="J311" t="e">
        <f ca="1">IF((A1)=(2),1,IF((308)=(J3),IF(IF((INDEX(B1:XFD1,(A2)+(0)))=("store"),(INDEX(B1:XFD1,(A2)+(1)))=("J"),"false"),B2,J311),J311))</f>
        <v>#VALUE!</v>
      </c>
      <c r="K311" t="e">
        <f ca="1">IF((A1)=(2),1,IF((308)=(K3),IF(IF((INDEX(B1:XFD1,(A2)+(0)))=("store"),(INDEX(B1:XFD1,(A2)+(1)))=("K"),"false"),B2,K311),K311))</f>
        <v>#VALUE!</v>
      </c>
      <c r="L311" t="e">
        <f ca="1">IF((A1)=(2),1,IF((308)=(L3),IF(IF((INDEX(B1:XFD1,(A2)+(0)))=("store"),(INDEX(B1:XFD1,(A2)+(1)))=("L"),"false"),B2,L311),L311))</f>
        <v>#VALUE!</v>
      </c>
      <c r="M311" t="e">
        <f ca="1">IF((A1)=(2),1,IF((308)=(M3),IF(IF((INDEX(B1:XFD1,(A2)+(0)))=("store"),(INDEX(B1:XFD1,(A2)+(1)))=("M"),"false"),B2,M311),M311))</f>
        <v>#VALUE!</v>
      </c>
      <c r="N311" t="e">
        <f ca="1">IF((A1)=(2),1,IF((308)=(N3),IF(IF((INDEX(B1:XFD1,(A2)+(0)))=("store"),(INDEX(B1:XFD1,(A2)+(1)))=("N"),"false"),B2,N311),N311))</f>
        <v>#VALUE!</v>
      </c>
      <c r="O311" t="e">
        <f ca="1">IF((A1)=(2),1,IF((308)=(O3),IF(IF((INDEX(B1:XFD1,(A2)+(0)))=("store"),(INDEX(B1:XFD1,(A2)+(1)))=("O"),"false"),B2,O311),O311))</f>
        <v>#VALUE!</v>
      </c>
      <c r="P311" t="e">
        <f ca="1">IF((A1)=(2),1,IF((308)=(P3),IF(IF((INDEX(B1:XFD1,(A2)+(0)))=("store"),(INDEX(B1:XFD1,(A2)+(1)))=("P"),"false"),B2,P311),P311))</f>
        <v>#VALUE!</v>
      </c>
      <c r="Q311" t="e">
        <f ca="1">IF((A1)=(2),1,IF((308)=(Q3),IF(IF((INDEX(B1:XFD1,(A2)+(0)))=("store"),(INDEX(B1:XFD1,(A2)+(1)))=("Q"),"false"),B2,Q311),Q311))</f>
        <v>#VALUE!</v>
      </c>
      <c r="R311" t="e">
        <f ca="1">IF((A1)=(2),1,IF((308)=(R3),IF(IF((INDEX(B1:XFD1,(A2)+(0)))=("store"),(INDEX(B1:XFD1,(A2)+(1)))=("R"),"false"),B2,R311),R311))</f>
        <v>#VALUE!</v>
      </c>
      <c r="S311" t="e">
        <f ca="1">IF((A1)=(2),1,IF((308)=(S3),IF(IF((INDEX(B1:XFD1,(A2)+(0)))=("store"),(INDEX(B1:XFD1,(A2)+(1)))=("S"),"false"),B2,S311),S311))</f>
        <v>#VALUE!</v>
      </c>
      <c r="T311" t="e">
        <f ca="1">IF((A1)=(2),1,IF((308)=(T3),IF(IF((INDEX(B1:XFD1,(A2)+(0)))=("store"),(INDEX(B1:XFD1,(A2)+(1)))=("T"),"false"),B2,T311),T311))</f>
        <v>#VALUE!</v>
      </c>
      <c r="U311" t="e">
        <f ca="1">IF((A1)=(2),1,IF((308)=(U3),IF(IF((INDEX(B1:XFD1,(A2)+(0)))=("store"),(INDEX(B1:XFD1,(A2)+(1)))=("U"),"false"),B2,U311),U311))</f>
        <v>#VALUE!</v>
      </c>
      <c r="V311" t="e">
        <f ca="1">IF((A1)=(2),1,IF((308)=(V3),IF(IF((INDEX(B1:XFD1,(A2)+(0)))=("store"),(INDEX(B1:XFD1,(A2)+(1)))=("V"),"false"),B2,V311),V311))</f>
        <v>#VALUE!</v>
      </c>
      <c r="W311" t="e">
        <f ca="1">IF((A1)=(2),1,IF((308)=(W3),IF(IF((INDEX(B1:XFD1,(A2)+(0)))=("store"),(INDEX(B1:XFD1,(A2)+(1)))=("W"),"false"),B2,W311),W311))</f>
        <v>#VALUE!</v>
      </c>
      <c r="X311" t="e">
        <f ca="1">IF((A1)=(2),1,IF((308)=(X3),IF(IF((INDEX(B1:XFD1,(A2)+(0)))=("store"),(INDEX(B1:XFD1,(A2)+(1)))=("X"),"false"),B2,X311),X311))</f>
        <v>#VALUE!</v>
      </c>
      <c r="Y311" t="e">
        <f ca="1">IF((A1)=(2),1,IF((308)=(Y3),IF(IF((INDEX(B1:XFD1,(A2)+(0)))=("store"),(INDEX(B1:XFD1,(A2)+(1)))=("Y"),"false"),B2,Y311),Y311))</f>
        <v>#VALUE!</v>
      </c>
      <c r="Z311" t="e">
        <f ca="1">IF((A1)=(2),1,IF((308)=(Z3),IF(IF((INDEX(B1:XFD1,(A2)+(0)))=("store"),(INDEX(B1:XFD1,(A2)+(1)))=("Z"),"false"),B2,Z311),Z311))</f>
        <v>#VALUE!</v>
      </c>
      <c r="AA311" t="e">
        <f ca="1">IF((A1)=(2),1,IF((308)=(AA3),IF(IF((INDEX(B1:XFD1,(A2)+(0)))=("store"),(INDEX(B1:XFD1,(A2)+(1)))=("AA"),"false"),B2,AA311),AA311))</f>
        <v>#VALUE!</v>
      </c>
      <c r="AB311" t="e">
        <f ca="1">IF((A1)=(2),1,IF((308)=(AB3),IF(IF((INDEX(B1:XFD1,(A2)+(0)))=("store"),(INDEX(B1:XFD1,(A2)+(1)))=("AB"),"false"),B2,AB311),AB311))</f>
        <v>#VALUE!</v>
      </c>
      <c r="AC311" t="e">
        <f ca="1">IF((A1)=(2),1,IF((308)=(AC3),IF(IF((INDEX(B1:XFD1,(A2)+(0)))=("store"),(INDEX(B1:XFD1,(A2)+(1)))=("AC"),"false"),B2,AC311),AC311))</f>
        <v>#VALUE!</v>
      </c>
      <c r="AD311" t="e">
        <f ca="1">IF((A1)=(2),1,IF((308)=(AD3),IF(IF((INDEX(B1:XFD1,(A2)+(0)))=("store"),(INDEX(B1:XFD1,(A2)+(1)))=("AD"),"false"),B2,AD311),AD311))</f>
        <v>#VALUE!</v>
      </c>
    </row>
    <row r="312" spans="1:30" x14ac:dyDescent="0.25">
      <c r="A312" t="e">
        <f ca="1">IF((A1)=(2),1,IF((309)=(A3),IF(("call")=(INDEX(B1:XFD1,(A2)+(0))),((B2)*(2))+(1),IF(("goto")=(INDEX(B1:XFD1,(A2)+(0))),((INDEX(B1:XFD1,(A2)+(1)))*(2))+(1),IF(("gotoiftrue")=(INDEX(B1:XFD1,(A2)+(0))),IF(B2,((INDEX(B1:XFD1,(A2)+(1)))*(2))+(1),(A312)+(2)),(A312)+(2)))),A312))</f>
        <v>#VALUE!</v>
      </c>
      <c r="B312" t="e">
        <f ca="1">IF((A1)=(2),1,IF((309)=(B3),IF(("push")=(INDEX(B1:XFD1,(A2)+(0))),INDEX(B1:XFD1,(A2)+(1)),IF(("load")=(INDEX(B1:XFD1,(A2)+(0))),INDEX(F2:XFD2,INDEX(B1:XFD1,(A2)+(1))),IF(("newheap")=(INDEX(B1:XFD1,(A2)+(0))),(C3)-(2),IF(("getheap")=(INDEX(B1:XFD1,(A2)+(0))),INDEX(C4:C404,(B312)+(1)),IF(("add")=(INDEX(B1:XFD1,(A2)+(0))),(INDEX(B4:B404,(B3)+(1)))+(B312),IF(("equals")=(INDEX(B1:XFD1,(A2)+(0))),(INDEX(B4:B404,(B3)+(1)))=(B312),IF(("leq")=(INDEX(B1:XFD1,(A2)+(0))),(INDEX(B4:B404,(B3)+(1)))&lt;=(B312),IF(("mod")=(INDEX(B1:XFD1,(A2)+(0))),MOD(INDEX(B4:B404,(B3)+(1)),B312),B312)))))))),B312))</f>
        <v>#VALUE!</v>
      </c>
      <c r="C312" t="e">
        <f ca="1">IF((A1)=(2),1,IF(AND((INDEX(B1:XFD1,(A2)+(0)))=("writeheap"),(INDEX(B4:B404,(B3)+(1)))=(308)),INDEX(B4:B404,(B3)+(2)),IF((A1)=(2),1,IF((309)=(C3),C312,C312))))</f>
        <v>#VALUE!</v>
      </c>
      <c r="E312" t="e">
        <f ca="1">IF((A1)=(2),1,IF((309)=(E3),IF(("outputline")=(INDEX(B1:XFD1,(A2)+(0))),B2,E312),E312))</f>
        <v>#VALUE!</v>
      </c>
      <c r="F312" t="e">
        <f ca="1">IF((A1)=(2),1,IF((309)=(F3),IF(IF((INDEX(B1:XFD1,(A2)+(0)))=("store"),(INDEX(B1:XFD1,(A2)+(1)))=("F"),"false"),B2,F312),F312))</f>
        <v>#VALUE!</v>
      </c>
      <c r="G312" t="e">
        <f ca="1">IF((A1)=(2),1,IF((309)=(G3),IF(IF((INDEX(B1:XFD1,(A2)+(0)))=("store"),(INDEX(B1:XFD1,(A2)+(1)))=("G"),"false"),B2,G312),G312))</f>
        <v>#VALUE!</v>
      </c>
      <c r="H312" t="e">
        <f ca="1">IF((A1)=(2),1,IF((309)=(H3),IF(IF((INDEX(B1:XFD1,(A2)+(0)))=("store"),(INDEX(B1:XFD1,(A2)+(1)))=("H"),"false"),B2,H312),H312))</f>
        <v>#VALUE!</v>
      </c>
      <c r="I312" t="e">
        <f ca="1">IF((A1)=(2),1,IF((309)=(I3),IF(IF((INDEX(B1:XFD1,(A2)+(0)))=("store"),(INDEX(B1:XFD1,(A2)+(1)))=("I"),"false"),B2,I312),I312))</f>
        <v>#VALUE!</v>
      </c>
      <c r="J312" t="e">
        <f ca="1">IF((A1)=(2),1,IF((309)=(J3),IF(IF((INDEX(B1:XFD1,(A2)+(0)))=("store"),(INDEX(B1:XFD1,(A2)+(1)))=("J"),"false"),B2,J312),J312))</f>
        <v>#VALUE!</v>
      </c>
      <c r="K312" t="e">
        <f ca="1">IF((A1)=(2),1,IF((309)=(K3),IF(IF((INDEX(B1:XFD1,(A2)+(0)))=("store"),(INDEX(B1:XFD1,(A2)+(1)))=("K"),"false"),B2,K312),K312))</f>
        <v>#VALUE!</v>
      </c>
      <c r="L312" t="e">
        <f ca="1">IF((A1)=(2),1,IF((309)=(L3),IF(IF((INDEX(B1:XFD1,(A2)+(0)))=("store"),(INDEX(B1:XFD1,(A2)+(1)))=("L"),"false"),B2,L312),L312))</f>
        <v>#VALUE!</v>
      </c>
      <c r="M312" t="e">
        <f ca="1">IF((A1)=(2),1,IF((309)=(M3),IF(IF((INDEX(B1:XFD1,(A2)+(0)))=("store"),(INDEX(B1:XFD1,(A2)+(1)))=("M"),"false"),B2,M312),M312))</f>
        <v>#VALUE!</v>
      </c>
      <c r="N312" t="e">
        <f ca="1">IF((A1)=(2),1,IF((309)=(N3),IF(IF((INDEX(B1:XFD1,(A2)+(0)))=("store"),(INDEX(B1:XFD1,(A2)+(1)))=("N"),"false"),B2,N312),N312))</f>
        <v>#VALUE!</v>
      </c>
      <c r="O312" t="e">
        <f ca="1">IF((A1)=(2),1,IF((309)=(O3),IF(IF((INDEX(B1:XFD1,(A2)+(0)))=("store"),(INDEX(B1:XFD1,(A2)+(1)))=("O"),"false"),B2,O312),O312))</f>
        <v>#VALUE!</v>
      </c>
      <c r="P312" t="e">
        <f ca="1">IF((A1)=(2),1,IF((309)=(P3),IF(IF((INDEX(B1:XFD1,(A2)+(0)))=("store"),(INDEX(B1:XFD1,(A2)+(1)))=("P"),"false"),B2,P312),P312))</f>
        <v>#VALUE!</v>
      </c>
      <c r="Q312" t="e">
        <f ca="1">IF((A1)=(2),1,IF((309)=(Q3),IF(IF((INDEX(B1:XFD1,(A2)+(0)))=("store"),(INDEX(B1:XFD1,(A2)+(1)))=("Q"),"false"),B2,Q312),Q312))</f>
        <v>#VALUE!</v>
      </c>
      <c r="R312" t="e">
        <f ca="1">IF((A1)=(2),1,IF((309)=(R3),IF(IF((INDEX(B1:XFD1,(A2)+(0)))=("store"),(INDEX(B1:XFD1,(A2)+(1)))=("R"),"false"),B2,R312),R312))</f>
        <v>#VALUE!</v>
      </c>
      <c r="S312" t="e">
        <f ca="1">IF((A1)=(2),1,IF((309)=(S3),IF(IF((INDEX(B1:XFD1,(A2)+(0)))=("store"),(INDEX(B1:XFD1,(A2)+(1)))=("S"),"false"),B2,S312),S312))</f>
        <v>#VALUE!</v>
      </c>
      <c r="T312" t="e">
        <f ca="1">IF((A1)=(2),1,IF((309)=(T3),IF(IF((INDEX(B1:XFD1,(A2)+(0)))=("store"),(INDEX(B1:XFD1,(A2)+(1)))=("T"),"false"),B2,T312),T312))</f>
        <v>#VALUE!</v>
      </c>
      <c r="U312" t="e">
        <f ca="1">IF((A1)=(2),1,IF((309)=(U3),IF(IF((INDEX(B1:XFD1,(A2)+(0)))=("store"),(INDEX(B1:XFD1,(A2)+(1)))=("U"),"false"),B2,U312),U312))</f>
        <v>#VALUE!</v>
      </c>
      <c r="V312" t="e">
        <f ca="1">IF((A1)=(2),1,IF((309)=(V3),IF(IF((INDEX(B1:XFD1,(A2)+(0)))=("store"),(INDEX(B1:XFD1,(A2)+(1)))=("V"),"false"),B2,V312),V312))</f>
        <v>#VALUE!</v>
      </c>
      <c r="W312" t="e">
        <f ca="1">IF((A1)=(2),1,IF((309)=(W3),IF(IF((INDEX(B1:XFD1,(A2)+(0)))=("store"),(INDEX(B1:XFD1,(A2)+(1)))=("W"),"false"),B2,W312),W312))</f>
        <v>#VALUE!</v>
      </c>
      <c r="X312" t="e">
        <f ca="1">IF((A1)=(2),1,IF((309)=(X3),IF(IF((INDEX(B1:XFD1,(A2)+(0)))=("store"),(INDEX(B1:XFD1,(A2)+(1)))=("X"),"false"),B2,X312),X312))</f>
        <v>#VALUE!</v>
      </c>
      <c r="Y312" t="e">
        <f ca="1">IF((A1)=(2),1,IF((309)=(Y3),IF(IF((INDEX(B1:XFD1,(A2)+(0)))=("store"),(INDEX(B1:XFD1,(A2)+(1)))=("Y"),"false"),B2,Y312),Y312))</f>
        <v>#VALUE!</v>
      </c>
      <c r="Z312" t="e">
        <f ca="1">IF((A1)=(2),1,IF((309)=(Z3),IF(IF((INDEX(B1:XFD1,(A2)+(0)))=("store"),(INDEX(B1:XFD1,(A2)+(1)))=("Z"),"false"),B2,Z312),Z312))</f>
        <v>#VALUE!</v>
      </c>
      <c r="AA312" t="e">
        <f ca="1">IF((A1)=(2),1,IF((309)=(AA3),IF(IF((INDEX(B1:XFD1,(A2)+(0)))=("store"),(INDEX(B1:XFD1,(A2)+(1)))=("AA"),"false"),B2,AA312),AA312))</f>
        <v>#VALUE!</v>
      </c>
      <c r="AB312" t="e">
        <f ca="1">IF((A1)=(2),1,IF((309)=(AB3),IF(IF((INDEX(B1:XFD1,(A2)+(0)))=("store"),(INDEX(B1:XFD1,(A2)+(1)))=("AB"),"false"),B2,AB312),AB312))</f>
        <v>#VALUE!</v>
      </c>
      <c r="AC312" t="e">
        <f ca="1">IF((A1)=(2),1,IF((309)=(AC3),IF(IF((INDEX(B1:XFD1,(A2)+(0)))=("store"),(INDEX(B1:XFD1,(A2)+(1)))=("AC"),"false"),B2,AC312),AC312))</f>
        <v>#VALUE!</v>
      </c>
      <c r="AD312" t="e">
        <f ca="1">IF((A1)=(2),1,IF((309)=(AD3),IF(IF((INDEX(B1:XFD1,(A2)+(0)))=("store"),(INDEX(B1:XFD1,(A2)+(1)))=("AD"),"false"),B2,AD312),AD312))</f>
        <v>#VALUE!</v>
      </c>
    </row>
    <row r="313" spans="1:30" x14ac:dyDescent="0.25">
      <c r="A313" t="e">
        <f ca="1">IF((A1)=(2),1,IF((310)=(A3),IF(("call")=(INDEX(B1:XFD1,(A2)+(0))),((B2)*(2))+(1),IF(("goto")=(INDEX(B1:XFD1,(A2)+(0))),((INDEX(B1:XFD1,(A2)+(1)))*(2))+(1),IF(("gotoiftrue")=(INDEX(B1:XFD1,(A2)+(0))),IF(B2,((INDEX(B1:XFD1,(A2)+(1)))*(2))+(1),(A313)+(2)),(A313)+(2)))),A313))</f>
        <v>#VALUE!</v>
      </c>
      <c r="B313" t="e">
        <f ca="1">IF((A1)=(2),1,IF((310)=(B3),IF(("push")=(INDEX(B1:XFD1,(A2)+(0))),INDEX(B1:XFD1,(A2)+(1)),IF(("load")=(INDEX(B1:XFD1,(A2)+(0))),INDEX(F2:XFD2,INDEX(B1:XFD1,(A2)+(1))),IF(("newheap")=(INDEX(B1:XFD1,(A2)+(0))),(C3)-(2),IF(("getheap")=(INDEX(B1:XFD1,(A2)+(0))),INDEX(C4:C404,(B313)+(1)),IF(("add")=(INDEX(B1:XFD1,(A2)+(0))),(INDEX(B4:B404,(B3)+(1)))+(B313),IF(("equals")=(INDEX(B1:XFD1,(A2)+(0))),(INDEX(B4:B404,(B3)+(1)))=(B313),IF(("leq")=(INDEX(B1:XFD1,(A2)+(0))),(INDEX(B4:B404,(B3)+(1)))&lt;=(B313),IF(("mod")=(INDEX(B1:XFD1,(A2)+(0))),MOD(INDEX(B4:B404,(B3)+(1)),B313),B313)))))))),B313))</f>
        <v>#VALUE!</v>
      </c>
      <c r="C313" t="e">
        <f ca="1">IF((A1)=(2),1,IF(AND((INDEX(B1:XFD1,(A2)+(0)))=("writeheap"),(INDEX(B4:B404,(B3)+(1)))=(309)),INDEX(B4:B404,(B3)+(2)),IF((A1)=(2),1,IF((310)=(C3),C313,C313))))</f>
        <v>#VALUE!</v>
      </c>
      <c r="E313" t="e">
        <f ca="1">IF((A1)=(2),1,IF((310)=(E3),IF(("outputline")=(INDEX(B1:XFD1,(A2)+(0))),B2,E313),E313))</f>
        <v>#VALUE!</v>
      </c>
      <c r="F313" t="e">
        <f ca="1">IF((A1)=(2),1,IF((310)=(F3),IF(IF((INDEX(B1:XFD1,(A2)+(0)))=("store"),(INDEX(B1:XFD1,(A2)+(1)))=("F"),"false"),B2,F313),F313))</f>
        <v>#VALUE!</v>
      </c>
      <c r="G313" t="e">
        <f ca="1">IF((A1)=(2),1,IF((310)=(G3),IF(IF((INDEX(B1:XFD1,(A2)+(0)))=("store"),(INDEX(B1:XFD1,(A2)+(1)))=("G"),"false"),B2,G313),G313))</f>
        <v>#VALUE!</v>
      </c>
      <c r="H313" t="e">
        <f ca="1">IF((A1)=(2),1,IF((310)=(H3),IF(IF((INDEX(B1:XFD1,(A2)+(0)))=("store"),(INDEX(B1:XFD1,(A2)+(1)))=("H"),"false"),B2,H313),H313))</f>
        <v>#VALUE!</v>
      </c>
      <c r="I313" t="e">
        <f ca="1">IF((A1)=(2),1,IF((310)=(I3),IF(IF((INDEX(B1:XFD1,(A2)+(0)))=("store"),(INDEX(B1:XFD1,(A2)+(1)))=("I"),"false"),B2,I313),I313))</f>
        <v>#VALUE!</v>
      </c>
      <c r="J313" t="e">
        <f ca="1">IF((A1)=(2),1,IF((310)=(J3),IF(IF((INDEX(B1:XFD1,(A2)+(0)))=("store"),(INDEX(B1:XFD1,(A2)+(1)))=("J"),"false"),B2,J313),J313))</f>
        <v>#VALUE!</v>
      </c>
      <c r="K313" t="e">
        <f ca="1">IF((A1)=(2),1,IF((310)=(K3),IF(IF((INDEX(B1:XFD1,(A2)+(0)))=("store"),(INDEX(B1:XFD1,(A2)+(1)))=("K"),"false"),B2,K313),K313))</f>
        <v>#VALUE!</v>
      </c>
      <c r="L313" t="e">
        <f ca="1">IF((A1)=(2),1,IF((310)=(L3),IF(IF((INDEX(B1:XFD1,(A2)+(0)))=("store"),(INDEX(B1:XFD1,(A2)+(1)))=("L"),"false"),B2,L313),L313))</f>
        <v>#VALUE!</v>
      </c>
      <c r="M313" t="e">
        <f ca="1">IF((A1)=(2),1,IF((310)=(M3),IF(IF((INDEX(B1:XFD1,(A2)+(0)))=("store"),(INDEX(B1:XFD1,(A2)+(1)))=("M"),"false"),B2,M313),M313))</f>
        <v>#VALUE!</v>
      </c>
      <c r="N313" t="e">
        <f ca="1">IF((A1)=(2),1,IF((310)=(N3),IF(IF((INDEX(B1:XFD1,(A2)+(0)))=("store"),(INDEX(B1:XFD1,(A2)+(1)))=("N"),"false"),B2,N313),N313))</f>
        <v>#VALUE!</v>
      </c>
      <c r="O313" t="e">
        <f ca="1">IF((A1)=(2),1,IF((310)=(O3),IF(IF((INDEX(B1:XFD1,(A2)+(0)))=("store"),(INDEX(B1:XFD1,(A2)+(1)))=("O"),"false"),B2,O313),O313))</f>
        <v>#VALUE!</v>
      </c>
      <c r="P313" t="e">
        <f ca="1">IF((A1)=(2),1,IF((310)=(P3),IF(IF((INDEX(B1:XFD1,(A2)+(0)))=("store"),(INDEX(B1:XFD1,(A2)+(1)))=("P"),"false"),B2,P313),P313))</f>
        <v>#VALUE!</v>
      </c>
      <c r="Q313" t="e">
        <f ca="1">IF((A1)=(2),1,IF((310)=(Q3),IF(IF((INDEX(B1:XFD1,(A2)+(0)))=("store"),(INDEX(B1:XFD1,(A2)+(1)))=("Q"),"false"),B2,Q313),Q313))</f>
        <v>#VALUE!</v>
      </c>
      <c r="R313" t="e">
        <f ca="1">IF((A1)=(2),1,IF((310)=(R3),IF(IF((INDEX(B1:XFD1,(A2)+(0)))=("store"),(INDEX(B1:XFD1,(A2)+(1)))=("R"),"false"),B2,R313),R313))</f>
        <v>#VALUE!</v>
      </c>
      <c r="S313" t="e">
        <f ca="1">IF((A1)=(2),1,IF((310)=(S3),IF(IF((INDEX(B1:XFD1,(A2)+(0)))=("store"),(INDEX(B1:XFD1,(A2)+(1)))=("S"),"false"),B2,S313),S313))</f>
        <v>#VALUE!</v>
      </c>
      <c r="T313" t="e">
        <f ca="1">IF((A1)=(2),1,IF((310)=(T3),IF(IF((INDEX(B1:XFD1,(A2)+(0)))=("store"),(INDEX(B1:XFD1,(A2)+(1)))=("T"),"false"),B2,T313),T313))</f>
        <v>#VALUE!</v>
      </c>
      <c r="U313" t="e">
        <f ca="1">IF((A1)=(2),1,IF((310)=(U3),IF(IF((INDEX(B1:XFD1,(A2)+(0)))=("store"),(INDEX(B1:XFD1,(A2)+(1)))=("U"),"false"),B2,U313),U313))</f>
        <v>#VALUE!</v>
      </c>
      <c r="V313" t="e">
        <f ca="1">IF((A1)=(2),1,IF((310)=(V3),IF(IF((INDEX(B1:XFD1,(A2)+(0)))=("store"),(INDEX(B1:XFD1,(A2)+(1)))=("V"),"false"),B2,V313),V313))</f>
        <v>#VALUE!</v>
      </c>
      <c r="W313" t="e">
        <f ca="1">IF((A1)=(2),1,IF((310)=(W3),IF(IF((INDEX(B1:XFD1,(A2)+(0)))=("store"),(INDEX(B1:XFD1,(A2)+(1)))=("W"),"false"),B2,W313),W313))</f>
        <v>#VALUE!</v>
      </c>
      <c r="X313" t="e">
        <f ca="1">IF((A1)=(2),1,IF((310)=(X3),IF(IF((INDEX(B1:XFD1,(A2)+(0)))=("store"),(INDEX(B1:XFD1,(A2)+(1)))=("X"),"false"),B2,X313),X313))</f>
        <v>#VALUE!</v>
      </c>
      <c r="Y313" t="e">
        <f ca="1">IF((A1)=(2),1,IF((310)=(Y3),IF(IF((INDEX(B1:XFD1,(A2)+(0)))=("store"),(INDEX(B1:XFD1,(A2)+(1)))=("Y"),"false"),B2,Y313),Y313))</f>
        <v>#VALUE!</v>
      </c>
      <c r="Z313" t="e">
        <f ca="1">IF((A1)=(2),1,IF((310)=(Z3),IF(IF((INDEX(B1:XFD1,(A2)+(0)))=("store"),(INDEX(B1:XFD1,(A2)+(1)))=("Z"),"false"),B2,Z313),Z313))</f>
        <v>#VALUE!</v>
      </c>
      <c r="AA313" t="e">
        <f ca="1">IF((A1)=(2),1,IF((310)=(AA3),IF(IF((INDEX(B1:XFD1,(A2)+(0)))=("store"),(INDEX(B1:XFD1,(A2)+(1)))=("AA"),"false"),B2,AA313),AA313))</f>
        <v>#VALUE!</v>
      </c>
      <c r="AB313" t="e">
        <f ca="1">IF((A1)=(2),1,IF((310)=(AB3),IF(IF((INDEX(B1:XFD1,(A2)+(0)))=("store"),(INDEX(B1:XFD1,(A2)+(1)))=("AB"),"false"),B2,AB313),AB313))</f>
        <v>#VALUE!</v>
      </c>
      <c r="AC313" t="e">
        <f ca="1">IF((A1)=(2),1,IF((310)=(AC3),IF(IF((INDEX(B1:XFD1,(A2)+(0)))=("store"),(INDEX(B1:XFD1,(A2)+(1)))=("AC"),"false"),B2,AC313),AC313))</f>
        <v>#VALUE!</v>
      </c>
      <c r="AD313" t="e">
        <f ca="1">IF((A1)=(2),1,IF((310)=(AD3),IF(IF((INDEX(B1:XFD1,(A2)+(0)))=("store"),(INDEX(B1:XFD1,(A2)+(1)))=("AD"),"false"),B2,AD313),AD313))</f>
        <v>#VALUE!</v>
      </c>
    </row>
    <row r="314" spans="1:30" x14ac:dyDescent="0.25">
      <c r="A314" t="e">
        <f ca="1">IF((A1)=(2),1,IF((311)=(A3),IF(("call")=(INDEX(B1:XFD1,(A2)+(0))),((B2)*(2))+(1),IF(("goto")=(INDEX(B1:XFD1,(A2)+(0))),((INDEX(B1:XFD1,(A2)+(1)))*(2))+(1),IF(("gotoiftrue")=(INDEX(B1:XFD1,(A2)+(0))),IF(B2,((INDEX(B1:XFD1,(A2)+(1)))*(2))+(1),(A314)+(2)),(A314)+(2)))),A314))</f>
        <v>#VALUE!</v>
      </c>
      <c r="B314" t="e">
        <f ca="1">IF((A1)=(2),1,IF((311)=(B3),IF(("push")=(INDEX(B1:XFD1,(A2)+(0))),INDEX(B1:XFD1,(A2)+(1)),IF(("load")=(INDEX(B1:XFD1,(A2)+(0))),INDEX(F2:XFD2,INDEX(B1:XFD1,(A2)+(1))),IF(("newheap")=(INDEX(B1:XFD1,(A2)+(0))),(C3)-(2),IF(("getheap")=(INDEX(B1:XFD1,(A2)+(0))),INDEX(C4:C404,(B314)+(1)),IF(("add")=(INDEX(B1:XFD1,(A2)+(0))),(INDEX(B4:B404,(B3)+(1)))+(B314),IF(("equals")=(INDEX(B1:XFD1,(A2)+(0))),(INDEX(B4:B404,(B3)+(1)))=(B314),IF(("leq")=(INDEX(B1:XFD1,(A2)+(0))),(INDEX(B4:B404,(B3)+(1)))&lt;=(B314),IF(("mod")=(INDEX(B1:XFD1,(A2)+(0))),MOD(INDEX(B4:B404,(B3)+(1)),B314),B314)))))))),B314))</f>
        <v>#VALUE!</v>
      </c>
      <c r="C314" t="e">
        <f ca="1">IF((A1)=(2),1,IF(AND((INDEX(B1:XFD1,(A2)+(0)))=("writeheap"),(INDEX(B4:B404,(B3)+(1)))=(310)),INDEX(B4:B404,(B3)+(2)),IF((A1)=(2),1,IF((311)=(C3),C314,C314))))</f>
        <v>#VALUE!</v>
      </c>
      <c r="E314" t="e">
        <f ca="1">IF((A1)=(2),1,IF((311)=(E3),IF(("outputline")=(INDEX(B1:XFD1,(A2)+(0))),B2,E314),E314))</f>
        <v>#VALUE!</v>
      </c>
      <c r="F314" t="e">
        <f ca="1">IF((A1)=(2),1,IF((311)=(F3),IF(IF((INDEX(B1:XFD1,(A2)+(0)))=("store"),(INDEX(B1:XFD1,(A2)+(1)))=("F"),"false"),B2,F314),F314))</f>
        <v>#VALUE!</v>
      </c>
      <c r="G314" t="e">
        <f ca="1">IF((A1)=(2),1,IF((311)=(G3),IF(IF((INDEX(B1:XFD1,(A2)+(0)))=("store"),(INDEX(B1:XFD1,(A2)+(1)))=("G"),"false"),B2,G314),G314))</f>
        <v>#VALUE!</v>
      </c>
      <c r="H314" t="e">
        <f ca="1">IF((A1)=(2),1,IF((311)=(H3),IF(IF((INDEX(B1:XFD1,(A2)+(0)))=("store"),(INDEX(B1:XFD1,(A2)+(1)))=("H"),"false"),B2,H314),H314))</f>
        <v>#VALUE!</v>
      </c>
      <c r="I314" t="e">
        <f ca="1">IF((A1)=(2),1,IF((311)=(I3),IF(IF((INDEX(B1:XFD1,(A2)+(0)))=("store"),(INDEX(B1:XFD1,(A2)+(1)))=("I"),"false"),B2,I314),I314))</f>
        <v>#VALUE!</v>
      </c>
      <c r="J314" t="e">
        <f ca="1">IF((A1)=(2),1,IF((311)=(J3),IF(IF((INDEX(B1:XFD1,(A2)+(0)))=("store"),(INDEX(B1:XFD1,(A2)+(1)))=("J"),"false"),B2,J314),J314))</f>
        <v>#VALUE!</v>
      </c>
      <c r="K314" t="e">
        <f ca="1">IF((A1)=(2),1,IF((311)=(K3),IF(IF((INDEX(B1:XFD1,(A2)+(0)))=("store"),(INDEX(B1:XFD1,(A2)+(1)))=("K"),"false"),B2,K314),K314))</f>
        <v>#VALUE!</v>
      </c>
      <c r="L314" t="e">
        <f ca="1">IF((A1)=(2),1,IF((311)=(L3),IF(IF((INDEX(B1:XFD1,(A2)+(0)))=("store"),(INDEX(B1:XFD1,(A2)+(1)))=("L"),"false"),B2,L314),L314))</f>
        <v>#VALUE!</v>
      </c>
      <c r="M314" t="e">
        <f ca="1">IF((A1)=(2),1,IF((311)=(M3),IF(IF((INDEX(B1:XFD1,(A2)+(0)))=("store"),(INDEX(B1:XFD1,(A2)+(1)))=("M"),"false"),B2,M314),M314))</f>
        <v>#VALUE!</v>
      </c>
      <c r="N314" t="e">
        <f ca="1">IF((A1)=(2),1,IF((311)=(N3),IF(IF((INDEX(B1:XFD1,(A2)+(0)))=("store"),(INDEX(B1:XFD1,(A2)+(1)))=("N"),"false"),B2,N314),N314))</f>
        <v>#VALUE!</v>
      </c>
      <c r="O314" t="e">
        <f ca="1">IF((A1)=(2),1,IF((311)=(O3),IF(IF((INDEX(B1:XFD1,(A2)+(0)))=("store"),(INDEX(B1:XFD1,(A2)+(1)))=("O"),"false"),B2,O314),O314))</f>
        <v>#VALUE!</v>
      </c>
      <c r="P314" t="e">
        <f ca="1">IF((A1)=(2),1,IF((311)=(P3),IF(IF((INDEX(B1:XFD1,(A2)+(0)))=("store"),(INDEX(B1:XFD1,(A2)+(1)))=("P"),"false"),B2,P314),P314))</f>
        <v>#VALUE!</v>
      </c>
      <c r="Q314" t="e">
        <f ca="1">IF((A1)=(2),1,IF((311)=(Q3),IF(IF((INDEX(B1:XFD1,(A2)+(0)))=("store"),(INDEX(B1:XFD1,(A2)+(1)))=("Q"),"false"),B2,Q314),Q314))</f>
        <v>#VALUE!</v>
      </c>
      <c r="R314" t="e">
        <f ca="1">IF((A1)=(2),1,IF((311)=(R3),IF(IF((INDEX(B1:XFD1,(A2)+(0)))=("store"),(INDEX(B1:XFD1,(A2)+(1)))=("R"),"false"),B2,R314),R314))</f>
        <v>#VALUE!</v>
      </c>
      <c r="S314" t="e">
        <f ca="1">IF((A1)=(2),1,IF((311)=(S3),IF(IF((INDEX(B1:XFD1,(A2)+(0)))=("store"),(INDEX(B1:XFD1,(A2)+(1)))=("S"),"false"),B2,S314),S314))</f>
        <v>#VALUE!</v>
      </c>
      <c r="T314" t="e">
        <f ca="1">IF((A1)=(2),1,IF((311)=(T3),IF(IF((INDEX(B1:XFD1,(A2)+(0)))=("store"),(INDEX(B1:XFD1,(A2)+(1)))=("T"),"false"),B2,T314),T314))</f>
        <v>#VALUE!</v>
      </c>
      <c r="U314" t="e">
        <f ca="1">IF((A1)=(2),1,IF((311)=(U3),IF(IF((INDEX(B1:XFD1,(A2)+(0)))=("store"),(INDEX(B1:XFD1,(A2)+(1)))=("U"),"false"),B2,U314),U314))</f>
        <v>#VALUE!</v>
      </c>
      <c r="V314" t="e">
        <f ca="1">IF((A1)=(2),1,IF((311)=(V3),IF(IF((INDEX(B1:XFD1,(A2)+(0)))=("store"),(INDEX(B1:XFD1,(A2)+(1)))=("V"),"false"),B2,V314),V314))</f>
        <v>#VALUE!</v>
      </c>
      <c r="W314" t="e">
        <f ca="1">IF((A1)=(2),1,IF((311)=(W3),IF(IF((INDEX(B1:XFD1,(A2)+(0)))=("store"),(INDEX(B1:XFD1,(A2)+(1)))=("W"),"false"),B2,W314),W314))</f>
        <v>#VALUE!</v>
      </c>
      <c r="X314" t="e">
        <f ca="1">IF((A1)=(2),1,IF((311)=(X3),IF(IF((INDEX(B1:XFD1,(A2)+(0)))=("store"),(INDEX(B1:XFD1,(A2)+(1)))=("X"),"false"),B2,X314),X314))</f>
        <v>#VALUE!</v>
      </c>
      <c r="Y314" t="e">
        <f ca="1">IF((A1)=(2),1,IF((311)=(Y3),IF(IF((INDEX(B1:XFD1,(A2)+(0)))=("store"),(INDEX(B1:XFD1,(A2)+(1)))=("Y"),"false"),B2,Y314),Y314))</f>
        <v>#VALUE!</v>
      </c>
      <c r="Z314" t="e">
        <f ca="1">IF((A1)=(2),1,IF((311)=(Z3),IF(IF((INDEX(B1:XFD1,(A2)+(0)))=("store"),(INDEX(B1:XFD1,(A2)+(1)))=("Z"),"false"),B2,Z314),Z314))</f>
        <v>#VALUE!</v>
      </c>
      <c r="AA314" t="e">
        <f ca="1">IF((A1)=(2),1,IF((311)=(AA3),IF(IF((INDEX(B1:XFD1,(A2)+(0)))=("store"),(INDEX(B1:XFD1,(A2)+(1)))=("AA"),"false"),B2,AA314),AA314))</f>
        <v>#VALUE!</v>
      </c>
      <c r="AB314" t="e">
        <f ca="1">IF((A1)=(2),1,IF((311)=(AB3),IF(IF((INDEX(B1:XFD1,(A2)+(0)))=("store"),(INDEX(B1:XFD1,(A2)+(1)))=("AB"),"false"),B2,AB314),AB314))</f>
        <v>#VALUE!</v>
      </c>
      <c r="AC314" t="e">
        <f ca="1">IF((A1)=(2),1,IF((311)=(AC3),IF(IF((INDEX(B1:XFD1,(A2)+(0)))=("store"),(INDEX(B1:XFD1,(A2)+(1)))=("AC"),"false"),B2,AC314),AC314))</f>
        <v>#VALUE!</v>
      </c>
      <c r="AD314" t="e">
        <f ca="1">IF((A1)=(2),1,IF((311)=(AD3),IF(IF((INDEX(B1:XFD1,(A2)+(0)))=("store"),(INDEX(B1:XFD1,(A2)+(1)))=("AD"),"false"),B2,AD314),AD314))</f>
        <v>#VALUE!</v>
      </c>
    </row>
    <row r="315" spans="1:30" x14ac:dyDescent="0.25">
      <c r="A315" t="e">
        <f ca="1">IF((A1)=(2),1,IF((312)=(A3),IF(("call")=(INDEX(B1:XFD1,(A2)+(0))),((B2)*(2))+(1),IF(("goto")=(INDEX(B1:XFD1,(A2)+(0))),((INDEX(B1:XFD1,(A2)+(1)))*(2))+(1),IF(("gotoiftrue")=(INDEX(B1:XFD1,(A2)+(0))),IF(B2,((INDEX(B1:XFD1,(A2)+(1)))*(2))+(1),(A315)+(2)),(A315)+(2)))),A315))</f>
        <v>#VALUE!</v>
      </c>
      <c r="B315" t="e">
        <f ca="1">IF((A1)=(2),1,IF((312)=(B3),IF(("push")=(INDEX(B1:XFD1,(A2)+(0))),INDEX(B1:XFD1,(A2)+(1)),IF(("load")=(INDEX(B1:XFD1,(A2)+(0))),INDEX(F2:XFD2,INDEX(B1:XFD1,(A2)+(1))),IF(("newheap")=(INDEX(B1:XFD1,(A2)+(0))),(C3)-(2),IF(("getheap")=(INDEX(B1:XFD1,(A2)+(0))),INDEX(C4:C404,(B315)+(1)),IF(("add")=(INDEX(B1:XFD1,(A2)+(0))),(INDEX(B4:B404,(B3)+(1)))+(B315),IF(("equals")=(INDEX(B1:XFD1,(A2)+(0))),(INDEX(B4:B404,(B3)+(1)))=(B315),IF(("leq")=(INDEX(B1:XFD1,(A2)+(0))),(INDEX(B4:B404,(B3)+(1)))&lt;=(B315),IF(("mod")=(INDEX(B1:XFD1,(A2)+(0))),MOD(INDEX(B4:B404,(B3)+(1)),B315),B315)))))))),B315))</f>
        <v>#VALUE!</v>
      </c>
      <c r="C315" t="e">
        <f ca="1">IF((A1)=(2),1,IF(AND((INDEX(B1:XFD1,(A2)+(0)))=("writeheap"),(INDEX(B4:B404,(B3)+(1)))=(311)),INDEX(B4:B404,(B3)+(2)),IF((A1)=(2),1,IF((312)=(C3),C315,C315))))</f>
        <v>#VALUE!</v>
      </c>
      <c r="E315" t="e">
        <f ca="1">IF((A1)=(2),1,IF((312)=(E3),IF(("outputline")=(INDEX(B1:XFD1,(A2)+(0))),B2,E315),E315))</f>
        <v>#VALUE!</v>
      </c>
      <c r="F315" t="e">
        <f ca="1">IF((A1)=(2),1,IF((312)=(F3),IF(IF((INDEX(B1:XFD1,(A2)+(0)))=("store"),(INDEX(B1:XFD1,(A2)+(1)))=("F"),"false"),B2,F315),F315))</f>
        <v>#VALUE!</v>
      </c>
      <c r="G315" t="e">
        <f ca="1">IF((A1)=(2),1,IF((312)=(G3),IF(IF((INDEX(B1:XFD1,(A2)+(0)))=("store"),(INDEX(B1:XFD1,(A2)+(1)))=("G"),"false"),B2,G315),G315))</f>
        <v>#VALUE!</v>
      </c>
      <c r="H315" t="e">
        <f ca="1">IF((A1)=(2),1,IF((312)=(H3),IF(IF((INDEX(B1:XFD1,(A2)+(0)))=("store"),(INDEX(B1:XFD1,(A2)+(1)))=("H"),"false"),B2,H315),H315))</f>
        <v>#VALUE!</v>
      </c>
      <c r="I315" t="e">
        <f ca="1">IF((A1)=(2),1,IF((312)=(I3),IF(IF((INDEX(B1:XFD1,(A2)+(0)))=("store"),(INDEX(B1:XFD1,(A2)+(1)))=("I"),"false"),B2,I315),I315))</f>
        <v>#VALUE!</v>
      </c>
      <c r="J315" t="e">
        <f ca="1">IF((A1)=(2),1,IF((312)=(J3),IF(IF((INDEX(B1:XFD1,(A2)+(0)))=("store"),(INDEX(B1:XFD1,(A2)+(1)))=("J"),"false"),B2,J315),J315))</f>
        <v>#VALUE!</v>
      </c>
      <c r="K315" t="e">
        <f ca="1">IF((A1)=(2),1,IF((312)=(K3),IF(IF((INDEX(B1:XFD1,(A2)+(0)))=("store"),(INDEX(B1:XFD1,(A2)+(1)))=("K"),"false"),B2,K315),K315))</f>
        <v>#VALUE!</v>
      </c>
      <c r="L315" t="e">
        <f ca="1">IF((A1)=(2),1,IF((312)=(L3),IF(IF((INDEX(B1:XFD1,(A2)+(0)))=("store"),(INDEX(B1:XFD1,(A2)+(1)))=("L"),"false"),B2,L315),L315))</f>
        <v>#VALUE!</v>
      </c>
      <c r="M315" t="e">
        <f ca="1">IF((A1)=(2),1,IF((312)=(M3),IF(IF((INDEX(B1:XFD1,(A2)+(0)))=("store"),(INDEX(B1:XFD1,(A2)+(1)))=("M"),"false"),B2,M315),M315))</f>
        <v>#VALUE!</v>
      </c>
      <c r="N315" t="e">
        <f ca="1">IF((A1)=(2),1,IF((312)=(N3),IF(IF((INDEX(B1:XFD1,(A2)+(0)))=("store"),(INDEX(B1:XFD1,(A2)+(1)))=("N"),"false"),B2,N315),N315))</f>
        <v>#VALUE!</v>
      </c>
      <c r="O315" t="e">
        <f ca="1">IF((A1)=(2),1,IF((312)=(O3),IF(IF((INDEX(B1:XFD1,(A2)+(0)))=("store"),(INDEX(B1:XFD1,(A2)+(1)))=("O"),"false"),B2,O315),O315))</f>
        <v>#VALUE!</v>
      </c>
      <c r="P315" t="e">
        <f ca="1">IF((A1)=(2),1,IF((312)=(P3),IF(IF((INDEX(B1:XFD1,(A2)+(0)))=("store"),(INDEX(B1:XFD1,(A2)+(1)))=("P"),"false"),B2,P315),P315))</f>
        <v>#VALUE!</v>
      </c>
      <c r="Q315" t="e">
        <f ca="1">IF((A1)=(2),1,IF((312)=(Q3),IF(IF((INDEX(B1:XFD1,(A2)+(0)))=("store"),(INDEX(B1:XFD1,(A2)+(1)))=("Q"),"false"),B2,Q315),Q315))</f>
        <v>#VALUE!</v>
      </c>
      <c r="R315" t="e">
        <f ca="1">IF((A1)=(2),1,IF((312)=(R3),IF(IF((INDEX(B1:XFD1,(A2)+(0)))=("store"),(INDEX(B1:XFD1,(A2)+(1)))=("R"),"false"),B2,R315),R315))</f>
        <v>#VALUE!</v>
      </c>
      <c r="S315" t="e">
        <f ca="1">IF((A1)=(2),1,IF((312)=(S3),IF(IF((INDEX(B1:XFD1,(A2)+(0)))=("store"),(INDEX(B1:XFD1,(A2)+(1)))=("S"),"false"),B2,S315),S315))</f>
        <v>#VALUE!</v>
      </c>
      <c r="T315" t="e">
        <f ca="1">IF((A1)=(2),1,IF((312)=(T3),IF(IF((INDEX(B1:XFD1,(A2)+(0)))=("store"),(INDEX(B1:XFD1,(A2)+(1)))=("T"),"false"),B2,T315),T315))</f>
        <v>#VALUE!</v>
      </c>
      <c r="U315" t="e">
        <f ca="1">IF((A1)=(2),1,IF((312)=(U3),IF(IF((INDEX(B1:XFD1,(A2)+(0)))=("store"),(INDEX(B1:XFD1,(A2)+(1)))=("U"),"false"),B2,U315),U315))</f>
        <v>#VALUE!</v>
      </c>
      <c r="V315" t="e">
        <f ca="1">IF((A1)=(2),1,IF((312)=(V3),IF(IF((INDEX(B1:XFD1,(A2)+(0)))=("store"),(INDEX(B1:XFD1,(A2)+(1)))=("V"),"false"),B2,V315),V315))</f>
        <v>#VALUE!</v>
      </c>
      <c r="W315" t="e">
        <f ca="1">IF((A1)=(2),1,IF((312)=(W3),IF(IF((INDEX(B1:XFD1,(A2)+(0)))=("store"),(INDEX(B1:XFD1,(A2)+(1)))=("W"),"false"),B2,W315),W315))</f>
        <v>#VALUE!</v>
      </c>
      <c r="X315" t="e">
        <f ca="1">IF((A1)=(2),1,IF((312)=(X3),IF(IF((INDEX(B1:XFD1,(A2)+(0)))=("store"),(INDEX(B1:XFD1,(A2)+(1)))=("X"),"false"),B2,X315),X315))</f>
        <v>#VALUE!</v>
      </c>
      <c r="Y315" t="e">
        <f ca="1">IF((A1)=(2),1,IF((312)=(Y3),IF(IF((INDEX(B1:XFD1,(A2)+(0)))=("store"),(INDEX(B1:XFD1,(A2)+(1)))=("Y"),"false"),B2,Y315),Y315))</f>
        <v>#VALUE!</v>
      </c>
      <c r="Z315" t="e">
        <f ca="1">IF((A1)=(2),1,IF((312)=(Z3),IF(IF((INDEX(B1:XFD1,(A2)+(0)))=("store"),(INDEX(B1:XFD1,(A2)+(1)))=("Z"),"false"),B2,Z315),Z315))</f>
        <v>#VALUE!</v>
      </c>
      <c r="AA315" t="e">
        <f ca="1">IF((A1)=(2),1,IF((312)=(AA3),IF(IF((INDEX(B1:XFD1,(A2)+(0)))=("store"),(INDEX(B1:XFD1,(A2)+(1)))=("AA"),"false"),B2,AA315),AA315))</f>
        <v>#VALUE!</v>
      </c>
      <c r="AB315" t="e">
        <f ca="1">IF((A1)=(2),1,IF((312)=(AB3),IF(IF((INDEX(B1:XFD1,(A2)+(0)))=("store"),(INDEX(B1:XFD1,(A2)+(1)))=("AB"),"false"),B2,AB315),AB315))</f>
        <v>#VALUE!</v>
      </c>
      <c r="AC315" t="e">
        <f ca="1">IF((A1)=(2),1,IF((312)=(AC3),IF(IF((INDEX(B1:XFD1,(A2)+(0)))=("store"),(INDEX(B1:XFD1,(A2)+(1)))=("AC"),"false"),B2,AC315),AC315))</f>
        <v>#VALUE!</v>
      </c>
      <c r="AD315" t="e">
        <f ca="1">IF((A1)=(2),1,IF((312)=(AD3),IF(IF((INDEX(B1:XFD1,(A2)+(0)))=("store"),(INDEX(B1:XFD1,(A2)+(1)))=("AD"),"false"),B2,AD315),AD315))</f>
        <v>#VALUE!</v>
      </c>
    </row>
    <row r="316" spans="1:30" x14ac:dyDescent="0.25">
      <c r="A316" t="e">
        <f ca="1">IF((A1)=(2),1,IF((313)=(A3),IF(("call")=(INDEX(B1:XFD1,(A2)+(0))),((B2)*(2))+(1),IF(("goto")=(INDEX(B1:XFD1,(A2)+(0))),((INDEX(B1:XFD1,(A2)+(1)))*(2))+(1),IF(("gotoiftrue")=(INDEX(B1:XFD1,(A2)+(0))),IF(B2,((INDEX(B1:XFD1,(A2)+(1)))*(2))+(1),(A316)+(2)),(A316)+(2)))),A316))</f>
        <v>#VALUE!</v>
      </c>
      <c r="B316" t="e">
        <f ca="1">IF((A1)=(2),1,IF((313)=(B3),IF(("push")=(INDEX(B1:XFD1,(A2)+(0))),INDEX(B1:XFD1,(A2)+(1)),IF(("load")=(INDEX(B1:XFD1,(A2)+(0))),INDEX(F2:XFD2,INDEX(B1:XFD1,(A2)+(1))),IF(("newheap")=(INDEX(B1:XFD1,(A2)+(0))),(C3)-(2),IF(("getheap")=(INDEX(B1:XFD1,(A2)+(0))),INDEX(C4:C404,(B316)+(1)),IF(("add")=(INDEX(B1:XFD1,(A2)+(0))),(INDEX(B4:B404,(B3)+(1)))+(B316),IF(("equals")=(INDEX(B1:XFD1,(A2)+(0))),(INDEX(B4:B404,(B3)+(1)))=(B316),IF(("leq")=(INDEX(B1:XFD1,(A2)+(0))),(INDEX(B4:B404,(B3)+(1)))&lt;=(B316),IF(("mod")=(INDEX(B1:XFD1,(A2)+(0))),MOD(INDEX(B4:B404,(B3)+(1)),B316),B316)))))))),B316))</f>
        <v>#VALUE!</v>
      </c>
      <c r="C316" t="e">
        <f ca="1">IF((A1)=(2),1,IF(AND((INDEX(B1:XFD1,(A2)+(0)))=("writeheap"),(INDEX(B4:B404,(B3)+(1)))=(312)),INDEX(B4:B404,(B3)+(2)),IF((A1)=(2),1,IF((313)=(C3),C316,C316))))</f>
        <v>#VALUE!</v>
      </c>
      <c r="E316" t="e">
        <f ca="1">IF((A1)=(2),1,IF((313)=(E3),IF(("outputline")=(INDEX(B1:XFD1,(A2)+(0))),B2,E316),E316))</f>
        <v>#VALUE!</v>
      </c>
      <c r="F316" t="e">
        <f ca="1">IF((A1)=(2),1,IF((313)=(F3),IF(IF((INDEX(B1:XFD1,(A2)+(0)))=("store"),(INDEX(B1:XFD1,(A2)+(1)))=("F"),"false"),B2,F316),F316))</f>
        <v>#VALUE!</v>
      </c>
      <c r="G316" t="e">
        <f ca="1">IF((A1)=(2),1,IF((313)=(G3),IF(IF((INDEX(B1:XFD1,(A2)+(0)))=("store"),(INDEX(B1:XFD1,(A2)+(1)))=("G"),"false"),B2,G316),G316))</f>
        <v>#VALUE!</v>
      </c>
      <c r="H316" t="e">
        <f ca="1">IF((A1)=(2),1,IF((313)=(H3),IF(IF((INDEX(B1:XFD1,(A2)+(0)))=("store"),(INDEX(B1:XFD1,(A2)+(1)))=("H"),"false"),B2,H316),H316))</f>
        <v>#VALUE!</v>
      </c>
      <c r="I316" t="e">
        <f ca="1">IF((A1)=(2),1,IF((313)=(I3),IF(IF((INDEX(B1:XFD1,(A2)+(0)))=("store"),(INDEX(B1:XFD1,(A2)+(1)))=("I"),"false"),B2,I316),I316))</f>
        <v>#VALUE!</v>
      </c>
      <c r="J316" t="e">
        <f ca="1">IF((A1)=(2),1,IF((313)=(J3),IF(IF((INDEX(B1:XFD1,(A2)+(0)))=("store"),(INDEX(B1:XFD1,(A2)+(1)))=("J"),"false"),B2,J316),J316))</f>
        <v>#VALUE!</v>
      </c>
      <c r="K316" t="e">
        <f ca="1">IF((A1)=(2),1,IF((313)=(K3),IF(IF((INDEX(B1:XFD1,(A2)+(0)))=("store"),(INDEX(B1:XFD1,(A2)+(1)))=("K"),"false"),B2,K316),K316))</f>
        <v>#VALUE!</v>
      </c>
      <c r="L316" t="e">
        <f ca="1">IF((A1)=(2),1,IF((313)=(L3),IF(IF((INDEX(B1:XFD1,(A2)+(0)))=("store"),(INDEX(B1:XFD1,(A2)+(1)))=("L"),"false"),B2,L316),L316))</f>
        <v>#VALUE!</v>
      </c>
      <c r="M316" t="e">
        <f ca="1">IF((A1)=(2),1,IF((313)=(M3),IF(IF((INDEX(B1:XFD1,(A2)+(0)))=("store"),(INDEX(B1:XFD1,(A2)+(1)))=("M"),"false"),B2,M316),M316))</f>
        <v>#VALUE!</v>
      </c>
      <c r="N316" t="e">
        <f ca="1">IF((A1)=(2),1,IF((313)=(N3),IF(IF((INDEX(B1:XFD1,(A2)+(0)))=("store"),(INDEX(B1:XFD1,(A2)+(1)))=("N"),"false"),B2,N316),N316))</f>
        <v>#VALUE!</v>
      </c>
      <c r="O316" t="e">
        <f ca="1">IF((A1)=(2),1,IF((313)=(O3),IF(IF((INDEX(B1:XFD1,(A2)+(0)))=("store"),(INDEX(B1:XFD1,(A2)+(1)))=("O"),"false"),B2,O316),O316))</f>
        <v>#VALUE!</v>
      </c>
      <c r="P316" t="e">
        <f ca="1">IF((A1)=(2),1,IF((313)=(P3),IF(IF((INDEX(B1:XFD1,(A2)+(0)))=("store"),(INDEX(B1:XFD1,(A2)+(1)))=("P"),"false"),B2,P316),P316))</f>
        <v>#VALUE!</v>
      </c>
      <c r="Q316" t="e">
        <f ca="1">IF((A1)=(2),1,IF((313)=(Q3),IF(IF((INDEX(B1:XFD1,(A2)+(0)))=("store"),(INDEX(B1:XFD1,(A2)+(1)))=("Q"),"false"),B2,Q316),Q316))</f>
        <v>#VALUE!</v>
      </c>
      <c r="R316" t="e">
        <f ca="1">IF((A1)=(2),1,IF((313)=(R3),IF(IF((INDEX(B1:XFD1,(A2)+(0)))=("store"),(INDEX(B1:XFD1,(A2)+(1)))=("R"),"false"),B2,R316),R316))</f>
        <v>#VALUE!</v>
      </c>
      <c r="S316" t="e">
        <f ca="1">IF((A1)=(2),1,IF((313)=(S3),IF(IF((INDEX(B1:XFD1,(A2)+(0)))=("store"),(INDEX(B1:XFD1,(A2)+(1)))=("S"),"false"),B2,S316),S316))</f>
        <v>#VALUE!</v>
      </c>
      <c r="T316" t="e">
        <f ca="1">IF((A1)=(2),1,IF((313)=(T3),IF(IF((INDEX(B1:XFD1,(A2)+(0)))=("store"),(INDEX(B1:XFD1,(A2)+(1)))=("T"),"false"),B2,T316),T316))</f>
        <v>#VALUE!</v>
      </c>
      <c r="U316" t="e">
        <f ca="1">IF((A1)=(2),1,IF((313)=(U3),IF(IF((INDEX(B1:XFD1,(A2)+(0)))=("store"),(INDEX(B1:XFD1,(A2)+(1)))=("U"),"false"),B2,U316),U316))</f>
        <v>#VALUE!</v>
      </c>
      <c r="V316" t="e">
        <f ca="1">IF((A1)=(2),1,IF((313)=(V3),IF(IF((INDEX(B1:XFD1,(A2)+(0)))=("store"),(INDEX(B1:XFD1,(A2)+(1)))=("V"),"false"),B2,V316),V316))</f>
        <v>#VALUE!</v>
      </c>
      <c r="W316" t="e">
        <f ca="1">IF((A1)=(2),1,IF((313)=(W3),IF(IF((INDEX(B1:XFD1,(A2)+(0)))=("store"),(INDEX(B1:XFD1,(A2)+(1)))=("W"),"false"),B2,W316),W316))</f>
        <v>#VALUE!</v>
      </c>
      <c r="X316" t="e">
        <f ca="1">IF((A1)=(2),1,IF((313)=(X3),IF(IF((INDEX(B1:XFD1,(A2)+(0)))=("store"),(INDEX(B1:XFD1,(A2)+(1)))=("X"),"false"),B2,X316),X316))</f>
        <v>#VALUE!</v>
      </c>
      <c r="Y316" t="e">
        <f ca="1">IF((A1)=(2),1,IF((313)=(Y3),IF(IF((INDEX(B1:XFD1,(A2)+(0)))=("store"),(INDEX(B1:XFD1,(A2)+(1)))=("Y"),"false"),B2,Y316),Y316))</f>
        <v>#VALUE!</v>
      </c>
      <c r="Z316" t="e">
        <f ca="1">IF((A1)=(2),1,IF((313)=(Z3),IF(IF((INDEX(B1:XFD1,(A2)+(0)))=("store"),(INDEX(B1:XFD1,(A2)+(1)))=("Z"),"false"),B2,Z316),Z316))</f>
        <v>#VALUE!</v>
      </c>
      <c r="AA316" t="e">
        <f ca="1">IF((A1)=(2),1,IF((313)=(AA3),IF(IF((INDEX(B1:XFD1,(A2)+(0)))=("store"),(INDEX(B1:XFD1,(A2)+(1)))=("AA"),"false"),B2,AA316),AA316))</f>
        <v>#VALUE!</v>
      </c>
      <c r="AB316" t="e">
        <f ca="1">IF((A1)=(2),1,IF((313)=(AB3),IF(IF((INDEX(B1:XFD1,(A2)+(0)))=("store"),(INDEX(B1:XFD1,(A2)+(1)))=("AB"),"false"),B2,AB316),AB316))</f>
        <v>#VALUE!</v>
      </c>
      <c r="AC316" t="e">
        <f ca="1">IF((A1)=(2),1,IF((313)=(AC3),IF(IF((INDEX(B1:XFD1,(A2)+(0)))=("store"),(INDEX(B1:XFD1,(A2)+(1)))=("AC"),"false"),B2,AC316),AC316))</f>
        <v>#VALUE!</v>
      </c>
      <c r="AD316" t="e">
        <f ca="1">IF((A1)=(2),1,IF((313)=(AD3),IF(IF((INDEX(B1:XFD1,(A2)+(0)))=("store"),(INDEX(B1:XFD1,(A2)+(1)))=("AD"),"false"),B2,AD316),AD316))</f>
        <v>#VALUE!</v>
      </c>
    </row>
    <row r="317" spans="1:30" x14ac:dyDescent="0.25">
      <c r="A317" t="e">
        <f ca="1">IF((A1)=(2),1,IF((314)=(A3),IF(("call")=(INDEX(B1:XFD1,(A2)+(0))),((B2)*(2))+(1),IF(("goto")=(INDEX(B1:XFD1,(A2)+(0))),((INDEX(B1:XFD1,(A2)+(1)))*(2))+(1),IF(("gotoiftrue")=(INDEX(B1:XFD1,(A2)+(0))),IF(B2,((INDEX(B1:XFD1,(A2)+(1)))*(2))+(1),(A317)+(2)),(A317)+(2)))),A317))</f>
        <v>#VALUE!</v>
      </c>
      <c r="B317" t="e">
        <f ca="1">IF((A1)=(2),1,IF((314)=(B3),IF(("push")=(INDEX(B1:XFD1,(A2)+(0))),INDEX(B1:XFD1,(A2)+(1)),IF(("load")=(INDEX(B1:XFD1,(A2)+(0))),INDEX(F2:XFD2,INDEX(B1:XFD1,(A2)+(1))),IF(("newheap")=(INDEX(B1:XFD1,(A2)+(0))),(C3)-(2),IF(("getheap")=(INDEX(B1:XFD1,(A2)+(0))),INDEX(C4:C404,(B317)+(1)),IF(("add")=(INDEX(B1:XFD1,(A2)+(0))),(INDEX(B4:B404,(B3)+(1)))+(B317),IF(("equals")=(INDEX(B1:XFD1,(A2)+(0))),(INDEX(B4:B404,(B3)+(1)))=(B317),IF(("leq")=(INDEX(B1:XFD1,(A2)+(0))),(INDEX(B4:B404,(B3)+(1)))&lt;=(B317),IF(("mod")=(INDEX(B1:XFD1,(A2)+(0))),MOD(INDEX(B4:B404,(B3)+(1)),B317),B317)))))))),B317))</f>
        <v>#VALUE!</v>
      </c>
      <c r="C317" t="e">
        <f ca="1">IF((A1)=(2),1,IF(AND((INDEX(B1:XFD1,(A2)+(0)))=("writeheap"),(INDEX(B4:B404,(B3)+(1)))=(313)),INDEX(B4:B404,(B3)+(2)),IF((A1)=(2),1,IF((314)=(C3),C317,C317))))</f>
        <v>#VALUE!</v>
      </c>
      <c r="E317" t="e">
        <f ca="1">IF((A1)=(2),1,IF((314)=(E3),IF(("outputline")=(INDEX(B1:XFD1,(A2)+(0))),B2,E317),E317))</f>
        <v>#VALUE!</v>
      </c>
      <c r="F317" t="e">
        <f ca="1">IF((A1)=(2),1,IF((314)=(F3),IF(IF((INDEX(B1:XFD1,(A2)+(0)))=("store"),(INDEX(B1:XFD1,(A2)+(1)))=("F"),"false"),B2,F317),F317))</f>
        <v>#VALUE!</v>
      </c>
      <c r="G317" t="e">
        <f ca="1">IF((A1)=(2),1,IF((314)=(G3),IF(IF((INDEX(B1:XFD1,(A2)+(0)))=("store"),(INDEX(B1:XFD1,(A2)+(1)))=("G"),"false"),B2,G317),G317))</f>
        <v>#VALUE!</v>
      </c>
      <c r="H317" t="e">
        <f ca="1">IF((A1)=(2),1,IF((314)=(H3),IF(IF((INDEX(B1:XFD1,(A2)+(0)))=("store"),(INDEX(B1:XFD1,(A2)+(1)))=("H"),"false"),B2,H317),H317))</f>
        <v>#VALUE!</v>
      </c>
      <c r="I317" t="e">
        <f ca="1">IF((A1)=(2),1,IF((314)=(I3),IF(IF((INDEX(B1:XFD1,(A2)+(0)))=("store"),(INDEX(B1:XFD1,(A2)+(1)))=("I"),"false"),B2,I317),I317))</f>
        <v>#VALUE!</v>
      </c>
      <c r="J317" t="e">
        <f ca="1">IF((A1)=(2),1,IF((314)=(J3),IF(IF((INDEX(B1:XFD1,(A2)+(0)))=("store"),(INDEX(B1:XFD1,(A2)+(1)))=("J"),"false"),B2,J317),J317))</f>
        <v>#VALUE!</v>
      </c>
      <c r="K317" t="e">
        <f ca="1">IF((A1)=(2),1,IF((314)=(K3),IF(IF((INDEX(B1:XFD1,(A2)+(0)))=("store"),(INDEX(B1:XFD1,(A2)+(1)))=("K"),"false"),B2,K317),K317))</f>
        <v>#VALUE!</v>
      </c>
      <c r="L317" t="e">
        <f ca="1">IF((A1)=(2),1,IF((314)=(L3),IF(IF((INDEX(B1:XFD1,(A2)+(0)))=("store"),(INDEX(B1:XFD1,(A2)+(1)))=("L"),"false"),B2,L317),L317))</f>
        <v>#VALUE!</v>
      </c>
      <c r="M317" t="e">
        <f ca="1">IF((A1)=(2),1,IF((314)=(M3),IF(IF((INDEX(B1:XFD1,(A2)+(0)))=("store"),(INDEX(B1:XFD1,(A2)+(1)))=("M"),"false"),B2,M317),M317))</f>
        <v>#VALUE!</v>
      </c>
      <c r="N317" t="e">
        <f ca="1">IF((A1)=(2),1,IF((314)=(N3),IF(IF((INDEX(B1:XFD1,(A2)+(0)))=("store"),(INDEX(B1:XFD1,(A2)+(1)))=("N"),"false"),B2,N317),N317))</f>
        <v>#VALUE!</v>
      </c>
      <c r="O317" t="e">
        <f ca="1">IF((A1)=(2),1,IF((314)=(O3),IF(IF((INDEX(B1:XFD1,(A2)+(0)))=("store"),(INDEX(B1:XFD1,(A2)+(1)))=("O"),"false"),B2,O317),O317))</f>
        <v>#VALUE!</v>
      </c>
      <c r="P317" t="e">
        <f ca="1">IF((A1)=(2),1,IF((314)=(P3),IF(IF((INDEX(B1:XFD1,(A2)+(0)))=("store"),(INDEX(B1:XFD1,(A2)+(1)))=("P"),"false"),B2,P317),P317))</f>
        <v>#VALUE!</v>
      </c>
      <c r="Q317" t="e">
        <f ca="1">IF((A1)=(2),1,IF((314)=(Q3),IF(IF((INDEX(B1:XFD1,(A2)+(0)))=("store"),(INDEX(B1:XFD1,(A2)+(1)))=("Q"),"false"),B2,Q317),Q317))</f>
        <v>#VALUE!</v>
      </c>
      <c r="R317" t="e">
        <f ca="1">IF((A1)=(2),1,IF((314)=(R3),IF(IF((INDEX(B1:XFD1,(A2)+(0)))=("store"),(INDEX(B1:XFD1,(A2)+(1)))=("R"),"false"),B2,R317),R317))</f>
        <v>#VALUE!</v>
      </c>
      <c r="S317" t="e">
        <f ca="1">IF((A1)=(2),1,IF((314)=(S3),IF(IF((INDEX(B1:XFD1,(A2)+(0)))=("store"),(INDEX(B1:XFD1,(A2)+(1)))=("S"),"false"),B2,S317),S317))</f>
        <v>#VALUE!</v>
      </c>
      <c r="T317" t="e">
        <f ca="1">IF((A1)=(2),1,IF((314)=(T3),IF(IF((INDEX(B1:XFD1,(A2)+(0)))=("store"),(INDEX(B1:XFD1,(A2)+(1)))=("T"),"false"),B2,T317),T317))</f>
        <v>#VALUE!</v>
      </c>
      <c r="U317" t="e">
        <f ca="1">IF((A1)=(2),1,IF((314)=(U3),IF(IF((INDEX(B1:XFD1,(A2)+(0)))=("store"),(INDEX(B1:XFD1,(A2)+(1)))=("U"),"false"),B2,U317),U317))</f>
        <v>#VALUE!</v>
      </c>
      <c r="V317" t="e">
        <f ca="1">IF((A1)=(2),1,IF((314)=(V3),IF(IF((INDEX(B1:XFD1,(A2)+(0)))=("store"),(INDEX(B1:XFD1,(A2)+(1)))=("V"),"false"),B2,V317),V317))</f>
        <v>#VALUE!</v>
      </c>
      <c r="W317" t="e">
        <f ca="1">IF((A1)=(2),1,IF((314)=(W3),IF(IF((INDEX(B1:XFD1,(A2)+(0)))=("store"),(INDEX(B1:XFD1,(A2)+(1)))=("W"),"false"),B2,W317),W317))</f>
        <v>#VALUE!</v>
      </c>
      <c r="X317" t="e">
        <f ca="1">IF((A1)=(2),1,IF((314)=(X3),IF(IF((INDEX(B1:XFD1,(A2)+(0)))=("store"),(INDEX(B1:XFD1,(A2)+(1)))=("X"),"false"),B2,X317),X317))</f>
        <v>#VALUE!</v>
      </c>
      <c r="Y317" t="e">
        <f ca="1">IF((A1)=(2),1,IF((314)=(Y3),IF(IF((INDEX(B1:XFD1,(A2)+(0)))=("store"),(INDEX(B1:XFD1,(A2)+(1)))=("Y"),"false"),B2,Y317),Y317))</f>
        <v>#VALUE!</v>
      </c>
      <c r="Z317" t="e">
        <f ca="1">IF((A1)=(2),1,IF((314)=(Z3),IF(IF((INDEX(B1:XFD1,(A2)+(0)))=("store"),(INDEX(B1:XFD1,(A2)+(1)))=("Z"),"false"),B2,Z317),Z317))</f>
        <v>#VALUE!</v>
      </c>
      <c r="AA317" t="e">
        <f ca="1">IF((A1)=(2),1,IF((314)=(AA3),IF(IF((INDEX(B1:XFD1,(A2)+(0)))=("store"),(INDEX(B1:XFD1,(A2)+(1)))=("AA"),"false"),B2,AA317),AA317))</f>
        <v>#VALUE!</v>
      </c>
      <c r="AB317" t="e">
        <f ca="1">IF((A1)=(2),1,IF((314)=(AB3),IF(IF((INDEX(B1:XFD1,(A2)+(0)))=("store"),(INDEX(B1:XFD1,(A2)+(1)))=("AB"),"false"),B2,AB317),AB317))</f>
        <v>#VALUE!</v>
      </c>
      <c r="AC317" t="e">
        <f ca="1">IF((A1)=(2),1,IF((314)=(AC3),IF(IF((INDEX(B1:XFD1,(A2)+(0)))=("store"),(INDEX(B1:XFD1,(A2)+(1)))=("AC"),"false"),B2,AC317),AC317))</f>
        <v>#VALUE!</v>
      </c>
      <c r="AD317" t="e">
        <f ca="1">IF((A1)=(2),1,IF((314)=(AD3),IF(IF((INDEX(B1:XFD1,(A2)+(0)))=("store"),(INDEX(B1:XFD1,(A2)+(1)))=("AD"),"false"),B2,AD317),AD317))</f>
        <v>#VALUE!</v>
      </c>
    </row>
    <row r="318" spans="1:30" x14ac:dyDescent="0.25">
      <c r="A318" t="e">
        <f ca="1">IF((A1)=(2),1,IF((315)=(A3),IF(("call")=(INDEX(B1:XFD1,(A2)+(0))),((B2)*(2))+(1),IF(("goto")=(INDEX(B1:XFD1,(A2)+(0))),((INDEX(B1:XFD1,(A2)+(1)))*(2))+(1),IF(("gotoiftrue")=(INDEX(B1:XFD1,(A2)+(0))),IF(B2,((INDEX(B1:XFD1,(A2)+(1)))*(2))+(1),(A318)+(2)),(A318)+(2)))),A318))</f>
        <v>#VALUE!</v>
      </c>
      <c r="B318" t="e">
        <f ca="1">IF((A1)=(2),1,IF((315)=(B3),IF(("push")=(INDEX(B1:XFD1,(A2)+(0))),INDEX(B1:XFD1,(A2)+(1)),IF(("load")=(INDEX(B1:XFD1,(A2)+(0))),INDEX(F2:XFD2,INDEX(B1:XFD1,(A2)+(1))),IF(("newheap")=(INDEX(B1:XFD1,(A2)+(0))),(C3)-(2),IF(("getheap")=(INDEX(B1:XFD1,(A2)+(0))),INDEX(C4:C404,(B318)+(1)),IF(("add")=(INDEX(B1:XFD1,(A2)+(0))),(INDEX(B4:B404,(B3)+(1)))+(B318),IF(("equals")=(INDEX(B1:XFD1,(A2)+(0))),(INDEX(B4:B404,(B3)+(1)))=(B318),IF(("leq")=(INDEX(B1:XFD1,(A2)+(0))),(INDEX(B4:B404,(B3)+(1)))&lt;=(B318),IF(("mod")=(INDEX(B1:XFD1,(A2)+(0))),MOD(INDEX(B4:B404,(B3)+(1)),B318),B318)))))))),B318))</f>
        <v>#VALUE!</v>
      </c>
      <c r="C318" t="e">
        <f ca="1">IF((A1)=(2),1,IF(AND((INDEX(B1:XFD1,(A2)+(0)))=("writeheap"),(INDEX(B4:B404,(B3)+(1)))=(314)),INDEX(B4:B404,(B3)+(2)),IF((A1)=(2),1,IF((315)=(C3),C318,C318))))</f>
        <v>#VALUE!</v>
      </c>
      <c r="E318" t="e">
        <f ca="1">IF((A1)=(2),1,IF((315)=(E3),IF(("outputline")=(INDEX(B1:XFD1,(A2)+(0))),B2,E318),E318))</f>
        <v>#VALUE!</v>
      </c>
      <c r="F318" t="e">
        <f ca="1">IF((A1)=(2),1,IF((315)=(F3),IF(IF((INDEX(B1:XFD1,(A2)+(0)))=("store"),(INDEX(B1:XFD1,(A2)+(1)))=("F"),"false"),B2,F318),F318))</f>
        <v>#VALUE!</v>
      </c>
      <c r="G318" t="e">
        <f ca="1">IF((A1)=(2),1,IF((315)=(G3),IF(IF((INDEX(B1:XFD1,(A2)+(0)))=("store"),(INDEX(B1:XFD1,(A2)+(1)))=("G"),"false"),B2,G318),G318))</f>
        <v>#VALUE!</v>
      </c>
      <c r="H318" t="e">
        <f ca="1">IF((A1)=(2),1,IF((315)=(H3),IF(IF((INDEX(B1:XFD1,(A2)+(0)))=("store"),(INDEX(B1:XFD1,(A2)+(1)))=("H"),"false"),B2,H318),H318))</f>
        <v>#VALUE!</v>
      </c>
      <c r="I318" t="e">
        <f ca="1">IF((A1)=(2),1,IF((315)=(I3),IF(IF((INDEX(B1:XFD1,(A2)+(0)))=("store"),(INDEX(B1:XFD1,(A2)+(1)))=("I"),"false"),B2,I318),I318))</f>
        <v>#VALUE!</v>
      </c>
      <c r="J318" t="e">
        <f ca="1">IF((A1)=(2),1,IF((315)=(J3),IF(IF((INDEX(B1:XFD1,(A2)+(0)))=("store"),(INDEX(B1:XFD1,(A2)+(1)))=("J"),"false"),B2,J318),J318))</f>
        <v>#VALUE!</v>
      </c>
      <c r="K318" t="e">
        <f ca="1">IF((A1)=(2),1,IF((315)=(K3),IF(IF((INDEX(B1:XFD1,(A2)+(0)))=("store"),(INDEX(B1:XFD1,(A2)+(1)))=("K"),"false"),B2,K318),K318))</f>
        <v>#VALUE!</v>
      </c>
      <c r="L318" t="e">
        <f ca="1">IF((A1)=(2),1,IF((315)=(L3),IF(IF((INDEX(B1:XFD1,(A2)+(0)))=("store"),(INDEX(B1:XFD1,(A2)+(1)))=("L"),"false"),B2,L318),L318))</f>
        <v>#VALUE!</v>
      </c>
      <c r="M318" t="e">
        <f ca="1">IF((A1)=(2),1,IF((315)=(M3),IF(IF((INDEX(B1:XFD1,(A2)+(0)))=("store"),(INDEX(B1:XFD1,(A2)+(1)))=("M"),"false"),B2,M318),M318))</f>
        <v>#VALUE!</v>
      </c>
      <c r="N318" t="e">
        <f ca="1">IF((A1)=(2),1,IF((315)=(N3),IF(IF((INDEX(B1:XFD1,(A2)+(0)))=("store"),(INDEX(B1:XFD1,(A2)+(1)))=("N"),"false"),B2,N318),N318))</f>
        <v>#VALUE!</v>
      </c>
      <c r="O318" t="e">
        <f ca="1">IF((A1)=(2),1,IF((315)=(O3),IF(IF((INDEX(B1:XFD1,(A2)+(0)))=("store"),(INDEX(B1:XFD1,(A2)+(1)))=("O"),"false"),B2,O318),O318))</f>
        <v>#VALUE!</v>
      </c>
      <c r="P318" t="e">
        <f ca="1">IF((A1)=(2),1,IF((315)=(P3),IF(IF((INDEX(B1:XFD1,(A2)+(0)))=("store"),(INDEX(B1:XFD1,(A2)+(1)))=("P"),"false"),B2,P318),P318))</f>
        <v>#VALUE!</v>
      </c>
      <c r="Q318" t="e">
        <f ca="1">IF((A1)=(2),1,IF((315)=(Q3),IF(IF((INDEX(B1:XFD1,(A2)+(0)))=("store"),(INDEX(B1:XFD1,(A2)+(1)))=("Q"),"false"),B2,Q318),Q318))</f>
        <v>#VALUE!</v>
      </c>
      <c r="R318" t="e">
        <f ca="1">IF((A1)=(2),1,IF((315)=(R3),IF(IF((INDEX(B1:XFD1,(A2)+(0)))=("store"),(INDEX(B1:XFD1,(A2)+(1)))=("R"),"false"),B2,R318),R318))</f>
        <v>#VALUE!</v>
      </c>
      <c r="S318" t="e">
        <f ca="1">IF((A1)=(2),1,IF((315)=(S3),IF(IF((INDEX(B1:XFD1,(A2)+(0)))=("store"),(INDEX(B1:XFD1,(A2)+(1)))=("S"),"false"),B2,S318),S318))</f>
        <v>#VALUE!</v>
      </c>
      <c r="T318" t="e">
        <f ca="1">IF((A1)=(2),1,IF((315)=(T3),IF(IF((INDEX(B1:XFD1,(A2)+(0)))=("store"),(INDEX(B1:XFD1,(A2)+(1)))=("T"),"false"),B2,T318),T318))</f>
        <v>#VALUE!</v>
      </c>
      <c r="U318" t="e">
        <f ca="1">IF((A1)=(2),1,IF((315)=(U3),IF(IF((INDEX(B1:XFD1,(A2)+(0)))=("store"),(INDEX(B1:XFD1,(A2)+(1)))=("U"),"false"),B2,U318),U318))</f>
        <v>#VALUE!</v>
      </c>
      <c r="V318" t="e">
        <f ca="1">IF((A1)=(2),1,IF((315)=(V3),IF(IF((INDEX(B1:XFD1,(A2)+(0)))=("store"),(INDEX(B1:XFD1,(A2)+(1)))=("V"),"false"),B2,V318),V318))</f>
        <v>#VALUE!</v>
      </c>
      <c r="W318" t="e">
        <f ca="1">IF((A1)=(2),1,IF((315)=(W3),IF(IF((INDEX(B1:XFD1,(A2)+(0)))=("store"),(INDEX(B1:XFD1,(A2)+(1)))=("W"),"false"),B2,W318),W318))</f>
        <v>#VALUE!</v>
      </c>
      <c r="X318" t="e">
        <f ca="1">IF((A1)=(2),1,IF((315)=(X3),IF(IF((INDEX(B1:XFD1,(A2)+(0)))=("store"),(INDEX(B1:XFD1,(A2)+(1)))=("X"),"false"),B2,X318),X318))</f>
        <v>#VALUE!</v>
      </c>
      <c r="Y318" t="e">
        <f ca="1">IF((A1)=(2),1,IF((315)=(Y3),IF(IF((INDEX(B1:XFD1,(A2)+(0)))=("store"),(INDEX(B1:XFD1,(A2)+(1)))=("Y"),"false"),B2,Y318),Y318))</f>
        <v>#VALUE!</v>
      </c>
      <c r="Z318" t="e">
        <f ca="1">IF((A1)=(2),1,IF((315)=(Z3),IF(IF((INDEX(B1:XFD1,(A2)+(0)))=("store"),(INDEX(B1:XFD1,(A2)+(1)))=("Z"),"false"),B2,Z318),Z318))</f>
        <v>#VALUE!</v>
      </c>
      <c r="AA318" t="e">
        <f ca="1">IF((A1)=(2),1,IF((315)=(AA3),IF(IF((INDEX(B1:XFD1,(A2)+(0)))=("store"),(INDEX(B1:XFD1,(A2)+(1)))=("AA"),"false"),B2,AA318),AA318))</f>
        <v>#VALUE!</v>
      </c>
      <c r="AB318" t="e">
        <f ca="1">IF((A1)=(2),1,IF((315)=(AB3),IF(IF((INDEX(B1:XFD1,(A2)+(0)))=("store"),(INDEX(B1:XFD1,(A2)+(1)))=("AB"),"false"),B2,AB318),AB318))</f>
        <v>#VALUE!</v>
      </c>
      <c r="AC318" t="e">
        <f ca="1">IF((A1)=(2),1,IF((315)=(AC3),IF(IF((INDEX(B1:XFD1,(A2)+(0)))=("store"),(INDEX(B1:XFD1,(A2)+(1)))=("AC"),"false"),B2,AC318),AC318))</f>
        <v>#VALUE!</v>
      </c>
      <c r="AD318" t="e">
        <f ca="1">IF((A1)=(2),1,IF((315)=(AD3),IF(IF((INDEX(B1:XFD1,(A2)+(0)))=("store"),(INDEX(B1:XFD1,(A2)+(1)))=("AD"),"false"),B2,AD318),AD318))</f>
        <v>#VALUE!</v>
      </c>
    </row>
    <row r="319" spans="1:30" x14ac:dyDescent="0.25">
      <c r="A319" t="e">
        <f ca="1">IF((A1)=(2),1,IF((316)=(A3),IF(("call")=(INDEX(B1:XFD1,(A2)+(0))),((B2)*(2))+(1),IF(("goto")=(INDEX(B1:XFD1,(A2)+(0))),((INDEX(B1:XFD1,(A2)+(1)))*(2))+(1),IF(("gotoiftrue")=(INDEX(B1:XFD1,(A2)+(0))),IF(B2,((INDEX(B1:XFD1,(A2)+(1)))*(2))+(1),(A319)+(2)),(A319)+(2)))),A319))</f>
        <v>#VALUE!</v>
      </c>
      <c r="B319" t="e">
        <f ca="1">IF((A1)=(2),1,IF((316)=(B3),IF(("push")=(INDEX(B1:XFD1,(A2)+(0))),INDEX(B1:XFD1,(A2)+(1)),IF(("load")=(INDEX(B1:XFD1,(A2)+(0))),INDEX(F2:XFD2,INDEX(B1:XFD1,(A2)+(1))),IF(("newheap")=(INDEX(B1:XFD1,(A2)+(0))),(C3)-(2),IF(("getheap")=(INDEX(B1:XFD1,(A2)+(0))),INDEX(C4:C404,(B319)+(1)),IF(("add")=(INDEX(B1:XFD1,(A2)+(0))),(INDEX(B4:B404,(B3)+(1)))+(B319),IF(("equals")=(INDEX(B1:XFD1,(A2)+(0))),(INDEX(B4:B404,(B3)+(1)))=(B319),IF(("leq")=(INDEX(B1:XFD1,(A2)+(0))),(INDEX(B4:B404,(B3)+(1)))&lt;=(B319),IF(("mod")=(INDEX(B1:XFD1,(A2)+(0))),MOD(INDEX(B4:B404,(B3)+(1)),B319),B319)))))))),B319))</f>
        <v>#VALUE!</v>
      </c>
      <c r="C319" t="e">
        <f ca="1">IF((A1)=(2),1,IF(AND((INDEX(B1:XFD1,(A2)+(0)))=("writeheap"),(INDEX(B4:B404,(B3)+(1)))=(315)),INDEX(B4:B404,(B3)+(2)),IF((A1)=(2),1,IF((316)=(C3),C319,C319))))</f>
        <v>#VALUE!</v>
      </c>
      <c r="E319" t="e">
        <f ca="1">IF((A1)=(2),1,IF((316)=(E3),IF(("outputline")=(INDEX(B1:XFD1,(A2)+(0))),B2,E319),E319))</f>
        <v>#VALUE!</v>
      </c>
      <c r="F319" t="e">
        <f ca="1">IF((A1)=(2),1,IF((316)=(F3),IF(IF((INDEX(B1:XFD1,(A2)+(0)))=("store"),(INDEX(B1:XFD1,(A2)+(1)))=("F"),"false"),B2,F319),F319))</f>
        <v>#VALUE!</v>
      </c>
      <c r="G319" t="e">
        <f ca="1">IF((A1)=(2),1,IF((316)=(G3),IF(IF((INDEX(B1:XFD1,(A2)+(0)))=("store"),(INDEX(B1:XFD1,(A2)+(1)))=("G"),"false"),B2,G319),G319))</f>
        <v>#VALUE!</v>
      </c>
      <c r="H319" t="e">
        <f ca="1">IF((A1)=(2),1,IF((316)=(H3),IF(IF((INDEX(B1:XFD1,(A2)+(0)))=("store"),(INDEX(B1:XFD1,(A2)+(1)))=("H"),"false"),B2,H319),H319))</f>
        <v>#VALUE!</v>
      </c>
      <c r="I319" t="e">
        <f ca="1">IF((A1)=(2),1,IF((316)=(I3),IF(IF((INDEX(B1:XFD1,(A2)+(0)))=("store"),(INDEX(B1:XFD1,(A2)+(1)))=("I"),"false"),B2,I319),I319))</f>
        <v>#VALUE!</v>
      </c>
      <c r="J319" t="e">
        <f ca="1">IF((A1)=(2),1,IF((316)=(J3),IF(IF((INDEX(B1:XFD1,(A2)+(0)))=("store"),(INDEX(B1:XFD1,(A2)+(1)))=("J"),"false"),B2,J319),J319))</f>
        <v>#VALUE!</v>
      </c>
      <c r="K319" t="e">
        <f ca="1">IF((A1)=(2),1,IF((316)=(K3),IF(IF((INDEX(B1:XFD1,(A2)+(0)))=("store"),(INDEX(B1:XFD1,(A2)+(1)))=("K"),"false"),B2,K319),K319))</f>
        <v>#VALUE!</v>
      </c>
      <c r="L319" t="e">
        <f ca="1">IF((A1)=(2),1,IF((316)=(L3),IF(IF((INDEX(B1:XFD1,(A2)+(0)))=("store"),(INDEX(B1:XFD1,(A2)+(1)))=("L"),"false"),B2,L319),L319))</f>
        <v>#VALUE!</v>
      </c>
      <c r="M319" t="e">
        <f ca="1">IF((A1)=(2),1,IF((316)=(M3),IF(IF((INDEX(B1:XFD1,(A2)+(0)))=("store"),(INDEX(B1:XFD1,(A2)+(1)))=("M"),"false"),B2,M319),M319))</f>
        <v>#VALUE!</v>
      </c>
      <c r="N319" t="e">
        <f ca="1">IF((A1)=(2),1,IF((316)=(N3),IF(IF((INDEX(B1:XFD1,(A2)+(0)))=("store"),(INDEX(B1:XFD1,(A2)+(1)))=("N"),"false"),B2,N319),N319))</f>
        <v>#VALUE!</v>
      </c>
      <c r="O319" t="e">
        <f ca="1">IF((A1)=(2),1,IF((316)=(O3),IF(IF((INDEX(B1:XFD1,(A2)+(0)))=("store"),(INDEX(B1:XFD1,(A2)+(1)))=("O"),"false"),B2,O319),O319))</f>
        <v>#VALUE!</v>
      </c>
      <c r="P319" t="e">
        <f ca="1">IF((A1)=(2),1,IF((316)=(P3),IF(IF((INDEX(B1:XFD1,(A2)+(0)))=("store"),(INDEX(B1:XFD1,(A2)+(1)))=("P"),"false"),B2,P319),P319))</f>
        <v>#VALUE!</v>
      </c>
      <c r="Q319" t="e">
        <f ca="1">IF((A1)=(2),1,IF((316)=(Q3),IF(IF((INDEX(B1:XFD1,(A2)+(0)))=("store"),(INDEX(B1:XFD1,(A2)+(1)))=("Q"),"false"),B2,Q319),Q319))</f>
        <v>#VALUE!</v>
      </c>
      <c r="R319" t="e">
        <f ca="1">IF((A1)=(2),1,IF((316)=(R3),IF(IF((INDEX(B1:XFD1,(A2)+(0)))=("store"),(INDEX(B1:XFD1,(A2)+(1)))=("R"),"false"),B2,R319),R319))</f>
        <v>#VALUE!</v>
      </c>
      <c r="S319" t="e">
        <f ca="1">IF((A1)=(2),1,IF((316)=(S3),IF(IF((INDEX(B1:XFD1,(A2)+(0)))=("store"),(INDEX(B1:XFD1,(A2)+(1)))=("S"),"false"),B2,S319),S319))</f>
        <v>#VALUE!</v>
      </c>
      <c r="T319" t="e">
        <f ca="1">IF((A1)=(2),1,IF((316)=(T3),IF(IF((INDEX(B1:XFD1,(A2)+(0)))=("store"),(INDEX(B1:XFD1,(A2)+(1)))=("T"),"false"),B2,T319),T319))</f>
        <v>#VALUE!</v>
      </c>
      <c r="U319" t="e">
        <f ca="1">IF((A1)=(2),1,IF((316)=(U3),IF(IF((INDEX(B1:XFD1,(A2)+(0)))=("store"),(INDEX(B1:XFD1,(A2)+(1)))=("U"),"false"),B2,U319),U319))</f>
        <v>#VALUE!</v>
      </c>
      <c r="V319" t="e">
        <f ca="1">IF((A1)=(2),1,IF((316)=(V3),IF(IF((INDEX(B1:XFD1,(A2)+(0)))=("store"),(INDEX(B1:XFD1,(A2)+(1)))=("V"),"false"),B2,V319),V319))</f>
        <v>#VALUE!</v>
      </c>
      <c r="W319" t="e">
        <f ca="1">IF((A1)=(2),1,IF((316)=(W3),IF(IF((INDEX(B1:XFD1,(A2)+(0)))=("store"),(INDEX(B1:XFD1,(A2)+(1)))=("W"),"false"),B2,W319),W319))</f>
        <v>#VALUE!</v>
      </c>
      <c r="X319" t="e">
        <f ca="1">IF((A1)=(2),1,IF((316)=(X3),IF(IF((INDEX(B1:XFD1,(A2)+(0)))=("store"),(INDEX(B1:XFD1,(A2)+(1)))=("X"),"false"),B2,X319),X319))</f>
        <v>#VALUE!</v>
      </c>
      <c r="Y319" t="e">
        <f ca="1">IF((A1)=(2),1,IF((316)=(Y3),IF(IF((INDEX(B1:XFD1,(A2)+(0)))=("store"),(INDEX(B1:XFD1,(A2)+(1)))=("Y"),"false"),B2,Y319),Y319))</f>
        <v>#VALUE!</v>
      </c>
      <c r="Z319" t="e">
        <f ca="1">IF((A1)=(2),1,IF((316)=(Z3),IF(IF((INDEX(B1:XFD1,(A2)+(0)))=("store"),(INDEX(B1:XFD1,(A2)+(1)))=("Z"),"false"),B2,Z319),Z319))</f>
        <v>#VALUE!</v>
      </c>
      <c r="AA319" t="e">
        <f ca="1">IF((A1)=(2),1,IF((316)=(AA3),IF(IF((INDEX(B1:XFD1,(A2)+(0)))=("store"),(INDEX(B1:XFD1,(A2)+(1)))=("AA"),"false"),B2,AA319),AA319))</f>
        <v>#VALUE!</v>
      </c>
      <c r="AB319" t="e">
        <f ca="1">IF((A1)=(2),1,IF((316)=(AB3),IF(IF((INDEX(B1:XFD1,(A2)+(0)))=("store"),(INDEX(B1:XFD1,(A2)+(1)))=("AB"),"false"),B2,AB319),AB319))</f>
        <v>#VALUE!</v>
      </c>
      <c r="AC319" t="e">
        <f ca="1">IF((A1)=(2),1,IF((316)=(AC3),IF(IF((INDEX(B1:XFD1,(A2)+(0)))=("store"),(INDEX(B1:XFD1,(A2)+(1)))=("AC"),"false"),B2,AC319),AC319))</f>
        <v>#VALUE!</v>
      </c>
      <c r="AD319" t="e">
        <f ca="1">IF((A1)=(2),1,IF((316)=(AD3),IF(IF((INDEX(B1:XFD1,(A2)+(0)))=("store"),(INDEX(B1:XFD1,(A2)+(1)))=("AD"),"false"),B2,AD319),AD319))</f>
        <v>#VALUE!</v>
      </c>
    </row>
    <row r="320" spans="1:30" x14ac:dyDescent="0.25">
      <c r="A320" t="e">
        <f ca="1">IF((A1)=(2),1,IF((317)=(A3),IF(("call")=(INDEX(B1:XFD1,(A2)+(0))),((B2)*(2))+(1),IF(("goto")=(INDEX(B1:XFD1,(A2)+(0))),((INDEX(B1:XFD1,(A2)+(1)))*(2))+(1),IF(("gotoiftrue")=(INDEX(B1:XFD1,(A2)+(0))),IF(B2,((INDEX(B1:XFD1,(A2)+(1)))*(2))+(1),(A320)+(2)),(A320)+(2)))),A320))</f>
        <v>#VALUE!</v>
      </c>
      <c r="B320" t="e">
        <f ca="1">IF((A1)=(2),1,IF((317)=(B3),IF(("push")=(INDEX(B1:XFD1,(A2)+(0))),INDEX(B1:XFD1,(A2)+(1)),IF(("load")=(INDEX(B1:XFD1,(A2)+(0))),INDEX(F2:XFD2,INDEX(B1:XFD1,(A2)+(1))),IF(("newheap")=(INDEX(B1:XFD1,(A2)+(0))),(C3)-(2),IF(("getheap")=(INDEX(B1:XFD1,(A2)+(0))),INDEX(C4:C404,(B320)+(1)),IF(("add")=(INDEX(B1:XFD1,(A2)+(0))),(INDEX(B4:B404,(B3)+(1)))+(B320),IF(("equals")=(INDEX(B1:XFD1,(A2)+(0))),(INDEX(B4:B404,(B3)+(1)))=(B320),IF(("leq")=(INDEX(B1:XFD1,(A2)+(0))),(INDEX(B4:B404,(B3)+(1)))&lt;=(B320),IF(("mod")=(INDEX(B1:XFD1,(A2)+(0))),MOD(INDEX(B4:B404,(B3)+(1)),B320),B320)))))))),B320))</f>
        <v>#VALUE!</v>
      </c>
      <c r="C320" t="e">
        <f ca="1">IF((A1)=(2),1,IF(AND((INDEX(B1:XFD1,(A2)+(0)))=("writeheap"),(INDEX(B4:B404,(B3)+(1)))=(316)),INDEX(B4:B404,(B3)+(2)),IF((A1)=(2),1,IF((317)=(C3),C320,C320))))</f>
        <v>#VALUE!</v>
      </c>
      <c r="E320" t="e">
        <f ca="1">IF((A1)=(2),1,IF((317)=(E3),IF(("outputline")=(INDEX(B1:XFD1,(A2)+(0))),B2,E320),E320))</f>
        <v>#VALUE!</v>
      </c>
      <c r="F320" t="e">
        <f ca="1">IF((A1)=(2),1,IF((317)=(F3),IF(IF((INDEX(B1:XFD1,(A2)+(0)))=("store"),(INDEX(B1:XFD1,(A2)+(1)))=("F"),"false"),B2,F320),F320))</f>
        <v>#VALUE!</v>
      </c>
      <c r="G320" t="e">
        <f ca="1">IF((A1)=(2),1,IF((317)=(G3),IF(IF((INDEX(B1:XFD1,(A2)+(0)))=("store"),(INDEX(B1:XFD1,(A2)+(1)))=("G"),"false"),B2,G320),G320))</f>
        <v>#VALUE!</v>
      </c>
      <c r="H320" t="e">
        <f ca="1">IF((A1)=(2),1,IF((317)=(H3),IF(IF((INDEX(B1:XFD1,(A2)+(0)))=("store"),(INDEX(B1:XFD1,(A2)+(1)))=("H"),"false"),B2,H320),H320))</f>
        <v>#VALUE!</v>
      </c>
      <c r="I320" t="e">
        <f ca="1">IF((A1)=(2),1,IF((317)=(I3),IF(IF((INDEX(B1:XFD1,(A2)+(0)))=("store"),(INDEX(B1:XFD1,(A2)+(1)))=("I"),"false"),B2,I320),I320))</f>
        <v>#VALUE!</v>
      </c>
      <c r="J320" t="e">
        <f ca="1">IF((A1)=(2),1,IF((317)=(J3),IF(IF((INDEX(B1:XFD1,(A2)+(0)))=("store"),(INDEX(B1:XFD1,(A2)+(1)))=("J"),"false"),B2,J320),J320))</f>
        <v>#VALUE!</v>
      </c>
      <c r="K320" t="e">
        <f ca="1">IF((A1)=(2),1,IF((317)=(K3),IF(IF((INDEX(B1:XFD1,(A2)+(0)))=("store"),(INDEX(B1:XFD1,(A2)+(1)))=("K"),"false"),B2,K320),K320))</f>
        <v>#VALUE!</v>
      </c>
      <c r="L320" t="e">
        <f ca="1">IF((A1)=(2),1,IF((317)=(L3),IF(IF((INDEX(B1:XFD1,(A2)+(0)))=("store"),(INDEX(B1:XFD1,(A2)+(1)))=("L"),"false"),B2,L320),L320))</f>
        <v>#VALUE!</v>
      </c>
      <c r="M320" t="e">
        <f ca="1">IF((A1)=(2),1,IF((317)=(M3),IF(IF((INDEX(B1:XFD1,(A2)+(0)))=("store"),(INDEX(B1:XFD1,(A2)+(1)))=("M"),"false"),B2,M320),M320))</f>
        <v>#VALUE!</v>
      </c>
      <c r="N320" t="e">
        <f ca="1">IF((A1)=(2),1,IF((317)=(N3),IF(IF((INDEX(B1:XFD1,(A2)+(0)))=("store"),(INDEX(B1:XFD1,(A2)+(1)))=("N"),"false"),B2,N320),N320))</f>
        <v>#VALUE!</v>
      </c>
      <c r="O320" t="e">
        <f ca="1">IF((A1)=(2),1,IF((317)=(O3),IF(IF((INDEX(B1:XFD1,(A2)+(0)))=("store"),(INDEX(B1:XFD1,(A2)+(1)))=("O"),"false"),B2,O320),O320))</f>
        <v>#VALUE!</v>
      </c>
      <c r="P320" t="e">
        <f ca="1">IF((A1)=(2),1,IF((317)=(P3),IF(IF((INDEX(B1:XFD1,(A2)+(0)))=("store"),(INDEX(B1:XFD1,(A2)+(1)))=("P"),"false"),B2,P320),P320))</f>
        <v>#VALUE!</v>
      </c>
      <c r="Q320" t="e">
        <f ca="1">IF((A1)=(2),1,IF((317)=(Q3),IF(IF((INDEX(B1:XFD1,(A2)+(0)))=("store"),(INDEX(B1:XFD1,(A2)+(1)))=("Q"),"false"),B2,Q320),Q320))</f>
        <v>#VALUE!</v>
      </c>
      <c r="R320" t="e">
        <f ca="1">IF((A1)=(2),1,IF((317)=(R3),IF(IF((INDEX(B1:XFD1,(A2)+(0)))=("store"),(INDEX(B1:XFD1,(A2)+(1)))=("R"),"false"),B2,R320),R320))</f>
        <v>#VALUE!</v>
      </c>
      <c r="S320" t="e">
        <f ca="1">IF((A1)=(2),1,IF((317)=(S3),IF(IF((INDEX(B1:XFD1,(A2)+(0)))=("store"),(INDEX(B1:XFD1,(A2)+(1)))=("S"),"false"),B2,S320),S320))</f>
        <v>#VALUE!</v>
      </c>
      <c r="T320" t="e">
        <f ca="1">IF((A1)=(2),1,IF((317)=(T3),IF(IF((INDEX(B1:XFD1,(A2)+(0)))=("store"),(INDEX(B1:XFD1,(A2)+(1)))=("T"),"false"),B2,T320),T320))</f>
        <v>#VALUE!</v>
      </c>
      <c r="U320" t="e">
        <f ca="1">IF((A1)=(2),1,IF((317)=(U3),IF(IF((INDEX(B1:XFD1,(A2)+(0)))=("store"),(INDEX(B1:XFD1,(A2)+(1)))=("U"),"false"),B2,U320),U320))</f>
        <v>#VALUE!</v>
      </c>
      <c r="V320" t="e">
        <f ca="1">IF((A1)=(2),1,IF((317)=(V3),IF(IF((INDEX(B1:XFD1,(A2)+(0)))=("store"),(INDEX(B1:XFD1,(A2)+(1)))=("V"),"false"),B2,V320),V320))</f>
        <v>#VALUE!</v>
      </c>
      <c r="W320" t="e">
        <f ca="1">IF((A1)=(2),1,IF((317)=(W3),IF(IF((INDEX(B1:XFD1,(A2)+(0)))=("store"),(INDEX(B1:XFD1,(A2)+(1)))=("W"),"false"),B2,W320),W320))</f>
        <v>#VALUE!</v>
      </c>
      <c r="X320" t="e">
        <f ca="1">IF((A1)=(2),1,IF((317)=(X3),IF(IF((INDEX(B1:XFD1,(A2)+(0)))=("store"),(INDEX(B1:XFD1,(A2)+(1)))=("X"),"false"),B2,X320),X320))</f>
        <v>#VALUE!</v>
      </c>
      <c r="Y320" t="e">
        <f ca="1">IF((A1)=(2),1,IF((317)=(Y3),IF(IF((INDEX(B1:XFD1,(A2)+(0)))=("store"),(INDEX(B1:XFD1,(A2)+(1)))=("Y"),"false"),B2,Y320),Y320))</f>
        <v>#VALUE!</v>
      </c>
      <c r="Z320" t="e">
        <f ca="1">IF((A1)=(2),1,IF((317)=(Z3),IF(IF((INDEX(B1:XFD1,(A2)+(0)))=("store"),(INDEX(B1:XFD1,(A2)+(1)))=("Z"),"false"),B2,Z320),Z320))</f>
        <v>#VALUE!</v>
      </c>
      <c r="AA320" t="e">
        <f ca="1">IF((A1)=(2),1,IF((317)=(AA3),IF(IF((INDEX(B1:XFD1,(A2)+(0)))=("store"),(INDEX(B1:XFD1,(A2)+(1)))=("AA"),"false"),B2,AA320),AA320))</f>
        <v>#VALUE!</v>
      </c>
      <c r="AB320" t="e">
        <f ca="1">IF((A1)=(2),1,IF((317)=(AB3),IF(IF((INDEX(B1:XFD1,(A2)+(0)))=("store"),(INDEX(B1:XFD1,(A2)+(1)))=("AB"),"false"),B2,AB320),AB320))</f>
        <v>#VALUE!</v>
      </c>
      <c r="AC320" t="e">
        <f ca="1">IF((A1)=(2),1,IF((317)=(AC3),IF(IF((INDEX(B1:XFD1,(A2)+(0)))=("store"),(INDEX(B1:XFD1,(A2)+(1)))=("AC"),"false"),B2,AC320),AC320))</f>
        <v>#VALUE!</v>
      </c>
      <c r="AD320" t="e">
        <f ca="1">IF((A1)=(2),1,IF((317)=(AD3),IF(IF((INDEX(B1:XFD1,(A2)+(0)))=("store"),(INDEX(B1:XFD1,(A2)+(1)))=("AD"),"false"),B2,AD320),AD320))</f>
        <v>#VALUE!</v>
      </c>
    </row>
    <row r="321" spans="1:30" x14ac:dyDescent="0.25">
      <c r="A321" t="e">
        <f ca="1">IF((A1)=(2),1,IF((318)=(A3),IF(("call")=(INDEX(B1:XFD1,(A2)+(0))),((B2)*(2))+(1),IF(("goto")=(INDEX(B1:XFD1,(A2)+(0))),((INDEX(B1:XFD1,(A2)+(1)))*(2))+(1),IF(("gotoiftrue")=(INDEX(B1:XFD1,(A2)+(0))),IF(B2,((INDEX(B1:XFD1,(A2)+(1)))*(2))+(1),(A321)+(2)),(A321)+(2)))),A321))</f>
        <v>#VALUE!</v>
      </c>
      <c r="B321" t="e">
        <f ca="1">IF((A1)=(2),1,IF((318)=(B3),IF(("push")=(INDEX(B1:XFD1,(A2)+(0))),INDEX(B1:XFD1,(A2)+(1)),IF(("load")=(INDEX(B1:XFD1,(A2)+(0))),INDEX(F2:XFD2,INDEX(B1:XFD1,(A2)+(1))),IF(("newheap")=(INDEX(B1:XFD1,(A2)+(0))),(C3)-(2),IF(("getheap")=(INDEX(B1:XFD1,(A2)+(0))),INDEX(C4:C404,(B321)+(1)),IF(("add")=(INDEX(B1:XFD1,(A2)+(0))),(INDEX(B4:B404,(B3)+(1)))+(B321),IF(("equals")=(INDEX(B1:XFD1,(A2)+(0))),(INDEX(B4:B404,(B3)+(1)))=(B321),IF(("leq")=(INDEX(B1:XFD1,(A2)+(0))),(INDEX(B4:B404,(B3)+(1)))&lt;=(B321),IF(("mod")=(INDEX(B1:XFD1,(A2)+(0))),MOD(INDEX(B4:B404,(B3)+(1)),B321),B321)))))))),B321))</f>
        <v>#VALUE!</v>
      </c>
      <c r="C321" t="e">
        <f ca="1">IF((A1)=(2),1,IF(AND((INDEX(B1:XFD1,(A2)+(0)))=("writeheap"),(INDEX(B4:B404,(B3)+(1)))=(317)),INDEX(B4:B404,(B3)+(2)),IF((A1)=(2),1,IF((318)=(C3),C321,C321))))</f>
        <v>#VALUE!</v>
      </c>
      <c r="E321" t="e">
        <f ca="1">IF((A1)=(2),1,IF((318)=(E3),IF(("outputline")=(INDEX(B1:XFD1,(A2)+(0))),B2,E321),E321))</f>
        <v>#VALUE!</v>
      </c>
      <c r="F321" t="e">
        <f ca="1">IF((A1)=(2),1,IF((318)=(F3),IF(IF((INDEX(B1:XFD1,(A2)+(0)))=("store"),(INDEX(B1:XFD1,(A2)+(1)))=("F"),"false"),B2,F321),F321))</f>
        <v>#VALUE!</v>
      </c>
      <c r="G321" t="e">
        <f ca="1">IF((A1)=(2),1,IF((318)=(G3),IF(IF((INDEX(B1:XFD1,(A2)+(0)))=("store"),(INDEX(B1:XFD1,(A2)+(1)))=("G"),"false"),B2,G321),G321))</f>
        <v>#VALUE!</v>
      </c>
      <c r="H321" t="e">
        <f ca="1">IF((A1)=(2),1,IF((318)=(H3),IF(IF((INDEX(B1:XFD1,(A2)+(0)))=("store"),(INDEX(B1:XFD1,(A2)+(1)))=("H"),"false"),B2,H321),H321))</f>
        <v>#VALUE!</v>
      </c>
      <c r="I321" t="e">
        <f ca="1">IF((A1)=(2),1,IF((318)=(I3),IF(IF((INDEX(B1:XFD1,(A2)+(0)))=("store"),(INDEX(B1:XFD1,(A2)+(1)))=("I"),"false"),B2,I321),I321))</f>
        <v>#VALUE!</v>
      </c>
      <c r="J321" t="e">
        <f ca="1">IF((A1)=(2),1,IF((318)=(J3),IF(IF((INDEX(B1:XFD1,(A2)+(0)))=("store"),(INDEX(B1:XFD1,(A2)+(1)))=("J"),"false"),B2,J321),J321))</f>
        <v>#VALUE!</v>
      </c>
      <c r="K321" t="e">
        <f ca="1">IF((A1)=(2),1,IF((318)=(K3),IF(IF((INDEX(B1:XFD1,(A2)+(0)))=("store"),(INDEX(B1:XFD1,(A2)+(1)))=("K"),"false"),B2,K321),K321))</f>
        <v>#VALUE!</v>
      </c>
      <c r="L321" t="e">
        <f ca="1">IF((A1)=(2),1,IF((318)=(L3),IF(IF((INDEX(B1:XFD1,(A2)+(0)))=("store"),(INDEX(B1:XFD1,(A2)+(1)))=("L"),"false"),B2,L321),L321))</f>
        <v>#VALUE!</v>
      </c>
      <c r="M321" t="e">
        <f ca="1">IF((A1)=(2),1,IF((318)=(M3),IF(IF((INDEX(B1:XFD1,(A2)+(0)))=("store"),(INDEX(B1:XFD1,(A2)+(1)))=("M"),"false"),B2,M321),M321))</f>
        <v>#VALUE!</v>
      </c>
      <c r="N321" t="e">
        <f ca="1">IF((A1)=(2),1,IF((318)=(N3),IF(IF((INDEX(B1:XFD1,(A2)+(0)))=("store"),(INDEX(B1:XFD1,(A2)+(1)))=("N"),"false"),B2,N321),N321))</f>
        <v>#VALUE!</v>
      </c>
      <c r="O321" t="e">
        <f ca="1">IF((A1)=(2),1,IF((318)=(O3),IF(IF((INDEX(B1:XFD1,(A2)+(0)))=("store"),(INDEX(B1:XFD1,(A2)+(1)))=("O"),"false"),B2,O321),O321))</f>
        <v>#VALUE!</v>
      </c>
      <c r="P321" t="e">
        <f ca="1">IF((A1)=(2),1,IF((318)=(P3),IF(IF((INDEX(B1:XFD1,(A2)+(0)))=("store"),(INDEX(B1:XFD1,(A2)+(1)))=("P"),"false"),B2,P321),P321))</f>
        <v>#VALUE!</v>
      </c>
      <c r="Q321" t="e">
        <f ca="1">IF((A1)=(2),1,IF((318)=(Q3),IF(IF((INDEX(B1:XFD1,(A2)+(0)))=("store"),(INDEX(B1:XFD1,(A2)+(1)))=("Q"),"false"),B2,Q321),Q321))</f>
        <v>#VALUE!</v>
      </c>
      <c r="R321" t="e">
        <f ca="1">IF((A1)=(2),1,IF((318)=(R3),IF(IF((INDEX(B1:XFD1,(A2)+(0)))=("store"),(INDEX(B1:XFD1,(A2)+(1)))=("R"),"false"),B2,R321),R321))</f>
        <v>#VALUE!</v>
      </c>
      <c r="S321" t="e">
        <f ca="1">IF((A1)=(2),1,IF((318)=(S3),IF(IF((INDEX(B1:XFD1,(A2)+(0)))=("store"),(INDEX(B1:XFD1,(A2)+(1)))=("S"),"false"),B2,S321),S321))</f>
        <v>#VALUE!</v>
      </c>
      <c r="T321" t="e">
        <f ca="1">IF((A1)=(2),1,IF((318)=(T3),IF(IF((INDEX(B1:XFD1,(A2)+(0)))=("store"),(INDEX(B1:XFD1,(A2)+(1)))=("T"),"false"),B2,T321),T321))</f>
        <v>#VALUE!</v>
      </c>
      <c r="U321" t="e">
        <f ca="1">IF((A1)=(2),1,IF((318)=(U3),IF(IF((INDEX(B1:XFD1,(A2)+(0)))=("store"),(INDEX(B1:XFD1,(A2)+(1)))=("U"),"false"),B2,U321),U321))</f>
        <v>#VALUE!</v>
      </c>
      <c r="V321" t="e">
        <f ca="1">IF((A1)=(2),1,IF((318)=(V3),IF(IF((INDEX(B1:XFD1,(A2)+(0)))=("store"),(INDEX(B1:XFD1,(A2)+(1)))=("V"),"false"),B2,V321),V321))</f>
        <v>#VALUE!</v>
      </c>
      <c r="W321" t="e">
        <f ca="1">IF((A1)=(2),1,IF((318)=(W3),IF(IF((INDEX(B1:XFD1,(A2)+(0)))=("store"),(INDEX(B1:XFD1,(A2)+(1)))=("W"),"false"),B2,W321),W321))</f>
        <v>#VALUE!</v>
      </c>
      <c r="X321" t="e">
        <f ca="1">IF((A1)=(2),1,IF((318)=(X3),IF(IF((INDEX(B1:XFD1,(A2)+(0)))=("store"),(INDEX(B1:XFD1,(A2)+(1)))=("X"),"false"),B2,X321),X321))</f>
        <v>#VALUE!</v>
      </c>
      <c r="Y321" t="e">
        <f ca="1">IF((A1)=(2),1,IF((318)=(Y3),IF(IF((INDEX(B1:XFD1,(A2)+(0)))=("store"),(INDEX(B1:XFD1,(A2)+(1)))=("Y"),"false"),B2,Y321),Y321))</f>
        <v>#VALUE!</v>
      </c>
      <c r="Z321" t="e">
        <f ca="1">IF((A1)=(2),1,IF((318)=(Z3),IF(IF((INDEX(B1:XFD1,(A2)+(0)))=("store"),(INDEX(B1:XFD1,(A2)+(1)))=("Z"),"false"),B2,Z321),Z321))</f>
        <v>#VALUE!</v>
      </c>
      <c r="AA321" t="e">
        <f ca="1">IF((A1)=(2),1,IF((318)=(AA3),IF(IF((INDEX(B1:XFD1,(A2)+(0)))=("store"),(INDEX(B1:XFD1,(A2)+(1)))=("AA"),"false"),B2,AA321),AA321))</f>
        <v>#VALUE!</v>
      </c>
      <c r="AB321" t="e">
        <f ca="1">IF((A1)=(2),1,IF((318)=(AB3),IF(IF((INDEX(B1:XFD1,(A2)+(0)))=("store"),(INDEX(B1:XFD1,(A2)+(1)))=("AB"),"false"),B2,AB321),AB321))</f>
        <v>#VALUE!</v>
      </c>
      <c r="AC321" t="e">
        <f ca="1">IF((A1)=(2),1,IF((318)=(AC3),IF(IF((INDEX(B1:XFD1,(A2)+(0)))=("store"),(INDEX(B1:XFD1,(A2)+(1)))=("AC"),"false"),B2,AC321),AC321))</f>
        <v>#VALUE!</v>
      </c>
      <c r="AD321" t="e">
        <f ca="1">IF((A1)=(2),1,IF((318)=(AD3),IF(IF((INDEX(B1:XFD1,(A2)+(0)))=("store"),(INDEX(B1:XFD1,(A2)+(1)))=("AD"),"false"),B2,AD321),AD321))</f>
        <v>#VALUE!</v>
      </c>
    </row>
    <row r="322" spans="1:30" x14ac:dyDescent="0.25">
      <c r="A322" t="e">
        <f ca="1">IF((A1)=(2),1,IF((319)=(A3),IF(("call")=(INDEX(B1:XFD1,(A2)+(0))),((B2)*(2))+(1),IF(("goto")=(INDEX(B1:XFD1,(A2)+(0))),((INDEX(B1:XFD1,(A2)+(1)))*(2))+(1),IF(("gotoiftrue")=(INDEX(B1:XFD1,(A2)+(0))),IF(B2,((INDEX(B1:XFD1,(A2)+(1)))*(2))+(1),(A322)+(2)),(A322)+(2)))),A322))</f>
        <v>#VALUE!</v>
      </c>
      <c r="B322" t="e">
        <f ca="1">IF((A1)=(2),1,IF((319)=(B3),IF(("push")=(INDEX(B1:XFD1,(A2)+(0))),INDEX(B1:XFD1,(A2)+(1)),IF(("load")=(INDEX(B1:XFD1,(A2)+(0))),INDEX(F2:XFD2,INDEX(B1:XFD1,(A2)+(1))),IF(("newheap")=(INDEX(B1:XFD1,(A2)+(0))),(C3)-(2),IF(("getheap")=(INDEX(B1:XFD1,(A2)+(0))),INDEX(C4:C404,(B322)+(1)),IF(("add")=(INDEX(B1:XFD1,(A2)+(0))),(INDEX(B4:B404,(B3)+(1)))+(B322),IF(("equals")=(INDEX(B1:XFD1,(A2)+(0))),(INDEX(B4:B404,(B3)+(1)))=(B322),IF(("leq")=(INDEX(B1:XFD1,(A2)+(0))),(INDEX(B4:B404,(B3)+(1)))&lt;=(B322),IF(("mod")=(INDEX(B1:XFD1,(A2)+(0))),MOD(INDEX(B4:B404,(B3)+(1)),B322),B322)))))))),B322))</f>
        <v>#VALUE!</v>
      </c>
      <c r="C322" t="e">
        <f ca="1">IF((A1)=(2),1,IF(AND((INDEX(B1:XFD1,(A2)+(0)))=("writeheap"),(INDEX(B4:B404,(B3)+(1)))=(318)),INDEX(B4:B404,(B3)+(2)),IF((A1)=(2),1,IF((319)=(C3),C322,C322))))</f>
        <v>#VALUE!</v>
      </c>
      <c r="E322" t="e">
        <f ca="1">IF((A1)=(2),1,IF((319)=(E3),IF(("outputline")=(INDEX(B1:XFD1,(A2)+(0))),B2,E322),E322))</f>
        <v>#VALUE!</v>
      </c>
      <c r="F322" t="e">
        <f ca="1">IF((A1)=(2),1,IF((319)=(F3),IF(IF((INDEX(B1:XFD1,(A2)+(0)))=("store"),(INDEX(B1:XFD1,(A2)+(1)))=("F"),"false"),B2,F322),F322))</f>
        <v>#VALUE!</v>
      </c>
      <c r="G322" t="e">
        <f ca="1">IF((A1)=(2),1,IF((319)=(G3),IF(IF((INDEX(B1:XFD1,(A2)+(0)))=("store"),(INDEX(B1:XFD1,(A2)+(1)))=("G"),"false"),B2,G322),G322))</f>
        <v>#VALUE!</v>
      </c>
      <c r="H322" t="e">
        <f ca="1">IF((A1)=(2),1,IF((319)=(H3),IF(IF((INDEX(B1:XFD1,(A2)+(0)))=("store"),(INDEX(B1:XFD1,(A2)+(1)))=("H"),"false"),B2,H322),H322))</f>
        <v>#VALUE!</v>
      </c>
      <c r="I322" t="e">
        <f ca="1">IF((A1)=(2),1,IF((319)=(I3),IF(IF((INDEX(B1:XFD1,(A2)+(0)))=("store"),(INDEX(B1:XFD1,(A2)+(1)))=("I"),"false"),B2,I322),I322))</f>
        <v>#VALUE!</v>
      </c>
      <c r="J322" t="e">
        <f ca="1">IF((A1)=(2),1,IF((319)=(J3),IF(IF((INDEX(B1:XFD1,(A2)+(0)))=("store"),(INDEX(B1:XFD1,(A2)+(1)))=("J"),"false"),B2,J322),J322))</f>
        <v>#VALUE!</v>
      </c>
      <c r="K322" t="e">
        <f ca="1">IF((A1)=(2),1,IF((319)=(K3),IF(IF((INDEX(B1:XFD1,(A2)+(0)))=("store"),(INDEX(B1:XFD1,(A2)+(1)))=("K"),"false"),B2,K322),K322))</f>
        <v>#VALUE!</v>
      </c>
      <c r="L322" t="e">
        <f ca="1">IF((A1)=(2),1,IF((319)=(L3),IF(IF((INDEX(B1:XFD1,(A2)+(0)))=("store"),(INDEX(B1:XFD1,(A2)+(1)))=("L"),"false"),B2,L322),L322))</f>
        <v>#VALUE!</v>
      </c>
      <c r="M322" t="e">
        <f ca="1">IF((A1)=(2),1,IF((319)=(M3),IF(IF((INDEX(B1:XFD1,(A2)+(0)))=("store"),(INDEX(B1:XFD1,(A2)+(1)))=("M"),"false"),B2,M322),M322))</f>
        <v>#VALUE!</v>
      </c>
      <c r="N322" t="e">
        <f ca="1">IF((A1)=(2),1,IF((319)=(N3),IF(IF((INDEX(B1:XFD1,(A2)+(0)))=("store"),(INDEX(B1:XFD1,(A2)+(1)))=("N"),"false"),B2,N322),N322))</f>
        <v>#VALUE!</v>
      </c>
      <c r="O322" t="e">
        <f ca="1">IF((A1)=(2),1,IF((319)=(O3),IF(IF((INDEX(B1:XFD1,(A2)+(0)))=("store"),(INDEX(B1:XFD1,(A2)+(1)))=("O"),"false"),B2,O322),O322))</f>
        <v>#VALUE!</v>
      </c>
      <c r="P322" t="e">
        <f ca="1">IF((A1)=(2),1,IF((319)=(P3),IF(IF((INDEX(B1:XFD1,(A2)+(0)))=("store"),(INDEX(B1:XFD1,(A2)+(1)))=("P"),"false"),B2,P322),P322))</f>
        <v>#VALUE!</v>
      </c>
      <c r="Q322" t="e">
        <f ca="1">IF((A1)=(2),1,IF((319)=(Q3),IF(IF((INDEX(B1:XFD1,(A2)+(0)))=("store"),(INDEX(B1:XFD1,(A2)+(1)))=("Q"),"false"),B2,Q322),Q322))</f>
        <v>#VALUE!</v>
      </c>
      <c r="R322" t="e">
        <f ca="1">IF((A1)=(2),1,IF((319)=(R3),IF(IF((INDEX(B1:XFD1,(A2)+(0)))=("store"),(INDEX(B1:XFD1,(A2)+(1)))=("R"),"false"),B2,R322),R322))</f>
        <v>#VALUE!</v>
      </c>
      <c r="S322" t="e">
        <f ca="1">IF((A1)=(2),1,IF((319)=(S3),IF(IF((INDEX(B1:XFD1,(A2)+(0)))=("store"),(INDEX(B1:XFD1,(A2)+(1)))=("S"),"false"),B2,S322),S322))</f>
        <v>#VALUE!</v>
      </c>
      <c r="T322" t="e">
        <f ca="1">IF((A1)=(2),1,IF((319)=(T3),IF(IF((INDEX(B1:XFD1,(A2)+(0)))=("store"),(INDEX(B1:XFD1,(A2)+(1)))=("T"),"false"),B2,T322),T322))</f>
        <v>#VALUE!</v>
      </c>
      <c r="U322" t="e">
        <f ca="1">IF((A1)=(2),1,IF((319)=(U3),IF(IF((INDEX(B1:XFD1,(A2)+(0)))=("store"),(INDEX(B1:XFD1,(A2)+(1)))=("U"),"false"),B2,U322),U322))</f>
        <v>#VALUE!</v>
      </c>
      <c r="V322" t="e">
        <f ca="1">IF((A1)=(2),1,IF((319)=(V3),IF(IF((INDEX(B1:XFD1,(A2)+(0)))=("store"),(INDEX(B1:XFD1,(A2)+(1)))=("V"),"false"),B2,V322),V322))</f>
        <v>#VALUE!</v>
      </c>
      <c r="W322" t="e">
        <f ca="1">IF((A1)=(2),1,IF((319)=(W3),IF(IF((INDEX(B1:XFD1,(A2)+(0)))=("store"),(INDEX(B1:XFD1,(A2)+(1)))=("W"),"false"),B2,W322),W322))</f>
        <v>#VALUE!</v>
      </c>
      <c r="X322" t="e">
        <f ca="1">IF((A1)=(2),1,IF((319)=(X3),IF(IF((INDEX(B1:XFD1,(A2)+(0)))=("store"),(INDEX(B1:XFD1,(A2)+(1)))=("X"),"false"),B2,X322),X322))</f>
        <v>#VALUE!</v>
      </c>
      <c r="Y322" t="e">
        <f ca="1">IF((A1)=(2),1,IF((319)=(Y3),IF(IF((INDEX(B1:XFD1,(A2)+(0)))=("store"),(INDEX(B1:XFD1,(A2)+(1)))=("Y"),"false"),B2,Y322),Y322))</f>
        <v>#VALUE!</v>
      </c>
      <c r="Z322" t="e">
        <f ca="1">IF((A1)=(2),1,IF((319)=(Z3),IF(IF((INDEX(B1:XFD1,(A2)+(0)))=("store"),(INDEX(B1:XFD1,(A2)+(1)))=("Z"),"false"),B2,Z322),Z322))</f>
        <v>#VALUE!</v>
      </c>
      <c r="AA322" t="e">
        <f ca="1">IF((A1)=(2),1,IF((319)=(AA3),IF(IF((INDEX(B1:XFD1,(A2)+(0)))=("store"),(INDEX(B1:XFD1,(A2)+(1)))=("AA"),"false"),B2,AA322),AA322))</f>
        <v>#VALUE!</v>
      </c>
      <c r="AB322" t="e">
        <f ca="1">IF((A1)=(2),1,IF((319)=(AB3),IF(IF((INDEX(B1:XFD1,(A2)+(0)))=("store"),(INDEX(B1:XFD1,(A2)+(1)))=("AB"),"false"),B2,AB322),AB322))</f>
        <v>#VALUE!</v>
      </c>
      <c r="AC322" t="e">
        <f ca="1">IF((A1)=(2),1,IF((319)=(AC3),IF(IF((INDEX(B1:XFD1,(A2)+(0)))=("store"),(INDEX(B1:XFD1,(A2)+(1)))=("AC"),"false"),B2,AC322),AC322))</f>
        <v>#VALUE!</v>
      </c>
      <c r="AD322" t="e">
        <f ca="1">IF((A1)=(2),1,IF((319)=(AD3),IF(IF((INDEX(B1:XFD1,(A2)+(0)))=("store"),(INDEX(B1:XFD1,(A2)+(1)))=("AD"),"false"),B2,AD322),AD322))</f>
        <v>#VALUE!</v>
      </c>
    </row>
    <row r="323" spans="1:30" x14ac:dyDescent="0.25">
      <c r="A323" t="e">
        <f ca="1">IF((A1)=(2),1,IF((320)=(A3),IF(("call")=(INDEX(B1:XFD1,(A2)+(0))),((B2)*(2))+(1),IF(("goto")=(INDEX(B1:XFD1,(A2)+(0))),((INDEX(B1:XFD1,(A2)+(1)))*(2))+(1),IF(("gotoiftrue")=(INDEX(B1:XFD1,(A2)+(0))),IF(B2,((INDEX(B1:XFD1,(A2)+(1)))*(2))+(1),(A323)+(2)),(A323)+(2)))),A323))</f>
        <v>#VALUE!</v>
      </c>
      <c r="B323" t="e">
        <f ca="1">IF((A1)=(2),1,IF((320)=(B3),IF(("push")=(INDEX(B1:XFD1,(A2)+(0))),INDEX(B1:XFD1,(A2)+(1)),IF(("load")=(INDEX(B1:XFD1,(A2)+(0))),INDEX(F2:XFD2,INDEX(B1:XFD1,(A2)+(1))),IF(("newheap")=(INDEX(B1:XFD1,(A2)+(0))),(C3)-(2),IF(("getheap")=(INDEX(B1:XFD1,(A2)+(0))),INDEX(C4:C404,(B323)+(1)),IF(("add")=(INDEX(B1:XFD1,(A2)+(0))),(INDEX(B4:B404,(B3)+(1)))+(B323),IF(("equals")=(INDEX(B1:XFD1,(A2)+(0))),(INDEX(B4:B404,(B3)+(1)))=(B323),IF(("leq")=(INDEX(B1:XFD1,(A2)+(0))),(INDEX(B4:B404,(B3)+(1)))&lt;=(B323),IF(("mod")=(INDEX(B1:XFD1,(A2)+(0))),MOD(INDEX(B4:B404,(B3)+(1)),B323),B323)))))))),B323))</f>
        <v>#VALUE!</v>
      </c>
      <c r="C323" t="e">
        <f ca="1">IF((A1)=(2),1,IF(AND((INDEX(B1:XFD1,(A2)+(0)))=("writeheap"),(INDEX(B4:B404,(B3)+(1)))=(319)),INDEX(B4:B404,(B3)+(2)),IF((A1)=(2),1,IF((320)=(C3),C323,C323))))</f>
        <v>#VALUE!</v>
      </c>
      <c r="E323" t="e">
        <f ca="1">IF((A1)=(2),1,IF((320)=(E3),IF(("outputline")=(INDEX(B1:XFD1,(A2)+(0))),B2,E323),E323))</f>
        <v>#VALUE!</v>
      </c>
      <c r="F323" t="e">
        <f ca="1">IF((A1)=(2),1,IF((320)=(F3),IF(IF((INDEX(B1:XFD1,(A2)+(0)))=("store"),(INDEX(B1:XFD1,(A2)+(1)))=("F"),"false"),B2,F323),F323))</f>
        <v>#VALUE!</v>
      </c>
      <c r="G323" t="e">
        <f ca="1">IF((A1)=(2),1,IF((320)=(G3),IF(IF((INDEX(B1:XFD1,(A2)+(0)))=("store"),(INDEX(B1:XFD1,(A2)+(1)))=("G"),"false"),B2,G323),G323))</f>
        <v>#VALUE!</v>
      </c>
      <c r="H323" t="e">
        <f ca="1">IF((A1)=(2),1,IF((320)=(H3),IF(IF((INDEX(B1:XFD1,(A2)+(0)))=("store"),(INDEX(B1:XFD1,(A2)+(1)))=("H"),"false"),B2,H323),H323))</f>
        <v>#VALUE!</v>
      </c>
      <c r="I323" t="e">
        <f ca="1">IF((A1)=(2),1,IF((320)=(I3),IF(IF((INDEX(B1:XFD1,(A2)+(0)))=("store"),(INDEX(B1:XFD1,(A2)+(1)))=("I"),"false"),B2,I323),I323))</f>
        <v>#VALUE!</v>
      </c>
      <c r="J323" t="e">
        <f ca="1">IF((A1)=(2),1,IF((320)=(J3),IF(IF((INDEX(B1:XFD1,(A2)+(0)))=("store"),(INDEX(B1:XFD1,(A2)+(1)))=("J"),"false"),B2,J323),J323))</f>
        <v>#VALUE!</v>
      </c>
      <c r="K323" t="e">
        <f ca="1">IF((A1)=(2),1,IF((320)=(K3),IF(IF((INDEX(B1:XFD1,(A2)+(0)))=("store"),(INDEX(B1:XFD1,(A2)+(1)))=("K"),"false"),B2,K323),K323))</f>
        <v>#VALUE!</v>
      </c>
      <c r="L323" t="e">
        <f ca="1">IF((A1)=(2),1,IF((320)=(L3),IF(IF((INDEX(B1:XFD1,(A2)+(0)))=("store"),(INDEX(B1:XFD1,(A2)+(1)))=("L"),"false"),B2,L323),L323))</f>
        <v>#VALUE!</v>
      </c>
      <c r="M323" t="e">
        <f ca="1">IF((A1)=(2),1,IF((320)=(M3),IF(IF((INDEX(B1:XFD1,(A2)+(0)))=("store"),(INDEX(B1:XFD1,(A2)+(1)))=("M"),"false"),B2,M323),M323))</f>
        <v>#VALUE!</v>
      </c>
      <c r="N323" t="e">
        <f ca="1">IF((A1)=(2),1,IF((320)=(N3),IF(IF((INDEX(B1:XFD1,(A2)+(0)))=("store"),(INDEX(B1:XFD1,(A2)+(1)))=("N"),"false"),B2,N323),N323))</f>
        <v>#VALUE!</v>
      </c>
      <c r="O323" t="e">
        <f ca="1">IF((A1)=(2),1,IF((320)=(O3),IF(IF((INDEX(B1:XFD1,(A2)+(0)))=("store"),(INDEX(B1:XFD1,(A2)+(1)))=("O"),"false"),B2,O323),O323))</f>
        <v>#VALUE!</v>
      </c>
      <c r="P323" t="e">
        <f ca="1">IF((A1)=(2),1,IF((320)=(P3),IF(IF((INDEX(B1:XFD1,(A2)+(0)))=("store"),(INDEX(B1:XFD1,(A2)+(1)))=("P"),"false"),B2,P323),P323))</f>
        <v>#VALUE!</v>
      </c>
      <c r="Q323" t="e">
        <f ca="1">IF((A1)=(2),1,IF((320)=(Q3),IF(IF((INDEX(B1:XFD1,(A2)+(0)))=("store"),(INDEX(B1:XFD1,(A2)+(1)))=("Q"),"false"),B2,Q323),Q323))</f>
        <v>#VALUE!</v>
      </c>
      <c r="R323" t="e">
        <f ca="1">IF((A1)=(2),1,IF((320)=(R3),IF(IF((INDEX(B1:XFD1,(A2)+(0)))=("store"),(INDEX(B1:XFD1,(A2)+(1)))=("R"),"false"),B2,R323),R323))</f>
        <v>#VALUE!</v>
      </c>
      <c r="S323" t="e">
        <f ca="1">IF((A1)=(2),1,IF((320)=(S3),IF(IF((INDEX(B1:XFD1,(A2)+(0)))=("store"),(INDEX(B1:XFD1,(A2)+(1)))=("S"),"false"),B2,S323),S323))</f>
        <v>#VALUE!</v>
      </c>
      <c r="T323" t="e">
        <f ca="1">IF((A1)=(2),1,IF((320)=(T3),IF(IF((INDEX(B1:XFD1,(A2)+(0)))=("store"),(INDEX(B1:XFD1,(A2)+(1)))=("T"),"false"),B2,T323),T323))</f>
        <v>#VALUE!</v>
      </c>
      <c r="U323" t="e">
        <f ca="1">IF((A1)=(2),1,IF((320)=(U3),IF(IF((INDEX(B1:XFD1,(A2)+(0)))=("store"),(INDEX(B1:XFD1,(A2)+(1)))=("U"),"false"),B2,U323),U323))</f>
        <v>#VALUE!</v>
      </c>
      <c r="V323" t="e">
        <f ca="1">IF((A1)=(2),1,IF((320)=(V3),IF(IF((INDEX(B1:XFD1,(A2)+(0)))=("store"),(INDEX(B1:XFD1,(A2)+(1)))=("V"),"false"),B2,V323),V323))</f>
        <v>#VALUE!</v>
      </c>
      <c r="W323" t="e">
        <f ca="1">IF((A1)=(2),1,IF((320)=(W3),IF(IF((INDEX(B1:XFD1,(A2)+(0)))=("store"),(INDEX(B1:XFD1,(A2)+(1)))=("W"),"false"),B2,W323),W323))</f>
        <v>#VALUE!</v>
      </c>
      <c r="X323" t="e">
        <f ca="1">IF((A1)=(2),1,IF((320)=(X3),IF(IF((INDEX(B1:XFD1,(A2)+(0)))=("store"),(INDEX(B1:XFD1,(A2)+(1)))=("X"),"false"),B2,X323),X323))</f>
        <v>#VALUE!</v>
      </c>
      <c r="Y323" t="e">
        <f ca="1">IF((A1)=(2),1,IF((320)=(Y3),IF(IF((INDEX(B1:XFD1,(A2)+(0)))=("store"),(INDEX(B1:XFD1,(A2)+(1)))=("Y"),"false"),B2,Y323),Y323))</f>
        <v>#VALUE!</v>
      </c>
      <c r="Z323" t="e">
        <f ca="1">IF((A1)=(2),1,IF((320)=(Z3),IF(IF((INDEX(B1:XFD1,(A2)+(0)))=("store"),(INDEX(B1:XFD1,(A2)+(1)))=("Z"),"false"),B2,Z323),Z323))</f>
        <v>#VALUE!</v>
      </c>
      <c r="AA323" t="e">
        <f ca="1">IF((A1)=(2),1,IF((320)=(AA3),IF(IF((INDEX(B1:XFD1,(A2)+(0)))=("store"),(INDEX(B1:XFD1,(A2)+(1)))=("AA"),"false"),B2,AA323),AA323))</f>
        <v>#VALUE!</v>
      </c>
      <c r="AB323" t="e">
        <f ca="1">IF((A1)=(2),1,IF((320)=(AB3),IF(IF((INDEX(B1:XFD1,(A2)+(0)))=("store"),(INDEX(B1:XFD1,(A2)+(1)))=("AB"),"false"),B2,AB323),AB323))</f>
        <v>#VALUE!</v>
      </c>
      <c r="AC323" t="e">
        <f ca="1">IF((A1)=(2),1,IF((320)=(AC3),IF(IF((INDEX(B1:XFD1,(A2)+(0)))=("store"),(INDEX(B1:XFD1,(A2)+(1)))=("AC"),"false"),B2,AC323),AC323))</f>
        <v>#VALUE!</v>
      </c>
      <c r="AD323" t="e">
        <f ca="1">IF((A1)=(2),1,IF((320)=(AD3),IF(IF((INDEX(B1:XFD1,(A2)+(0)))=("store"),(INDEX(B1:XFD1,(A2)+(1)))=("AD"),"false"),B2,AD323),AD323))</f>
        <v>#VALUE!</v>
      </c>
    </row>
    <row r="324" spans="1:30" x14ac:dyDescent="0.25">
      <c r="A324" t="e">
        <f ca="1">IF((A1)=(2),1,IF((321)=(A3),IF(("call")=(INDEX(B1:XFD1,(A2)+(0))),((B2)*(2))+(1),IF(("goto")=(INDEX(B1:XFD1,(A2)+(0))),((INDEX(B1:XFD1,(A2)+(1)))*(2))+(1),IF(("gotoiftrue")=(INDEX(B1:XFD1,(A2)+(0))),IF(B2,((INDEX(B1:XFD1,(A2)+(1)))*(2))+(1),(A324)+(2)),(A324)+(2)))),A324))</f>
        <v>#VALUE!</v>
      </c>
      <c r="B324" t="e">
        <f ca="1">IF((A1)=(2),1,IF((321)=(B3),IF(("push")=(INDEX(B1:XFD1,(A2)+(0))),INDEX(B1:XFD1,(A2)+(1)),IF(("load")=(INDEX(B1:XFD1,(A2)+(0))),INDEX(F2:XFD2,INDEX(B1:XFD1,(A2)+(1))),IF(("newheap")=(INDEX(B1:XFD1,(A2)+(0))),(C3)-(2),IF(("getheap")=(INDEX(B1:XFD1,(A2)+(0))),INDEX(C4:C404,(B324)+(1)),IF(("add")=(INDEX(B1:XFD1,(A2)+(0))),(INDEX(B4:B404,(B3)+(1)))+(B324),IF(("equals")=(INDEX(B1:XFD1,(A2)+(0))),(INDEX(B4:B404,(B3)+(1)))=(B324),IF(("leq")=(INDEX(B1:XFD1,(A2)+(0))),(INDEX(B4:B404,(B3)+(1)))&lt;=(B324),IF(("mod")=(INDEX(B1:XFD1,(A2)+(0))),MOD(INDEX(B4:B404,(B3)+(1)),B324),B324)))))))),B324))</f>
        <v>#VALUE!</v>
      </c>
      <c r="C324" t="e">
        <f ca="1">IF((A1)=(2),1,IF(AND((INDEX(B1:XFD1,(A2)+(0)))=("writeheap"),(INDEX(B4:B404,(B3)+(1)))=(320)),INDEX(B4:B404,(B3)+(2)),IF((A1)=(2),1,IF((321)=(C3),C324,C324))))</f>
        <v>#VALUE!</v>
      </c>
      <c r="E324" t="e">
        <f ca="1">IF((A1)=(2),1,IF((321)=(E3),IF(("outputline")=(INDEX(B1:XFD1,(A2)+(0))),B2,E324),E324))</f>
        <v>#VALUE!</v>
      </c>
      <c r="F324" t="e">
        <f ca="1">IF((A1)=(2),1,IF((321)=(F3),IF(IF((INDEX(B1:XFD1,(A2)+(0)))=("store"),(INDEX(B1:XFD1,(A2)+(1)))=("F"),"false"),B2,F324),F324))</f>
        <v>#VALUE!</v>
      </c>
      <c r="G324" t="e">
        <f ca="1">IF((A1)=(2),1,IF((321)=(G3),IF(IF((INDEX(B1:XFD1,(A2)+(0)))=("store"),(INDEX(B1:XFD1,(A2)+(1)))=("G"),"false"),B2,G324),G324))</f>
        <v>#VALUE!</v>
      </c>
      <c r="H324" t="e">
        <f ca="1">IF((A1)=(2),1,IF((321)=(H3),IF(IF((INDEX(B1:XFD1,(A2)+(0)))=("store"),(INDEX(B1:XFD1,(A2)+(1)))=("H"),"false"),B2,H324),H324))</f>
        <v>#VALUE!</v>
      </c>
      <c r="I324" t="e">
        <f ca="1">IF((A1)=(2),1,IF((321)=(I3),IF(IF((INDEX(B1:XFD1,(A2)+(0)))=("store"),(INDEX(B1:XFD1,(A2)+(1)))=("I"),"false"),B2,I324),I324))</f>
        <v>#VALUE!</v>
      </c>
      <c r="J324" t="e">
        <f ca="1">IF((A1)=(2),1,IF((321)=(J3),IF(IF((INDEX(B1:XFD1,(A2)+(0)))=("store"),(INDEX(B1:XFD1,(A2)+(1)))=("J"),"false"),B2,J324),J324))</f>
        <v>#VALUE!</v>
      </c>
      <c r="K324" t="e">
        <f ca="1">IF((A1)=(2),1,IF((321)=(K3),IF(IF((INDEX(B1:XFD1,(A2)+(0)))=("store"),(INDEX(B1:XFD1,(A2)+(1)))=("K"),"false"),B2,K324),K324))</f>
        <v>#VALUE!</v>
      </c>
      <c r="L324" t="e">
        <f ca="1">IF((A1)=(2),1,IF((321)=(L3),IF(IF((INDEX(B1:XFD1,(A2)+(0)))=("store"),(INDEX(B1:XFD1,(A2)+(1)))=("L"),"false"),B2,L324),L324))</f>
        <v>#VALUE!</v>
      </c>
      <c r="M324" t="e">
        <f ca="1">IF((A1)=(2),1,IF((321)=(M3),IF(IF((INDEX(B1:XFD1,(A2)+(0)))=("store"),(INDEX(B1:XFD1,(A2)+(1)))=("M"),"false"),B2,M324),M324))</f>
        <v>#VALUE!</v>
      </c>
      <c r="N324" t="e">
        <f ca="1">IF((A1)=(2),1,IF((321)=(N3),IF(IF((INDEX(B1:XFD1,(A2)+(0)))=("store"),(INDEX(B1:XFD1,(A2)+(1)))=("N"),"false"),B2,N324),N324))</f>
        <v>#VALUE!</v>
      </c>
      <c r="O324" t="e">
        <f ca="1">IF((A1)=(2),1,IF((321)=(O3),IF(IF((INDEX(B1:XFD1,(A2)+(0)))=("store"),(INDEX(B1:XFD1,(A2)+(1)))=("O"),"false"),B2,O324),O324))</f>
        <v>#VALUE!</v>
      </c>
      <c r="P324" t="e">
        <f ca="1">IF((A1)=(2),1,IF((321)=(P3),IF(IF((INDEX(B1:XFD1,(A2)+(0)))=("store"),(INDEX(B1:XFD1,(A2)+(1)))=("P"),"false"),B2,P324),P324))</f>
        <v>#VALUE!</v>
      </c>
      <c r="Q324" t="e">
        <f ca="1">IF((A1)=(2),1,IF((321)=(Q3),IF(IF((INDEX(B1:XFD1,(A2)+(0)))=("store"),(INDEX(B1:XFD1,(A2)+(1)))=("Q"),"false"),B2,Q324),Q324))</f>
        <v>#VALUE!</v>
      </c>
      <c r="R324" t="e">
        <f ca="1">IF((A1)=(2),1,IF((321)=(R3),IF(IF((INDEX(B1:XFD1,(A2)+(0)))=("store"),(INDEX(B1:XFD1,(A2)+(1)))=("R"),"false"),B2,R324),R324))</f>
        <v>#VALUE!</v>
      </c>
      <c r="S324" t="e">
        <f ca="1">IF((A1)=(2),1,IF((321)=(S3),IF(IF((INDEX(B1:XFD1,(A2)+(0)))=("store"),(INDEX(B1:XFD1,(A2)+(1)))=("S"),"false"),B2,S324),S324))</f>
        <v>#VALUE!</v>
      </c>
      <c r="T324" t="e">
        <f ca="1">IF((A1)=(2),1,IF((321)=(T3),IF(IF((INDEX(B1:XFD1,(A2)+(0)))=("store"),(INDEX(B1:XFD1,(A2)+(1)))=("T"),"false"),B2,T324),T324))</f>
        <v>#VALUE!</v>
      </c>
      <c r="U324" t="e">
        <f ca="1">IF((A1)=(2),1,IF((321)=(U3),IF(IF((INDEX(B1:XFD1,(A2)+(0)))=("store"),(INDEX(B1:XFD1,(A2)+(1)))=("U"),"false"),B2,U324),U324))</f>
        <v>#VALUE!</v>
      </c>
      <c r="V324" t="e">
        <f ca="1">IF((A1)=(2),1,IF((321)=(V3),IF(IF((INDEX(B1:XFD1,(A2)+(0)))=("store"),(INDEX(B1:XFD1,(A2)+(1)))=("V"),"false"),B2,V324),V324))</f>
        <v>#VALUE!</v>
      </c>
      <c r="W324" t="e">
        <f ca="1">IF((A1)=(2),1,IF((321)=(W3),IF(IF((INDEX(B1:XFD1,(A2)+(0)))=("store"),(INDEX(B1:XFD1,(A2)+(1)))=("W"),"false"),B2,W324),W324))</f>
        <v>#VALUE!</v>
      </c>
      <c r="X324" t="e">
        <f ca="1">IF((A1)=(2),1,IF((321)=(X3),IF(IF((INDEX(B1:XFD1,(A2)+(0)))=("store"),(INDEX(B1:XFD1,(A2)+(1)))=("X"),"false"),B2,X324),X324))</f>
        <v>#VALUE!</v>
      </c>
      <c r="Y324" t="e">
        <f ca="1">IF((A1)=(2),1,IF((321)=(Y3),IF(IF((INDEX(B1:XFD1,(A2)+(0)))=("store"),(INDEX(B1:XFD1,(A2)+(1)))=("Y"),"false"),B2,Y324),Y324))</f>
        <v>#VALUE!</v>
      </c>
      <c r="Z324" t="e">
        <f ca="1">IF((A1)=(2),1,IF((321)=(Z3),IF(IF((INDEX(B1:XFD1,(A2)+(0)))=("store"),(INDEX(B1:XFD1,(A2)+(1)))=("Z"),"false"),B2,Z324),Z324))</f>
        <v>#VALUE!</v>
      </c>
      <c r="AA324" t="e">
        <f ca="1">IF((A1)=(2),1,IF((321)=(AA3),IF(IF((INDEX(B1:XFD1,(A2)+(0)))=("store"),(INDEX(B1:XFD1,(A2)+(1)))=("AA"),"false"),B2,AA324),AA324))</f>
        <v>#VALUE!</v>
      </c>
      <c r="AB324" t="e">
        <f ca="1">IF((A1)=(2),1,IF((321)=(AB3),IF(IF((INDEX(B1:XFD1,(A2)+(0)))=("store"),(INDEX(B1:XFD1,(A2)+(1)))=("AB"),"false"),B2,AB324),AB324))</f>
        <v>#VALUE!</v>
      </c>
      <c r="AC324" t="e">
        <f ca="1">IF((A1)=(2),1,IF((321)=(AC3),IF(IF((INDEX(B1:XFD1,(A2)+(0)))=("store"),(INDEX(B1:XFD1,(A2)+(1)))=("AC"),"false"),B2,AC324),AC324))</f>
        <v>#VALUE!</v>
      </c>
      <c r="AD324" t="e">
        <f ca="1">IF((A1)=(2),1,IF((321)=(AD3),IF(IF((INDEX(B1:XFD1,(A2)+(0)))=("store"),(INDEX(B1:XFD1,(A2)+(1)))=("AD"),"false"),B2,AD324),AD324))</f>
        <v>#VALUE!</v>
      </c>
    </row>
    <row r="325" spans="1:30" x14ac:dyDescent="0.25">
      <c r="A325" t="e">
        <f ca="1">IF((A1)=(2),1,IF((322)=(A3),IF(("call")=(INDEX(B1:XFD1,(A2)+(0))),((B2)*(2))+(1),IF(("goto")=(INDEX(B1:XFD1,(A2)+(0))),((INDEX(B1:XFD1,(A2)+(1)))*(2))+(1),IF(("gotoiftrue")=(INDEX(B1:XFD1,(A2)+(0))),IF(B2,((INDEX(B1:XFD1,(A2)+(1)))*(2))+(1),(A325)+(2)),(A325)+(2)))),A325))</f>
        <v>#VALUE!</v>
      </c>
      <c r="B325" t="e">
        <f ca="1">IF((A1)=(2),1,IF((322)=(B3),IF(("push")=(INDEX(B1:XFD1,(A2)+(0))),INDEX(B1:XFD1,(A2)+(1)),IF(("load")=(INDEX(B1:XFD1,(A2)+(0))),INDEX(F2:XFD2,INDEX(B1:XFD1,(A2)+(1))),IF(("newheap")=(INDEX(B1:XFD1,(A2)+(0))),(C3)-(2),IF(("getheap")=(INDEX(B1:XFD1,(A2)+(0))),INDEX(C4:C404,(B325)+(1)),IF(("add")=(INDEX(B1:XFD1,(A2)+(0))),(INDEX(B4:B404,(B3)+(1)))+(B325),IF(("equals")=(INDEX(B1:XFD1,(A2)+(0))),(INDEX(B4:B404,(B3)+(1)))=(B325),IF(("leq")=(INDEX(B1:XFD1,(A2)+(0))),(INDEX(B4:B404,(B3)+(1)))&lt;=(B325),IF(("mod")=(INDEX(B1:XFD1,(A2)+(0))),MOD(INDEX(B4:B404,(B3)+(1)),B325),B325)))))))),B325))</f>
        <v>#VALUE!</v>
      </c>
      <c r="C325" t="e">
        <f ca="1">IF((A1)=(2),1,IF(AND((INDEX(B1:XFD1,(A2)+(0)))=("writeheap"),(INDEX(B4:B404,(B3)+(1)))=(321)),INDEX(B4:B404,(B3)+(2)),IF((A1)=(2),1,IF((322)=(C3),C325,C325))))</f>
        <v>#VALUE!</v>
      </c>
      <c r="E325" t="e">
        <f ca="1">IF((A1)=(2),1,IF((322)=(E3),IF(("outputline")=(INDEX(B1:XFD1,(A2)+(0))),B2,E325),E325))</f>
        <v>#VALUE!</v>
      </c>
      <c r="F325" t="e">
        <f ca="1">IF((A1)=(2),1,IF((322)=(F3),IF(IF((INDEX(B1:XFD1,(A2)+(0)))=("store"),(INDEX(B1:XFD1,(A2)+(1)))=("F"),"false"),B2,F325),F325))</f>
        <v>#VALUE!</v>
      </c>
      <c r="G325" t="e">
        <f ca="1">IF((A1)=(2),1,IF((322)=(G3),IF(IF((INDEX(B1:XFD1,(A2)+(0)))=("store"),(INDEX(B1:XFD1,(A2)+(1)))=("G"),"false"),B2,G325),G325))</f>
        <v>#VALUE!</v>
      </c>
      <c r="H325" t="e">
        <f ca="1">IF((A1)=(2),1,IF((322)=(H3),IF(IF((INDEX(B1:XFD1,(A2)+(0)))=("store"),(INDEX(B1:XFD1,(A2)+(1)))=("H"),"false"),B2,H325),H325))</f>
        <v>#VALUE!</v>
      </c>
      <c r="I325" t="e">
        <f ca="1">IF((A1)=(2),1,IF((322)=(I3),IF(IF((INDEX(B1:XFD1,(A2)+(0)))=("store"),(INDEX(B1:XFD1,(A2)+(1)))=("I"),"false"),B2,I325),I325))</f>
        <v>#VALUE!</v>
      </c>
      <c r="J325" t="e">
        <f ca="1">IF((A1)=(2),1,IF((322)=(J3),IF(IF((INDEX(B1:XFD1,(A2)+(0)))=("store"),(INDEX(B1:XFD1,(A2)+(1)))=("J"),"false"),B2,J325),J325))</f>
        <v>#VALUE!</v>
      </c>
      <c r="K325" t="e">
        <f ca="1">IF((A1)=(2),1,IF((322)=(K3),IF(IF((INDEX(B1:XFD1,(A2)+(0)))=("store"),(INDEX(B1:XFD1,(A2)+(1)))=("K"),"false"),B2,K325),K325))</f>
        <v>#VALUE!</v>
      </c>
      <c r="L325" t="e">
        <f ca="1">IF((A1)=(2),1,IF((322)=(L3),IF(IF((INDEX(B1:XFD1,(A2)+(0)))=("store"),(INDEX(B1:XFD1,(A2)+(1)))=("L"),"false"),B2,L325),L325))</f>
        <v>#VALUE!</v>
      </c>
      <c r="M325" t="e">
        <f ca="1">IF((A1)=(2),1,IF((322)=(M3),IF(IF((INDEX(B1:XFD1,(A2)+(0)))=("store"),(INDEX(B1:XFD1,(A2)+(1)))=("M"),"false"),B2,M325),M325))</f>
        <v>#VALUE!</v>
      </c>
      <c r="N325" t="e">
        <f ca="1">IF((A1)=(2),1,IF((322)=(N3),IF(IF((INDEX(B1:XFD1,(A2)+(0)))=("store"),(INDEX(B1:XFD1,(A2)+(1)))=("N"),"false"),B2,N325),N325))</f>
        <v>#VALUE!</v>
      </c>
      <c r="O325" t="e">
        <f ca="1">IF((A1)=(2),1,IF((322)=(O3),IF(IF((INDEX(B1:XFD1,(A2)+(0)))=("store"),(INDEX(B1:XFD1,(A2)+(1)))=("O"),"false"),B2,O325),O325))</f>
        <v>#VALUE!</v>
      </c>
      <c r="P325" t="e">
        <f ca="1">IF((A1)=(2),1,IF((322)=(P3),IF(IF((INDEX(B1:XFD1,(A2)+(0)))=("store"),(INDEX(B1:XFD1,(A2)+(1)))=("P"),"false"),B2,P325),P325))</f>
        <v>#VALUE!</v>
      </c>
      <c r="Q325" t="e">
        <f ca="1">IF((A1)=(2),1,IF((322)=(Q3),IF(IF((INDEX(B1:XFD1,(A2)+(0)))=("store"),(INDEX(B1:XFD1,(A2)+(1)))=("Q"),"false"),B2,Q325),Q325))</f>
        <v>#VALUE!</v>
      </c>
      <c r="R325" t="e">
        <f ca="1">IF((A1)=(2),1,IF((322)=(R3),IF(IF((INDEX(B1:XFD1,(A2)+(0)))=("store"),(INDEX(B1:XFD1,(A2)+(1)))=("R"),"false"),B2,R325),R325))</f>
        <v>#VALUE!</v>
      </c>
      <c r="S325" t="e">
        <f ca="1">IF((A1)=(2),1,IF((322)=(S3),IF(IF((INDEX(B1:XFD1,(A2)+(0)))=("store"),(INDEX(B1:XFD1,(A2)+(1)))=("S"),"false"),B2,S325),S325))</f>
        <v>#VALUE!</v>
      </c>
      <c r="T325" t="e">
        <f ca="1">IF((A1)=(2),1,IF((322)=(T3),IF(IF((INDEX(B1:XFD1,(A2)+(0)))=("store"),(INDEX(B1:XFD1,(A2)+(1)))=("T"),"false"),B2,T325),T325))</f>
        <v>#VALUE!</v>
      </c>
      <c r="U325" t="e">
        <f ca="1">IF((A1)=(2),1,IF((322)=(U3),IF(IF((INDEX(B1:XFD1,(A2)+(0)))=("store"),(INDEX(B1:XFD1,(A2)+(1)))=("U"),"false"),B2,U325),U325))</f>
        <v>#VALUE!</v>
      </c>
      <c r="V325" t="e">
        <f ca="1">IF((A1)=(2),1,IF((322)=(V3),IF(IF((INDEX(B1:XFD1,(A2)+(0)))=("store"),(INDEX(B1:XFD1,(A2)+(1)))=("V"),"false"),B2,V325),V325))</f>
        <v>#VALUE!</v>
      </c>
      <c r="W325" t="e">
        <f ca="1">IF((A1)=(2),1,IF((322)=(W3),IF(IF((INDEX(B1:XFD1,(A2)+(0)))=("store"),(INDEX(B1:XFD1,(A2)+(1)))=("W"),"false"),B2,W325),W325))</f>
        <v>#VALUE!</v>
      </c>
      <c r="X325" t="e">
        <f ca="1">IF((A1)=(2),1,IF((322)=(X3),IF(IF((INDEX(B1:XFD1,(A2)+(0)))=("store"),(INDEX(B1:XFD1,(A2)+(1)))=("X"),"false"),B2,X325),X325))</f>
        <v>#VALUE!</v>
      </c>
      <c r="Y325" t="e">
        <f ca="1">IF((A1)=(2),1,IF((322)=(Y3),IF(IF((INDEX(B1:XFD1,(A2)+(0)))=("store"),(INDEX(B1:XFD1,(A2)+(1)))=("Y"),"false"),B2,Y325),Y325))</f>
        <v>#VALUE!</v>
      </c>
      <c r="Z325" t="e">
        <f ca="1">IF((A1)=(2),1,IF((322)=(Z3),IF(IF((INDEX(B1:XFD1,(A2)+(0)))=("store"),(INDEX(B1:XFD1,(A2)+(1)))=("Z"),"false"),B2,Z325),Z325))</f>
        <v>#VALUE!</v>
      </c>
      <c r="AA325" t="e">
        <f ca="1">IF((A1)=(2),1,IF((322)=(AA3),IF(IF((INDEX(B1:XFD1,(A2)+(0)))=("store"),(INDEX(B1:XFD1,(A2)+(1)))=("AA"),"false"),B2,AA325),AA325))</f>
        <v>#VALUE!</v>
      </c>
      <c r="AB325" t="e">
        <f ca="1">IF((A1)=(2),1,IF((322)=(AB3),IF(IF((INDEX(B1:XFD1,(A2)+(0)))=("store"),(INDEX(B1:XFD1,(A2)+(1)))=("AB"),"false"),B2,AB325),AB325))</f>
        <v>#VALUE!</v>
      </c>
      <c r="AC325" t="e">
        <f ca="1">IF((A1)=(2),1,IF((322)=(AC3),IF(IF((INDEX(B1:XFD1,(A2)+(0)))=("store"),(INDEX(B1:XFD1,(A2)+(1)))=("AC"),"false"),B2,AC325),AC325))</f>
        <v>#VALUE!</v>
      </c>
      <c r="AD325" t="e">
        <f ca="1">IF((A1)=(2),1,IF((322)=(AD3),IF(IF((INDEX(B1:XFD1,(A2)+(0)))=("store"),(INDEX(B1:XFD1,(A2)+(1)))=("AD"),"false"),B2,AD325),AD325))</f>
        <v>#VALUE!</v>
      </c>
    </row>
    <row r="326" spans="1:30" x14ac:dyDescent="0.25">
      <c r="A326" t="e">
        <f ca="1">IF((A1)=(2),1,IF((323)=(A3),IF(("call")=(INDEX(B1:XFD1,(A2)+(0))),((B2)*(2))+(1),IF(("goto")=(INDEX(B1:XFD1,(A2)+(0))),((INDEX(B1:XFD1,(A2)+(1)))*(2))+(1),IF(("gotoiftrue")=(INDEX(B1:XFD1,(A2)+(0))),IF(B2,((INDEX(B1:XFD1,(A2)+(1)))*(2))+(1),(A326)+(2)),(A326)+(2)))),A326))</f>
        <v>#VALUE!</v>
      </c>
      <c r="B326" t="e">
        <f ca="1">IF((A1)=(2),1,IF((323)=(B3),IF(("push")=(INDEX(B1:XFD1,(A2)+(0))),INDEX(B1:XFD1,(A2)+(1)),IF(("load")=(INDEX(B1:XFD1,(A2)+(0))),INDEX(F2:XFD2,INDEX(B1:XFD1,(A2)+(1))),IF(("newheap")=(INDEX(B1:XFD1,(A2)+(0))),(C3)-(2),IF(("getheap")=(INDEX(B1:XFD1,(A2)+(0))),INDEX(C4:C404,(B326)+(1)),IF(("add")=(INDEX(B1:XFD1,(A2)+(0))),(INDEX(B4:B404,(B3)+(1)))+(B326),IF(("equals")=(INDEX(B1:XFD1,(A2)+(0))),(INDEX(B4:B404,(B3)+(1)))=(B326),IF(("leq")=(INDEX(B1:XFD1,(A2)+(0))),(INDEX(B4:B404,(B3)+(1)))&lt;=(B326),IF(("mod")=(INDEX(B1:XFD1,(A2)+(0))),MOD(INDEX(B4:B404,(B3)+(1)),B326),B326)))))))),B326))</f>
        <v>#VALUE!</v>
      </c>
      <c r="C326" t="e">
        <f ca="1">IF((A1)=(2),1,IF(AND((INDEX(B1:XFD1,(A2)+(0)))=("writeheap"),(INDEX(B4:B404,(B3)+(1)))=(322)),INDEX(B4:B404,(B3)+(2)),IF((A1)=(2),1,IF((323)=(C3),C326,C326))))</f>
        <v>#VALUE!</v>
      </c>
      <c r="E326" t="e">
        <f ca="1">IF((A1)=(2),1,IF((323)=(E3),IF(("outputline")=(INDEX(B1:XFD1,(A2)+(0))),B2,E326),E326))</f>
        <v>#VALUE!</v>
      </c>
      <c r="F326" t="e">
        <f ca="1">IF((A1)=(2),1,IF((323)=(F3),IF(IF((INDEX(B1:XFD1,(A2)+(0)))=("store"),(INDEX(B1:XFD1,(A2)+(1)))=("F"),"false"),B2,F326),F326))</f>
        <v>#VALUE!</v>
      </c>
      <c r="G326" t="e">
        <f ca="1">IF((A1)=(2),1,IF((323)=(G3),IF(IF((INDEX(B1:XFD1,(A2)+(0)))=("store"),(INDEX(B1:XFD1,(A2)+(1)))=("G"),"false"),B2,G326),G326))</f>
        <v>#VALUE!</v>
      </c>
      <c r="H326" t="e">
        <f ca="1">IF((A1)=(2),1,IF((323)=(H3),IF(IF((INDEX(B1:XFD1,(A2)+(0)))=("store"),(INDEX(B1:XFD1,(A2)+(1)))=("H"),"false"),B2,H326),H326))</f>
        <v>#VALUE!</v>
      </c>
      <c r="I326" t="e">
        <f ca="1">IF((A1)=(2),1,IF((323)=(I3),IF(IF((INDEX(B1:XFD1,(A2)+(0)))=("store"),(INDEX(B1:XFD1,(A2)+(1)))=("I"),"false"),B2,I326),I326))</f>
        <v>#VALUE!</v>
      </c>
      <c r="J326" t="e">
        <f ca="1">IF((A1)=(2),1,IF((323)=(J3),IF(IF((INDEX(B1:XFD1,(A2)+(0)))=("store"),(INDEX(B1:XFD1,(A2)+(1)))=("J"),"false"),B2,J326),J326))</f>
        <v>#VALUE!</v>
      </c>
      <c r="K326" t="e">
        <f ca="1">IF((A1)=(2),1,IF((323)=(K3),IF(IF((INDEX(B1:XFD1,(A2)+(0)))=("store"),(INDEX(B1:XFD1,(A2)+(1)))=("K"),"false"),B2,K326),K326))</f>
        <v>#VALUE!</v>
      </c>
      <c r="L326" t="e">
        <f ca="1">IF((A1)=(2),1,IF((323)=(L3),IF(IF((INDEX(B1:XFD1,(A2)+(0)))=("store"),(INDEX(B1:XFD1,(A2)+(1)))=("L"),"false"),B2,L326),L326))</f>
        <v>#VALUE!</v>
      </c>
      <c r="M326" t="e">
        <f ca="1">IF((A1)=(2),1,IF((323)=(M3),IF(IF((INDEX(B1:XFD1,(A2)+(0)))=("store"),(INDEX(B1:XFD1,(A2)+(1)))=("M"),"false"),B2,M326),M326))</f>
        <v>#VALUE!</v>
      </c>
      <c r="N326" t="e">
        <f ca="1">IF((A1)=(2),1,IF((323)=(N3),IF(IF((INDEX(B1:XFD1,(A2)+(0)))=("store"),(INDEX(B1:XFD1,(A2)+(1)))=("N"),"false"),B2,N326),N326))</f>
        <v>#VALUE!</v>
      </c>
      <c r="O326" t="e">
        <f ca="1">IF((A1)=(2),1,IF((323)=(O3),IF(IF((INDEX(B1:XFD1,(A2)+(0)))=("store"),(INDEX(B1:XFD1,(A2)+(1)))=("O"),"false"),B2,O326),O326))</f>
        <v>#VALUE!</v>
      </c>
      <c r="P326" t="e">
        <f ca="1">IF((A1)=(2),1,IF((323)=(P3),IF(IF((INDEX(B1:XFD1,(A2)+(0)))=("store"),(INDEX(B1:XFD1,(A2)+(1)))=("P"),"false"),B2,P326),P326))</f>
        <v>#VALUE!</v>
      </c>
      <c r="Q326" t="e">
        <f ca="1">IF((A1)=(2),1,IF((323)=(Q3),IF(IF((INDEX(B1:XFD1,(A2)+(0)))=("store"),(INDEX(B1:XFD1,(A2)+(1)))=("Q"),"false"),B2,Q326),Q326))</f>
        <v>#VALUE!</v>
      </c>
      <c r="R326" t="e">
        <f ca="1">IF((A1)=(2),1,IF((323)=(R3),IF(IF((INDEX(B1:XFD1,(A2)+(0)))=("store"),(INDEX(B1:XFD1,(A2)+(1)))=("R"),"false"),B2,R326),R326))</f>
        <v>#VALUE!</v>
      </c>
      <c r="S326" t="e">
        <f ca="1">IF((A1)=(2),1,IF((323)=(S3),IF(IF((INDEX(B1:XFD1,(A2)+(0)))=("store"),(INDEX(B1:XFD1,(A2)+(1)))=("S"),"false"),B2,S326),S326))</f>
        <v>#VALUE!</v>
      </c>
      <c r="T326" t="e">
        <f ca="1">IF((A1)=(2),1,IF((323)=(T3),IF(IF((INDEX(B1:XFD1,(A2)+(0)))=("store"),(INDEX(B1:XFD1,(A2)+(1)))=("T"),"false"),B2,T326),T326))</f>
        <v>#VALUE!</v>
      </c>
      <c r="U326" t="e">
        <f ca="1">IF((A1)=(2),1,IF((323)=(U3),IF(IF((INDEX(B1:XFD1,(A2)+(0)))=("store"),(INDEX(B1:XFD1,(A2)+(1)))=("U"),"false"),B2,U326),U326))</f>
        <v>#VALUE!</v>
      </c>
      <c r="V326" t="e">
        <f ca="1">IF((A1)=(2),1,IF((323)=(V3),IF(IF((INDEX(B1:XFD1,(A2)+(0)))=("store"),(INDEX(B1:XFD1,(A2)+(1)))=("V"),"false"),B2,V326),V326))</f>
        <v>#VALUE!</v>
      </c>
      <c r="W326" t="e">
        <f ca="1">IF((A1)=(2),1,IF((323)=(W3),IF(IF((INDEX(B1:XFD1,(A2)+(0)))=("store"),(INDEX(B1:XFD1,(A2)+(1)))=("W"),"false"),B2,W326),W326))</f>
        <v>#VALUE!</v>
      </c>
      <c r="X326" t="e">
        <f ca="1">IF((A1)=(2),1,IF((323)=(X3),IF(IF((INDEX(B1:XFD1,(A2)+(0)))=("store"),(INDEX(B1:XFD1,(A2)+(1)))=("X"),"false"),B2,X326),X326))</f>
        <v>#VALUE!</v>
      </c>
      <c r="Y326" t="e">
        <f ca="1">IF((A1)=(2),1,IF((323)=(Y3),IF(IF((INDEX(B1:XFD1,(A2)+(0)))=("store"),(INDEX(B1:XFD1,(A2)+(1)))=("Y"),"false"),B2,Y326),Y326))</f>
        <v>#VALUE!</v>
      </c>
      <c r="Z326" t="e">
        <f ca="1">IF((A1)=(2),1,IF((323)=(Z3),IF(IF((INDEX(B1:XFD1,(A2)+(0)))=("store"),(INDEX(B1:XFD1,(A2)+(1)))=("Z"),"false"),B2,Z326),Z326))</f>
        <v>#VALUE!</v>
      </c>
      <c r="AA326" t="e">
        <f ca="1">IF((A1)=(2),1,IF((323)=(AA3),IF(IF((INDEX(B1:XFD1,(A2)+(0)))=("store"),(INDEX(B1:XFD1,(A2)+(1)))=("AA"),"false"),B2,AA326),AA326))</f>
        <v>#VALUE!</v>
      </c>
      <c r="AB326" t="e">
        <f ca="1">IF((A1)=(2),1,IF((323)=(AB3),IF(IF((INDEX(B1:XFD1,(A2)+(0)))=("store"),(INDEX(B1:XFD1,(A2)+(1)))=("AB"),"false"),B2,AB326),AB326))</f>
        <v>#VALUE!</v>
      </c>
      <c r="AC326" t="e">
        <f ca="1">IF((A1)=(2),1,IF((323)=(AC3),IF(IF((INDEX(B1:XFD1,(A2)+(0)))=("store"),(INDEX(B1:XFD1,(A2)+(1)))=("AC"),"false"),B2,AC326),AC326))</f>
        <v>#VALUE!</v>
      </c>
      <c r="AD326" t="e">
        <f ca="1">IF((A1)=(2),1,IF((323)=(AD3),IF(IF((INDEX(B1:XFD1,(A2)+(0)))=("store"),(INDEX(B1:XFD1,(A2)+(1)))=("AD"),"false"),B2,AD326),AD326))</f>
        <v>#VALUE!</v>
      </c>
    </row>
    <row r="327" spans="1:30" x14ac:dyDescent="0.25">
      <c r="A327" t="e">
        <f ca="1">IF((A1)=(2),1,IF((324)=(A3),IF(("call")=(INDEX(B1:XFD1,(A2)+(0))),((B2)*(2))+(1),IF(("goto")=(INDEX(B1:XFD1,(A2)+(0))),((INDEX(B1:XFD1,(A2)+(1)))*(2))+(1),IF(("gotoiftrue")=(INDEX(B1:XFD1,(A2)+(0))),IF(B2,((INDEX(B1:XFD1,(A2)+(1)))*(2))+(1),(A327)+(2)),(A327)+(2)))),A327))</f>
        <v>#VALUE!</v>
      </c>
      <c r="B327" t="e">
        <f ca="1">IF((A1)=(2),1,IF((324)=(B3),IF(("push")=(INDEX(B1:XFD1,(A2)+(0))),INDEX(B1:XFD1,(A2)+(1)),IF(("load")=(INDEX(B1:XFD1,(A2)+(0))),INDEX(F2:XFD2,INDEX(B1:XFD1,(A2)+(1))),IF(("newheap")=(INDEX(B1:XFD1,(A2)+(0))),(C3)-(2),IF(("getheap")=(INDEX(B1:XFD1,(A2)+(0))),INDEX(C4:C404,(B327)+(1)),IF(("add")=(INDEX(B1:XFD1,(A2)+(0))),(INDEX(B4:B404,(B3)+(1)))+(B327),IF(("equals")=(INDEX(B1:XFD1,(A2)+(0))),(INDEX(B4:B404,(B3)+(1)))=(B327),IF(("leq")=(INDEX(B1:XFD1,(A2)+(0))),(INDEX(B4:B404,(B3)+(1)))&lt;=(B327),IF(("mod")=(INDEX(B1:XFD1,(A2)+(0))),MOD(INDEX(B4:B404,(B3)+(1)),B327),B327)))))))),B327))</f>
        <v>#VALUE!</v>
      </c>
      <c r="C327" t="e">
        <f ca="1">IF((A1)=(2),1,IF(AND((INDEX(B1:XFD1,(A2)+(0)))=("writeheap"),(INDEX(B4:B404,(B3)+(1)))=(323)),INDEX(B4:B404,(B3)+(2)),IF((A1)=(2),1,IF((324)=(C3),C327,C327))))</f>
        <v>#VALUE!</v>
      </c>
      <c r="E327" t="e">
        <f ca="1">IF((A1)=(2),1,IF((324)=(E3),IF(("outputline")=(INDEX(B1:XFD1,(A2)+(0))),B2,E327),E327))</f>
        <v>#VALUE!</v>
      </c>
      <c r="F327" t="e">
        <f ca="1">IF((A1)=(2),1,IF((324)=(F3),IF(IF((INDEX(B1:XFD1,(A2)+(0)))=("store"),(INDEX(B1:XFD1,(A2)+(1)))=("F"),"false"),B2,F327),F327))</f>
        <v>#VALUE!</v>
      </c>
      <c r="G327" t="e">
        <f ca="1">IF((A1)=(2),1,IF((324)=(G3),IF(IF((INDEX(B1:XFD1,(A2)+(0)))=("store"),(INDEX(B1:XFD1,(A2)+(1)))=("G"),"false"),B2,G327),G327))</f>
        <v>#VALUE!</v>
      </c>
      <c r="H327" t="e">
        <f ca="1">IF((A1)=(2),1,IF((324)=(H3),IF(IF((INDEX(B1:XFD1,(A2)+(0)))=("store"),(INDEX(B1:XFD1,(A2)+(1)))=("H"),"false"),B2,H327),H327))</f>
        <v>#VALUE!</v>
      </c>
      <c r="I327" t="e">
        <f ca="1">IF((A1)=(2),1,IF((324)=(I3),IF(IF((INDEX(B1:XFD1,(A2)+(0)))=("store"),(INDEX(B1:XFD1,(A2)+(1)))=("I"),"false"),B2,I327),I327))</f>
        <v>#VALUE!</v>
      </c>
      <c r="J327" t="e">
        <f ca="1">IF((A1)=(2),1,IF((324)=(J3),IF(IF((INDEX(B1:XFD1,(A2)+(0)))=("store"),(INDEX(B1:XFD1,(A2)+(1)))=("J"),"false"),B2,J327),J327))</f>
        <v>#VALUE!</v>
      </c>
      <c r="K327" t="e">
        <f ca="1">IF((A1)=(2),1,IF((324)=(K3),IF(IF((INDEX(B1:XFD1,(A2)+(0)))=("store"),(INDEX(B1:XFD1,(A2)+(1)))=("K"),"false"),B2,K327),K327))</f>
        <v>#VALUE!</v>
      </c>
      <c r="L327" t="e">
        <f ca="1">IF((A1)=(2),1,IF((324)=(L3),IF(IF((INDEX(B1:XFD1,(A2)+(0)))=("store"),(INDEX(B1:XFD1,(A2)+(1)))=("L"),"false"),B2,L327),L327))</f>
        <v>#VALUE!</v>
      </c>
      <c r="M327" t="e">
        <f ca="1">IF((A1)=(2),1,IF((324)=(M3),IF(IF((INDEX(B1:XFD1,(A2)+(0)))=("store"),(INDEX(B1:XFD1,(A2)+(1)))=("M"),"false"),B2,M327),M327))</f>
        <v>#VALUE!</v>
      </c>
      <c r="N327" t="e">
        <f ca="1">IF((A1)=(2),1,IF((324)=(N3),IF(IF((INDEX(B1:XFD1,(A2)+(0)))=("store"),(INDEX(B1:XFD1,(A2)+(1)))=("N"),"false"),B2,N327),N327))</f>
        <v>#VALUE!</v>
      </c>
      <c r="O327" t="e">
        <f ca="1">IF((A1)=(2),1,IF((324)=(O3),IF(IF((INDEX(B1:XFD1,(A2)+(0)))=("store"),(INDEX(B1:XFD1,(A2)+(1)))=("O"),"false"),B2,O327),O327))</f>
        <v>#VALUE!</v>
      </c>
      <c r="P327" t="e">
        <f ca="1">IF((A1)=(2),1,IF((324)=(P3),IF(IF((INDEX(B1:XFD1,(A2)+(0)))=("store"),(INDEX(B1:XFD1,(A2)+(1)))=("P"),"false"),B2,P327),P327))</f>
        <v>#VALUE!</v>
      </c>
      <c r="Q327" t="e">
        <f ca="1">IF((A1)=(2),1,IF((324)=(Q3),IF(IF((INDEX(B1:XFD1,(A2)+(0)))=("store"),(INDEX(B1:XFD1,(A2)+(1)))=("Q"),"false"),B2,Q327),Q327))</f>
        <v>#VALUE!</v>
      </c>
      <c r="R327" t="e">
        <f ca="1">IF((A1)=(2),1,IF((324)=(R3),IF(IF((INDEX(B1:XFD1,(A2)+(0)))=("store"),(INDEX(B1:XFD1,(A2)+(1)))=("R"),"false"),B2,R327),R327))</f>
        <v>#VALUE!</v>
      </c>
      <c r="S327" t="e">
        <f ca="1">IF((A1)=(2),1,IF((324)=(S3),IF(IF((INDEX(B1:XFD1,(A2)+(0)))=("store"),(INDEX(B1:XFD1,(A2)+(1)))=("S"),"false"),B2,S327),S327))</f>
        <v>#VALUE!</v>
      </c>
      <c r="T327" t="e">
        <f ca="1">IF((A1)=(2),1,IF((324)=(T3),IF(IF((INDEX(B1:XFD1,(A2)+(0)))=("store"),(INDEX(B1:XFD1,(A2)+(1)))=("T"),"false"),B2,T327),T327))</f>
        <v>#VALUE!</v>
      </c>
      <c r="U327" t="e">
        <f ca="1">IF((A1)=(2),1,IF((324)=(U3),IF(IF((INDEX(B1:XFD1,(A2)+(0)))=("store"),(INDEX(B1:XFD1,(A2)+(1)))=("U"),"false"),B2,U327),U327))</f>
        <v>#VALUE!</v>
      </c>
      <c r="V327" t="e">
        <f ca="1">IF((A1)=(2),1,IF((324)=(V3),IF(IF((INDEX(B1:XFD1,(A2)+(0)))=("store"),(INDEX(B1:XFD1,(A2)+(1)))=("V"),"false"),B2,V327),V327))</f>
        <v>#VALUE!</v>
      </c>
      <c r="W327" t="e">
        <f ca="1">IF((A1)=(2),1,IF((324)=(W3),IF(IF((INDEX(B1:XFD1,(A2)+(0)))=("store"),(INDEX(B1:XFD1,(A2)+(1)))=("W"),"false"),B2,W327),W327))</f>
        <v>#VALUE!</v>
      </c>
      <c r="X327" t="e">
        <f ca="1">IF((A1)=(2),1,IF((324)=(X3),IF(IF((INDEX(B1:XFD1,(A2)+(0)))=("store"),(INDEX(B1:XFD1,(A2)+(1)))=("X"),"false"),B2,X327),X327))</f>
        <v>#VALUE!</v>
      </c>
      <c r="Y327" t="e">
        <f ca="1">IF((A1)=(2),1,IF((324)=(Y3),IF(IF((INDEX(B1:XFD1,(A2)+(0)))=("store"),(INDEX(B1:XFD1,(A2)+(1)))=("Y"),"false"),B2,Y327),Y327))</f>
        <v>#VALUE!</v>
      </c>
      <c r="Z327" t="e">
        <f ca="1">IF((A1)=(2),1,IF((324)=(Z3),IF(IF((INDEX(B1:XFD1,(A2)+(0)))=("store"),(INDEX(B1:XFD1,(A2)+(1)))=("Z"),"false"),B2,Z327),Z327))</f>
        <v>#VALUE!</v>
      </c>
      <c r="AA327" t="e">
        <f ca="1">IF((A1)=(2),1,IF((324)=(AA3),IF(IF((INDEX(B1:XFD1,(A2)+(0)))=("store"),(INDEX(B1:XFD1,(A2)+(1)))=("AA"),"false"),B2,AA327),AA327))</f>
        <v>#VALUE!</v>
      </c>
      <c r="AB327" t="e">
        <f ca="1">IF((A1)=(2),1,IF((324)=(AB3),IF(IF((INDEX(B1:XFD1,(A2)+(0)))=("store"),(INDEX(B1:XFD1,(A2)+(1)))=("AB"),"false"),B2,AB327),AB327))</f>
        <v>#VALUE!</v>
      </c>
      <c r="AC327" t="e">
        <f ca="1">IF((A1)=(2),1,IF((324)=(AC3),IF(IF((INDEX(B1:XFD1,(A2)+(0)))=("store"),(INDEX(B1:XFD1,(A2)+(1)))=("AC"),"false"),B2,AC327),AC327))</f>
        <v>#VALUE!</v>
      </c>
      <c r="AD327" t="e">
        <f ca="1">IF((A1)=(2),1,IF((324)=(AD3),IF(IF((INDEX(B1:XFD1,(A2)+(0)))=("store"),(INDEX(B1:XFD1,(A2)+(1)))=("AD"),"false"),B2,AD327),AD327))</f>
        <v>#VALUE!</v>
      </c>
    </row>
    <row r="328" spans="1:30" x14ac:dyDescent="0.25">
      <c r="A328" t="e">
        <f ca="1">IF((A1)=(2),1,IF((325)=(A3),IF(("call")=(INDEX(B1:XFD1,(A2)+(0))),((B2)*(2))+(1),IF(("goto")=(INDEX(B1:XFD1,(A2)+(0))),((INDEX(B1:XFD1,(A2)+(1)))*(2))+(1),IF(("gotoiftrue")=(INDEX(B1:XFD1,(A2)+(0))),IF(B2,((INDEX(B1:XFD1,(A2)+(1)))*(2))+(1),(A328)+(2)),(A328)+(2)))),A328))</f>
        <v>#VALUE!</v>
      </c>
      <c r="B328" t="e">
        <f ca="1">IF((A1)=(2),1,IF((325)=(B3),IF(("push")=(INDEX(B1:XFD1,(A2)+(0))),INDEX(B1:XFD1,(A2)+(1)),IF(("load")=(INDEX(B1:XFD1,(A2)+(0))),INDEX(F2:XFD2,INDEX(B1:XFD1,(A2)+(1))),IF(("newheap")=(INDEX(B1:XFD1,(A2)+(0))),(C3)-(2),IF(("getheap")=(INDEX(B1:XFD1,(A2)+(0))),INDEX(C4:C404,(B328)+(1)),IF(("add")=(INDEX(B1:XFD1,(A2)+(0))),(INDEX(B4:B404,(B3)+(1)))+(B328),IF(("equals")=(INDEX(B1:XFD1,(A2)+(0))),(INDEX(B4:B404,(B3)+(1)))=(B328),IF(("leq")=(INDEX(B1:XFD1,(A2)+(0))),(INDEX(B4:B404,(B3)+(1)))&lt;=(B328),IF(("mod")=(INDEX(B1:XFD1,(A2)+(0))),MOD(INDEX(B4:B404,(B3)+(1)),B328),B328)))))))),B328))</f>
        <v>#VALUE!</v>
      </c>
      <c r="C328" t="e">
        <f ca="1">IF((A1)=(2),1,IF(AND((INDEX(B1:XFD1,(A2)+(0)))=("writeheap"),(INDEX(B4:B404,(B3)+(1)))=(324)),INDEX(B4:B404,(B3)+(2)),IF((A1)=(2),1,IF((325)=(C3),C328,C328))))</f>
        <v>#VALUE!</v>
      </c>
      <c r="E328" t="e">
        <f ca="1">IF((A1)=(2),1,IF((325)=(E3),IF(("outputline")=(INDEX(B1:XFD1,(A2)+(0))),B2,E328),E328))</f>
        <v>#VALUE!</v>
      </c>
      <c r="F328" t="e">
        <f ca="1">IF((A1)=(2),1,IF((325)=(F3),IF(IF((INDEX(B1:XFD1,(A2)+(0)))=("store"),(INDEX(B1:XFD1,(A2)+(1)))=("F"),"false"),B2,F328),F328))</f>
        <v>#VALUE!</v>
      </c>
      <c r="G328" t="e">
        <f ca="1">IF((A1)=(2),1,IF((325)=(G3),IF(IF((INDEX(B1:XFD1,(A2)+(0)))=("store"),(INDEX(B1:XFD1,(A2)+(1)))=("G"),"false"),B2,G328),G328))</f>
        <v>#VALUE!</v>
      </c>
      <c r="H328" t="e">
        <f ca="1">IF((A1)=(2),1,IF((325)=(H3),IF(IF((INDEX(B1:XFD1,(A2)+(0)))=("store"),(INDEX(B1:XFD1,(A2)+(1)))=("H"),"false"),B2,H328),H328))</f>
        <v>#VALUE!</v>
      </c>
      <c r="I328" t="e">
        <f ca="1">IF((A1)=(2),1,IF((325)=(I3),IF(IF((INDEX(B1:XFD1,(A2)+(0)))=("store"),(INDEX(B1:XFD1,(A2)+(1)))=("I"),"false"),B2,I328),I328))</f>
        <v>#VALUE!</v>
      </c>
      <c r="J328" t="e">
        <f ca="1">IF((A1)=(2),1,IF((325)=(J3),IF(IF((INDEX(B1:XFD1,(A2)+(0)))=("store"),(INDEX(B1:XFD1,(A2)+(1)))=("J"),"false"),B2,J328),J328))</f>
        <v>#VALUE!</v>
      </c>
      <c r="K328" t="e">
        <f ca="1">IF((A1)=(2),1,IF((325)=(K3),IF(IF((INDEX(B1:XFD1,(A2)+(0)))=("store"),(INDEX(B1:XFD1,(A2)+(1)))=("K"),"false"),B2,K328),K328))</f>
        <v>#VALUE!</v>
      </c>
      <c r="L328" t="e">
        <f ca="1">IF((A1)=(2),1,IF((325)=(L3),IF(IF((INDEX(B1:XFD1,(A2)+(0)))=("store"),(INDEX(B1:XFD1,(A2)+(1)))=("L"),"false"),B2,L328),L328))</f>
        <v>#VALUE!</v>
      </c>
      <c r="M328" t="e">
        <f ca="1">IF((A1)=(2),1,IF((325)=(M3),IF(IF((INDEX(B1:XFD1,(A2)+(0)))=("store"),(INDEX(B1:XFD1,(A2)+(1)))=("M"),"false"),B2,M328),M328))</f>
        <v>#VALUE!</v>
      </c>
      <c r="N328" t="e">
        <f ca="1">IF((A1)=(2),1,IF((325)=(N3),IF(IF((INDEX(B1:XFD1,(A2)+(0)))=("store"),(INDEX(B1:XFD1,(A2)+(1)))=("N"),"false"),B2,N328),N328))</f>
        <v>#VALUE!</v>
      </c>
      <c r="O328" t="e">
        <f ca="1">IF((A1)=(2),1,IF((325)=(O3),IF(IF((INDEX(B1:XFD1,(A2)+(0)))=("store"),(INDEX(B1:XFD1,(A2)+(1)))=("O"),"false"),B2,O328),O328))</f>
        <v>#VALUE!</v>
      </c>
      <c r="P328" t="e">
        <f ca="1">IF((A1)=(2),1,IF((325)=(P3),IF(IF((INDEX(B1:XFD1,(A2)+(0)))=("store"),(INDEX(B1:XFD1,(A2)+(1)))=("P"),"false"),B2,P328),P328))</f>
        <v>#VALUE!</v>
      </c>
      <c r="Q328" t="e">
        <f ca="1">IF((A1)=(2),1,IF((325)=(Q3),IF(IF((INDEX(B1:XFD1,(A2)+(0)))=("store"),(INDEX(B1:XFD1,(A2)+(1)))=("Q"),"false"),B2,Q328),Q328))</f>
        <v>#VALUE!</v>
      </c>
      <c r="R328" t="e">
        <f ca="1">IF((A1)=(2),1,IF((325)=(R3),IF(IF((INDEX(B1:XFD1,(A2)+(0)))=("store"),(INDEX(B1:XFD1,(A2)+(1)))=("R"),"false"),B2,R328),R328))</f>
        <v>#VALUE!</v>
      </c>
      <c r="S328" t="e">
        <f ca="1">IF((A1)=(2),1,IF((325)=(S3),IF(IF((INDEX(B1:XFD1,(A2)+(0)))=("store"),(INDEX(B1:XFD1,(A2)+(1)))=("S"),"false"),B2,S328),S328))</f>
        <v>#VALUE!</v>
      </c>
      <c r="T328" t="e">
        <f ca="1">IF((A1)=(2),1,IF((325)=(T3),IF(IF((INDEX(B1:XFD1,(A2)+(0)))=("store"),(INDEX(B1:XFD1,(A2)+(1)))=("T"),"false"),B2,T328),T328))</f>
        <v>#VALUE!</v>
      </c>
      <c r="U328" t="e">
        <f ca="1">IF((A1)=(2),1,IF((325)=(U3),IF(IF((INDEX(B1:XFD1,(A2)+(0)))=("store"),(INDEX(B1:XFD1,(A2)+(1)))=("U"),"false"),B2,U328),U328))</f>
        <v>#VALUE!</v>
      </c>
      <c r="V328" t="e">
        <f ca="1">IF((A1)=(2),1,IF((325)=(V3),IF(IF((INDEX(B1:XFD1,(A2)+(0)))=("store"),(INDEX(B1:XFD1,(A2)+(1)))=("V"),"false"),B2,V328),V328))</f>
        <v>#VALUE!</v>
      </c>
      <c r="W328" t="e">
        <f ca="1">IF((A1)=(2),1,IF((325)=(W3),IF(IF((INDEX(B1:XFD1,(A2)+(0)))=("store"),(INDEX(B1:XFD1,(A2)+(1)))=("W"),"false"),B2,W328),W328))</f>
        <v>#VALUE!</v>
      </c>
      <c r="X328" t="e">
        <f ca="1">IF((A1)=(2),1,IF((325)=(X3),IF(IF((INDEX(B1:XFD1,(A2)+(0)))=("store"),(INDEX(B1:XFD1,(A2)+(1)))=("X"),"false"),B2,X328),X328))</f>
        <v>#VALUE!</v>
      </c>
      <c r="Y328" t="e">
        <f ca="1">IF((A1)=(2),1,IF((325)=(Y3),IF(IF((INDEX(B1:XFD1,(A2)+(0)))=("store"),(INDEX(B1:XFD1,(A2)+(1)))=("Y"),"false"),B2,Y328),Y328))</f>
        <v>#VALUE!</v>
      </c>
      <c r="Z328" t="e">
        <f ca="1">IF((A1)=(2),1,IF((325)=(Z3),IF(IF((INDEX(B1:XFD1,(A2)+(0)))=("store"),(INDEX(B1:XFD1,(A2)+(1)))=("Z"),"false"),B2,Z328),Z328))</f>
        <v>#VALUE!</v>
      </c>
      <c r="AA328" t="e">
        <f ca="1">IF((A1)=(2),1,IF((325)=(AA3),IF(IF((INDEX(B1:XFD1,(A2)+(0)))=("store"),(INDEX(B1:XFD1,(A2)+(1)))=("AA"),"false"),B2,AA328),AA328))</f>
        <v>#VALUE!</v>
      </c>
      <c r="AB328" t="e">
        <f ca="1">IF((A1)=(2),1,IF((325)=(AB3),IF(IF((INDEX(B1:XFD1,(A2)+(0)))=("store"),(INDEX(B1:XFD1,(A2)+(1)))=("AB"),"false"),B2,AB328),AB328))</f>
        <v>#VALUE!</v>
      </c>
      <c r="AC328" t="e">
        <f ca="1">IF((A1)=(2),1,IF((325)=(AC3),IF(IF((INDEX(B1:XFD1,(A2)+(0)))=("store"),(INDEX(B1:XFD1,(A2)+(1)))=("AC"),"false"),B2,AC328),AC328))</f>
        <v>#VALUE!</v>
      </c>
      <c r="AD328" t="e">
        <f ca="1">IF((A1)=(2),1,IF((325)=(AD3),IF(IF((INDEX(B1:XFD1,(A2)+(0)))=("store"),(INDEX(B1:XFD1,(A2)+(1)))=("AD"),"false"),B2,AD328),AD328))</f>
        <v>#VALUE!</v>
      </c>
    </row>
    <row r="329" spans="1:30" x14ac:dyDescent="0.25">
      <c r="A329" t="e">
        <f ca="1">IF((A1)=(2),1,IF((326)=(A3),IF(("call")=(INDEX(B1:XFD1,(A2)+(0))),((B2)*(2))+(1),IF(("goto")=(INDEX(B1:XFD1,(A2)+(0))),((INDEX(B1:XFD1,(A2)+(1)))*(2))+(1),IF(("gotoiftrue")=(INDEX(B1:XFD1,(A2)+(0))),IF(B2,((INDEX(B1:XFD1,(A2)+(1)))*(2))+(1),(A329)+(2)),(A329)+(2)))),A329))</f>
        <v>#VALUE!</v>
      </c>
      <c r="B329" t="e">
        <f ca="1">IF((A1)=(2),1,IF((326)=(B3),IF(("push")=(INDEX(B1:XFD1,(A2)+(0))),INDEX(B1:XFD1,(A2)+(1)),IF(("load")=(INDEX(B1:XFD1,(A2)+(0))),INDEX(F2:XFD2,INDEX(B1:XFD1,(A2)+(1))),IF(("newheap")=(INDEX(B1:XFD1,(A2)+(0))),(C3)-(2),IF(("getheap")=(INDEX(B1:XFD1,(A2)+(0))),INDEX(C4:C404,(B329)+(1)),IF(("add")=(INDEX(B1:XFD1,(A2)+(0))),(INDEX(B4:B404,(B3)+(1)))+(B329),IF(("equals")=(INDEX(B1:XFD1,(A2)+(0))),(INDEX(B4:B404,(B3)+(1)))=(B329),IF(("leq")=(INDEX(B1:XFD1,(A2)+(0))),(INDEX(B4:B404,(B3)+(1)))&lt;=(B329),IF(("mod")=(INDEX(B1:XFD1,(A2)+(0))),MOD(INDEX(B4:B404,(B3)+(1)),B329),B329)))))))),B329))</f>
        <v>#VALUE!</v>
      </c>
      <c r="C329" t="e">
        <f ca="1">IF((A1)=(2),1,IF(AND((INDEX(B1:XFD1,(A2)+(0)))=("writeheap"),(INDEX(B4:B404,(B3)+(1)))=(325)),INDEX(B4:B404,(B3)+(2)),IF((A1)=(2),1,IF((326)=(C3),C329,C329))))</f>
        <v>#VALUE!</v>
      </c>
      <c r="E329" t="e">
        <f ca="1">IF((A1)=(2),1,IF((326)=(E3),IF(("outputline")=(INDEX(B1:XFD1,(A2)+(0))),B2,E329),E329))</f>
        <v>#VALUE!</v>
      </c>
      <c r="F329" t="e">
        <f ca="1">IF((A1)=(2),1,IF((326)=(F3),IF(IF((INDEX(B1:XFD1,(A2)+(0)))=("store"),(INDEX(B1:XFD1,(A2)+(1)))=("F"),"false"),B2,F329),F329))</f>
        <v>#VALUE!</v>
      </c>
      <c r="G329" t="e">
        <f ca="1">IF((A1)=(2),1,IF((326)=(G3),IF(IF((INDEX(B1:XFD1,(A2)+(0)))=("store"),(INDEX(B1:XFD1,(A2)+(1)))=("G"),"false"),B2,G329),G329))</f>
        <v>#VALUE!</v>
      </c>
      <c r="H329" t="e">
        <f ca="1">IF((A1)=(2),1,IF((326)=(H3),IF(IF((INDEX(B1:XFD1,(A2)+(0)))=("store"),(INDEX(B1:XFD1,(A2)+(1)))=("H"),"false"),B2,H329),H329))</f>
        <v>#VALUE!</v>
      </c>
      <c r="I329" t="e">
        <f ca="1">IF((A1)=(2),1,IF((326)=(I3),IF(IF((INDEX(B1:XFD1,(A2)+(0)))=("store"),(INDEX(B1:XFD1,(A2)+(1)))=("I"),"false"),B2,I329),I329))</f>
        <v>#VALUE!</v>
      </c>
      <c r="J329" t="e">
        <f ca="1">IF((A1)=(2),1,IF((326)=(J3),IF(IF((INDEX(B1:XFD1,(A2)+(0)))=("store"),(INDEX(B1:XFD1,(A2)+(1)))=("J"),"false"),B2,J329),J329))</f>
        <v>#VALUE!</v>
      </c>
      <c r="K329" t="e">
        <f ca="1">IF((A1)=(2),1,IF((326)=(K3),IF(IF((INDEX(B1:XFD1,(A2)+(0)))=("store"),(INDEX(B1:XFD1,(A2)+(1)))=("K"),"false"),B2,K329),K329))</f>
        <v>#VALUE!</v>
      </c>
      <c r="L329" t="e">
        <f ca="1">IF((A1)=(2),1,IF((326)=(L3),IF(IF((INDEX(B1:XFD1,(A2)+(0)))=("store"),(INDEX(B1:XFD1,(A2)+(1)))=("L"),"false"),B2,L329),L329))</f>
        <v>#VALUE!</v>
      </c>
      <c r="M329" t="e">
        <f ca="1">IF((A1)=(2),1,IF((326)=(M3),IF(IF((INDEX(B1:XFD1,(A2)+(0)))=("store"),(INDEX(B1:XFD1,(A2)+(1)))=("M"),"false"),B2,M329),M329))</f>
        <v>#VALUE!</v>
      </c>
      <c r="N329" t="e">
        <f ca="1">IF((A1)=(2),1,IF((326)=(N3),IF(IF((INDEX(B1:XFD1,(A2)+(0)))=("store"),(INDEX(B1:XFD1,(A2)+(1)))=("N"),"false"),B2,N329),N329))</f>
        <v>#VALUE!</v>
      </c>
      <c r="O329" t="e">
        <f ca="1">IF((A1)=(2),1,IF((326)=(O3),IF(IF((INDEX(B1:XFD1,(A2)+(0)))=("store"),(INDEX(B1:XFD1,(A2)+(1)))=("O"),"false"),B2,O329),O329))</f>
        <v>#VALUE!</v>
      </c>
      <c r="P329" t="e">
        <f ca="1">IF((A1)=(2),1,IF((326)=(P3),IF(IF((INDEX(B1:XFD1,(A2)+(0)))=("store"),(INDEX(B1:XFD1,(A2)+(1)))=("P"),"false"),B2,P329),P329))</f>
        <v>#VALUE!</v>
      </c>
      <c r="Q329" t="e">
        <f ca="1">IF((A1)=(2),1,IF((326)=(Q3),IF(IF((INDEX(B1:XFD1,(A2)+(0)))=("store"),(INDEX(B1:XFD1,(A2)+(1)))=("Q"),"false"),B2,Q329),Q329))</f>
        <v>#VALUE!</v>
      </c>
      <c r="R329" t="e">
        <f ca="1">IF((A1)=(2),1,IF((326)=(R3),IF(IF((INDEX(B1:XFD1,(A2)+(0)))=("store"),(INDEX(B1:XFD1,(A2)+(1)))=("R"),"false"),B2,R329),R329))</f>
        <v>#VALUE!</v>
      </c>
      <c r="S329" t="e">
        <f ca="1">IF((A1)=(2),1,IF((326)=(S3),IF(IF((INDEX(B1:XFD1,(A2)+(0)))=("store"),(INDEX(B1:XFD1,(A2)+(1)))=("S"),"false"),B2,S329),S329))</f>
        <v>#VALUE!</v>
      </c>
      <c r="T329" t="e">
        <f ca="1">IF((A1)=(2),1,IF((326)=(T3),IF(IF((INDEX(B1:XFD1,(A2)+(0)))=("store"),(INDEX(B1:XFD1,(A2)+(1)))=("T"),"false"),B2,T329),T329))</f>
        <v>#VALUE!</v>
      </c>
      <c r="U329" t="e">
        <f ca="1">IF((A1)=(2),1,IF((326)=(U3),IF(IF((INDEX(B1:XFD1,(A2)+(0)))=("store"),(INDEX(B1:XFD1,(A2)+(1)))=("U"),"false"),B2,U329),U329))</f>
        <v>#VALUE!</v>
      </c>
      <c r="V329" t="e">
        <f ca="1">IF((A1)=(2),1,IF((326)=(V3),IF(IF((INDEX(B1:XFD1,(A2)+(0)))=("store"),(INDEX(B1:XFD1,(A2)+(1)))=("V"),"false"),B2,V329),V329))</f>
        <v>#VALUE!</v>
      </c>
      <c r="W329" t="e">
        <f ca="1">IF((A1)=(2),1,IF((326)=(W3),IF(IF((INDEX(B1:XFD1,(A2)+(0)))=("store"),(INDEX(B1:XFD1,(A2)+(1)))=("W"),"false"),B2,W329),W329))</f>
        <v>#VALUE!</v>
      </c>
      <c r="X329" t="e">
        <f ca="1">IF((A1)=(2),1,IF((326)=(X3),IF(IF((INDEX(B1:XFD1,(A2)+(0)))=("store"),(INDEX(B1:XFD1,(A2)+(1)))=("X"),"false"),B2,X329),X329))</f>
        <v>#VALUE!</v>
      </c>
      <c r="Y329" t="e">
        <f ca="1">IF((A1)=(2),1,IF((326)=(Y3),IF(IF((INDEX(B1:XFD1,(A2)+(0)))=("store"),(INDEX(B1:XFD1,(A2)+(1)))=("Y"),"false"),B2,Y329),Y329))</f>
        <v>#VALUE!</v>
      </c>
      <c r="Z329" t="e">
        <f ca="1">IF((A1)=(2),1,IF((326)=(Z3),IF(IF((INDEX(B1:XFD1,(A2)+(0)))=("store"),(INDEX(B1:XFD1,(A2)+(1)))=("Z"),"false"),B2,Z329),Z329))</f>
        <v>#VALUE!</v>
      </c>
      <c r="AA329" t="e">
        <f ca="1">IF((A1)=(2),1,IF((326)=(AA3),IF(IF((INDEX(B1:XFD1,(A2)+(0)))=("store"),(INDEX(B1:XFD1,(A2)+(1)))=("AA"),"false"),B2,AA329),AA329))</f>
        <v>#VALUE!</v>
      </c>
      <c r="AB329" t="e">
        <f ca="1">IF((A1)=(2),1,IF((326)=(AB3),IF(IF((INDEX(B1:XFD1,(A2)+(0)))=("store"),(INDEX(B1:XFD1,(A2)+(1)))=("AB"),"false"),B2,AB329),AB329))</f>
        <v>#VALUE!</v>
      </c>
      <c r="AC329" t="e">
        <f ca="1">IF((A1)=(2),1,IF((326)=(AC3),IF(IF((INDEX(B1:XFD1,(A2)+(0)))=("store"),(INDEX(B1:XFD1,(A2)+(1)))=("AC"),"false"),B2,AC329),AC329))</f>
        <v>#VALUE!</v>
      </c>
      <c r="AD329" t="e">
        <f ca="1">IF((A1)=(2),1,IF((326)=(AD3),IF(IF((INDEX(B1:XFD1,(A2)+(0)))=("store"),(INDEX(B1:XFD1,(A2)+(1)))=("AD"),"false"),B2,AD329),AD329))</f>
        <v>#VALUE!</v>
      </c>
    </row>
    <row r="330" spans="1:30" x14ac:dyDescent="0.25">
      <c r="A330" t="e">
        <f ca="1">IF((A1)=(2),1,IF((327)=(A3),IF(("call")=(INDEX(B1:XFD1,(A2)+(0))),((B2)*(2))+(1),IF(("goto")=(INDEX(B1:XFD1,(A2)+(0))),((INDEX(B1:XFD1,(A2)+(1)))*(2))+(1),IF(("gotoiftrue")=(INDEX(B1:XFD1,(A2)+(0))),IF(B2,((INDEX(B1:XFD1,(A2)+(1)))*(2))+(1),(A330)+(2)),(A330)+(2)))),A330))</f>
        <v>#VALUE!</v>
      </c>
      <c r="B330" t="e">
        <f ca="1">IF((A1)=(2),1,IF((327)=(B3),IF(("push")=(INDEX(B1:XFD1,(A2)+(0))),INDEX(B1:XFD1,(A2)+(1)),IF(("load")=(INDEX(B1:XFD1,(A2)+(0))),INDEX(F2:XFD2,INDEX(B1:XFD1,(A2)+(1))),IF(("newheap")=(INDEX(B1:XFD1,(A2)+(0))),(C3)-(2),IF(("getheap")=(INDEX(B1:XFD1,(A2)+(0))),INDEX(C4:C404,(B330)+(1)),IF(("add")=(INDEX(B1:XFD1,(A2)+(0))),(INDEX(B4:B404,(B3)+(1)))+(B330),IF(("equals")=(INDEX(B1:XFD1,(A2)+(0))),(INDEX(B4:B404,(B3)+(1)))=(B330),IF(("leq")=(INDEX(B1:XFD1,(A2)+(0))),(INDEX(B4:B404,(B3)+(1)))&lt;=(B330),IF(("mod")=(INDEX(B1:XFD1,(A2)+(0))),MOD(INDEX(B4:B404,(B3)+(1)),B330),B330)))))))),B330))</f>
        <v>#VALUE!</v>
      </c>
      <c r="C330" t="e">
        <f ca="1">IF((A1)=(2),1,IF(AND((INDEX(B1:XFD1,(A2)+(0)))=("writeheap"),(INDEX(B4:B404,(B3)+(1)))=(326)),INDEX(B4:B404,(B3)+(2)),IF((A1)=(2),1,IF((327)=(C3),C330,C330))))</f>
        <v>#VALUE!</v>
      </c>
      <c r="E330" t="e">
        <f ca="1">IF((A1)=(2),1,IF((327)=(E3),IF(("outputline")=(INDEX(B1:XFD1,(A2)+(0))),B2,E330),E330))</f>
        <v>#VALUE!</v>
      </c>
      <c r="F330" t="e">
        <f ca="1">IF((A1)=(2),1,IF((327)=(F3),IF(IF((INDEX(B1:XFD1,(A2)+(0)))=("store"),(INDEX(B1:XFD1,(A2)+(1)))=("F"),"false"),B2,F330),F330))</f>
        <v>#VALUE!</v>
      </c>
      <c r="G330" t="e">
        <f ca="1">IF((A1)=(2),1,IF((327)=(G3),IF(IF((INDEX(B1:XFD1,(A2)+(0)))=("store"),(INDEX(B1:XFD1,(A2)+(1)))=("G"),"false"),B2,G330),G330))</f>
        <v>#VALUE!</v>
      </c>
      <c r="H330" t="e">
        <f ca="1">IF((A1)=(2),1,IF((327)=(H3),IF(IF((INDEX(B1:XFD1,(A2)+(0)))=("store"),(INDEX(B1:XFD1,(A2)+(1)))=("H"),"false"),B2,H330),H330))</f>
        <v>#VALUE!</v>
      </c>
      <c r="I330" t="e">
        <f ca="1">IF((A1)=(2),1,IF((327)=(I3),IF(IF((INDEX(B1:XFD1,(A2)+(0)))=("store"),(INDEX(B1:XFD1,(A2)+(1)))=("I"),"false"),B2,I330),I330))</f>
        <v>#VALUE!</v>
      </c>
      <c r="J330" t="e">
        <f ca="1">IF((A1)=(2),1,IF((327)=(J3),IF(IF((INDEX(B1:XFD1,(A2)+(0)))=("store"),(INDEX(B1:XFD1,(A2)+(1)))=("J"),"false"),B2,J330),J330))</f>
        <v>#VALUE!</v>
      </c>
      <c r="K330" t="e">
        <f ca="1">IF((A1)=(2),1,IF((327)=(K3),IF(IF((INDEX(B1:XFD1,(A2)+(0)))=("store"),(INDEX(B1:XFD1,(A2)+(1)))=("K"),"false"),B2,K330),K330))</f>
        <v>#VALUE!</v>
      </c>
      <c r="L330" t="e">
        <f ca="1">IF((A1)=(2),1,IF((327)=(L3),IF(IF((INDEX(B1:XFD1,(A2)+(0)))=("store"),(INDEX(B1:XFD1,(A2)+(1)))=("L"),"false"),B2,L330),L330))</f>
        <v>#VALUE!</v>
      </c>
      <c r="M330" t="e">
        <f ca="1">IF((A1)=(2),1,IF((327)=(M3),IF(IF((INDEX(B1:XFD1,(A2)+(0)))=("store"),(INDEX(B1:XFD1,(A2)+(1)))=("M"),"false"),B2,M330),M330))</f>
        <v>#VALUE!</v>
      </c>
      <c r="N330" t="e">
        <f ca="1">IF((A1)=(2),1,IF((327)=(N3),IF(IF((INDEX(B1:XFD1,(A2)+(0)))=("store"),(INDEX(B1:XFD1,(A2)+(1)))=("N"),"false"),B2,N330),N330))</f>
        <v>#VALUE!</v>
      </c>
      <c r="O330" t="e">
        <f ca="1">IF((A1)=(2),1,IF((327)=(O3),IF(IF((INDEX(B1:XFD1,(A2)+(0)))=("store"),(INDEX(B1:XFD1,(A2)+(1)))=("O"),"false"),B2,O330),O330))</f>
        <v>#VALUE!</v>
      </c>
      <c r="P330" t="e">
        <f ca="1">IF((A1)=(2),1,IF((327)=(P3),IF(IF((INDEX(B1:XFD1,(A2)+(0)))=("store"),(INDEX(B1:XFD1,(A2)+(1)))=("P"),"false"),B2,P330),P330))</f>
        <v>#VALUE!</v>
      </c>
      <c r="Q330" t="e">
        <f ca="1">IF((A1)=(2),1,IF((327)=(Q3),IF(IF((INDEX(B1:XFD1,(A2)+(0)))=("store"),(INDEX(B1:XFD1,(A2)+(1)))=("Q"),"false"),B2,Q330),Q330))</f>
        <v>#VALUE!</v>
      </c>
      <c r="R330" t="e">
        <f ca="1">IF((A1)=(2),1,IF((327)=(R3),IF(IF((INDEX(B1:XFD1,(A2)+(0)))=("store"),(INDEX(B1:XFD1,(A2)+(1)))=("R"),"false"),B2,R330),R330))</f>
        <v>#VALUE!</v>
      </c>
      <c r="S330" t="e">
        <f ca="1">IF((A1)=(2),1,IF((327)=(S3),IF(IF((INDEX(B1:XFD1,(A2)+(0)))=("store"),(INDEX(B1:XFD1,(A2)+(1)))=("S"),"false"),B2,S330),S330))</f>
        <v>#VALUE!</v>
      </c>
      <c r="T330" t="e">
        <f ca="1">IF((A1)=(2),1,IF((327)=(T3),IF(IF((INDEX(B1:XFD1,(A2)+(0)))=("store"),(INDEX(B1:XFD1,(A2)+(1)))=("T"),"false"),B2,T330),T330))</f>
        <v>#VALUE!</v>
      </c>
      <c r="U330" t="e">
        <f ca="1">IF((A1)=(2),1,IF((327)=(U3),IF(IF((INDEX(B1:XFD1,(A2)+(0)))=("store"),(INDEX(B1:XFD1,(A2)+(1)))=("U"),"false"),B2,U330),U330))</f>
        <v>#VALUE!</v>
      </c>
      <c r="V330" t="e">
        <f ca="1">IF((A1)=(2),1,IF((327)=(V3),IF(IF((INDEX(B1:XFD1,(A2)+(0)))=("store"),(INDEX(B1:XFD1,(A2)+(1)))=("V"),"false"),B2,V330),V330))</f>
        <v>#VALUE!</v>
      </c>
      <c r="W330" t="e">
        <f ca="1">IF((A1)=(2),1,IF((327)=(W3),IF(IF((INDEX(B1:XFD1,(A2)+(0)))=("store"),(INDEX(B1:XFD1,(A2)+(1)))=("W"),"false"),B2,W330),W330))</f>
        <v>#VALUE!</v>
      </c>
      <c r="X330" t="e">
        <f ca="1">IF((A1)=(2),1,IF((327)=(X3),IF(IF((INDEX(B1:XFD1,(A2)+(0)))=("store"),(INDEX(B1:XFD1,(A2)+(1)))=("X"),"false"),B2,X330),X330))</f>
        <v>#VALUE!</v>
      </c>
      <c r="Y330" t="e">
        <f ca="1">IF((A1)=(2),1,IF((327)=(Y3),IF(IF((INDEX(B1:XFD1,(A2)+(0)))=("store"),(INDEX(B1:XFD1,(A2)+(1)))=("Y"),"false"),B2,Y330),Y330))</f>
        <v>#VALUE!</v>
      </c>
      <c r="Z330" t="e">
        <f ca="1">IF((A1)=(2),1,IF((327)=(Z3),IF(IF((INDEX(B1:XFD1,(A2)+(0)))=("store"),(INDEX(B1:XFD1,(A2)+(1)))=("Z"),"false"),B2,Z330),Z330))</f>
        <v>#VALUE!</v>
      </c>
      <c r="AA330" t="e">
        <f ca="1">IF((A1)=(2),1,IF((327)=(AA3),IF(IF((INDEX(B1:XFD1,(A2)+(0)))=("store"),(INDEX(B1:XFD1,(A2)+(1)))=("AA"),"false"),B2,AA330),AA330))</f>
        <v>#VALUE!</v>
      </c>
      <c r="AB330" t="e">
        <f ca="1">IF((A1)=(2),1,IF((327)=(AB3),IF(IF((INDEX(B1:XFD1,(A2)+(0)))=("store"),(INDEX(B1:XFD1,(A2)+(1)))=("AB"),"false"),B2,AB330),AB330))</f>
        <v>#VALUE!</v>
      </c>
      <c r="AC330" t="e">
        <f ca="1">IF((A1)=(2),1,IF((327)=(AC3),IF(IF((INDEX(B1:XFD1,(A2)+(0)))=("store"),(INDEX(B1:XFD1,(A2)+(1)))=("AC"),"false"),B2,AC330),AC330))</f>
        <v>#VALUE!</v>
      </c>
      <c r="AD330" t="e">
        <f ca="1">IF((A1)=(2),1,IF((327)=(AD3),IF(IF((INDEX(B1:XFD1,(A2)+(0)))=("store"),(INDEX(B1:XFD1,(A2)+(1)))=("AD"),"false"),B2,AD330),AD330))</f>
        <v>#VALUE!</v>
      </c>
    </row>
    <row r="331" spans="1:30" x14ac:dyDescent="0.25">
      <c r="A331" t="e">
        <f ca="1">IF((A1)=(2),1,IF((328)=(A3),IF(("call")=(INDEX(B1:XFD1,(A2)+(0))),((B2)*(2))+(1),IF(("goto")=(INDEX(B1:XFD1,(A2)+(0))),((INDEX(B1:XFD1,(A2)+(1)))*(2))+(1),IF(("gotoiftrue")=(INDEX(B1:XFD1,(A2)+(0))),IF(B2,((INDEX(B1:XFD1,(A2)+(1)))*(2))+(1),(A331)+(2)),(A331)+(2)))),A331))</f>
        <v>#VALUE!</v>
      </c>
      <c r="B331" t="e">
        <f ca="1">IF((A1)=(2),1,IF((328)=(B3),IF(("push")=(INDEX(B1:XFD1,(A2)+(0))),INDEX(B1:XFD1,(A2)+(1)),IF(("load")=(INDEX(B1:XFD1,(A2)+(0))),INDEX(F2:XFD2,INDEX(B1:XFD1,(A2)+(1))),IF(("newheap")=(INDEX(B1:XFD1,(A2)+(0))),(C3)-(2),IF(("getheap")=(INDEX(B1:XFD1,(A2)+(0))),INDEX(C4:C404,(B331)+(1)),IF(("add")=(INDEX(B1:XFD1,(A2)+(0))),(INDEX(B4:B404,(B3)+(1)))+(B331),IF(("equals")=(INDEX(B1:XFD1,(A2)+(0))),(INDEX(B4:B404,(B3)+(1)))=(B331),IF(("leq")=(INDEX(B1:XFD1,(A2)+(0))),(INDEX(B4:B404,(B3)+(1)))&lt;=(B331),IF(("mod")=(INDEX(B1:XFD1,(A2)+(0))),MOD(INDEX(B4:B404,(B3)+(1)),B331),B331)))))))),B331))</f>
        <v>#VALUE!</v>
      </c>
      <c r="C331" t="e">
        <f ca="1">IF((A1)=(2),1,IF(AND((INDEX(B1:XFD1,(A2)+(0)))=("writeheap"),(INDEX(B4:B404,(B3)+(1)))=(327)),INDEX(B4:B404,(B3)+(2)),IF((A1)=(2),1,IF((328)=(C3),C331,C331))))</f>
        <v>#VALUE!</v>
      </c>
      <c r="E331" t="e">
        <f ca="1">IF((A1)=(2),1,IF((328)=(E3),IF(("outputline")=(INDEX(B1:XFD1,(A2)+(0))),B2,E331),E331))</f>
        <v>#VALUE!</v>
      </c>
      <c r="F331" t="e">
        <f ca="1">IF((A1)=(2),1,IF((328)=(F3),IF(IF((INDEX(B1:XFD1,(A2)+(0)))=("store"),(INDEX(B1:XFD1,(A2)+(1)))=("F"),"false"),B2,F331),F331))</f>
        <v>#VALUE!</v>
      </c>
      <c r="G331" t="e">
        <f ca="1">IF((A1)=(2),1,IF((328)=(G3),IF(IF((INDEX(B1:XFD1,(A2)+(0)))=("store"),(INDEX(B1:XFD1,(A2)+(1)))=("G"),"false"),B2,G331),G331))</f>
        <v>#VALUE!</v>
      </c>
      <c r="H331" t="e">
        <f ca="1">IF((A1)=(2),1,IF((328)=(H3),IF(IF((INDEX(B1:XFD1,(A2)+(0)))=("store"),(INDEX(B1:XFD1,(A2)+(1)))=("H"),"false"),B2,H331),H331))</f>
        <v>#VALUE!</v>
      </c>
      <c r="I331" t="e">
        <f ca="1">IF((A1)=(2),1,IF((328)=(I3),IF(IF((INDEX(B1:XFD1,(A2)+(0)))=("store"),(INDEX(B1:XFD1,(A2)+(1)))=("I"),"false"),B2,I331),I331))</f>
        <v>#VALUE!</v>
      </c>
      <c r="J331" t="e">
        <f ca="1">IF((A1)=(2),1,IF((328)=(J3),IF(IF((INDEX(B1:XFD1,(A2)+(0)))=("store"),(INDEX(B1:XFD1,(A2)+(1)))=("J"),"false"),B2,J331),J331))</f>
        <v>#VALUE!</v>
      </c>
      <c r="K331" t="e">
        <f ca="1">IF((A1)=(2),1,IF((328)=(K3),IF(IF((INDEX(B1:XFD1,(A2)+(0)))=("store"),(INDEX(B1:XFD1,(A2)+(1)))=("K"),"false"),B2,K331),K331))</f>
        <v>#VALUE!</v>
      </c>
      <c r="L331" t="e">
        <f ca="1">IF((A1)=(2),1,IF((328)=(L3),IF(IF((INDEX(B1:XFD1,(A2)+(0)))=("store"),(INDEX(B1:XFD1,(A2)+(1)))=("L"),"false"),B2,L331),L331))</f>
        <v>#VALUE!</v>
      </c>
      <c r="M331" t="e">
        <f ca="1">IF((A1)=(2),1,IF((328)=(M3),IF(IF((INDEX(B1:XFD1,(A2)+(0)))=("store"),(INDEX(B1:XFD1,(A2)+(1)))=("M"),"false"),B2,M331),M331))</f>
        <v>#VALUE!</v>
      </c>
      <c r="N331" t="e">
        <f ca="1">IF((A1)=(2),1,IF((328)=(N3),IF(IF((INDEX(B1:XFD1,(A2)+(0)))=("store"),(INDEX(B1:XFD1,(A2)+(1)))=("N"),"false"),B2,N331),N331))</f>
        <v>#VALUE!</v>
      </c>
      <c r="O331" t="e">
        <f ca="1">IF((A1)=(2),1,IF((328)=(O3),IF(IF((INDEX(B1:XFD1,(A2)+(0)))=("store"),(INDEX(B1:XFD1,(A2)+(1)))=("O"),"false"),B2,O331),O331))</f>
        <v>#VALUE!</v>
      </c>
      <c r="P331" t="e">
        <f ca="1">IF((A1)=(2),1,IF((328)=(P3),IF(IF((INDEX(B1:XFD1,(A2)+(0)))=("store"),(INDEX(B1:XFD1,(A2)+(1)))=("P"),"false"),B2,P331),P331))</f>
        <v>#VALUE!</v>
      </c>
      <c r="Q331" t="e">
        <f ca="1">IF((A1)=(2),1,IF((328)=(Q3),IF(IF((INDEX(B1:XFD1,(A2)+(0)))=("store"),(INDEX(B1:XFD1,(A2)+(1)))=("Q"),"false"),B2,Q331),Q331))</f>
        <v>#VALUE!</v>
      </c>
      <c r="R331" t="e">
        <f ca="1">IF((A1)=(2),1,IF((328)=(R3),IF(IF((INDEX(B1:XFD1,(A2)+(0)))=("store"),(INDEX(B1:XFD1,(A2)+(1)))=("R"),"false"),B2,R331),R331))</f>
        <v>#VALUE!</v>
      </c>
      <c r="S331" t="e">
        <f ca="1">IF((A1)=(2),1,IF((328)=(S3),IF(IF((INDEX(B1:XFD1,(A2)+(0)))=("store"),(INDEX(B1:XFD1,(A2)+(1)))=("S"),"false"),B2,S331),S331))</f>
        <v>#VALUE!</v>
      </c>
      <c r="T331" t="e">
        <f ca="1">IF((A1)=(2),1,IF((328)=(T3),IF(IF((INDEX(B1:XFD1,(A2)+(0)))=("store"),(INDEX(B1:XFD1,(A2)+(1)))=("T"),"false"),B2,T331),T331))</f>
        <v>#VALUE!</v>
      </c>
      <c r="U331" t="e">
        <f ca="1">IF((A1)=(2),1,IF((328)=(U3),IF(IF((INDEX(B1:XFD1,(A2)+(0)))=("store"),(INDEX(B1:XFD1,(A2)+(1)))=("U"),"false"),B2,U331),U331))</f>
        <v>#VALUE!</v>
      </c>
      <c r="V331" t="e">
        <f ca="1">IF((A1)=(2),1,IF((328)=(V3),IF(IF((INDEX(B1:XFD1,(A2)+(0)))=("store"),(INDEX(B1:XFD1,(A2)+(1)))=("V"),"false"),B2,V331),V331))</f>
        <v>#VALUE!</v>
      </c>
      <c r="W331" t="e">
        <f ca="1">IF((A1)=(2),1,IF((328)=(W3),IF(IF((INDEX(B1:XFD1,(A2)+(0)))=("store"),(INDEX(B1:XFD1,(A2)+(1)))=("W"),"false"),B2,W331),W331))</f>
        <v>#VALUE!</v>
      </c>
      <c r="X331" t="e">
        <f ca="1">IF((A1)=(2),1,IF((328)=(X3),IF(IF((INDEX(B1:XFD1,(A2)+(0)))=("store"),(INDEX(B1:XFD1,(A2)+(1)))=("X"),"false"),B2,X331),X331))</f>
        <v>#VALUE!</v>
      </c>
      <c r="Y331" t="e">
        <f ca="1">IF((A1)=(2),1,IF((328)=(Y3),IF(IF((INDEX(B1:XFD1,(A2)+(0)))=("store"),(INDEX(B1:XFD1,(A2)+(1)))=("Y"),"false"),B2,Y331),Y331))</f>
        <v>#VALUE!</v>
      </c>
      <c r="Z331" t="e">
        <f ca="1">IF((A1)=(2),1,IF((328)=(Z3),IF(IF((INDEX(B1:XFD1,(A2)+(0)))=("store"),(INDEX(B1:XFD1,(A2)+(1)))=("Z"),"false"),B2,Z331),Z331))</f>
        <v>#VALUE!</v>
      </c>
      <c r="AA331" t="e">
        <f ca="1">IF((A1)=(2),1,IF((328)=(AA3),IF(IF((INDEX(B1:XFD1,(A2)+(0)))=("store"),(INDEX(B1:XFD1,(A2)+(1)))=("AA"),"false"),B2,AA331),AA331))</f>
        <v>#VALUE!</v>
      </c>
      <c r="AB331" t="e">
        <f ca="1">IF((A1)=(2),1,IF((328)=(AB3),IF(IF((INDEX(B1:XFD1,(A2)+(0)))=("store"),(INDEX(B1:XFD1,(A2)+(1)))=("AB"),"false"),B2,AB331),AB331))</f>
        <v>#VALUE!</v>
      </c>
      <c r="AC331" t="e">
        <f ca="1">IF((A1)=(2),1,IF((328)=(AC3),IF(IF((INDEX(B1:XFD1,(A2)+(0)))=("store"),(INDEX(B1:XFD1,(A2)+(1)))=("AC"),"false"),B2,AC331),AC331))</f>
        <v>#VALUE!</v>
      </c>
      <c r="AD331" t="e">
        <f ca="1">IF((A1)=(2),1,IF((328)=(AD3),IF(IF((INDEX(B1:XFD1,(A2)+(0)))=("store"),(INDEX(B1:XFD1,(A2)+(1)))=("AD"),"false"),B2,AD331),AD331))</f>
        <v>#VALUE!</v>
      </c>
    </row>
    <row r="332" spans="1:30" x14ac:dyDescent="0.25">
      <c r="A332" t="e">
        <f ca="1">IF((A1)=(2),1,IF((329)=(A3),IF(("call")=(INDEX(B1:XFD1,(A2)+(0))),((B2)*(2))+(1),IF(("goto")=(INDEX(B1:XFD1,(A2)+(0))),((INDEX(B1:XFD1,(A2)+(1)))*(2))+(1),IF(("gotoiftrue")=(INDEX(B1:XFD1,(A2)+(0))),IF(B2,((INDEX(B1:XFD1,(A2)+(1)))*(2))+(1),(A332)+(2)),(A332)+(2)))),A332))</f>
        <v>#VALUE!</v>
      </c>
      <c r="B332" t="e">
        <f ca="1">IF((A1)=(2),1,IF((329)=(B3),IF(("push")=(INDEX(B1:XFD1,(A2)+(0))),INDEX(B1:XFD1,(A2)+(1)),IF(("load")=(INDEX(B1:XFD1,(A2)+(0))),INDEX(F2:XFD2,INDEX(B1:XFD1,(A2)+(1))),IF(("newheap")=(INDEX(B1:XFD1,(A2)+(0))),(C3)-(2),IF(("getheap")=(INDEX(B1:XFD1,(A2)+(0))),INDEX(C4:C404,(B332)+(1)),IF(("add")=(INDEX(B1:XFD1,(A2)+(0))),(INDEX(B4:B404,(B3)+(1)))+(B332),IF(("equals")=(INDEX(B1:XFD1,(A2)+(0))),(INDEX(B4:B404,(B3)+(1)))=(B332),IF(("leq")=(INDEX(B1:XFD1,(A2)+(0))),(INDEX(B4:B404,(B3)+(1)))&lt;=(B332),IF(("mod")=(INDEX(B1:XFD1,(A2)+(0))),MOD(INDEX(B4:B404,(B3)+(1)),B332),B332)))))))),B332))</f>
        <v>#VALUE!</v>
      </c>
      <c r="C332" t="e">
        <f ca="1">IF((A1)=(2),1,IF(AND((INDEX(B1:XFD1,(A2)+(0)))=("writeheap"),(INDEX(B4:B404,(B3)+(1)))=(328)),INDEX(B4:B404,(B3)+(2)),IF((A1)=(2),1,IF((329)=(C3),C332,C332))))</f>
        <v>#VALUE!</v>
      </c>
      <c r="E332" t="e">
        <f ca="1">IF((A1)=(2),1,IF((329)=(E3),IF(("outputline")=(INDEX(B1:XFD1,(A2)+(0))),B2,E332),E332))</f>
        <v>#VALUE!</v>
      </c>
      <c r="F332" t="e">
        <f ca="1">IF((A1)=(2),1,IF((329)=(F3),IF(IF((INDEX(B1:XFD1,(A2)+(0)))=("store"),(INDEX(B1:XFD1,(A2)+(1)))=("F"),"false"),B2,F332),F332))</f>
        <v>#VALUE!</v>
      </c>
      <c r="G332" t="e">
        <f ca="1">IF((A1)=(2),1,IF((329)=(G3),IF(IF((INDEX(B1:XFD1,(A2)+(0)))=("store"),(INDEX(B1:XFD1,(A2)+(1)))=("G"),"false"),B2,G332),G332))</f>
        <v>#VALUE!</v>
      </c>
      <c r="H332" t="e">
        <f ca="1">IF((A1)=(2),1,IF((329)=(H3),IF(IF((INDEX(B1:XFD1,(A2)+(0)))=("store"),(INDEX(B1:XFD1,(A2)+(1)))=("H"),"false"),B2,H332),H332))</f>
        <v>#VALUE!</v>
      </c>
      <c r="I332" t="e">
        <f ca="1">IF((A1)=(2),1,IF((329)=(I3),IF(IF((INDEX(B1:XFD1,(A2)+(0)))=("store"),(INDEX(B1:XFD1,(A2)+(1)))=("I"),"false"),B2,I332),I332))</f>
        <v>#VALUE!</v>
      </c>
      <c r="J332" t="e">
        <f ca="1">IF((A1)=(2),1,IF((329)=(J3),IF(IF((INDEX(B1:XFD1,(A2)+(0)))=("store"),(INDEX(B1:XFD1,(A2)+(1)))=("J"),"false"),B2,J332),J332))</f>
        <v>#VALUE!</v>
      </c>
      <c r="K332" t="e">
        <f ca="1">IF((A1)=(2),1,IF((329)=(K3),IF(IF((INDEX(B1:XFD1,(A2)+(0)))=("store"),(INDEX(B1:XFD1,(A2)+(1)))=("K"),"false"),B2,K332),K332))</f>
        <v>#VALUE!</v>
      </c>
      <c r="L332" t="e">
        <f ca="1">IF((A1)=(2),1,IF((329)=(L3),IF(IF((INDEX(B1:XFD1,(A2)+(0)))=("store"),(INDEX(B1:XFD1,(A2)+(1)))=("L"),"false"),B2,L332),L332))</f>
        <v>#VALUE!</v>
      </c>
      <c r="M332" t="e">
        <f ca="1">IF((A1)=(2),1,IF((329)=(M3),IF(IF((INDEX(B1:XFD1,(A2)+(0)))=("store"),(INDEX(B1:XFD1,(A2)+(1)))=("M"),"false"),B2,M332),M332))</f>
        <v>#VALUE!</v>
      </c>
      <c r="N332" t="e">
        <f ca="1">IF((A1)=(2),1,IF((329)=(N3),IF(IF((INDEX(B1:XFD1,(A2)+(0)))=("store"),(INDEX(B1:XFD1,(A2)+(1)))=("N"),"false"),B2,N332),N332))</f>
        <v>#VALUE!</v>
      </c>
      <c r="O332" t="e">
        <f ca="1">IF((A1)=(2),1,IF((329)=(O3),IF(IF((INDEX(B1:XFD1,(A2)+(0)))=("store"),(INDEX(B1:XFD1,(A2)+(1)))=("O"),"false"),B2,O332),O332))</f>
        <v>#VALUE!</v>
      </c>
      <c r="P332" t="e">
        <f ca="1">IF((A1)=(2),1,IF((329)=(P3),IF(IF((INDEX(B1:XFD1,(A2)+(0)))=("store"),(INDEX(B1:XFD1,(A2)+(1)))=("P"),"false"),B2,P332),P332))</f>
        <v>#VALUE!</v>
      </c>
      <c r="Q332" t="e">
        <f ca="1">IF((A1)=(2),1,IF((329)=(Q3),IF(IF((INDEX(B1:XFD1,(A2)+(0)))=("store"),(INDEX(B1:XFD1,(A2)+(1)))=("Q"),"false"),B2,Q332),Q332))</f>
        <v>#VALUE!</v>
      </c>
      <c r="R332" t="e">
        <f ca="1">IF((A1)=(2),1,IF((329)=(R3),IF(IF((INDEX(B1:XFD1,(A2)+(0)))=("store"),(INDEX(B1:XFD1,(A2)+(1)))=("R"),"false"),B2,R332),R332))</f>
        <v>#VALUE!</v>
      </c>
      <c r="S332" t="e">
        <f ca="1">IF((A1)=(2),1,IF((329)=(S3),IF(IF((INDEX(B1:XFD1,(A2)+(0)))=("store"),(INDEX(B1:XFD1,(A2)+(1)))=("S"),"false"),B2,S332),S332))</f>
        <v>#VALUE!</v>
      </c>
      <c r="T332" t="e">
        <f ca="1">IF((A1)=(2),1,IF((329)=(T3),IF(IF((INDEX(B1:XFD1,(A2)+(0)))=("store"),(INDEX(B1:XFD1,(A2)+(1)))=("T"),"false"),B2,T332),T332))</f>
        <v>#VALUE!</v>
      </c>
      <c r="U332" t="e">
        <f ca="1">IF((A1)=(2),1,IF((329)=(U3),IF(IF((INDEX(B1:XFD1,(A2)+(0)))=("store"),(INDEX(B1:XFD1,(A2)+(1)))=("U"),"false"),B2,U332),U332))</f>
        <v>#VALUE!</v>
      </c>
      <c r="V332" t="e">
        <f ca="1">IF((A1)=(2),1,IF((329)=(V3),IF(IF((INDEX(B1:XFD1,(A2)+(0)))=("store"),(INDEX(B1:XFD1,(A2)+(1)))=("V"),"false"),B2,V332),V332))</f>
        <v>#VALUE!</v>
      </c>
      <c r="W332" t="e">
        <f ca="1">IF((A1)=(2),1,IF((329)=(W3),IF(IF((INDEX(B1:XFD1,(A2)+(0)))=("store"),(INDEX(B1:XFD1,(A2)+(1)))=("W"),"false"),B2,W332),W332))</f>
        <v>#VALUE!</v>
      </c>
      <c r="X332" t="e">
        <f ca="1">IF((A1)=(2),1,IF((329)=(X3),IF(IF((INDEX(B1:XFD1,(A2)+(0)))=("store"),(INDEX(B1:XFD1,(A2)+(1)))=("X"),"false"),B2,X332),X332))</f>
        <v>#VALUE!</v>
      </c>
      <c r="Y332" t="e">
        <f ca="1">IF((A1)=(2),1,IF((329)=(Y3),IF(IF((INDEX(B1:XFD1,(A2)+(0)))=("store"),(INDEX(B1:XFD1,(A2)+(1)))=("Y"),"false"),B2,Y332),Y332))</f>
        <v>#VALUE!</v>
      </c>
      <c r="Z332" t="e">
        <f ca="1">IF((A1)=(2),1,IF((329)=(Z3),IF(IF((INDEX(B1:XFD1,(A2)+(0)))=("store"),(INDEX(B1:XFD1,(A2)+(1)))=("Z"),"false"),B2,Z332),Z332))</f>
        <v>#VALUE!</v>
      </c>
      <c r="AA332" t="e">
        <f ca="1">IF((A1)=(2),1,IF((329)=(AA3),IF(IF((INDEX(B1:XFD1,(A2)+(0)))=("store"),(INDEX(B1:XFD1,(A2)+(1)))=("AA"),"false"),B2,AA332),AA332))</f>
        <v>#VALUE!</v>
      </c>
      <c r="AB332" t="e">
        <f ca="1">IF((A1)=(2),1,IF((329)=(AB3),IF(IF((INDEX(B1:XFD1,(A2)+(0)))=("store"),(INDEX(B1:XFD1,(A2)+(1)))=("AB"),"false"),B2,AB332),AB332))</f>
        <v>#VALUE!</v>
      </c>
      <c r="AC332" t="e">
        <f ca="1">IF((A1)=(2),1,IF((329)=(AC3),IF(IF((INDEX(B1:XFD1,(A2)+(0)))=("store"),(INDEX(B1:XFD1,(A2)+(1)))=("AC"),"false"),B2,AC332),AC332))</f>
        <v>#VALUE!</v>
      </c>
      <c r="AD332" t="e">
        <f ca="1">IF((A1)=(2),1,IF((329)=(AD3),IF(IF((INDEX(B1:XFD1,(A2)+(0)))=("store"),(INDEX(B1:XFD1,(A2)+(1)))=("AD"),"false"),B2,AD332),AD332))</f>
        <v>#VALUE!</v>
      </c>
    </row>
    <row r="333" spans="1:30" x14ac:dyDescent="0.25">
      <c r="A333" t="e">
        <f ca="1">IF((A1)=(2),1,IF((330)=(A3),IF(("call")=(INDEX(B1:XFD1,(A2)+(0))),((B2)*(2))+(1),IF(("goto")=(INDEX(B1:XFD1,(A2)+(0))),((INDEX(B1:XFD1,(A2)+(1)))*(2))+(1),IF(("gotoiftrue")=(INDEX(B1:XFD1,(A2)+(0))),IF(B2,((INDEX(B1:XFD1,(A2)+(1)))*(2))+(1),(A333)+(2)),(A333)+(2)))),A333))</f>
        <v>#VALUE!</v>
      </c>
      <c r="B333" t="e">
        <f ca="1">IF((A1)=(2),1,IF((330)=(B3),IF(("push")=(INDEX(B1:XFD1,(A2)+(0))),INDEX(B1:XFD1,(A2)+(1)),IF(("load")=(INDEX(B1:XFD1,(A2)+(0))),INDEX(F2:XFD2,INDEX(B1:XFD1,(A2)+(1))),IF(("newheap")=(INDEX(B1:XFD1,(A2)+(0))),(C3)-(2),IF(("getheap")=(INDEX(B1:XFD1,(A2)+(0))),INDEX(C4:C404,(B333)+(1)),IF(("add")=(INDEX(B1:XFD1,(A2)+(0))),(INDEX(B4:B404,(B3)+(1)))+(B333),IF(("equals")=(INDEX(B1:XFD1,(A2)+(0))),(INDEX(B4:B404,(B3)+(1)))=(B333),IF(("leq")=(INDEX(B1:XFD1,(A2)+(0))),(INDEX(B4:B404,(B3)+(1)))&lt;=(B333),IF(("mod")=(INDEX(B1:XFD1,(A2)+(0))),MOD(INDEX(B4:B404,(B3)+(1)),B333),B333)))))))),B333))</f>
        <v>#VALUE!</v>
      </c>
      <c r="C333" t="e">
        <f ca="1">IF((A1)=(2),1,IF(AND((INDEX(B1:XFD1,(A2)+(0)))=("writeheap"),(INDEX(B4:B404,(B3)+(1)))=(329)),INDEX(B4:B404,(B3)+(2)),IF((A1)=(2),1,IF((330)=(C3),C333,C333))))</f>
        <v>#VALUE!</v>
      </c>
      <c r="E333" t="e">
        <f ca="1">IF((A1)=(2),1,IF((330)=(E3),IF(("outputline")=(INDEX(B1:XFD1,(A2)+(0))),B2,E333),E333))</f>
        <v>#VALUE!</v>
      </c>
      <c r="F333" t="e">
        <f ca="1">IF((A1)=(2),1,IF((330)=(F3),IF(IF((INDEX(B1:XFD1,(A2)+(0)))=("store"),(INDEX(B1:XFD1,(A2)+(1)))=("F"),"false"),B2,F333),F333))</f>
        <v>#VALUE!</v>
      </c>
      <c r="G333" t="e">
        <f ca="1">IF((A1)=(2),1,IF((330)=(G3),IF(IF((INDEX(B1:XFD1,(A2)+(0)))=("store"),(INDEX(B1:XFD1,(A2)+(1)))=("G"),"false"),B2,G333),G333))</f>
        <v>#VALUE!</v>
      </c>
      <c r="H333" t="e">
        <f ca="1">IF((A1)=(2),1,IF((330)=(H3),IF(IF((INDEX(B1:XFD1,(A2)+(0)))=("store"),(INDEX(B1:XFD1,(A2)+(1)))=("H"),"false"),B2,H333),H333))</f>
        <v>#VALUE!</v>
      </c>
      <c r="I333" t="e">
        <f ca="1">IF((A1)=(2),1,IF((330)=(I3),IF(IF((INDEX(B1:XFD1,(A2)+(0)))=("store"),(INDEX(B1:XFD1,(A2)+(1)))=("I"),"false"),B2,I333),I333))</f>
        <v>#VALUE!</v>
      </c>
      <c r="J333" t="e">
        <f ca="1">IF((A1)=(2),1,IF((330)=(J3),IF(IF((INDEX(B1:XFD1,(A2)+(0)))=("store"),(INDEX(B1:XFD1,(A2)+(1)))=("J"),"false"),B2,J333),J333))</f>
        <v>#VALUE!</v>
      </c>
      <c r="K333" t="e">
        <f ca="1">IF((A1)=(2),1,IF((330)=(K3),IF(IF((INDEX(B1:XFD1,(A2)+(0)))=("store"),(INDEX(B1:XFD1,(A2)+(1)))=("K"),"false"),B2,K333),K333))</f>
        <v>#VALUE!</v>
      </c>
      <c r="L333" t="e">
        <f ca="1">IF((A1)=(2),1,IF((330)=(L3),IF(IF((INDEX(B1:XFD1,(A2)+(0)))=("store"),(INDEX(B1:XFD1,(A2)+(1)))=("L"),"false"),B2,L333),L333))</f>
        <v>#VALUE!</v>
      </c>
      <c r="M333" t="e">
        <f ca="1">IF((A1)=(2),1,IF((330)=(M3),IF(IF((INDEX(B1:XFD1,(A2)+(0)))=("store"),(INDEX(B1:XFD1,(A2)+(1)))=("M"),"false"),B2,M333),M333))</f>
        <v>#VALUE!</v>
      </c>
      <c r="N333" t="e">
        <f ca="1">IF((A1)=(2),1,IF((330)=(N3),IF(IF((INDEX(B1:XFD1,(A2)+(0)))=("store"),(INDEX(B1:XFD1,(A2)+(1)))=("N"),"false"),B2,N333),N333))</f>
        <v>#VALUE!</v>
      </c>
      <c r="O333" t="e">
        <f ca="1">IF((A1)=(2),1,IF((330)=(O3),IF(IF((INDEX(B1:XFD1,(A2)+(0)))=("store"),(INDEX(B1:XFD1,(A2)+(1)))=("O"),"false"),B2,O333),O333))</f>
        <v>#VALUE!</v>
      </c>
      <c r="P333" t="e">
        <f ca="1">IF((A1)=(2),1,IF((330)=(P3),IF(IF((INDEX(B1:XFD1,(A2)+(0)))=("store"),(INDEX(B1:XFD1,(A2)+(1)))=("P"),"false"),B2,P333),P333))</f>
        <v>#VALUE!</v>
      </c>
      <c r="Q333" t="e">
        <f ca="1">IF((A1)=(2),1,IF((330)=(Q3),IF(IF((INDEX(B1:XFD1,(A2)+(0)))=("store"),(INDEX(B1:XFD1,(A2)+(1)))=("Q"),"false"),B2,Q333),Q333))</f>
        <v>#VALUE!</v>
      </c>
      <c r="R333" t="e">
        <f ca="1">IF((A1)=(2),1,IF((330)=(R3),IF(IF((INDEX(B1:XFD1,(A2)+(0)))=("store"),(INDEX(B1:XFD1,(A2)+(1)))=("R"),"false"),B2,R333),R333))</f>
        <v>#VALUE!</v>
      </c>
      <c r="S333" t="e">
        <f ca="1">IF((A1)=(2),1,IF((330)=(S3),IF(IF((INDEX(B1:XFD1,(A2)+(0)))=("store"),(INDEX(B1:XFD1,(A2)+(1)))=("S"),"false"),B2,S333),S333))</f>
        <v>#VALUE!</v>
      </c>
      <c r="T333" t="e">
        <f ca="1">IF((A1)=(2),1,IF((330)=(T3),IF(IF((INDEX(B1:XFD1,(A2)+(0)))=("store"),(INDEX(B1:XFD1,(A2)+(1)))=("T"),"false"),B2,T333),T333))</f>
        <v>#VALUE!</v>
      </c>
      <c r="U333" t="e">
        <f ca="1">IF((A1)=(2),1,IF((330)=(U3),IF(IF((INDEX(B1:XFD1,(A2)+(0)))=("store"),(INDEX(B1:XFD1,(A2)+(1)))=("U"),"false"),B2,U333),U333))</f>
        <v>#VALUE!</v>
      </c>
      <c r="V333" t="e">
        <f ca="1">IF((A1)=(2),1,IF((330)=(V3),IF(IF((INDEX(B1:XFD1,(A2)+(0)))=("store"),(INDEX(B1:XFD1,(A2)+(1)))=("V"),"false"),B2,V333),V333))</f>
        <v>#VALUE!</v>
      </c>
      <c r="W333" t="e">
        <f ca="1">IF((A1)=(2),1,IF((330)=(W3),IF(IF((INDEX(B1:XFD1,(A2)+(0)))=("store"),(INDEX(B1:XFD1,(A2)+(1)))=("W"),"false"),B2,W333),W333))</f>
        <v>#VALUE!</v>
      </c>
      <c r="X333" t="e">
        <f ca="1">IF((A1)=(2),1,IF((330)=(X3),IF(IF((INDEX(B1:XFD1,(A2)+(0)))=("store"),(INDEX(B1:XFD1,(A2)+(1)))=("X"),"false"),B2,X333),X333))</f>
        <v>#VALUE!</v>
      </c>
      <c r="Y333" t="e">
        <f ca="1">IF((A1)=(2),1,IF((330)=(Y3),IF(IF((INDEX(B1:XFD1,(A2)+(0)))=("store"),(INDEX(B1:XFD1,(A2)+(1)))=("Y"),"false"),B2,Y333),Y333))</f>
        <v>#VALUE!</v>
      </c>
      <c r="Z333" t="e">
        <f ca="1">IF((A1)=(2),1,IF((330)=(Z3),IF(IF((INDEX(B1:XFD1,(A2)+(0)))=("store"),(INDEX(B1:XFD1,(A2)+(1)))=("Z"),"false"),B2,Z333),Z333))</f>
        <v>#VALUE!</v>
      </c>
      <c r="AA333" t="e">
        <f ca="1">IF((A1)=(2),1,IF((330)=(AA3),IF(IF((INDEX(B1:XFD1,(A2)+(0)))=("store"),(INDEX(B1:XFD1,(A2)+(1)))=("AA"),"false"),B2,AA333),AA333))</f>
        <v>#VALUE!</v>
      </c>
      <c r="AB333" t="e">
        <f ca="1">IF((A1)=(2),1,IF((330)=(AB3),IF(IF((INDEX(B1:XFD1,(A2)+(0)))=("store"),(INDEX(B1:XFD1,(A2)+(1)))=("AB"),"false"),B2,AB333),AB333))</f>
        <v>#VALUE!</v>
      </c>
      <c r="AC333" t="e">
        <f ca="1">IF((A1)=(2),1,IF((330)=(AC3),IF(IF((INDEX(B1:XFD1,(A2)+(0)))=("store"),(INDEX(B1:XFD1,(A2)+(1)))=("AC"),"false"),B2,AC333),AC333))</f>
        <v>#VALUE!</v>
      </c>
      <c r="AD333" t="e">
        <f ca="1">IF((A1)=(2),1,IF((330)=(AD3),IF(IF((INDEX(B1:XFD1,(A2)+(0)))=("store"),(INDEX(B1:XFD1,(A2)+(1)))=("AD"),"false"),B2,AD333),AD333))</f>
        <v>#VALUE!</v>
      </c>
    </row>
    <row r="334" spans="1:30" x14ac:dyDescent="0.25">
      <c r="A334" t="e">
        <f ca="1">IF((A1)=(2),1,IF((331)=(A3),IF(("call")=(INDEX(B1:XFD1,(A2)+(0))),((B2)*(2))+(1),IF(("goto")=(INDEX(B1:XFD1,(A2)+(0))),((INDEX(B1:XFD1,(A2)+(1)))*(2))+(1),IF(("gotoiftrue")=(INDEX(B1:XFD1,(A2)+(0))),IF(B2,((INDEX(B1:XFD1,(A2)+(1)))*(2))+(1),(A334)+(2)),(A334)+(2)))),A334))</f>
        <v>#VALUE!</v>
      </c>
      <c r="B334" t="e">
        <f ca="1">IF((A1)=(2),1,IF((331)=(B3),IF(("push")=(INDEX(B1:XFD1,(A2)+(0))),INDEX(B1:XFD1,(A2)+(1)),IF(("load")=(INDEX(B1:XFD1,(A2)+(0))),INDEX(F2:XFD2,INDEX(B1:XFD1,(A2)+(1))),IF(("newheap")=(INDEX(B1:XFD1,(A2)+(0))),(C3)-(2),IF(("getheap")=(INDEX(B1:XFD1,(A2)+(0))),INDEX(C4:C404,(B334)+(1)),IF(("add")=(INDEX(B1:XFD1,(A2)+(0))),(INDEX(B4:B404,(B3)+(1)))+(B334),IF(("equals")=(INDEX(B1:XFD1,(A2)+(0))),(INDEX(B4:B404,(B3)+(1)))=(B334),IF(("leq")=(INDEX(B1:XFD1,(A2)+(0))),(INDEX(B4:B404,(B3)+(1)))&lt;=(B334),IF(("mod")=(INDEX(B1:XFD1,(A2)+(0))),MOD(INDEX(B4:B404,(B3)+(1)),B334),B334)))))))),B334))</f>
        <v>#VALUE!</v>
      </c>
      <c r="C334" t="e">
        <f ca="1">IF((A1)=(2),1,IF(AND((INDEX(B1:XFD1,(A2)+(0)))=("writeheap"),(INDEX(B4:B404,(B3)+(1)))=(330)),INDEX(B4:B404,(B3)+(2)),IF((A1)=(2),1,IF((331)=(C3),C334,C334))))</f>
        <v>#VALUE!</v>
      </c>
      <c r="E334" t="e">
        <f ca="1">IF((A1)=(2),1,IF((331)=(E3),IF(("outputline")=(INDEX(B1:XFD1,(A2)+(0))),B2,E334),E334))</f>
        <v>#VALUE!</v>
      </c>
      <c r="F334" t="e">
        <f ca="1">IF((A1)=(2),1,IF((331)=(F3),IF(IF((INDEX(B1:XFD1,(A2)+(0)))=("store"),(INDEX(B1:XFD1,(A2)+(1)))=("F"),"false"),B2,F334),F334))</f>
        <v>#VALUE!</v>
      </c>
      <c r="G334" t="e">
        <f ca="1">IF((A1)=(2),1,IF((331)=(G3),IF(IF((INDEX(B1:XFD1,(A2)+(0)))=("store"),(INDEX(B1:XFD1,(A2)+(1)))=("G"),"false"),B2,G334),G334))</f>
        <v>#VALUE!</v>
      </c>
      <c r="H334" t="e">
        <f ca="1">IF((A1)=(2),1,IF((331)=(H3),IF(IF((INDEX(B1:XFD1,(A2)+(0)))=("store"),(INDEX(B1:XFD1,(A2)+(1)))=("H"),"false"),B2,H334),H334))</f>
        <v>#VALUE!</v>
      </c>
      <c r="I334" t="e">
        <f ca="1">IF((A1)=(2),1,IF((331)=(I3),IF(IF((INDEX(B1:XFD1,(A2)+(0)))=("store"),(INDEX(B1:XFD1,(A2)+(1)))=("I"),"false"),B2,I334),I334))</f>
        <v>#VALUE!</v>
      </c>
      <c r="J334" t="e">
        <f ca="1">IF((A1)=(2),1,IF((331)=(J3),IF(IF((INDEX(B1:XFD1,(A2)+(0)))=("store"),(INDEX(B1:XFD1,(A2)+(1)))=("J"),"false"),B2,J334),J334))</f>
        <v>#VALUE!</v>
      </c>
      <c r="K334" t="e">
        <f ca="1">IF((A1)=(2),1,IF((331)=(K3),IF(IF((INDEX(B1:XFD1,(A2)+(0)))=("store"),(INDEX(B1:XFD1,(A2)+(1)))=("K"),"false"),B2,K334),K334))</f>
        <v>#VALUE!</v>
      </c>
      <c r="L334" t="e">
        <f ca="1">IF((A1)=(2),1,IF((331)=(L3),IF(IF((INDEX(B1:XFD1,(A2)+(0)))=("store"),(INDEX(B1:XFD1,(A2)+(1)))=("L"),"false"),B2,L334),L334))</f>
        <v>#VALUE!</v>
      </c>
      <c r="M334" t="e">
        <f ca="1">IF((A1)=(2),1,IF((331)=(M3),IF(IF((INDEX(B1:XFD1,(A2)+(0)))=("store"),(INDEX(B1:XFD1,(A2)+(1)))=("M"),"false"),B2,M334),M334))</f>
        <v>#VALUE!</v>
      </c>
      <c r="N334" t="e">
        <f ca="1">IF((A1)=(2),1,IF((331)=(N3),IF(IF((INDEX(B1:XFD1,(A2)+(0)))=("store"),(INDEX(B1:XFD1,(A2)+(1)))=("N"),"false"),B2,N334),N334))</f>
        <v>#VALUE!</v>
      </c>
      <c r="O334" t="e">
        <f ca="1">IF((A1)=(2),1,IF((331)=(O3),IF(IF((INDEX(B1:XFD1,(A2)+(0)))=("store"),(INDEX(B1:XFD1,(A2)+(1)))=("O"),"false"),B2,O334),O334))</f>
        <v>#VALUE!</v>
      </c>
      <c r="P334" t="e">
        <f ca="1">IF((A1)=(2),1,IF((331)=(P3),IF(IF((INDEX(B1:XFD1,(A2)+(0)))=("store"),(INDEX(B1:XFD1,(A2)+(1)))=("P"),"false"),B2,P334),P334))</f>
        <v>#VALUE!</v>
      </c>
      <c r="Q334" t="e">
        <f ca="1">IF((A1)=(2),1,IF((331)=(Q3),IF(IF((INDEX(B1:XFD1,(A2)+(0)))=("store"),(INDEX(B1:XFD1,(A2)+(1)))=("Q"),"false"),B2,Q334),Q334))</f>
        <v>#VALUE!</v>
      </c>
      <c r="R334" t="e">
        <f ca="1">IF((A1)=(2),1,IF((331)=(R3),IF(IF((INDEX(B1:XFD1,(A2)+(0)))=("store"),(INDEX(B1:XFD1,(A2)+(1)))=("R"),"false"),B2,R334),R334))</f>
        <v>#VALUE!</v>
      </c>
      <c r="S334" t="e">
        <f ca="1">IF((A1)=(2),1,IF((331)=(S3),IF(IF((INDEX(B1:XFD1,(A2)+(0)))=("store"),(INDEX(B1:XFD1,(A2)+(1)))=("S"),"false"),B2,S334),S334))</f>
        <v>#VALUE!</v>
      </c>
      <c r="T334" t="e">
        <f ca="1">IF((A1)=(2),1,IF((331)=(T3),IF(IF((INDEX(B1:XFD1,(A2)+(0)))=("store"),(INDEX(B1:XFD1,(A2)+(1)))=("T"),"false"),B2,T334),T334))</f>
        <v>#VALUE!</v>
      </c>
      <c r="U334" t="e">
        <f ca="1">IF((A1)=(2),1,IF((331)=(U3),IF(IF((INDEX(B1:XFD1,(A2)+(0)))=("store"),(INDEX(B1:XFD1,(A2)+(1)))=("U"),"false"),B2,U334),U334))</f>
        <v>#VALUE!</v>
      </c>
      <c r="V334" t="e">
        <f ca="1">IF((A1)=(2),1,IF((331)=(V3),IF(IF((INDEX(B1:XFD1,(A2)+(0)))=("store"),(INDEX(B1:XFD1,(A2)+(1)))=("V"),"false"),B2,V334),V334))</f>
        <v>#VALUE!</v>
      </c>
      <c r="W334" t="e">
        <f ca="1">IF((A1)=(2),1,IF((331)=(W3),IF(IF((INDEX(B1:XFD1,(A2)+(0)))=("store"),(INDEX(B1:XFD1,(A2)+(1)))=("W"),"false"),B2,W334),W334))</f>
        <v>#VALUE!</v>
      </c>
      <c r="X334" t="e">
        <f ca="1">IF((A1)=(2),1,IF((331)=(X3),IF(IF((INDEX(B1:XFD1,(A2)+(0)))=("store"),(INDEX(B1:XFD1,(A2)+(1)))=("X"),"false"),B2,X334),X334))</f>
        <v>#VALUE!</v>
      </c>
      <c r="Y334" t="e">
        <f ca="1">IF((A1)=(2),1,IF((331)=(Y3),IF(IF((INDEX(B1:XFD1,(A2)+(0)))=("store"),(INDEX(B1:XFD1,(A2)+(1)))=("Y"),"false"),B2,Y334),Y334))</f>
        <v>#VALUE!</v>
      </c>
      <c r="Z334" t="e">
        <f ca="1">IF((A1)=(2),1,IF((331)=(Z3),IF(IF((INDEX(B1:XFD1,(A2)+(0)))=("store"),(INDEX(B1:XFD1,(A2)+(1)))=("Z"),"false"),B2,Z334),Z334))</f>
        <v>#VALUE!</v>
      </c>
      <c r="AA334" t="e">
        <f ca="1">IF((A1)=(2),1,IF((331)=(AA3),IF(IF((INDEX(B1:XFD1,(A2)+(0)))=("store"),(INDEX(B1:XFD1,(A2)+(1)))=("AA"),"false"),B2,AA334),AA334))</f>
        <v>#VALUE!</v>
      </c>
      <c r="AB334" t="e">
        <f ca="1">IF((A1)=(2),1,IF((331)=(AB3),IF(IF((INDEX(B1:XFD1,(A2)+(0)))=("store"),(INDEX(B1:XFD1,(A2)+(1)))=("AB"),"false"),B2,AB334),AB334))</f>
        <v>#VALUE!</v>
      </c>
      <c r="AC334" t="e">
        <f ca="1">IF((A1)=(2),1,IF((331)=(AC3),IF(IF((INDEX(B1:XFD1,(A2)+(0)))=("store"),(INDEX(B1:XFD1,(A2)+(1)))=("AC"),"false"),B2,AC334),AC334))</f>
        <v>#VALUE!</v>
      </c>
      <c r="AD334" t="e">
        <f ca="1">IF((A1)=(2),1,IF((331)=(AD3),IF(IF((INDEX(B1:XFD1,(A2)+(0)))=("store"),(INDEX(B1:XFD1,(A2)+(1)))=("AD"),"false"),B2,AD334),AD334))</f>
        <v>#VALUE!</v>
      </c>
    </row>
    <row r="335" spans="1:30" x14ac:dyDescent="0.25">
      <c r="A335" t="e">
        <f ca="1">IF((A1)=(2),1,IF((332)=(A3),IF(("call")=(INDEX(B1:XFD1,(A2)+(0))),((B2)*(2))+(1),IF(("goto")=(INDEX(B1:XFD1,(A2)+(0))),((INDEX(B1:XFD1,(A2)+(1)))*(2))+(1),IF(("gotoiftrue")=(INDEX(B1:XFD1,(A2)+(0))),IF(B2,((INDEX(B1:XFD1,(A2)+(1)))*(2))+(1),(A335)+(2)),(A335)+(2)))),A335))</f>
        <v>#VALUE!</v>
      </c>
      <c r="B335" t="e">
        <f ca="1">IF((A1)=(2),1,IF((332)=(B3),IF(("push")=(INDEX(B1:XFD1,(A2)+(0))),INDEX(B1:XFD1,(A2)+(1)),IF(("load")=(INDEX(B1:XFD1,(A2)+(0))),INDEX(F2:XFD2,INDEX(B1:XFD1,(A2)+(1))),IF(("newheap")=(INDEX(B1:XFD1,(A2)+(0))),(C3)-(2),IF(("getheap")=(INDEX(B1:XFD1,(A2)+(0))),INDEX(C4:C404,(B335)+(1)),IF(("add")=(INDEX(B1:XFD1,(A2)+(0))),(INDEX(B4:B404,(B3)+(1)))+(B335),IF(("equals")=(INDEX(B1:XFD1,(A2)+(0))),(INDEX(B4:B404,(B3)+(1)))=(B335),IF(("leq")=(INDEX(B1:XFD1,(A2)+(0))),(INDEX(B4:B404,(B3)+(1)))&lt;=(B335),IF(("mod")=(INDEX(B1:XFD1,(A2)+(0))),MOD(INDEX(B4:B404,(B3)+(1)),B335),B335)))))))),B335))</f>
        <v>#VALUE!</v>
      </c>
      <c r="C335" t="e">
        <f ca="1">IF((A1)=(2),1,IF(AND((INDEX(B1:XFD1,(A2)+(0)))=("writeheap"),(INDEX(B4:B404,(B3)+(1)))=(331)),INDEX(B4:B404,(B3)+(2)),IF((A1)=(2),1,IF((332)=(C3),C335,C335))))</f>
        <v>#VALUE!</v>
      </c>
      <c r="E335" t="e">
        <f ca="1">IF((A1)=(2),1,IF((332)=(E3),IF(("outputline")=(INDEX(B1:XFD1,(A2)+(0))),B2,E335),E335))</f>
        <v>#VALUE!</v>
      </c>
      <c r="F335" t="e">
        <f ca="1">IF((A1)=(2),1,IF((332)=(F3),IF(IF((INDEX(B1:XFD1,(A2)+(0)))=("store"),(INDEX(B1:XFD1,(A2)+(1)))=("F"),"false"),B2,F335),F335))</f>
        <v>#VALUE!</v>
      </c>
      <c r="G335" t="e">
        <f ca="1">IF((A1)=(2),1,IF((332)=(G3),IF(IF((INDEX(B1:XFD1,(A2)+(0)))=("store"),(INDEX(B1:XFD1,(A2)+(1)))=("G"),"false"),B2,G335),G335))</f>
        <v>#VALUE!</v>
      </c>
      <c r="H335" t="e">
        <f ca="1">IF((A1)=(2),1,IF((332)=(H3),IF(IF((INDEX(B1:XFD1,(A2)+(0)))=("store"),(INDEX(B1:XFD1,(A2)+(1)))=("H"),"false"),B2,H335),H335))</f>
        <v>#VALUE!</v>
      </c>
      <c r="I335" t="e">
        <f ca="1">IF((A1)=(2),1,IF((332)=(I3),IF(IF((INDEX(B1:XFD1,(A2)+(0)))=("store"),(INDEX(B1:XFD1,(A2)+(1)))=("I"),"false"),B2,I335),I335))</f>
        <v>#VALUE!</v>
      </c>
      <c r="J335" t="e">
        <f ca="1">IF((A1)=(2),1,IF((332)=(J3),IF(IF((INDEX(B1:XFD1,(A2)+(0)))=("store"),(INDEX(B1:XFD1,(A2)+(1)))=("J"),"false"),B2,J335),J335))</f>
        <v>#VALUE!</v>
      </c>
      <c r="K335" t="e">
        <f ca="1">IF((A1)=(2),1,IF((332)=(K3),IF(IF((INDEX(B1:XFD1,(A2)+(0)))=("store"),(INDEX(B1:XFD1,(A2)+(1)))=("K"),"false"),B2,K335),K335))</f>
        <v>#VALUE!</v>
      </c>
      <c r="L335" t="e">
        <f ca="1">IF((A1)=(2),1,IF((332)=(L3),IF(IF((INDEX(B1:XFD1,(A2)+(0)))=("store"),(INDEX(B1:XFD1,(A2)+(1)))=("L"),"false"),B2,L335),L335))</f>
        <v>#VALUE!</v>
      </c>
      <c r="M335" t="e">
        <f ca="1">IF((A1)=(2),1,IF((332)=(M3),IF(IF((INDEX(B1:XFD1,(A2)+(0)))=("store"),(INDEX(B1:XFD1,(A2)+(1)))=("M"),"false"),B2,M335),M335))</f>
        <v>#VALUE!</v>
      </c>
      <c r="N335" t="e">
        <f ca="1">IF((A1)=(2),1,IF((332)=(N3),IF(IF((INDEX(B1:XFD1,(A2)+(0)))=("store"),(INDEX(B1:XFD1,(A2)+(1)))=("N"),"false"),B2,N335),N335))</f>
        <v>#VALUE!</v>
      </c>
      <c r="O335" t="e">
        <f ca="1">IF((A1)=(2),1,IF((332)=(O3),IF(IF((INDEX(B1:XFD1,(A2)+(0)))=("store"),(INDEX(B1:XFD1,(A2)+(1)))=("O"),"false"),B2,O335),O335))</f>
        <v>#VALUE!</v>
      </c>
      <c r="P335" t="e">
        <f ca="1">IF((A1)=(2),1,IF((332)=(P3),IF(IF((INDEX(B1:XFD1,(A2)+(0)))=("store"),(INDEX(B1:XFD1,(A2)+(1)))=("P"),"false"),B2,P335),P335))</f>
        <v>#VALUE!</v>
      </c>
      <c r="Q335" t="e">
        <f ca="1">IF((A1)=(2),1,IF((332)=(Q3),IF(IF((INDEX(B1:XFD1,(A2)+(0)))=("store"),(INDEX(B1:XFD1,(A2)+(1)))=("Q"),"false"),B2,Q335),Q335))</f>
        <v>#VALUE!</v>
      </c>
      <c r="R335" t="e">
        <f ca="1">IF((A1)=(2),1,IF((332)=(R3),IF(IF((INDEX(B1:XFD1,(A2)+(0)))=("store"),(INDEX(B1:XFD1,(A2)+(1)))=("R"),"false"),B2,R335),R335))</f>
        <v>#VALUE!</v>
      </c>
      <c r="S335" t="e">
        <f ca="1">IF((A1)=(2),1,IF((332)=(S3),IF(IF((INDEX(B1:XFD1,(A2)+(0)))=("store"),(INDEX(B1:XFD1,(A2)+(1)))=("S"),"false"),B2,S335),S335))</f>
        <v>#VALUE!</v>
      </c>
      <c r="T335" t="e">
        <f ca="1">IF((A1)=(2),1,IF((332)=(T3),IF(IF((INDEX(B1:XFD1,(A2)+(0)))=("store"),(INDEX(B1:XFD1,(A2)+(1)))=("T"),"false"),B2,T335),T335))</f>
        <v>#VALUE!</v>
      </c>
      <c r="U335" t="e">
        <f ca="1">IF((A1)=(2),1,IF((332)=(U3),IF(IF((INDEX(B1:XFD1,(A2)+(0)))=("store"),(INDEX(B1:XFD1,(A2)+(1)))=("U"),"false"),B2,U335),U335))</f>
        <v>#VALUE!</v>
      </c>
      <c r="V335" t="e">
        <f ca="1">IF((A1)=(2),1,IF((332)=(V3),IF(IF((INDEX(B1:XFD1,(A2)+(0)))=("store"),(INDEX(B1:XFD1,(A2)+(1)))=("V"),"false"),B2,V335),V335))</f>
        <v>#VALUE!</v>
      </c>
      <c r="W335" t="e">
        <f ca="1">IF((A1)=(2),1,IF((332)=(W3),IF(IF((INDEX(B1:XFD1,(A2)+(0)))=("store"),(INDEX(B1:XFD1,(A2)+(1)))=("W"),"false"),B2,W335),W335))</f>
        <v>#VALUE!</v>
      </c>
      <c r="X335" t="e">
        <f ca="1">IF((A1)=(2),1,IF((332)=(X3),IF(IF((INDEX(B1:XFD1,(A2)+(0)))=("store"),(INDEX(B1:XFD1,(A2)+(1)))=("X"),"false"),B2,X335),X335))</f>
        <v>#VALUE!</v>
      </c>
      <c r="Y335" t="e">
        <f ca="1">IF((A1)=(2),1,IF((332)=(Y3),IF(IF((INDEX(B1:XFD1,(A2)+(0)))=("store"),(INDEX(B1:XFD1,(A2)+(1)))=("Y"),"false"),B2,Y335),Y335))</f>
        <v>#VALUE!</v>
      </c>
      <c r="Z335" t="e">
        <f ca="1">IF((A1)=(2),1,IF((332)=(Z3),IF(IF((INDEX(B1:XFD1,(A2)+(0)))=("store"),(INDEX(B1:XFD1,(A2)+(1)))=("Z"),"false"),B2,Z335),Z335))</f>
        <v>#VALUE!</v>
      </c>
      <c r="AA335" t="e">
        <f ca="1">IF((A1)=(2),1,IF((332)=(AA3),IF(IF((INDEX(B1:XFD1,(A2)+(0)))=("store"),(INDEX(B1:XFD1,(A2)+(1)))=("AA"),"false"),B2,AA335),AA335))</f>
        <v>#VALUE!</v>
      </c>
      <c r="AB335" t="e">
        <f ca="1">IF((A1)=(2),1,IF((332)=(AB3),IF(IF((INDEX(B1:XFD1,(A2)+(0)))=("store"),(INDEX(B1:XFD1,(A2)+(1)))=("AB"),"false"),B2,AB335),AB335))</f>
        <v>#VALUE!</v>
      </c>
      <c r="AC335" t="e">
        <f ca="1">IF((A1)=(2),1,IF((332)=(AC3),IF(IF((INDEX(B1:XFD1,(A2)+(0)))=("store"),(INDEX(B1:XFD1,(A2)+(1)))=("AC"),"false"),B2,AC335),AC335))</f>
        <v>#VALUE!</v>
      </c>
      <c r="AD335" t="e">
        <f ca="1">IF((A1)=(2),1,IF((332)=(AD3),IF(IF((INDEX(B1:XFD1,(A2)+(0)))=("store"),(INDEX(B1:XFD1,(A2)+(1)))=("AD"),"false"),B2,AD335),AD335))</f>
        <v>#VALUE!</v>
      </c>
    </row>
    <row r="336" spans="1:30" x14ac:dyDescent="0.25">
      <c r="A336" t="e">
        <f ca="1">IF((A1)=(2),1,IF((333)=(A3),IF(("call")=(INDEX(B1:XFD1,(A2)+(0))),((B2)*(2))+(1),IF(("goto")=(INDEX(B1:XFD1,(A2)+(0))),((INDEX(B1:XFD1,(A2)+(1)))*(2))+(1),IF(("gotoiftrue")=(INDEX(B1:XFD1,(A2)+(0))),IF(B2,((INDEX(B1:XFD1,(A2)+(1)))*(2))+(1),(A336)+(2)),(A336)+(2)))),A336))</f>
        <v>#VALUE!</v>
      </c>
      <c r="B336" t="e">
        <f ca="1">IF((A1)=(2),1,IF((333)=(B3),IF(("push")=(INDEX(B1:XFD1,(A2)+(0))),INDEX(B1:XFD1,(A2)+(1)),IF(("load")=(INDEX(B1:XFD1,(A2)+(0))),INDEX(F2:XFD2,INDEX(B1:XFD1,(A2)+(1))),IF(("newheap")=(INDEX(B1:XFD1,(A2)+(0))),(C3)-(2),IF(("getheap")=(INDEX(B1:XFD1,(A2)+(0))),INDEX(C4:C404,(B336)+(1)),IF(("add")=(INDEX(B1:XFD1,(A2)+(0))),(INDEX(B4:B404,(B3)+(1)))+(B336),IF(("equals")=(INDEX(B1:XFD1,(A2)+(0))),(INDEX(B4:B404,(B3)+(1)))=(B336),IF(("leq")=(INDEX(B1:XFD1,(A2)+(0))),(INDEX(B4:B404,(B3)+(1)))&lt;=(B336),IF(("mod")=(INDEX(B1:XFD1,(A2)+(0))),MOD(INDEX(B4:B404,(B3)+(1)),B336),B336)))))))),B336))</f>
        <v>#VALUE!</v>
      </c>
      <c r="C336" t="e">
        <f ca="1">IF((A1)=(2),1,IF(AND((INDEX(B1:XFD1,(A2)+(0)))=("writeheap"),(INDEX(B4:B404,(B3)+(1)))=(332)),INDEX(B4:B404,(B3)+(2)),IF((A1)=(2),1,IF((333)=(C3),C336,C336))))</f>
        <v>#VALUE!</v>
      </c>
      <c r="E336" t="e">
        <f ca="1">IF((A1)=(2),1,IF((333)=(E3),IF(("outputline")=(INDEX(B1:XFD1,(A2)+(0))),B2,E336),E336))</f>
        <v>#VALUE!</v>
      </c>
      <c r="F336" t="e">
        <f ca="1">IF((A1)=(2),1,IF((333)=(F3),IF(IF((INDEX(B1:XFD1,(A2)+(0)))=("store"),(INDEX(B1:XFD1,(A2)+(1)))=("F"),"false"),B2,F336),F336))</f>
        <v>#VALUE!</v>
      </c>
      <c r="G336" t="e">
        <f ca="1">IF((A1)=(2),1,IF((333)=(G3),IF(IF((INDEX(B1:XFD1,(A2)+(0)))=("store"),(INDEX(B1:XFD1,(A2)+(1)))=("G"),"false"),B2,G336),G336))</f>
        <v>#VALUE!</v>
      </c>
      <c r="H336" t="e">
        <f ca="1">IF((A1)=(2),1,IF((333)=(H3),IF(IF((INDEX(B1:XFD1,(A2)+(0)))=("store"),(INDEX(B1:XFD1,(A2)+(1)))=("H"),"false"),B2,H336),H336))</f>
        <v>#VALUE!</v>
      </c>
      <c r="I336" t="e">
        <f ca="1">IF((A1)=(2),1,IF((333)=(I3),IF(IF((INDEX(B1:XFD1,(A2)+(0)))=("store"),(INDEX(B1:XFD1,(A2)+(1)))=("I"),"false"),B2,I336),I336))</f>
        <v>#VALUE!</v>
      </c>
      <c r="J336" t="e">
        <f ca="1">IF((A1)=(2),1,IF((333)=(J3),IF(IF((INDEX(B1:XFD1,(A2)+(0)))=("store"),(INDEX(B1:XFD1,(A2)+(1)))=("J"),"false"),B2,J336),J336))</f>
        <v>#VALUE!</v>
      </c>
      <c r="K336" t="e">
        <f ca="1">IF((A1)=(2),1,IF((333)=(K3),IF(IF((INDEX(B1:XFD1,(A2)+(0)))=("store"),(INDEX(B1:XFD1,(A2)+(1)))=("K"),"false"),B2,K336),K336))</f>
        <v>#VALUE!</v>
      </c>
      <c r="L336" t="e">
        <f ca="1">IF((A1)=(2),1,IF((333)=(L3),IF(IF((INDEX(B1:XFD1,(A2)+(0)))=("store"),(INDEX(B1:XFD1,(A2)+(1)))=("L"),"false"),B2,L336),L336))</f>
        <v>#VALUE!</v>
      </c>
      <c r="M336" t="e">
        <f ca="1">IF((A1)=(2),1,IF((333)=(M3),IF(IF((INDEX(B1:XFD1,(A2)+(0)))=("store"),(INDEX(B1:XFD1,(A2)+(1)))=("M"),"false"),B2,M336),M336))</f>
        <v>#VALUE!</v>
      </c>
      <c r="N336" t="e">
        <f ca="1">IF((A1)=(2),1,IF((333)=(N3),IF(IF((INDEX(B1:XFD1,(A2)+(0)))=("store"),(INDEX(B1:XFD1,(A2)+(1)))=("N"),"false"),B2,N336),N336))</f>
        <v>#VALUE!</v>
      </c>
      <c r="O336" t="e">
        <f ca="1">IF((A1)=(2),1,IF((333)=(O3),IF(IF((INDEX(B1:XFD1,(A2)+(0)))=("store"),(INDEX(B1:XFD1,(A2)+(1)))=("O"),"false"),B2,O336),O336))</f>
        <v>#VALUE!</v>
      </c>
      <c r="P336" t="e">
        <f ca="1">IF((A1)=(2),1,IF((333)=(P3),IF(IF((INDEX(B1:XFD1,(A2)+(0)))=("store"),(INDEX(B1:XFD1,(A2)+(1)))=("P"),"false"),B2,P336),P336))</f>
        <v>#VALUE!</v>
      </c>
      <c r="Q336" t="e">
        <f ca="1">IF((A1)=(2),1,IF((333)=(Q3),IF(IF((INDEX(B1:XFD1,(A2)+(0)))=("store"),(INDEX(B1:XFD1,(A2)+(1)))=("Q"),"false"),B2,Q336),Q336))</f>
        <v>#VALUE!</v>
      </c>
      <c r="R336" t="e">
        <f ca="1">IF((A1)=(2),1,IF((333)=(R3),IF(IF((INDEX(B1:XFD1,(A2)+(0)))=("store"),(INDEX(B1:XFD1,(A2)+(1)))=("R"),"false"),B2,R336),R336))</f>
        <v>#VALUE!</v>
      </c>
      <c r="S336" t="e">
        <f ca="1">IF((A1)=(2),1,IF((333)=(S3),IF(IF((INDEX(B1:XFD1,(A2)+(0)))=("store"),(INDEX(B1:XFD1,(A2)+(1)))=("S"),"false"),B2,S336),S336))</f>
        <v>#VALUE!</v>
      </c>
      <c r="T336" t="e">
        <f ca="1">IF((A1)=(2),1,IF((333)=(T3),IF(IF((INDEX(B1:XFD1,(A2)+(0)))=("store"),(INDEX(B1:XFD1,(A2)+(1)))=("T"),"false"),B2,T336),T336))</f>
        <v>#VALUE!</v>
      </c>
      <c r="U336" t="e">
        <f ca="1">IF((A1)=(2),1,IF((333)=(U3),IF(IF((INDEX(B1:XFD1,(A2)+(0)))=("store"),(INDEX(B1:XFD1,(A2)+(1)))=("U"),"false"),B2,U336),U336))</f>
        <v>#VALUE!</v>
      </c>
      <c r="V336" t="e">
        <f ca="1">IF((A1)=(2),1,IF((333)=(V3),IF(IF((INDEX(B1:XFD1,(A2)+(0)))=("store"),(INDEX(B1:XFD1,(A2)+(1)))=("V"),"false"),B2,V336),V336))</f>
        <v>#VALUE!</v>
      </c>
      <c r="W336" t="e">
        <f ca="1">IF((A1)=(2),1,IF((333)=(W3),IF(IF((INDEX(B1:XFD1,(A2)+(0)))=("store"),(INDEX(B1:XFD1,(A2)+(1)))=("W"),"false"),B2,W336),W336))</f>
        <v>#VALUE!</v>
      </c>
      <c r="X336" t="e">
        <f ca="1">IF((A1)=(2),1,IF((333)=(X3),IF(IF((INDEX(B1:XFD1,(A2)+(0)))=("store"),(INDEX(B1:XFD1,(A2)+(1)))=("X"),"false"),B2,X336),X336))</f>
        <v>#VALUE!</v>
      </c>
      <c r="Y336" t="e">
        <f ca="1">IF((A1)=(2),1,IF((333)=(Y3),IF(IF((INDEX(B1:XFD1,(A2)+(0)))=("store"),(INDEX(B1:XFD1,(A2)+(1)))=("Y"),"false"),B2,Y336),Y336))</f>
        <v>#VALUE!</v>
      </c>
      <c r="Z336" t="e">
        <f ca="1">IF((A1)=(2),1,IF((333)=(Z3),IF(IF((INDEX(B1:XFD1,(A2)+(0)))=("store"),(INDEX(B1:XFD1,(A2)+(1)))=("Z"),"false"),B2,Z336),Z336))</f>
        <v>#VALUE!</v>
      </c>
      <c r="AA336" t="e">
        <f ca="1">IF((A1)=(2),1,IF((333)=(AA3),IF(IF((INDEX(B1:XFD1,(A2)+(0)))=("store"),(INDEX(B1:XFD1,(A2)+(1)))=("AA"),"false"),B2,AA336),AA336))</f>
        <v>#VALUE!</v>
      </c>
      <c r="AB336" t="e">
        <f ca="1">IF((A1)=(2),1,IF((333)=(AB3),IF(IF((INDEX(B1:XFD1,(A2)+(0)))=("store"),(INDEX(B1:XFD1,(A2)+(1)))=("AB"),"false"),B2,AB336),AB336))</f>
        <v>#VALUE!</v>
      </c>
      <c r="AC336" t="e">
        <f ca="1">IF((A1)=(2),1,IF((333)=(AC3),IF(IF((INDEX(B1:XFD1,(A2)+(0)))=("store"),(INDEX(B1:XFD1,(A2)+(1)))=("AC"),"false"),B2,AC336),AC336))</f>
        <v>#VALUE!</v>
      </c>
      <c r="AD336" t="e">
        <f ca="1">IF((A1)=(2),1,IF((333)=(AD3),IF(IF((INDEX(B1:XFD1,(A2)+(0)))=("store"),(INDEX(B1:XFD1,(A2)+(1)))=("AD"),"false"),B2,AD336),AD336))</f>
        <v>#VALUE!</v>
      </c>
    </row>
    <row r="337" spans="1:30" x14ac:dyDescent="0.25">
      <c r="A337" t="e">
        <f ca="1">IF((A1)=(2),1,IF((334)=(A3),IF(("call")=(INDEX(B1:XFD1,(A2)+(0))),((B2)*(2))+(1),IF(("goto")=(INDEX(B1:XFD1,(A2)+(0))),((INDEX(B1:XFD1,(A2)+(1)))*(2))+(1),IF(("gotoiftrue")=(INDEX(B1:XFD1,(A2)+(0))),IF(B2,((INDEX(B1:XFD1,(A2)+(1)))*(2))+(1),(A337)+(2)),(A337)+(2)))),A337))</f>
        <v>#VALUE!</v>
      </c>
      <c r="B337" t="e">
        <f ca="1">IF((A1)=(2),1,IF((334)=(B3),IF(("push")=(INDEX(B1:XFD1,(A2)+(0))),INDEX(B1:XFD1,(A2)+(1)),IF(("load")=(INDEX(B1:XFD1,(A2)+(0))),INDEX(F2:XFD2,INDEX(B1:XFD1,(A2)+(1))),IF(("newheap")=(INDEX(B1:XFD1,(A2)+(0))),(C3)-(2),IF(("getheap")=(INDEX(B1:XFD1,(A2)+(0))),INDEX(C4:C404,(B337)+(1)),IF(("add")=(INDEX(B1:XFD1,(A2)+(0))),(INDEX(B4:B404,(B3)+(1)))+(B337),IF(("equals")=(INDEX(B1:XFD1,(A2)+(0))),(INDEX(B4:B404,(B3)+(1)))=(B337),IF(("leq")=(INDEX(B1:XFD1,(A2)+(0))),(INDEX(B4:B404,(B3)+(1)))&lt;=(B337),IF(("mod")=(INDEX(B1:XFD1,(A2)+(0))),MOD(INDEX(B4:B404,(B3)+(1)),B337),B337)))))))),B337))</f>
        <v>#VALUE!</v>
      </c>
      <c r="C337" t="e">
        <f ca="1">IF((A1)=(2),1,IF(AND((INDEX(B1:XFD1,(A2)+(0)))=("writeheap"),(INDEX(B4:B404,(B3)+(1)))=(333)),INDEX(B4:B404,(B3)+(2)),IF((A1)=(2),1,IF((334)=(C3),C337,C337))))</f>
        <v>#VALUE!</v>
      </c>
      <c r="E337" t="e">
        <f ca="1">IF((A1)=(2),1,IF((334)=(E3),IF(("outputline")=(INDEX(B1:XFD1,(A2)+(0))),B2,E337),E337))</f>
        <v>#VALUE!</v>
      </c>
      <c r="F337" t="e">
        <f ca="1">IF((A1)=(2),1,IF((334)=(F3),IF(IF((INDEX(B1:XFD1,(A2)+(0)))=("store"),(INDEX(B1:XFD1,(A2)+(1)))=("F"),"false"),B2,F337),F337))</f>
        <v>#VALUE!</v>
      </c>
      <c r="G337" t="e">
        <f ca="1">IF((A1)=(2),1,IF((334)=(G3),IF(IF((INDEX(B1:XFD1,(A2)+(0)))=("store"),(INDEX(B1:XFD1,(A2)+(1)))=("G"),"false"),B2,G337),G337))</f>
        <v>#VALUE!</v>
      </c>
      <c r="H337" t="e">
        <f ca="1">IF((A1)=(2),1,IF((334)=(H3),IF(IF((INDEX(B1:XFD1,(A2)+(0)))=("store"),(INDEX(B1:XFD1,(A2)+(1)))=("H"),"false"),B2,H337),H337))</f>
        <v>#VALUE!</v>
      </c>
      <c r="I337" t="e">
        <f ca="1">IF((A1)=(2),1,IF((334)=(I3),IF(IF((INDEX(B1:XFD1,(A2)+(0)))=("store"),(INDEX(B1:XFD1,(A2)+(1)))=("I"),"false"),B2,I337),I337))</f>
        <v>#VALUE!</v>
      </c>
      <c r="J337" t="e">
        <f ca="1">IF((A1)=(2),1,IF((334)=(J3),IF(IF((INDEX(B1:XFD1,(A2)+(0)))=("store"),(INDEX(B1:XFD1,(A2)+(1)))=("J"),"false"),B2,J337),J337))</f>
        <v>#VALUE!</v>
      </c>
      <c r="K337" t="e">
        <f ca="1">IF((A1)=(2),1,IF((334)=(K3),IF(IF((INDEX(B1:XFD1,(A2)+(0)))=("store"),(INDEX(B1:XFD1,(A2)+(1)))=("K"),"false"),B2,K337),K337))</f>
        <v>#VALUE!</v>
      </c>
      <c r="L337" t="e">
        <f ca="1">IF((A1)=(2),1,IF((334)=(L3),IF(IF((INDEX(B1:XFD1,(A2)+(0)))=("store"),(INDEX(B1:XFD1,(A2)+(1)))=("L"),"false"),B2,L337),L337))</f>
        <v>#VALUE!</v>
      </c>
      <c r="M337" t="e">
        <f ca="1">IF((A1)=(2),1,IF((334)=(M3),IF(IF((INDEX(B1:XFD1,(A2)+(0)))=("store"),(INDEX(B1:XFD1,(A2)+(1)))=("M"),"false"),B2,M337),M337))</f>
        <v>#VALUE!</v>
      </c>
      <c r="N337" t="e">
        <f ca="1">IF((A1)=(2),1,IF((334)=(N3),IF(IF((INDEX(B1:XFD1,(A2)+(0)))=("store"),(INDEX(B1:XFD1,(A2)+(1)))=("N"),"false"),B2,N337),N337))</f>
        <v>#VALUE!</v>
      </c>
      <c r="O337" t="e">
        <f ca="1">IF((A1)=(2),1,IF((334)=(O3),IF(IF((INDEX(B1:XFD1,(A2)+(0)))=("store"),(INDEX(B1:XFD1,(A2)+(1)))=("O"),"false"),B2,O337),O337))</f>
        <v>#VALUE!</v>
      </c>
      <c r="P337" t="e">
        <f ca="1">IF((A1)=(2),1,IF((334)=(P3),IF(IF((INDEX(B1:XFD1,(A2)+(0)))=("store"),(INDEX(B1:XFD1,(A2)+(1)))=("P"),"false"),B2,P337),P337))</f>
        <v>#VALUE!</v>
      </c>
      <c r="Q337" t="e">
        <f ca="1">IF((A1)=(2),1,IF((334)=(Q3),IF(IF((INDEX(B1:XFD1,(A2)+(0)))=("store"),(INDEX(B1:XFD1,(A2)+(1)))=("Q"),"false"),B2,Q337),Q337))</f>
        <v>#VALUE!</v>
      </c>
      <c r="R337" t="e">
        <f ca="1">IF((A1)=(2),1,IF((334)=(R3),IF(IF((INDEX(B1:XFD1,(A2)+(0)))=("store"),(INDEX(B1:XFD1,(A2)+(1)))=("R"),"false"),B2,R337),R337))</f>
        <v>#VALUE!</v>
      </c>
      <c r="S337" t="e">
        <f ca="1">IF((A1)=(2),1,IF((334)=(S3),IF(IF((INDEX(B1:XFD1,(A2)+(0)))=("store"),(INDEX(B1:XFD1,(A2)+(1)))=("S"),"false"),B2,S337),S337))</f>
        <v>#VALUE!</v>
      </c>
      <c r="T337" t="e">
        <f ca="1">IF((A1)=(2),1,IF((334)=(T3),IF(IF((INDEX(B1:XFD1,(A2)+(0)))=("store"),(INDEX(B1:XFD1,(A2)+(1)))=("T"),"false"),B2,T337),T337))</f>
        <v>#VALUE!</v>
      </c>
      <c r="U337" t="e">
        <f ca="1">IF((A1)=(2),1,IF((334)=(U3),IF(IF((INDEX(B1:XFD1,(A2)+(0)))=("store"),(INDEX(B1:XFD1,(A2)+(1)))=("U"),"false"),B2,U337),U337))</f>
        <v>#VALUE!</v>
      </c>
      <c r="V337" t="e">
        <f ca="1">IF((A1)=(2),1,IF((334)=(V3),IF(IF((INDEX(B1:XFD1,(A2)+(0)))=("store"),(INDEX(B1:XFD1,(A2)+(1)))=("V"),"false"),B2,V337),V337))</f>
        <v>#VALUE!</v>
      </c>
      <c r="W337" t="e">
        <f ca="1">IF((A1)=(2),1,IF((334)=(W3),IF(IF((INDEX(B1:XFD1,(A2)+(0)))=("store"),(INDEX(B1:XFD1,(A2)+(1)))=("W"),"false"),B2,W337),W337))</f>
        <v>#VALUE!</v>
      </c>
      <c r="X337" t="e">
        <f ca="1">IF((A1)=(2),1,IF((334)=(X3),IF(IF((INDEX(B1:XFD1,(A2)+(0)))=("store"),(INDEX(B1:XFD1,(A2)+(1)))=("X"),"false"),B2,X337),X337))</f>
        <v>#VALUE!</v>
      </c>
      <c r="Y337" t="e">
        <f ca="1">IF((A1)=(2),1,IF((334)=(Y3),IF(IF((INDEX(B1:XFD1,(A2)+(0)))=("store"),(INDEX(B1:XFD1,(A2)+(1)))=("Y"),"false"),B2,Y337),Y337))</f>
        <v>#VALUE!</v>
      </c>
      <c r="Z337" t="e">
        <f ca="1">IF((A1)=(2),1,IF((334)=(Z3),IF(IF((INDEX(B1:XFD1,(A2)+(0)))=("store"),(INDEX(B1:XFD1,(A2)+(1)))=("Z"),"false"),B2,Z337),Z337))</f>
        <v>#VALUE!</v>
      </c>
      <c r="AA337" t="e">
        <f ca="1">IF((A1)=(2),1,IF((334)=(AA3),IF(IF((INDEX(B1:XFD1,(A2)+(0)))=("store"),(INDEX(B1:XFD1,(A2)+(1)))=("AA"),"false"),B2,AA337),AA337))</f>
        <v>#VALUE!</v>
      </c>
      <c r="AB337" t="e">
        <f ca="1">IF((A1)=(2),1,IF((334)=(AB3),IF(IF((INDEX(B1:XFD1,(A2)+(0)))=("store"),(INDEX(B1:XFD1,(A2)+(1)))=("AB"),"false"),B2,AB337),AB337))</f>
        <v>#VALUE!</v>
      </c>
      <c r="AC337" t="e">
        <f ca="1">IF((A1)=(2),1,IF((334)=(AC3),IF(IF((INDEX(B1:XFD1,(A2)+(0)))=("store"),(INDEX(B1:XFD1,(A2)+(1)))=("AC"),"false"),B2,AC337),AC337))</f>
        <v>#VALUE!</v>
      </c>
      <c r="AD337" t="e">
        <f ca="1">IF((A1)=(2),1,IF((334)=(AD3),IF(IF((INDEX(B1:XFD1,(A2)+(0)))=("store"),(INDEX(B1:XFD1,(A2)+(1)))=("AD"),"false"),B2,AD337),AD337))</f>
        <v>#VALUE!</v>
      </c>
    </row>
    <row r="338" spans="1:30" x14ac:dyDescent="0.25">
      <c r="A338" t="e">
        <f ca="1">IF((A1)=(2),1,IF((335)=(A3),IF(("call")=(INDEX(B1:XFD1,(A2)+(0))),((B2)*(2))+(1),IF(("goto")=(INDEX(B1:XFD1,(A2)+(0))),((INDEX(B1:XFD1,(A2)+(1)))*(2))+(1),IF(("gotoiftrue")=(INDEX(B1:XFD1,(A2)+(0))),IF(B2,((INDEX(B1:XFD1,(A2)+(1)))*(2))+(1),(A338)+(2)),(A338)+(2)))),A338))</f>
        <v>#VALUE!</v>
      </c>
      <c r="B338" t="e">
        <f ca="1">IF((A1)=(2),1,IF((335)=(B3),IF(("push")=(INDEX(B1:XFD1,(A2)+(0))),INDEX(B1:XFD1,(A2)+(1)),IF(("load")=(INDEX(B1:XFD1,(A2)+(0))),INDEX(F2:XFD2,INDEX(B1:XFD1,(A2)+(1))),IF(("newheap")=(INDEX(B1:XFD1,(A2)+(0))),(C3)-(2),IF(("getheap")=(INDEX(B1:XFD1,(A2)+(0))),INDEX(C4:C404,(B338)+(1)),IF(("add")=(INDEX(B1:XFD1,(A2)+(0))),(INDEX(B4:B404,(B3)+(1)))+(B338),IF(("equals")=(INDEX(B1:XFD1,(A2)+(0))),(INDEX(B4:B404,(B3)+(1)))=(B338),IF(("leq")=(INDEX(B1:XFD1,(A2)+(0))),(INDEX(B4:B404,(B3)+(1)))&lt;=(B338),IF(("mod")=(INDEX(B1:XFD1,(A2)+(0))),MOD(INDEX(B4:B404,(B3)+(1)),B338),B338)))))))),B338))</f>
        <v>#VALUE!</v>
      </c>
      <c r="C338" t="e">
        <f ca="1">IF((A1)=(2),1,IF(AND((INDEX(B1:XFD1,(A2)+(0)))=("writeheap"),(INDEX(B4:B404,(B3)+(1)))=(334)),INDEX(B4:B404,(B3)+(2)),IF((A1)=(2),1,IF((335)=(C3),C338,C338))))</f>
        <v>#VALUE!</v>
      </c>
      <c r="E338" t="e">
        <f ca="1">IF((A1)=(2),1,IF((335)=(E3),IF(("outputline")=(INDEX(B1:XFD1,(A2)+(0))),B2,E338),E338))</f>
        <v>#VALUE!</v>
      </c>
      <c r="F338" t="e">
        <f ca="1">IF((A1)=(2),1,IF((335)=(F3),IF(IF((INDEX(B1:XFD1,(A2)+(0)))=("store"),(INDEX(B1:XFD1,(A2)+(1)))=("F"),"false"),B2,F338),F338))</f>
        <v>#VALUE!</v>
      </c>
      <c r="G338" t="e">
        <f ca="1">IF((A1)=(2),1,IF((335)=(G3),IF(IF((INDEX(B1:XFD1,(A2)+(0)))=("store"),(INDEX(B1:XFD1,(A2)+(1)))=("G"),"false"),B2,G338),G338))</f>
        <v>#VALUE!</v>
      </c>
      <c r="H338" t="e">
        <f ca="1">IF((A1)=(2),1,IF((335)=(H3),IF(IF((INDEX(B1:XFD1,(A2)+(0)))=("store"),(INDEX(B1:XFD1,(A2)+(1)))=("H"),"false"),B2,H338),H338))</f>
        <v>#VALUE!</v>
      </c>
      <c r="I338" t="e">
        <f ca="1">IF((A1)=(2),1,IF((335)=(I3),IF(IF((INDEX(B1:XFD1,(A2)+(0)))=("store"),(INDEX(B1:XFD1,(A2)+(1)))=("I"),"false"),B2,I338),I338))</f>
        <v>#VALUE!</v>
      </c>
      <c r="J338" t="e">
        <f ca="1">IF((A1)=(2),1,IF((335)=(J3),IF(IF((INDEX(B1:XFD1,(A2)+(0)))=("store"),(INDEX(B1:XFD1,(A2)+(1)))=("J"),"false"),B2,J338),J338))</f>
        <v>#VALUE!</v>
      </c>
      <c r="K338" t="e">
        <f ca="1">IF((A1)=(2),1,IF((335)=(K3),IF(IF((INDEX(B1:XFD1,(A2)+(0)))=("store"),(INDEX(B1:XFD1,(A2)+(1)))=("K"),"false"),B2,K338),K338))</f>
        <v>#VALUE!</v>
      </c>
      <c r="L338" t="e">
        <f ca="1">IF((A1)=(2),1,IF((335)=(L3),IF(IF((INDEX(B1:XFD1,(A2)+(0)))=("store"),(INDEX(B1:XFD1,(A2)+(1)))=("L"),"false"),B2,L338),L338))</f>
        <v>#VALUE!</v>
      </c>
      <c r="M338" t="e">
        <f ca="1">IF((A1)=(2),1,IF((335)=(M3),IF(IF((INDEX(B1:XFD1,(A2)+(0)))=("store"),(INDEX(B1:XFD1,(A2)+(1)))=("M"),"false"),B2,M338),M338))</f>
        <v>#VALUE!</v>
      </c>
      <c r="N338" t="e">
        <f ca="1">IF((A1)=(2),1,IF((335)=(N3),IF(IF((INDEX(B1:XFD1,(A2)+(0)))=("store"),(INDEX(B1:XFD1,(A2)+(1)))=("N"),"false"),B2,N338),N338))</f>
        <v>#VALUE!</v>
      </c>
      <c r="O338" t="e">
        <f ca="1">IF((A1)=(2),1,IF((335)=(O3),IF(IF((INDEX(B1:XFD1,(A2)+(0)))=("store"),(INDEX(B1:XFD1,(A2)+(1)))=("O"),"false"),B2,O338),O338))</f>
        <v>#VALUE!</v>
      </c>
      <c r="P338" t="e">
        <f ca="1">IF((A1)=(2),1,IF((335)=(P3),IF(IF((INDEX(B1:XFD1,(A2)+(0)))=("store"),(INDEX(B1:XFD1,(A2)+(1)))=("P"),"false"),B2,P338),P338))</f>
        <v>#VALUE!</v>
      </c>
      <c r="Q338" t="e">
        <f ca="1">IF((A1)=(2),1,IF((335)=(Q3),IF(IF((INDEX(B1:XFD1,(A2)+(0)))=("store"),(INDEX(B1:XFD1,(A2)+(1)))=("Q"),"false"),B2,Q338),Q338))</f>
        <v>#VALUE!</v>
      </c>
      <c r="R338" t="e">
        <f ca="1">IF((A1)=(2),1,IF((335)=(R3),IF(IF((INDEX(B1:XFD1,(A2)+(0)))=("store"),(INDEX(B1:XFD1,(A2)+(1)))=("R"),"false"),B2,R338),R338))</f>
        <v>#VALUE!</v>
      </c>
      <c r="S338" t="e">
        <f ca="1">IF((A1)=(2),1,IF((335)=(S3),IF(IF((INDEX(B1:XFD1,(A2)+(0)))=("store"),(INDEX(B1:XFD1,(A2)+(1)))=("S"),"false"),B2,S338),S338))</f>
        <v>#VALUE!</v>
      </c>
      <c r="T338" t="e">
        <f ca="1">IF((A1)=(2),1,IF((335)=(T3),IF(IF((INDEX(B1:XFD1,(A2)+(0)))=("store"),(INDEX(B1:XFD1,(A2)+(1)))=("T"),"false"),B2,T338),T338))</f>
        <v>#VALUE!</v>
      </c>
      <c r="U338" t="e">
        <f ca="1">IF((A1)=(2),1,IF((335)=(U3),IF(IF((INDEX(B1:XFD1,(A2)+(0)))=("store"),(INDEX(B1:XFD1,(A2)+(1)))=("U"),"false"),B2,U338),U338))</f>
        <v>#VALUE!</v>
      </c>
      <c r="V338" t="e">
        <f ca="1">IF((A1)=(2),1,IF((335)=(V3),IF(IF((INDEX(B1:XFD1,(A2)+(0)))=("store"),(INDEX(B1:XFD1,(A2)+(1)))=("V"),"false"),B2,V338),V338))</f>
        <v>#VALUE!</v>
      </c>
      <c r="W338" t="e">
        <f ca="1">IF((A1)=(2),1,IF((335)=(W3),IF(IF((INDEX(B1:XFD1,(A2)+(0)))=("store"),(INDEX(B1:XFD1,(A2)+(1)))=("W"),"false"),B2,W338),W338))</f>
        <v>#VALUE!</v>
      </c>
      <c r="X338" t="e">
        <f ca="1">IF((A1)=(2),1,IF((335)=(X3),IF(IF((INDEX(B1:XFD1,(A2)+(0)))=("store"),(INDEX(B1:XFD1,(A2)+(1)))=("X"),"false"),B2,X338),X338))</f>
        <v>#VALUE!</v>
      </c>
      <c r="Y338" t="e">
        <f ca="1">IF((A1)=(2),1,IF((335)=(Y3),IF(IF((INDEX(B1:XFD1,(A2)+(0)))=("store"),(INDEX(B1:XFD1,(A2)+(1)))=("Y"),"false"),B2,Y338),Y338))</f>
        <v>#VALUE!</v>
      </c>
      <c r="Z338" t="e">
        <f ca="1">IF((A1)=(2),1,IF((335)=(Z3),IF(IF((INDEX(B1:XFD1,(A2)+(0)))=("store"),(INDEX(B1:XFD1,(A2)+(1)))=("Z"),"false"),B2,Z338),Z338))</f>
        <v>#VALUE!</v>
      </c>
      <c r="AA338" t="e">
        <f ca="1">IF((A1)=(2),1,IF((335)=(AA3),IF(IF((INDEX(B1:XFD1,(A2)+(0)))=("store"),(INDEX(B1:XFD1,(A2)+(1)))=("AA"),"false"),B2,AA338),AA338))</f>
        <v>#VALUE!</v>
      </c>
      <c r="AB338" t="e">
        <f ca="1">IF((A1)=(2),1,IF((335)=(AB3),IF(IF((INDEX(B1:XFD1,(A2)+(0)))=("store"),(INDEX(B1:XFD1,(A2)+(1)))=("AB"),"false"),B2,AB338),AB338))</f>
        <v>#VALUE!</v>
      </c>
      <c r="AC338" t="e">
        <f ca="1">IF((A1)=(2),1,IF((335)=(AC3),IF(IF((INDEX(B1:XFD1,(A2)+(0)))=("store"),(INDEX(B1:XFD1,(A2)+(1)))=("AC"),"false"),B2,AC338),AC338))</f>
        <v>#VALUE!</v>
      </c>
      <c r="AD338" t="e">
        <f ca="1">IF((A1)=(2),1,IF((335)=(AD3),IF(IF((INDEX(B1:XFD1,(A2)+(0)))=("store"),(INDEX(B1:XFD1,(A2)+(1)))=("AD"),"false"),B2,AD338),AD338))</f>
        <v>#VALUE!</v>
      </c>
    </row>
    <row r="339" spans="1:30" x14ac:dyDescent="0.25">
      <c r="A339" t="e">
        <f ca="1">IF((A1)=(2),1,IF((336)=(A3),IF(("call")=(INDEX(B1:XFD1,(A2)+(0))),((B2)*(2))+(1),IF(("goto")=(INDEX(B1:XFD1,(A2)+(0))),((INDEX(B1:XFD1,(A2)+(1)))*(2))+(1),IF(("gotoiftrue")=(INDEX(B1:XFD1,(A2)+(0))),IF(B2,((INDEX(B1:XFD1,(A2)+(1)))*(2))+(1),(A339)+(2)),(A339)+(2)))),A339))</f>
        <v>#VALUE!</v>
      </c>
      <c r="B339" t="e">
        <f ca="1">IF((A1)=(2),1,IF((336)=(B3),IF(("push")=(INDEX(B1:XFD1,(A2)+(0))),INDEX(B1:XFD1,(A2)+(1)),IF(("load")=(INDEX(B1:XFD1,(A2)+(0))),INDEX(F2:XFD2,INDEX(B1:XFD1,(A2)+(1))),IF(("newheap")=(INDEX(B1:XFD1,(A2)+(0))),(C3)-(2),IF(("getheap")=(INDEX(B1:XFD1,(A2)+(0))),INDEX(C4:C404,(B339)+(1)),IF(("add")=(INDEX(B1:XFD1,(A2)+(0))),(INDEX(B4:B404,(B3)+(1)))+(B339),IF(("equals")=(INDEX(B1:XFD1,(A2)+(0))),(INDEX(B4:B404,(B3)+(1)))=(B339),IF(("leq")=(INDEX(B1:XFD1,(A2)+(0))),(INDEX(B4:B404,(B3)+(1)))&lt;=(B339),IF(("mod")=(INDEX(B1:XFD1,(A2)+(0))),MOD(INDEX(B4:B404,(B3)+(1)),B339),B339)))))))),B339))</f>
        <v>#VALUE!</v>
      </c>
      <c r="C339" t="e">
        <f ca="1">IF((A1)=(2),1,IF(AND((INDEX(B1:XFD1,(A2)+(0)))=("writeheap"),(INDEX(B4:B404,(B3)+(1)))=(335)),INDEX(B4:B404,(B3)+(2)),IF((A1)=(2),1,IF((336)=(C3),C339,C339))))</f>
        <v>#VALUE!</v>
      </c>
      <c r="E339" t="e">
        <f ca="1">IF((A1)=(2),1,IF((336)=(E3),IF(("outputline")=(INDEX(B1:XFD1,(A2)+(0))),B2,E339),E339))</f>
        <v>#VALUE!</v>
      </c>
      <c r="F339" t="e">
        <f ca="1">IF((A1)=(2),1,IF((336)=(F3),IF(IF((INDEX(B1:XFD1,(A2)+(0)))=("store"),(INDEX(B1:XFD1,(A2)+(1)))=("F"),"false"),B2,F339),F339))</f>
        <v>#VALUE!</v>
      </c>
      <c r="G339" t="e">
        <f ca="1">IF((A1)=(2),1,IF((336)=(G3),IF(IF((INDEX(B1:XFD1,(A2)+(0)))=("store"),(INDEX(B1:XFD1,(A2)+(1)))=("G"),"false"),B2,G339),G339))</f>
        <v>#VALUE!</v>
      </c>
      <c r="H339" t="e">
        <f ca="1">IF((A1)=(2),1,IF((336)=(H3),IF(IF((INDEX(B1:XFD1,(A2)+(0)))=("store"),(INDEX(B1:XFD1,(A2)+(1)))=("H"),"false"),B2,H339),H339))</f>
        <v>#VALUE!</v>
      </c>
      <c r="I339" t="e">
        <f ca="1">IF((A1)=(2),1,IF((336)=(I3),IF(IF((INDEX(B1:XFD1,(A2)+(0)))=("store"),(INDEX(B1:XFD1,(A2)+(1)))=("I"),"false"),B2,I339),I339))</f>
        <v>#VALUE!</v>
      </c>
      <c r="J339" t="e">
        <f ca="1">IF((A1)=(2),1,IF((336)=(J3),IF(IF((INDEX(B1:XFD1,(A2)+(0)))=("store"),(INDEX(B1:XFD1,(A2)+(1)))=("J"),"false"),B2,J339),J339))</f>
        <v>#VALUE!</v>
      </c>
      <c r="K339" t="e">
        <f ca="1">IF((A1)=(2),1,IF((336)=(K3),IF(IF((INDEX(B1:XFD1,(A2)+(0)))=("store"),(INDEX(B1:XFD1,(A2)+(1)))=("K"),"false"),B2,K339),K339))</f>
        <v>#VALUE!</v>
      </c>
      <c r="L339" t="e">
        <f ca="1">IF((A1)=(2),1,IF((336)=(L3),IF(IF((INDEX(B1:XFD1,(A2)+(0)))=("store"),(INDEX(B1:XFD1,(A2)+(1)))=("L"),"false"),B2,L339),L339))</f>
        <v>#VALUE!</v>
      </c>
      <c r="M339" t="e">
        <f ca="1">IF((A1)=(2),1,IF((336)=(M3),IF(IF((INDEX(B1:XFD1,(A2)+(0)))=("store"),(INDEX(B1:XFD1,(A2)+(1)))=("M"),"false"),B2,M339),M339))</f>
        <v>#VALUE!</v>
      </c>
      <c r="N339" t="e">
        <f ca="1">IF((A1)=(2),1,IF((336)=(N3),IF(IF((INDEX(B1:XFD1,(A2)+(0)))=("store"),(INDEX(B1:XFD1,(A2)+(1)))=("N"),"false"),B2,N339),N339))</f>
        <v>#VALUE!</v>
      </c>
      <c r="O339" t="e">
        <f ca="1">IF((A1)=(2),1,IF((336)=(O3),IF(IF((INDEX(B1:XFD1,(A2)+(0)))=("store"),(INDEX(B1:XFD1,(A2)+(1)))=("O"),"false"),B2,O339),O339))</f>
        <v>#VALUE!</v>
      </c>
      <c r="P339" t="e">
        <f ca="1">IF((A1)=(2),1,IF((336)=(P3),IF(IF((INDEX(B1:XFD1,(A2)+(0)))=("store"),(INDEX(B1:XFD1,(A2)+(1)))=("P"),"false"),B2,P339),P339))</f>
        <v>#VALUE!</v>
      </c>
      <c r="Q339" t="e">
        <f ca="1">IF((A1)=(2),1,IF((336)=(Q3),IF(IF((INDEX(B1:XFD1,(A2)+(0)))=("store"),(INDEX(B1:XFD1,(A2)+(1)))=("Q"),"false"),B2,Q339),Q339))</f>
        <v>#VALUE!</v>
      </c>
      <c r="R339" t="e">
        <f ca="1">IF((A1)=(2),1,IF((336)=(R3),IF(IF((INDEX(B1:XFD1,(A2)+(0)))=("store"),(INDEX(B1:XFD1,(A2)+(1)))=("R"),"false"),B2,R339),R339))</f>
        <v>#VALUE!</v>
      </c>
      <c r="S339" t="e">
        <f ca="1">IF((A1)=(2),1,IF((336)=(S3),IF(IF((INDEX(B1:XFD1,(A2)+(0)))=("store"),(INDEX(B1:XFD1,(A2)+(1)))=("S"),"false"),B2,S339),S339))</f>
        <v>#VALUE!</v>
      </c>
      <c r="T339" t="e">
        <f ca="1">IF((A1)=(2),1,IF((336)=(T3),IF(IF((INDEX(B1:XFD1,(A2)+(0)))=("store"),(INDEX(B1:XFD1,(A2)+(1)))=("T"),"false"),B2,T339),T339))</f>
        <v>#VALUE!</v>
      </c>
      <c r="U339" t="e">
        <f ca="1">IF((A1)=(2),1,IF((336)=(U3),IF(IF((INDEX(B1:XFD1,(A2)+(0)))=("store"),(INDEX(B1:XFD1,(A2)+(1)))=("U"),"false"),B2,U339),U339))</f>
        <v>#VALUE!</v>
      </c>
      <c r="V339" t="e">
        <f ca="1">IF((A1)=(2),1,IF((336)=(V3),IF(IF((INDEX(B1:XFD1,(A2)+(0)))=("store"),(INDEX(B1:XFD1,(A2)+(1)))=("V"),"false"),B2,V339),V339))</f>
        <v>#VALUE!</v>
      </c>
      <c r="W339" t="e">
        <f ca="1">IF((A1)=(2),1,IF((336)=(W3),IF(IF((INDEX(B1:XFD1,(A2)+(0)))=("store"),(INDEX(B1:XFD1,(A2)+(1)))=("W"),"false"),B2,W339),W339))</f>
        <v>#VALUE!</v>
      </c>
      <c r="X339" t="e">
        <f ca="1">IF((A1)=(2),1,IF((336)=(X3),IF(IF((INDEX(B1:XFD1,(A2)+(0)))=("store"),(INDEX(B1:XFD1,(A2)+(1)))=("X"),"false"),B2,X339),X339))</f>
        <v>#VALUE!</v>
      </c>
      <c r="Y339" t="e">
        <f ca="1">IF((A1)=(2),1,IF((336)=(Y3),IF(IF((INDEX(B1:XFD1,(A2)+(0)))=("store"),(INDEX(B1:XFD1,(A2)+(1)))=("Y"),"false"),B2,Y339),Y339))</f>
        <v>#VALUE!</v>
      </c>
      <c r="Z339" t="e">
        <f ca="1">IF((A1)=(2),1,IF((336)=(Z3),IF(IF((INDEX(B1:XFD1,(A2)+(0)))=("store"),(INDEX(B1:XFD1,(A2)+(1)))=("Z"),"false"),B2,Z339),Z339))</f>
        <v>#VALUE!</v>
      </c>
      <c r="AA339" t="e">
        <f ca="1">IF((A1)=(2),1,IF((336)=(AA3),IF(IF((INDEX(B1:XFD1,(A2)+(0)))=("store"),(INDEX(B1:XFD1,(A2)+(1)))=("AA"),"false"),B2,AA339),AA339))</f>
        <v>#VALUE!</v>
      </c>
      <c r="AB339" t="e">
        <f ca="1">IF((A1)=(2),1,IF((336)=(AB3),IF(IF((INDEX(B1:XFD1,(A2)+(0)))=("store"),(INDEX(B1:XFD1,(A2)+(1)))=("AB"),"false"),B2,AB339),AB339))</f>
        <v>#VALUE!</v>
      </c>
      <c r="AC339" t="e">
        <f ca="1">IF((A1)=(2),1,IF((336)=(AC3),IF(IF((INDEX(B1:XFD1,(A2)+(0)))=("store"),(INDEX(B1:XFD1,(A2)+(1)))=("AC"),"false"),B2,AC339),AC339))</f>
        <v>#VALUE!</v>
      </c>
      <c r="AD339" t="e">
        <f ca="1">IF((A1)=(2),1,IF((336)=(AD3),IF(IF((INDEX(B1:XFD1,(A2)+(0)))=("store"),(INDEX(B1:XFD1,(A2)+(1)))=("AD"),"false"),B2,AD339),AD339))</f>
        <v>#VALUE!</v>
      </c>
    </row>
    <row r="340" spans="1:30" x14ac:dyDescent="0.25">
      <c r="A340" t="e">
        <f ca="1">IF((A1)=(2),1,IF((337)=(A3),IF(("call")=(INDEX(B1:XFD1,(A2)+(0))),((B2)*(2))+(1),IF(("goto")=(INDEX(B1:XFD1,(A2)+(0))),((INDEX(B1:XFD1,(A2)+(1)))*(2))+(1),IF(("gotoiftrue")=(INDEX(B1:XFD1,(A2)+(0))),IF(B2,((INDEX(B1:XFD1,(A2)+(1)))*(2))+(1),(A340)+(2)),(A340)+(2)))),A340))</f>
        <v>#VALUE!</v>
      </c>
      <c r="B340" t="e">
        <f ca="1">IF((A1)=(2),1,IF((337)=(B3),IF(("push")=(INDEX(B1:XFD1,(A2)+(0))),INDEX(B1:XFD1,(A2)+(1)),IF(("load")=(INDEX(B1:XFD1,(A2)+(0))),INDEX(F2:XFD2,INDEX(B1:XFD1,(A2)+(1))),IF(("newheap")=(INDEX(B1:XFD1,(A2)+(0))),(C3)-(2),IF(("getheap")=(INDEX(B1:XFD1,(A2)+(0))),INDEX(C4:C404,(B340)+(1)),IF(("add")=(INDEX(B1:XFD1,(A2)+(0))),(INDEX(B4:B404,(B3)+(1)))+(B340),IF(("equals")=(INDEX(B1:XFD1,(A2)+(0))),(INDEX(B4:B404,(B3)+(1)))=(B340),IF(("leq")=(INDEX(B1:XFD1,(A2)+(0))),(INDEX(B4:B404,(B3)+(1)))&lt;=(B340),IF(("mod")=(INDEX(B1:XFD1,(A2)+(0))),MOD(INDEX(B4:B404,(B3)+(1)),B340),B340)))))))),B340))</f>
        <v>#VALUE!</v>
      </c>
      <c r="C340" t="e">
        <f ca="1">IF((A1)=(2),1,IF(AND((INDEX(B1:XFD1,(A2)+(0)))=("writeheap"),(INDEX(B4:B404,(B3)+(1)))=(336)),INDEX(B4:B404,(B3)+(2)),IF((A1)=(2),1,IF((337)=(C3),C340,C340))))</f>
        <v>#VALUE!</v>
      </c>
      <c r="E340" t="e">
        <f ca="1">IF((A1)=(2),1,IF((337)=(E3),IF(("outputline")=(INDEX(B1:XFD1,(A2)+(0))),B2,E340),E340))</f>
        <v>#VALUE!</v>
      </c>
      <c r="F340" t="e">
        <f ca="1">IF((A1)=(2),1,IF((337)=(F3),IF(IF((INDEX(B1:XFD1,(A2)+(0)))=("store"),(INDEX(B1:XFD1,(A2)+(1)))=("F"),"false"),B2,F340),F340))</f>
        <v>#VALUE!</v>
      </c>
      <c r="G340" t="e">
        <f ca="1">IF((A1)=(2),1,IF((337)=(G3),IF(IF((INDEX(B1:XFD1,(A2)+(0)))=("store"),(INDEX(B1:XFD1,(A2)+(1)))=("G"),"false"),B2,G340),G340))</f>
        <v>#VALUE!</v>
      </c>
      <c r="H340" t="e">
        <f ca="1">IF((A1)=(2),1,IF((337)=(H3),IF(IF((INDEX(B1:XFD1,(A2)+(0)))=("store"),(INDEX(B1:XFD1,(A2)+(1)))=("H"),"false"),B2,H340),H340))</f>
        <v>#VALUE!</v>
      </c>
      <c r="I340" t="e">
        <f ca="1">IF((A1)=(2),1,IF((337)=(I3),IF(IF((INDEX(B1:XFD1,(A2)+(0)))=("store"),(INDEX(B1:XFD1,(A2)+(1)))=("I"),"false"),B2,I340),I340))</f>
        <v>#VALUE!</v>
      </c>
      <c r="J340" t="e">
        <f ca="1">IF((A1)=(2),1,IF((337)=(J3),IF(IF((INDEX(B1:XFD1,(A2)+(0)))=("store"),(INDEX(B1:XFD1,(A2)+(1)))=("J"),"false"),B2,J340),J340))</f>
        <v>#VALUE!</v>
      </c>
      <c r="K340" t="e">
        <f ca="1">IF((A1)=(2),1,IF((337)=(K3),IF(IF((INDEX(B1:XFD1,(A2)+(0)))=("store"),(INDEX(B1:XFD1,(A2)+(1)))=("K"),"false"),B2,K340),K340))</f>
        <v>#VALUE!</v>
      </c>
      <c r="L340" t="e">
        <f ca="1">IF((A1)=(2),1,IF((337)=(L3),IF(IF((INDEX(B1:XFD1,(A2)+(0)))=("store"),(INDEX(B1:XFD1,(A2)+(1)))=("L"),"false"),B2,L340),L340))</f>
        <v>#VALUE!</v>
      </c>
      <c r="M340" t="e">
        <f ca="1">IF((A1)=(2),1,IF((337)=(M3),IF(IF((INDEX(B1:XFD1,(A2)+(0)))=("store"),(INDEX(B1:XFD1,(A2)+(1)))=("M"),"false"),B2,M340),M340))</f>
        <v>#VALUE!</v>
      </c>
      <c r="N340" t="e">
        <f ca="1">IF((A1)=(2),1,IF((337)=(N3),IF(IF((INDEX(B1:XFD1,(A2)+(0)))=("store"),(INDEX(B1:XFD1,(A2)+(1)))=("N"),"false"),B2,N340),N340))</f>
        <v>#VALUE!</v>
      </c>
      <c r="O340" t="e">
        <f ca="1">IF((A1)=(2),1,IF((337)=(O3),IF(IF((INDEX(B1:XFD1,(A2)+(0)))=("store"),(INDEX(B1:XFD1,(A2)+(1)))=("O"),"false"),B2,O340),O340))</f>
        <v>#VALUE!</v>
      </c>
      <c r="P340" t="e">
        <f ca="1">IF((A1)=(2),1,IF((337)=(P3),IF(IF((INDEX(B1:XFD1,(A2)+(0)))=("store"),(INDEX(B1:XFD1,(A2)+(1)))=("P"),"false"),B2,P340),P340))</f>
        <v>#VALUE!</v>
      </c>
      <c r="Q340" t="e">
        <f ca="1">IF((A1)=(2),1,IF((337)=(Q3),IF(IF((INDEX(B1:XFD1,(A2)+(0)))=("store"),(INDEX(B1:XFD1,(A2)+(1)))=("Q"),"false"),B2,Q340),Q340))</f>
        <v>#VALUE!</v>
      </c>
      <c r="R340" t="e">
        <f ca="1">IF((A1)=(2),1,IF((337)=(R3),IF(IF((INDEX(B1:XFD1,(A2)+(0)))=("store"),(INDEX(B1:XFD1,(A2)+(1)))=("R"),"false"),B2,R340),R340))</f>
        <v>#VALUE!</v>
      </c>
      <c r="S340" t="e">
        <f ca="1">IF((A1)=(2),1,IF((337)=(S3),IF(IF((INDEX(B1:XFD1,(A2)+(0)))=("store"),(INDEX(B1:XFD1,(A2)+(1)))=("S"),"false"),B2,S340),S340))</f>
        <v>#VALUE!</v>
      </c>
      <c r="T340" t="e">
        <f ca="1">IF((A1)=(2),1,IF((337)=(T3),IF(IF((INDEX(B1:XFD1,(A2)+(0)))=("store"),(INDEX(B1:XFD1,(A2)+(1)))=("T"),"false"),B2,T340),T340))</f>
        <v>#VALUE!</v>
      </c>
      <c r="U340" t="e">
        <f ca="1">IF((A1)=(2),1,IF((337)=(U3),IF(IF((INDEX(B1:XFD1,(A2)+(0)))=("store"),(INDEX(B1:XFD1,(A2)+(1)))=("U"),"false"),B2,U340),U340))</f>
        <v>#VALUE!</v>
      </c>
      <c r="V340" t="e">
        <f ca="1">IF((A1)=(2),1,IF((337)=(V3),IF(IF((INDEX(B1:XFD1,(A2)+(0)))=("store"),(INDEX(B1:XFD1,(A2)+(1)))=("V"),"false"),B2,V340),V340))</f>
        <v>#VALUE!</v>
      </c>
      <c r="W340" t="e">
        <f ca="1">IF((A1)=(2),1,IF((337)=(W3),IF(IF((INDEX(B1:XFD1,(A2)+(0)))=("store"),(INDEX(B1:XFD1,(A2)+(1)))=("W"),"false"),B2,W340),W340))</f>
        <v>#VALUE!</v>
      </c>
      <c r="X340" t="e">
        <f ca="1">IF((A1)=(2),1,IF((337)=(X3),IF(IF((INDEX(B1:XFD1,(A2)+(0)))=("store"),(INDEX(B1:XFD1,(A2)+(1)))=("X"),"false"),B2,X340),X340))</f>
        <v>#VALUE!</v>
      </c>
      <c r="Y340" t="e">
        <f ca="1">IF((A1)=(2),1,IF((337)=(Y3),IF(IF((INDEX(B1:XFD1,(A2)+(0)))=("store"),(INDEX(B1:XFD1,(A2)+(1)))=("Y"),"false"),B2,Y340),Y340))</f>
        <v>#VALUE!</v>
      </c>
      <c r="Z340" t="e">
        <f ca="1">IF((A1)=(2),1,IF((337)=(Z3),IF(IF((INDEX(B1:XFD1,(A2)+(0)))=("store"),(INDEX(B1:XFD1,(A2)+(1)))=("Z"),"false"),B2,Z340),Z340))</f>
        <v>#VALUE!</v>
      </c>
      <c r="AA340" t="e">
        <f ca="1">IF((A1)=(2),1,IF((337)=(AA3),IF(IF((INDEX(B1:XFD1,(A2)+(0)))=("store"),(INDEX(B1:XFD1,(A2)+(1)))=("AA"),"false"),B2,AA340),AA340))</f>
        <v>#VALUE!</v>
      </c>
      <c r="AB340" t="e">
        <f ca="1">IF((A1)=(2),1,IF((337)=(AB3),IF(IF((INDEX(B1:XFD1,(A2)+(0)))=("store"),(INDEX(B1:XFD1,(A2)+(1)))=("AB"),"false"),B2,AB340),AB340))</f>
        <v>#VALUE!</v>
      </c>
      <c r="AC340" t="e">
        <f ca="1">IF((A1)=(2),1,IF((337)=(AC3),IF(IF((INDEX(B1:XFD1,(A2)+(0)))=("store"),(INDEX(B1:XFD1,(A2)+(1)))=("AC"),"false"),B2,AC340),AC340))</f>
        <v>#VALUE!</v>
      </c>
      <c r="AD340" t="e">
        <f ca="1">IF((A1)=(2),1,IF((337)=(AD3),IF(IF((INDEX(B1:XFD1,(A2)+(0)))=("store"),(INDEX(B1:XFD1,(A2)+(1)))=("AD"),"false"),B2,AD340),AD340))</f>
        <v>#VALUE!</v>
      </c>
    </row>
    <row r="341" spans="1:30" x14ac:dyDescent="0.25">
      <c r="A341" t="e">
        <f ca="1">IF((A1)=(2),1,IF((338)=(A3),IF(("call")=(INDEX(B1:XFD1,(A2)+(0))),((B2)*(2))+(1),IF(("goto")=(INDEX(B1:XFD1,(A2)+(0))),((INDEX(B1:XFD1,(A2)+(1)))*(2))+(1),IF(("gotoiftrue")=(INDEX(B1:XFD1,(A2)+(0))),IF(B2,((INDEX(B1:XFD1,(A2)+(1)))*(2))+(1),(A341)+(2)),(A341)+(2)))),A341))</f>
        <v>#VALUE!</v>
      </c>
      <c r="B341" t="e">
        <f ca="1">IF((A1)=(2),1,IF((338)=(B3),IF(("push")=(INDEX(B1:XFD1,(A2)+(0))),INDEX(B1:XFD1,(A2)+(1)),IF(("load")=(INDEX(B1:XFD1,(A2)+(0))),INDEX(F2:XFD2,INDEX(B1:XFD1,(A2)+(1))),IF(("newheap")=(INDEX(B1:XFD1,(A2)+(0))),(C3)-(2),IF(("getheap")=(INDEX(B1:XFD1,(A2)+(0))),INDEX(C4:C404,(B341)+(1)),IF(("add")=(INDEX(B1:XFD1,(A2)+(0))),(INDEX(B4:B404,(B3)+(1)))+(B341),IF(("equals")=(INDEX(B1:XFD1,(A2)+(0))),(INDEX(B4:B404,(B3)+(1)))=(B341),IF(("leq")=(INDEX(B1:XFD1,(A2)+(0))),(INDEX(B4:B404,(B3)+(1)))&lt;=(B341),IF(("mod")=(INDEX(B1:XFD1,(A2)+(0))),MOD(INDEX(B4:B404,(B3)+(1)),B341),B341)))))))),B341))</f>
        <v>#VALUE!</v>
      </c>
      <c r="C341" t="e">
        <f ca="1">IF((A1)=(2),1,IF(AND((INDEX(B1:XFD1,(A2)+(0)))=("writeheap"),(INDEX(B4:B404,(B3)+(1)))=(337)),INDEX(B4:B404,(B3)+(2)),IF((A1)=(2),1,IF((338)=(C3),C341,C341))))</f>
        <v>#VALUE!</v>
      </c>
      <c r="E341" t="e">
        <f ca="1">IF((A1)=(2),1,IF((338)=(E3),IF(("outputline")=(INDEX(B1:XFD1,(A2)+(0))),B2,E341),E341))</f>
        <v>#VALUE!</v>
      </c>
      <c r="F341" t="e">
        <f ca="1">IF((A1)=(2),1,IF((338)=(F3),IF(IF((INDEX(B1:XFD1,(A2)+(0)))=("store"),(INDEX(B1:XFD1,(A2)+(1)))=("F"),"false"),B2,F341),F341))</f>
        <v>#VALUE!</v>
      </c>
      <c r="G341" t="e">
        <f ca="1">IF((A1)=(2),1,IF((338)=(G3),IF(IF((INDEX(B1:XFD1,(A2)+(0)))=("store"),(INDEX(B1:XFD1,(A2)+(1)))=("G"),"false"),B2,G341),G341))</f>
        <v>#VALUE!</v>
      </c>
      <c r="H341" t="e">
        <f ca="1">IF((A1)=(2),1,IF((338)=(H3),IF(IF((INDEX(B1:XFD1,(A2)+(0)))=("store"),(INDEX(B1:XFD1,(A2)+(1)))=("H"),"false"),B2,H341),H341))</f>
        <v>#VALUE!</v>
      </c>
      <c r="I341" t="e">
        <f ca="1">IF((A1)=(2),1,IF((338)=(I3),IF(IF((INDEX(B1:XFD1,(A2)+(0)))=("store"),(INDEX(B1:XFD1,(A2)+(1)))=("I"),"false"),B2,I341),I341))</f>
        <v>#VALUE!</v>
      </c>
      <c r="J341" t="e">
        <f ca="1">IF((A1)=(2),1,IF((338)=(J3),IF(IF((INDEX(B1:XFD1,(A2)+(0)))=("store"),(INDEX(B1:XFD1,(A2)+(1)))=("J"),"false"),B2,J341),J341))</f>
        <v>#VALUE!</v>
      </c>
      <c r="K341" t="e">
        <f ca="1">IF((A1)=(2),1,IF((338)=(K3),IF(IF((INDEX(B1:XFD1,(A2)+(0)))=("store"),(INDEX(B1:XFD1,(A2)+(1)))=("K"),"false"),B2,K341),K341))</f>
        <v>#VALUE!</v>
      </c>
      <c r="L341" t="e">
        <f ca="1">IF((A1)=(2),1,IF((338)=(L3),IF(IF((INDEX(B1:XFD1,(A2)+(0)))=("store"),(INDEX(B1:XFD1,(A2)+(1)))=("L"),"false"),B2,L341),L341))</f>
        <v>#VALUE!</v>
      </c>
      <c r="M341" t="e">
        <f ca="1">IF((A1)=(2),1,IF((338)=(M3),IF(IF((INDEX(B1:XFD1,(A2)+(0)))=("store"),(INDEX(B1:XFD1,(A2)+(1)))=("M"),"false"),B2,M341),M341))</f>
        <v>#VALUE!</v>
      </c>
      <c r="N341" t="e">
        <f ca="1">IF((A1)=(2),1,IF((338)=(N3),IF(IF((INDEX(B1:XFD1,(A2)+(0)))=("store"),(INDEX(B1:XFD1,(A2)+(1)))=("N"),"false"),B2,N341),N341))</f>
        <v>#VALUE!</v>
      </c>
      <c r="O341" t="e">
        <f ca="1">IF((A1)=(2),1,IF((338)=(O3),IF(IF((INDEX(B1:XFD1,(A2)+(0)))=("store"),(INDEX(B1:XFD1,(A2)+(1)))=("O"),"false"),B2,O341),O341))</f>
        <v>#VALUE!</v>
      </c>
      <c r="P341" t="e">
        <f ca="1">IF((A1)=(2),1,IF((338)=(P3),IF(IF((INDEX(B1:XFD1,(A2)+(0)))=("store"),(INDEX(B1:XFD1,(A2)+(1)))=("P"),"false"),B2,P341),P341))</f>
        <v>#VALUE!</v>
      </c>
      <c r="Q341" t="e">
        <f ca="1">IF((A1)=(2),1,IF((338)=(Q3),IF(IF((INDEX(B1:XFD1,(A2)+(0)))=("store"),(INDEX(B1:XFD1,(A2)+(1)))=("Q"),"false"),B2,Q341),Q341))</f>
        <v>#VALUE!</v>
      </c>
      <c r="R341" t="e">
        <f ca="1">IF((A1)=(2),1,IF((338)=(R3),IF(IF((INDEX(B1:XFD1,(A2)+(0)))=("store"),(INDEX(B1:XFD1,(A2)+(1)))=("R"),"false"),B2,R341),R341))</f>
        <v>#VALUE!</v>
      </c>
      <c r="S341" t="e">
        <f ca="1">IF((A1)=(2),1,IF((338)=(S3),IF(IF((INDEX(B1:XFD1,(A2)+(0)))=("store"),(INDEX(B1:XFD1,(A2)+(1)))=("S"),"false"),B2,S341),S341))</f>
        <v>#VALUE!</v>
      </c>
      <c r="T341" t="e">
        <f ca="1">IF((A1)=(2),1,IF((338)=(T3),IF(IF((INDEX(B1:XFD1,(A2)+(0)))=("store"),(INDEX(B1:XFD1,(A2)+(1)))=("T"),"false"),B2,T341),T341))</f>
        <v>#VALUE!</v>
      </c>
      <c r="U341" t="e">
        <f ca="1">IF((A1)=(2),1,IF((338)=(U3),IF(IF((INDEX(B1:XFD1,(A2)+(0)))=("store"),(INDEX(B1:XFD1,(A2)+(1)))=("U"),"false"),B2,U341),U341))</f>
        <v>#VALUE!</v>
      </c>
      <c r="V341" t="e">
        <f ca="1">IF((A1)=(2),1,IF((338)=(V3),IF(IF((INDEX(B1:XFD1,(A2)+(0)))=("store"),(INDEX(B1:XFD1,(A2)+(1)))=("V"),"false"),B2,V341),V341))</f>
        <v>#VALUE!</v>
      </c>
      <c r="W341" t="e">
        <f ca="1">IF((A1)=(2),1,IF((338)=(W3),IF(IF((INDEX(B1:XFD1,(A2)+(0)))=("store"),(INDEX(B1:XFD1,(A2)+(1)))=("W"),"false"),B2,W341),W341))</f>
        <v>#VALUE!</v>
      </c>
      <c r="X341" t="e">
        <f ca="1">IF((A1)=(2),1,IF((338)=(X3),IF(IF((INDEX(B1:XFD1,(A2)+(0)))=("store"),(INDEX(B1:XFD1,(A2)+(1)))=("X"),"false"),B2,X341),X341))</f>
        <v>#VALUE!</v>
      </c>
      <c r="Y341" t="e">
        <f ca="1">IF((A1)=(2),1,IF((338)=(Y3),IF(IF((INDEX(B1:XFD1,(A2)+(0)))=("store"),(INDEX(B1:XFD1,(A2)+(1)))=("Y"),"false"),B2,Y341),Y341))</f>
        <v>#VALUE!</v>
      </c>
      <c r="Z341" t="e">
        <f ca="1">IF((A1)=(2),1,IF((338)=(Z3),IF(IF((INDEX(B1:XFD1,(A2)+(0)))=("store"),(INDEX(B1:XFD1,(A2)+(1)))=("Z"),"false"),B2,Z341),Z341))</f>
        <v>#VALUE!</v>
      </c>
      <c r="AA341" t="e">
        <f ca="1">IF((A1)=(2),1,IF((338)=(AA3),IF(IF((INDEX(B1:XFD1,(A2)+(0)))=("store"),(INDEX(B1:XFD1,(A2)+(1)))=("AA"),"false"),B2,AA341),AA341))</f>
        <v>#VALUE!</v>
      </c>
      <c r="AB341" t="e">
        <f ca="1">IF((A1)=(2),1,IF((338)=(AB3),IF(IF((INDEX(B1:XFD1,(A2)+(0)))=("store"),(INDEX(B1:XFD1,(A2)+(1)))=("AB"),"false"),B2,AB341),AB341))</f>
        <v>#VALUE!</v>
      </c>
      <c r="AC341" t="e">
        <f ca="1">IF((A1)=(2),1,IF((338)=(AC3),IF(IF((INDEX(B1:XFD1,(A2)+(0)))=("store"),(INDEX(B1:XFD1,(A2)+(1)))=("AC"),"false"),B2,AC341),AC341))</f>
        <v>#VALUE!</v>
      </c>
      <c r="AD341" t="e">
        <f ca="1">IF((A1)=(2),1,IF((338)=(AD3),IF(IF((INDEX(B1:XFD1,(A2)+(0)))=("store"),(INDEX(B1:XFD1,(A2)+(1)))=("AD"),"false"),B2,AD341),AD341))</f>
        <v>#VALUE!</v>
      </c>
    </row>
    <row r="342" spans="1:30" x14ac:dyDescent="0.25">
      <c r="A342" t="e">
        <f ca="1">IF((A1)=(2),1,IF((339)=(A3),IF(("call")=(INDEX(B1:XFD1,(A2)+(0))),((B2)*(2))+(1),IF(("goto")=(INDEX(B1:XFD1,(A2)+(0))),((INDEX(B1:XFD1,(A2)+(1)))*(2))+(1),IF(("gotoiftrue")=(INDEX(B1:XFD1,(A2)+(0))),IF(B2,((INDEX(B1:XFD1,(A2)+(1)))*(2))+(1),(A342)+(2)),(A342)+(2)))),A342))</f>
        <v>#VALUE!</v>
      </c>
      <c r="B342" t="e">
        <f ca="1">IF((A1)=(2),1,IF((339)=(B3),IF(("push")=(INDEX(B1:XFD1,(A2)+(0))),INDEX(B1:XFD1,(A2)+(1)),IF(("load")=(INDEX(B1:XFD1,(A2)+(0))),INDEX(F2:XFD2,INDEX(B1:XFD1,(A2)+(1))),IF(("newheap")=(INDEX(B1:XFD1,(A2)+(0))),(C3)-(2),IF(("getheap")=(INDEX(B1:XFD1,(A2)+(0))),INDEX(C4:C404,(B342)+(1)),IF(("add")=(INDEX(B1:XFD1,(A2)+(0))),(INDEX(B4:B404,(B3)+(1)))+(B342),IF(("equals")=(INDEX(B1:XFD1,(A2)+(0))),(INDEX(B4:B404,(B3)+(1)))=(B342),IF(("leq")=(INDEX(B1:XFD1,(A2)+(0))),(INDEX(B4:B404,(B3)+(1)))&lt;=(B342),IF(("mod")=(INDEX(B1:XFD1,(A2)+(0))),MOD(INDEX(B4:B404,(B3)+(1)),B342),B342)))))))),B342))</f>
        <v>#VALUE!</v>
      </c>
      <c r="C342" t="e">
        <f ca="1">IF((A1)=(2),1,IF(AND((INDEX(B1:XFD1,(A2)+(0)))=("writeheap"),(INDEX(B4:B404,(B3)+(1)))=(338)),INDEX(B4:B404,(B3)+(2)),IF((A1)=(2),1,IF((339)=(C3),C342,C342))))</f>
        <v>#VALUE!</v>
      </c>
      <c r="E342" t="e">
        <f ca="1">IF((A1)=(2),1,IF((339)=(E3),IF(("outputline")=(INDEX(B1:XFD1,(A2)+(0))),B2,E342),E342))</f>
        <v>#VALUE!</v>
      </c>
      <c r="F342" t="e">
        <f ca="1">IF((A1)=(2),1,IF((339)=(F3),IF(IF((INDEX(B1:XFD1,(A2)+(0)))=("store"),(INDEX(B1:XFD1,(A2)+(1)))=("F"),"false"),B2,F342),F342))</f>
        <v>#VALUE!</v>
      </c>
      <c r="G342" t="e">
        <f ca="1">IF((A1)=(2),1,IF((339)=(G3),IF(IF((INDEX(B1:XFD1,(A2)+(0)))=("store"),(INDEX(B1:XFD1,(A2)+(1)))=("G"),"false"),B2,G342),G342))</f>
        <v>#VALUE!</v>
      </c>
      <c r="H342" t="e">
        <f ca="1">IF((A1)=(2),1,IF((339)=(H3),IF(IF((INDEX(B1:XFD1,(A2)+(0)))=("store"),(INDEX(B1:XFD1,(A2)+(1)))=("H"),"false"),B2,H342),H342))</f>
        <v>#VALUE!</v>
      </c>
      <c r="I342" t="e">
        <f ca="1">IF((A1)=(2),1,IF((339)=(I3),IF(IF((INDEX(B1:XFD1,(A2)+(0)))=("store"),(INDEX(B1:XFD1,(A2)+(1)))=("I"),"false"),B2,I342),I342))</f>
        <v>#VALUE!</v>
      </c>
      <c r="J342" t="e">
        <f ca="1">IF((A1)=(2),1,IF((339)=(J3),IF(IF((INDEX(B1:XFD1,(A2)+(0)))=("store"),(INDEX(B1:XFD1,(A2)+(1)))=("J"),"false"),B2,J342),J342))</f>
        <v>#VALUE!</v>
      </c>
      <c r="K342" t="e">
        <f ca="1">IF((A1)=(2),1,IF((339)=(K3),IF(IF((INDEX(B1:XFD1,(A2)+(0)))=("store"),(INDEX(B1:XFD1,(A2)+(1)))=("K"),"false"),B2,K342),K342))</f>
        <v>#VALUE!</v>
      </c>
      <c r="L342" t="e">
        <f ca="1">IF((A1)=(2),1,IF((339)=(L3),IF(IF((INDEX(B1:XFD1,(A2)+(0)))=("store"),(INDEX(B1:XFD1,(A2)+(1)))=("L"),"false"),B2,L342),L342))</f>
        <v>#VALUE!</v>
      </c>
      <c r="M342" t="e">
        <f ca="1">IF((A1)=(2),1,IF((339)=(M3),IF(IF((INDEX(B1:XFD1,(A2)+(0)))=("store"),(INDEX(B1:XFD1,(A2)+(1)))=("M"),"false"),B2,M342),M342))</f>
        <v>#VALUE!</v>
      </c>
      <c r="N342" t="e">
        <f ca="1">IF((A1)=(2),1,IF((339)=(N3),IF(IF((INDEX(B1:XFD1,(A2)+(0)))=("store"),(INDEX(B1:XFD1,(A2)+(1)))=("N"),"false"),B2,N342),N342))</f>
        <v>#VALUE!</v>
      </c>
      <c r="O342" t="e">
        <f ca="1">IF((A1)=(2),1,IF((339)=(O3),IF(IF((INDEX(B1:XFD1,(A2)+(0)))=("store"),(INDEX(B1:XFD1,(A2)+(1)))=("O"),"false"),B2,O342),O342))</f>
        <v>#VALUE!</v>
      </c>
      <c r="P342" t="e">
        <f ca="1">IF((A1)=(2),1,IF((339)=(P3),IF(IF((INDEX(B1:XFD1,(A2)+(0)))=("store"),(INDEX(B1:XFD1,(A2)+(1)))=("P"),"false"),B2,P342),P342))</f>
        <v>#VALUE!</v>
      </c>
      <c r="Q342" t="e">
        <f ca="1">IF((A1)=(2),1,IF((339)=(Q3),IF(IF((INDEX(B1:XFD1,(A2)+(0)))=("store"),(INDEX(B1:XFD1,(A2)+(1)))=("Q"),"false"),B2,Q342),Q342))</f>
        <v>#VALUE!</v>
      </c>
      <c r="R342" t="e">
        <f ca="1">IF((A1)=(2),1,IF((339)=(R3),IF(IF((INDEX(B1:XFD1,(A2)+(0)))=("store"),(INDEX(B1:XFD1,(A2)+(1)))=("R"),"false"),B2,R342),R342))</f>
        <v>#VALUE!</v>
      </c>
      <c r="S342" t="e">
        <f ca="1">IF((A1)=(2),1,IF((339)=(S3),IF(IF((INDEX(B1:XFD1,(A2)+(0)))=("store"),(INDEX(B1:XFD1,(A2)+(1)))=("S"),"false"),B2,S342),S342))</f>
        <v>#VALUE!</v>
      </c>
      <c r="T342" t="e">
        <f ca="1">IF((A1)=(2),1,IF((339)=(T3),IF(IF((INDEX(B1:XFD1,(A2)+(0)))=("store"),(INDEX(B1:XFD1,(A2)+(1)))=("T"),"false"),B2,T342),T342))</f>
        <v>#VALUE!</v>
      </c>
      <c r="U342" t="e">
        <f ca="1">IF((A1)=(2),1,IF((339)=(U3),IF(IF((INDEX(B1:XFD1,(A2)+(0)))=("store"),(INDEX(B1:XFD1,(A2)+(1)))=("U"),"false"),B2,U342),U342))</f>
        <v>#VALUE!</v>
      </c>
      <c r="V342" t="e">
        <f ca="1">IF((A1)=(2),1,IF((339)=(V3),IF(IF((INDEX(B1:XFD1,(A2)+(0)))=("store"),(INDEX(B1:XFD1,(A2)+(1)))=("V"),"false"),B2,V342),V342))</f>
        <v>#VALUE!</v>
      </c>
      <c r="W342" t="e">
        <f ca="1">IF((A1)=(2),1,IF((339)=(W3),IF(IF((INDEX(B1:XFD1,(A2)+(0)))=("store"),(INDEX(B1:XFD1,(A2)+(1)))=("W"),"false"),B2,W342),W342))</f>
        <v>#VALUE!</v>
      </c>
      <c r="X342" t="e">
        <f ca="1">IF((A1)=(2),1,IF((339)=(X3),IF(IF((INDEX(B1:XFD1,(A2)+(0)))=("store"),(INDEX(B1:XFD1,(A2)+(1)))=("X"),"false"),B2,X342),X342))</f>
        <v>#VALUE!</v>
      </c>
      <c r="Y342" t="e">
        <f ca="1">IF((A1)=(2),1,IF((339)=(Y3),IF(IF((INDEX(B1:XFD1,(A2)+(0)))=("store"),(INDEX(B1:XFD1,(A2)+(1)))=("Y"),"false"),B2,Y342),Y342))</f>
        <v>#VALUE!</v>
      </c>
      <c r="Z342" t="e">
        <f ca="1">IF((A1)=(2),1,IF((339)=(Z3),IF(IF((INDEX(B1:XFD1,(A2)+(0)))=("store"),(INDEX(B1:XFD1,(A2)+(1)))=("Z"),"false"),B2,Z342),Z342))</f>
        <v>#VALUE!</v>
      </c>
      <c r="AA342" t="e">
        <f ca="1">IF((A1)=(2),1,IF((339)=(AA3),IF(IF((INDEX(B1:XFD1,(A2)+(0)))=("store"),(INDEX(B1:XFD1,(A2)+(1)))=("AA"),"false"),B2,AA342),AA342))</f>
        <v>#VALUE!</v>
      </c>
      <c r="AB342" t="e">
        <f ca="1">IF((A1)=(2),1,IF((339)=(AB3),IF(IF((INDEX(B1:XFD1,(A2)+(0)))=("store"),(INDEX(B1:XFD1,(A2)+(1)))=("AB"),"false"),B2,AB342),AB342))</f>
        <v>#VALUE!</v>
      </c>
      <c r="AC342" t="e">
        <f ca="1">IF((A1)=(2),1,IF((339)=(AC3),IF(IF((INDEX(B1:XFD1,(A2)+(0)))=("store"),(INDEX(B1:XFD1,(A2)+(1)))=("AC"),"false"),B2,AC342),AC342))</f>
        <v>#VALUE!</v>
      </c>
      <c r="AD342" t="e">
        <f ca="1">IF((A1)=(2),1,IF((339)=(AD3),IF(IF((INDEX(B1:XFD1,(A2)+(0)))=("store"),(INDEX(B1:XFD1,(A2)+(1)))=("AD"),"false"),B2,AD342),AD342))</f>
        <v>#VALUE!</v>
      </c>
    </row>
    <row r="343" spans="1:30" x14ac:dyDescent="0.25">
      <c r="A343" t="e">
        <f ca="1">IF((A1)=(2),1,IF((340)=(A3),IF(("call")=(INDEX(B1:XFD1,(A2)+(0))),((B2)*(2))+(1),IF(("goto")=(INDEX(B1:XFD1,(A2)+(0))),((INDEX(B1:XFD1,(A2)+(1)))*(2))+(1),IF(("gotoiftrue")=(INDEX(B1:XFD1,(A2)+(0))),IF(B2,((INDEX(B1:XFD1,(A2)+(1)))*(2))+(1),(A343)+(2)),(A343)+(2)))),A343))</f>
        <v>#VALUE!</v>
      </c>
      <c r="B343" t="e">
        <f ca="1">IF((A1)=(2),1,IF((340)=(B3),IF(("push")=(INDEX(B1:XFD1,(A2)+(0))),INDEX(B1:XFD1,(A2)+(1)),IF(("load")=(INDEX(B1:XFD1,(A2)+(0))),INDEX(F2:XFD2,INDEX(B1:XFD1,(A2)+(1))),IF(("newheap")=(INDEX(B1:XFD1,(A2)+(0))),(C3)-(2),IF(("getheap")=(INDEX(B1:XFD1,(A2)+(0))),INDEX(C4:C404,(B343)+(1)),IF(("add")=(INDEX(B1:XFD1,(A2)+(0))),(INDEX(B4:B404,(B3)+(1)))+(B343),IF(("equals")=(INDEX(B1:XFD1,(A2)+(0))),(INDEX(B4:B404,(B3)+(1)))=(B343),IF(("leq")=(INDEX(B1:XFD1,(A2)+(0))),(INDEX(B4:B404,(B3)+(1)))&lt;=(B343),IF(("mod")=(INDEX(B1:XFD1,(A2)+(0))),MOD(INDEX(B4:B404,(B3)+(1)),B343),B343)))))))),B343))</f>
        <v>#VALUE!</v>
      </c>
      <c r="C343" t="e">
        <f ca="1">IF((A1)=(2),1,IF(AND((INDEX(B1:XFD1,(A2)+(0)))=("writeheap"),(INDEX(B4:B404,(B3)+(1)))=(339)),INDEX(B4:B404,(B3)+(2)),IF((A1)=(2),1,IF((340)=(C3),C343,C343))))</f>
        <v>#VALUE!</v>
      </c>
      <c r="E343" t="e">
        <f ca="1">IF((A1)=(2),1,IF((340)=(E3),IF(("outputline")=(INDEX(B1:XFD1,(A2)+(0))),B2,E343),E343))</f>
        <v>#VALUE!</v>
      </c>
      <c r="F343" t="e">
        <f ca="1">IF((A1)=(2),1,IF((340)=(F3),IF(IF((INDEX(B1:XFD1,(A2)+(0)))=("store"),(INDEX(B1:XFD1,(A2)+(1)))=("F"),"false"),B2,F343),F343))</f>
        <v>#VALUE!</v>
      </c>
      <c r="G343" t="e">
        <f ca="1">IF((A1)=(2),1,IF((340)=(G3),IF(IF((INDEX(B1:XFD1,(A2)+(0)))=("store"),(INDEX(B1:XFD1,(A2)+(1)))=("G"),"false"),B2,G343),G343))</f>
        <v>#VALUE!</v>
      </c>
      <c r="H343" t="e">
        <f ca="1">IF((A1)=(2),1,IF((340)=(H3),IF(IF((INDEX(B1:XFD1,(A2)+(0)))=("store"),(INDEX(B1:XFD1,(A2)+(1)))=("H"),"false"),B2,H343),H343))</f>
        <v>#VALUE!</v>
      </c>
      <c r="I343" t="e">
        <f ca="1">IF((A1)=(2),1,IF((340)=(I3),IF(IF((INDEX(B1:XFD1,(A2)+(0)))=("store"),(INDEX(B1:XFD1,(A2)+(1)))=("I"),"false"),B2,I343),I343))</f>
        <v>#VALUE!</v>
      </c>
      <c r="J343" t="e">
        <f ca="1">IF((A1)=(2),1,IF((340)=(J3),IF(IF((INDEX(B1:XFD1,(A2)+(0)))=("store"),(INDEX(B1:XFD1,(A2)+(1)))=("J"),"false"),B2,J343),J343))</f>
        <v>#VALUE!</v>
      </c>
      <c r="K343" t="e">
        <f ca="1">IF((A1)=(2),1,IF((340)=(K3),IF(IF((INDEX(B1:XFD1,(A2)+(0)))=("store"),(INDEX(B1:XFD1,(A2)+(1)))=("K"),"false"),B2,K343),K343))</f>
        <v>#VALUE!</v>
      </c>
      <c r="L343" t="e">
        <f ca="1">IF((A1)=(2),1,IF((340)=(L3),IF(IF((INDEX(B1:XFD1,(A2)+(0)))=("store"),(INDEX(B1:XFD1,(A2)+(1)))=("L"),"false"),B2,L343),L343))</f>
        <v>#VALUE!</v>
      </c>
      <c r="M343" t="e">
        <f ca="1">IF((A1)=(2),1,IF((340)=(M3),IF(IF((INDEX(B1:XFD1,(A2)+(0)))=("store"),(INDEX(B1:XFD1,(A2)+(1)))=("M"),"false"),B2,M343),M343))</f>
        <v>#VALUE!</v>
      </c>
      <c r="N343" t="e">
        <f ca="1">IF((A1)=(2),1,IF((340)=(N3),IF(IF((INDEX(B1:XFD1,(A2)+(0)))=("store"),(INDEX(B1:XFD1,(A2)+(1)))=("N"),"false"),B2,N343),N343))</f>
        <v>#VALUE!</v>
      </c>
      <c r="O343" t="e">
        <f ca="1">IF((A1)=(2),1,IF((340)=(O3),IF(IF((INDEX(B1:XFD1,(A2)+(0)))=("store"),(INDEX(B1:XFD1,(A2)+(1)))=("O"),"false"),B2,O343),O343))</f>
        <v>#VALUE!</v>
      </c>
      <c r="P343" t="e">
        <f ca="1">IF((A1)=(2),1,IF((340)=(P3),IF(IF((INDEX(B1:XFD1,(A2)+(0)))=("store"),(INDEX(B1:XFD1,(A2)+(1)))=("P"),"false"),B2,P343),P343))</f>
        <v>#VALUE!</v>
      </c>
      <c r="Q343" t="e">
        <f ca="1">IF((A1)=(2),1,IF((340)=(Q3),IF(IF((INDEX(B1:XFD1,(A2)+(0)))=("store"),(INDEX(B1:XFD1,(A2)+(1)))=("Q"),"false"),B2,Q343),Q343))</f>
        <v>#VALUE!</v>
      </c>
      <c r="R343" t="e">
        <f ca="1">IF((A1)=(2),1,IF((340)=(R3),IF(IF((INDEX(B1:XFD1,(A2)+(0)))=("store"),(INDEX(B1:XFD1,(A2)+(1)))=("R"),"false"),B2,R343),R343))</f>
        <v>#VALUE!</v>
      </c>
      <c r="S343" t="e">
        <f ca="1">IF((A1)=(2),1,IF((340)=(S3),IF(IF((INDEX(B1:XFD1,(A2)+(0)))=("store"),(INDEX(B1:XFD1,(A2)+(1)))=("S"),"false"),B2,S343),S343))</f>
        <v>#VALUE!</v>
      </c>
      <c r="T343" t="e">
        <f ca="1">IF((A1)=(2),1,IF((340)=(T3),IF(IF((INDEX(B1:XFD1,(A2)+(0)))=("store"),(INDEX(B1:XFD1,(A2)+(1)))=("T"),"false"),B2,T343),T343))</f>
        <v>#VALUE!</v>
      </c>
      <c r="U343" t="e">
        <f ca="1">IF((A1)=(2),1,IF((340)=(U3),IF(IF((INDEX(B1:XFD1,(A2)+(0)))=("store"),(INDEX(B1:XFD1,(A2)+(1)))=("U"),"false"),B2,U343),U343))</f>
        <v>#VALUE!</v>
      </c>
      <c r="V343" t="e">
        <f ca="1">IF((A1)=(2),1,IF((340)=(V3),IF(IF((INDEX(B1:XFD1,(A2)+(0)))=("store"),(INDEX(B1:XFD1,(A2)+(1)))=("V"),"false"),B2,V343),V343))</f>
        <v>#VALUE!</v>
      </c>
      <c r="W343" t="e">
        <f ca="1">IF((A1)=(2),1,IF((340)=(W3),IF(IF((INDEX(B1:XFD1,(A2)+(0)))=("store"),(INDEX(B1:XFD1,(A2)+(1)))=("W"),"false"),B2,W343),W343))</f>
        <v>#VALUE!</v>
      </c>
      <c r="X343" t="e">
        <f ca="1">IF((A1)=(2),1,IF((340)=(X3),IF(IF((INDEX(B1:XFD1,(A2)+(0)))=("store"),(INDEX(B1:XFD1,(A2)+(1)))=("X"),"false"),B2,X343),X343))</f>
        <v>#VALUE!</v>
      </c>
      <c r="Y343" t="e">
        <f ca="1">IF((A1)=(2),1,IF((340)=(Y3),IF(IF((INDEX(B1:XFD1,(A2)+(0)))=("store"),(INDEX(B1:XFD1,(A2)+(1)))=("Y"),"false"),B2,Y343),Y343))</f>
        <v>#VALUE!</v>
      </c>
      <c r="Z343" t="e">
        <f ca="1">IF((A1)=(2),1,IF((340)=(Z3),IF(IF((INDEX(B1:XFD1,(A2)+(0)))=("store"),(INDEX(B1:XFD1,(A2)+(1)))=("Z"),"false"),B2,Z343),Z343))</f>
        <v>#VALUE!</v>
      </c>
      <c r="AA343" t="e">
        <f ca="1">IF((A1)=(2),1,IF((340)=(AA3),IF(IF((INDEX(B1:XFD1,(A2)+(0)))=("store"),(INDEX(B1:XFD1,(A2)+(1)))=("AA"),"false"),B2,AA343),AA343))</f>
        <v>#VALUE!</v>
      </c>
      <c r="AB343" t="e">
        <f ca="1">IF((A1)=(2),1,IF((340)=(AB3),IF(IF((INDEX(B1:XFD1,(A2)+(0)))=("store"),(INDEX(B1:XFD1,(A2)+(1)))=("AB"),"false"),B2,AB343),AB343))</f>
        <v>#VALUE!</v>
      </c>
      <c r="AC343" t="e">
        <f ca="1">IF((A1)=(2),1,IF((340)=(AC3),IF(IF((INDEX(B1:XFD1,(A2)+(0)))=("store"),(INDEX(B1:XFD1,(A2)+(1)))=("AC"),"false"),B2,AC343),AC343))</f>
        <v>#VALUE!</v>
      </c>
      <c r="AD343" t="e">
        <f ca="1">IF((A1)=(2),1,IF((340)=(AD3),IF(IF((INDEX(B1:XFD1,(A2)+(0)))=("store"),(INDEX(B1:XFD1,(A2)+(1)))=("AD"),"false"),B2,AD343),AD343))</f>
        <v>#VALUE!</v>
      </c>
    </row>
    <row r="344" spans="1:30" x14ac:dyDescent="0.25">
      <c r="A344" t="e">
        <f ca="1">IF((A1)=(2),1,IF((341)=(A3),IF(("call")=(INDEX(B1:XFD1,(A2)+(0))),((B2)*(2))+(1),IF(("goto")=(INDEX(B1:XFD1,(A2)+(0))),((INDEX(B1:XFD1,(A2)+(1)))*(2))+(1),IF(("gotoiftrue")=(INDEX(B1:XFD1,(A2)+(0))),IF(B2,((INDEX(B1:XFD1,(A2)+(1)))*(2))+(1),(A344)+(2)),(A344)+(2)))),A344))</f>
        <v>#VALUE!</v>
      </c>
      <c r="B344" t="e">
        <f ca="1">IF((A1)=(2),1,IF((341)=(B3),IF(("push")=(INDEX(B1:XFD1,(A2)+(0))),INDEX(B1:XFD1,(A2)+(1)),IF(("load")=(INDEX(B1:XFD1,(A2)+(0))),INDEX(F2:XFD2,INDEX(B1:XFD1,(A2)+(1))),IF(("newheap")=(INDEX(B1:XFD1,(A2)+(0))),(C3)-(2),IF(("getheap")=(INDEX(B1:XFD1,(A2)+(0))),INDEX(C4:C404,(B344)+(1)),IF(("add")=(INDEX(B1:XFD1,(A2)+(0))),(INDEX(B4:B404,(B3)+(1)))+(B344),IF(("equals")=(INDEX(B1:XFD1,(A2)+(0))),(INDEX(B4:B404,(B3)+(1)))=(B344),IF(("leq")=(INDEX(B1:XFD1,(A2)+(0))),(INDEX(B4:B404,(B3)+(1)))&lt;=(B344),IF(("mod")=(INDEX(B1:XFD1,(A2)+(0))),MOD(INDEX(B4:B404,(B3)+(1)),B344),B344)))))))),B344))</f>
        <v>#VALUE!</v>
      </c>
      <c r="C344" t="e">
        <f ca="1">IF((A1)=(2),1,IF(AND((INDEX(B1:XFD1,(A2)+(0)))=("writeheap"),(INDEX(B4:B404,(B3)+(1)))=(340)),INDEX(B4:B404,(B3)+(2)),IF((A1)=(2),1,IF((341)=(C3),C344,C344))))</f>
        <v>#VALUE!</v>
      </c>
      <c r="E344" t="e">
        <f ca="1">IF((A1)=(2),1,IF((341)=(E3),IF(("outputline")=(INDEX(B1:XFD1,(A2)+(0))),B2,E344),E344))</f>
        <v>#VALUE!</v>
      </c>
      <c r="F344" t="e">
        <f ca="1">IF((A1)=(2),1,IF((341)=(F3),IF(IF((INDEX(B1:XFD1,(A2)+(0)))=("store"),(INDEX(B1:XFD1,(A2)+(1)))=("F"),"false"),B2,F344),F344))</f>
        <v>#VALUE!</v>
      </c>
      <c r="G344" t="e">
        <f ca="1">IF((A1)=(2),1,IF((341)=(G3),IF(IF((INDEX(B1:XFD1,(A2)+(0)))=("store"),(INDEX(B1:XFD1,(A2)+(1)))=("G"),"false"),B2,G344),G344))</f>
        <v>#VALUE!</v>
      </c>
      <c r="H344" t="e">
        <f ca="1">IF((A1)=(2),1,IF((341)=(H3),IF(IF((INDEX(B1:XFD1,(A2)+(0)))=("store"),(INDEX(B1:XFD1,(A2)+(1)))=("H"),"false"),B2,H344),H344))</f>
        <v>#VALUE!</v>
      </c>
      <c r="I344" t="e">
        <f ca="1">IF((A1)=(2),1,IF((341)=(I3),IF(IF((INDEX(B1:XFD1,(A2)+(0)))=("store"),(INDEX(B1:XFD1,(A2)+(1)))=("I"),"false"),B2,I344),I344))</f>
        <v>#VALUE!</v>
      </c>
      <c r="J344" t="e">
        <f ca="1">IF((A1)=(2),1,IF((341)=(J3),IF(IF((INDEX(B1:XFD1,(A2)+(0)))=("store"),(INDEX(B1:XFD1,(A2)+(1)))=("J"),"false"),B2,J344),J344))</f>
        <v>#VALUE!</v>
      </c>
      <c r="K344" t="e">
        <f ca="1">IF((A1)=(2),1,IF((341)=(K3),IF(IF((INDEX(B1:XFD1,(A2)+(0)))=("store"),(INDEX(B1:XFD1,(A2)+(1)))=("K"),"false"),B2,K344),K344))</f>
        <v>#VALUE!</v>
      </c>
      <c r="L344" t="e">
        <f ca="1">IF((A1)=(2),1,IF((341)=(L3),IF(IF((INDEX(B1:XFD1,(A2)+(0)))=("store"),(INDEX(B1:XFD1,(A2)+(1)))=("L"),"false"),B2,L344),L344))</f>
        <v>#VALUE!</v>
      </c>
      <c r="M344" t="e">
        <f ca="1">IF((A1)=(2),1,IF((341)=(M3),IF(IF((INDEX(B1:XFD1,(A2)+(0)))=("store"),(INDEX(B1:XFD1,(A2)+(1)))=("M"),"false"),B2,M344),M344))</f>
        <v>#VALUE!</v>
      </c>
      <c r="N344" t="e">
        <f ca="1">IF((A1)=(2),1,IF((341)=(N3),IF(IF((INDEX(B1:XFD1,(A2)+(0)))=("store"),(INDEX(B1:XFD1,(A2)+(1)))=("N"),"false"),B2,N344),N344))</f>
        <v>#VALUE!</v>
      </c>
      <c r="O344" t="e">
        <f ca="1">IF((A1)=(2),1,IF((341)=(O3),IF(IF((INDEX(B1:XFD1,(A2)+(0)))=("store"),(INDEX(B1:XFD1,(A2)+(1)))=("O"),"false"),B2,O344),O344))</f>
        <v>#VALUE!</v>
      </c>
      <c r="P344" t="e">
        <f ca="1">IF((A1)=(2),1,IF((341)=(P3),IF(IF((INDEX(B1:XFD1,(A2)+(0)))=("store"),(INDEX(B1:XFD1,(A2)+(1)))=("P"),"false"),B2,P344),P344))</f>
        <v>#VALUE!</v>
      </c>
      <c r="Q344" t="e">
        <f ca="1">IF((A1)=(2),1,IF((341)=(Q3),IF(IF((INDEX(B1:XFD1,(A2)+(0)))=("store"),(INDEX(B1:XFD1,(A2)+(1)))=("Q"),"false"),B2,Q344),Q344))</f>
        <v>#VALUE!</v>
      </c>
      <c r="R344" t="e">
        <f ca="1">IF((A1)=(2),1,IF((341)=(R3),IF(IF((INDEX(B1:XFD1,(A2)+(0)))=("store"),(INDEX(B1:XFD1,(A2)+(1)))=("R"),"false"),B2,R344),R344))</f>
        <v>#VALUE!</v>
      </c>
      <c r="S344" t="e">
        <f ca="1">IF((A1)=(2),1,IF((341)=(S3),IF(IF((INDEX(B1:XFD1,(A2)+(0)))=("store"),(INDEX(B1:XFD1,(A2)+(1)))=("S"),"false"),B2,S344),S344))</f>
        <v>#VALUE!</v>
      </c>
      <c r="T344" t="e">
        <f ca="1">IF((A1)=(2),1,IF((341)=(T3),IF(IF((INDEX(B1:XFD1,(A2)+(0)))=("store"),(INDEX(B1:XFD1,(A2)+(1)))=("T"),"false"),B2,T344),T344))</f>
        <v>#VALUE!</v>
      </c>
      <c r="U344" t="e">
        <f ca="1">IF((A1)=(2),1,IF((341)=(U3),IF(IF((INDEX(B1:XFD1,(A2)+(0)))=("store"),(INDEX(B1:XFD1,(A2)+(1)))=("U"),"false"),B2,U344),U344))</f>
        <v>#VALUE!</v>
      </c>
      <c r="V344" t="e">
        <f ca="1">IF((A1)=(2),1,IF((341)=(V3),IF(IF((INDEX(B1:XFD1,(A2)+(0)))=("store"),(INDEX(B1:XFD1,(A2)+(1)))=("V"),"false"),B2,V344),V344))</f>
        <v>#VALUE!</v>
      </c>
      <c r="W344" t="e">
        <f ca="1">IF((A1)=(2),1,IF((341)=(W3),IF(IF((INDEX(B1:XFD1,(A2)+(0)))=("store"),(INDEX(B1:XFD1,(A2)+(1)))=("W"),"false"),B2,W344),W344))</f>
        <v>#VALUE!</v>
      </c>
      <c r="X344" t="e">
        <f ca="1">IF((A1)=(2),1,IF((341)=(X3),IF(IF((INDEX(B1:XFD1,(A2)+(0)))=("store"),(INDEX(B1:XFD1,(A2)+(1)))=("X"),"false"),B2,X344),X344))</f>
        <v>#VALUE!</v>
      </c>
      <c r="Y344" t="e">
        <f ca="1">IF((A1)=(2),1,IF((341)=(Y3),IF(IF((INDEX(B1:XFD1,(A2)+(0)))=("store"),(INDEX(B1:XFD1,(A2)+(1)))=("Y"),"false"),B2,Y344),Y344))</f>
        <v>#VALUE!</v>
      </c>
      <c r="Z344" t="e">
        <f ca="1">IF((A1)=(2),1,IF((341)=(Z3),IF(IF((INDEX(B1:XFD1,(A2)+(0)))=("store"),(INDEX(B1:XFD1,(A2)+(1)))=("Z"),"false"),B2,Z344),Z344))</f>
        <v>#VALUE!</v>
      </c>
      <c r="AA344" t="e">
        <f ca="1">IF((A1)=(2),1,IF((341)=(AA3),IF(IF((INDEX(B1:XFD1,(A2)+(0)))=("store"),(INDEX(B1:XFD1,(A2)+(1)))=("AA"),"false"),B2,AA344),AA344))</f>
        <v>#VALUE!</v>
      </c>
      <c r="AB344" t="e">
        <f ca="1">IF((A1)=(2),1,IF((341)=(AB3),IF(IF((INDEX(B1:XFD1,(A2)+(0)))=("store"),(INDEX(B1:XFD1,(A2)+(1)))=("AB"),"false"),B2,AB344),AB344))</f>
        <v>#VALUE!</v>
      </c>
      <c r="AC344" t="e">
        <f ca="1">IF((A1)=(2),1,IF((341)=(AC3),IF(IF((INDEX(B1:XFD1,(A2)+(0)))=("store"),(INDEX(B1:XFD1,(A2)+(1)))=("AC"),"false"),B2,AC344),AC344))</f>
        <v>#VALUE!</v>
      </c>
      <c r="AD344" t="e">
        <f ca="1">IF((A1)=(2),1,IF((341)=(AD3),IF(IF((INDEX(B1:XFD1,(A2)+(0)))=("store"),(INDEX(B1:XFD1,(A2)+(1)))=("AD"),"false"),B2,AD344),AD344))</f>
        <v>#VALUE!</v>
      </c>
    </row>
    <row r="345" spans="1:30" x14ac:dyDescent="0.25">
      <c r="A345" t="e">
        <f ca="1">IF((A1)=(2),1,IF((342)=(A3),IF(("call")=(INDEX(B1:XFD1,(A2)+(0))),((B2)*(2))+(1),IF(("goto")=(INDEX(B1:XFD1,(A2)+(0))),((INDEX(B1:XFD1,(A2)+(1)))*(2))+(1),IF(("gotoiftrue")=(INDEX(B1:XFD1,(A2)+(0))),IF(B2,((INDEX(B1:XFD1,(A2)+(1)))*(2))+(1),(A345)+(2)),(A345)+(2)))),A345))</f>
        <v>#VALUE!</v>
      </c>
      <c r="B345" t="e">
        <f ca="1">IF((A1)=(2),1,IF((342)=(B3),IF(("push")=(INDEX(B1:XFD1,(A2)+(0))),INDEX(B1:XFD1,(A2)+(1)),IF(("load")=(INDEX(B1:XFD1,(A2)+(0))),INDEX(F2:XFD2,INDEX(B1:XFD1,(A2)+(1))),IF(("newheap")=(INDEX(B1:XFD1,(A2)+(0))),(C3)-(2),IF(("getheap")=(INDEX(B1:XFD1,(A2)+(0))),INDEX(C4:C404,(B345)+(1)),IF(("add")=(INDEX(B1:XFD1,(A2)+(0))),(INDEX(B4:B404,(B3)+(1)))+(B345),IF(("equals")=(INDEX(B1:XFD1,(A2)+(0))),(INDEX(B4:B404,(B3)+(1)))=(B345),IF(("leq")=(INDEX(B1:XFD1,(A2)+(0))),(INDEX(B4:B404,(B3)+(1)))&lt;=(B345),IF(("mod")=(INDEX(B1:XFD1,(A2)+(0))),MOD(INDEX(B4:B404,(B3)+(1)),B345),B345)))))))),B345))</f>
        <v>#VALUE!</v>
      </c>
      <c r="C345" t="e">
        <f ca="1">IF((A1)=(2),1,IF(AND((INDEX(B1:XFD1,(A2)+(0)))=("writeheap"),(INDEX(B4:B404,(B3)+(1)))=(341)),INDEX(B4:B404,(B3)+(2)),IF((A1)=(2),1,IF((342)=(C3),C345,C345))))</f>
        <v>#VALUE!</v>
      </c>
      <c r="E345" t="e">
        <f ca="1">IF((A1)=(2),1,IF((342)=(E3),IF(("outputline")=(INDEX(B1:XFD1,(A2)+(0))),B2,E345),E345))</f>
        <v>#VALUE!</v>
      </c>
      <c r="F345" t="e">
        <f ca="1">IF((A1)=(2),1,IF((342)=(F3),IF(IF((INDEX(B1:XFD1,(A2)+(0)))=("store"),(INDEX(B1:XFD1,(A2)+(1)))=("F"),"false"),B2,F345),F345))</f>
        <v>#VALUE!</v>
      </c>
      <c r="G345" t="e">
        <f ca="1">IF((A1)=(2),1,IF((342)=(G3),IF(IF((INDEX(B1:XFD1,(A2)+(0)))=("store"),(INDEX(B1:XFD1,(A2)+(1)))=("G"),"false"),B2,G345),G345))</f>
        <v>#VALUE!</v>
      </c>
      <c r="H345" t="e">
        <f ca="1">IF((A1)=(2),1,IF((342)=(H3),IF(IF((INDEX(B1:XFD1,(A2)+(0)))=("store"),(INDEX(B1:XFD1,(A2)+(1)))=("H"),"false"),B2,H345),H345))</f>
        <v>#VALUE!</v>
      </c>
      <c r="I345" t="e">
        <f ca="1">IF((A1)=(2),1,IF((342)=(I3),IF(IF((INDEX(B1:XFD1,(A2)+(0)))=("store"),(INDEX(B1:XFD1,(A2)+(1)))=("I"),"false"),B2,I345),I345))</f>
        <v>#VALUE!</v>
      </c>
      <c r="J345" t="e">
        <f ca="1">IF((A1)=(2),1,IF((342)=(J3),IF(IF((INDEX(B1:XFD1,(A2)+(0)))=("store"),(INDEX(B1:XFD1,(A2)+(1)))=("J"),"false"),B2,J345),J345))</f>
        <v>#VALUE!</v>
      </c>
      <c r="K345" t="e">
        <f ca="1">IF((A1)=(2),1,IF((342)=(K3),IF(IF((INDEX(B1:XFD1,(A2)+(0)))=("store"),(INDEX(B1:XFD1,(A2)+(1)))=("K"),"false"),B2,K345),K345))</f>
        <v>#VALUE!</v>
      </c>
      <c r="L345" t="e">
        <f ca="1">IF((A1)=(2),1,IF((342)=(L3),IF(IF((INDEX(B1:XFD1,(A2)+(0)))=("store"),(INDEX(B1:XFD1,(A2)+(1)))=("L"),"false"),B2,L345),L345))</f>
        <v>#VALUE!</v>
      </c>
      <c r="M345" t="e">
        <f ca="1">IF((A1)=(2),1,IF((342)=(M3),IF(IF((INDEX(B1:XFD1,(A2)+(0)))=("store"),(INDEX(B1:XFD1,(A2)+(1)))=("M"),"false"),B2,M345),M345))</f>
        <v>#VALUE!</v>
      </c>
      <c r="N345" t="e">
        <f ca="1">IF((A1)=(2),1,IF((342)=(N3),IF(IF((INDEX(B1:XFD1,(A2)+(0)))=("store"),(INDEX(B1:XFD1,(A2)+(1)))=("N"),"false"),B2,N345),N345))</f>
        <v>#VALUE!</v>
      </c>
      <c r="O345" t="e">
        <f ca="1">IF((A1)=(2),1,IF((342)=(O3),IF(IF((INDEX(B1:XFD1,(A2)+(0)))=("store"),(INDEX(B1:XFD1,(A2)+(1)))=("O"),"false"),B2,O345),O345))</f>
        <v>#VALUE!</v>
      </c>
      <c r="P345" t="e">
        <f ca="1">IF((A1)=(2),1,IF((342)=(P3),IF(IF((INDEX(B1:XFD1,(A2)+(0)))=("store"),(INDEX(B1:XFD1,(A2)+(1)))=("P"),"false"),B2,P345),P345))</f>
        <v>#VALUE!</v>
      </c>
      <c r="Q345" t="e">
        <f ca="1">IF((A1)=(2),1,IF((342)=(Q3),IF(IF((INDEX(B1:XFD1,(A2)+(0)))=("store"),(INDEX(B1:XFD1,(A2)+(1)))=("Q"),"false"),B2,Q345),Q345))</f>
        <v>#VALUE!</v>
      </c>
      <c r="R345" t="e">
        <f ca="1">IF((A1)=(2),1,IF((342)=(R3),IF(IF((INDEX(B1:XFD1,(A2)+(0)))=("store"),(INDEX(B1:XFD1,(A2)+(1)))=("R"),"false"),B2,R345),R345))</f>
        <v>#VALUE!</v>
      </c>
      <c r="S345" t="e">
        <f ca="1">IF((A1)=(2),1,IF((342)=(S3),IF(IF((INDEX(B1:XFD1,(A2)+(0)))=("store"),(INDEX(B1:XFD1,(A2)+(1)))=("S"),"false"),B2,S345),S345))</f>
        <v>#VALUE!</v>
      </c>
      <c r="T345" t="e">
        <f ca="1">IF((A1)=(2),1,IF((342)=(T3),IF(IF((INDEX(B1:XFD1,(A2)+(0)))=("store"),(INDEX(B1:XFD1,(A2)+(1)))=("T"),"false"),B2,T345),T345))</f>
        <v>#VALUE!</v>
      </c>
      <c r="U345" t="e">
        <f ca="1">IF((A1)=(2),1,IF((342)=(U3),IF(IF((INDEX(B1:XFD1,(A2)+(0)))=("store"),(INDEX(B1:XFD1,(A2)+(1)))=("U"),"false"),B2,U345),U345))</f>
        <v>#VALUE!</v>
      </c>
      <c r="V345" t="e">
        <f ca="1">IF((A1)=(2),1,IF((342)=(V3),IF(IF((INDEX(B1:XFD1,(A2)+(0)))=("store"),(INDEX(B1:XFD1,(A2)+(1)))=("V"),"false"),B2,V345),V345))</f>
        <v>#VALUE!</v>
      </c>
      <c r="W345" t="e">
        <f ca="1">IF((A1)=(2),1,IF((342)=(W3),IF(IF((INDEX(B1:XFD1,(A2)+(0)))=("store"),(INDEX(B1:XFD1,(A2)+(1)))=("W"),"false"),B2,W345),W345))</f>
        <v>#VALUE!</v>
      </c>
      <c r="X345" t="e">
        <f ca="1">IF((A1)=(2),1,IF((342)=(X3),IF(IF((INDEX(B1:XFD1,(A2)+(0)))=("store"),(INDEX(B1:XFD1,(A2)+(1)))=("X"),"false"),B2,X345),X345))</f>
        <v>#VALUE!</v>
      </c>
      <c r="Y345" t="e">
        <f ca="1">IF((A1)=(2),1,IF((342)=(Y3),IF(IF((INDEX(B1:XFD1,(A2)+(0)))=("store"),(INDEX(B1:XFD1,(A2)+(1)))=("Y"),"false"),B2,Y345),Y345))</f>
        <v>#VALUE!</v>
      </c>
      <c r="Z345" t="e">
        <f ca="1">IF((A1)=(2),1,IF((342)=(Z3),IF(IF((INDEX(B1:XFD1,(A2)+(0)))=("store"),(INDEX(B1:XFD1,(A2)+(1)))=("Z"),"false"),B2,Z345),Z345))</f>
        <v>#VALUE!</v>
      </c>
      <c r="AA345" t="e">
        <f ca="1">IF((A1)=(2),1,IF((342)=(AA3),IF(IF((INDEX(B1:XFD1,(A2)+(0)))=("store"),(INDEX(B1:XFD1,(A2)+(1)))=("AA"),"false"),B2,AA345),AA345))</f>
        <v>#VALUE!</v>
      </c>
      <c r="AB345" t="e">
        <f ca="1">IF((A1)=(2),1,IF((342)=(AB3),IF(IF((INDEX(B1:XFD1,(A2)+(0)))=("store"),(INDEX(B1:XFD1,(A2)+(1)))=("AB"),"false"),B2,AB345),AB345))</f>
        <v>#VALUE!</v>
      </c>
      <c r="AC345" t="e">
        <f ca="1">IF((A1)=(2),1,IF((342)=(AC3),IF(IF((INDEX(B1:XFD1,(A2)+(0)))=("store"),(INDEX(B1:XFD1,(A2)+(1)))=("AC"),"false"),B2,AC345),AC345))</f>
        <v>#VALUE!</v>
      </c>
      <c r="AD345" t="e">
        <f ca="1">IF((A1)=(2),1,IF((342)=(AD3),IF(IF((INDEX(B1:XFD1,(A2)+(0)))=("store"),(INDEX(B1:XFD1,(A2)+(1)))=("AD"),"false"),B2,AD345),AD345))</f>
        <v>#VALUE!</v>
      </c>
    </row>
    <row r="346" spans="1:30" x14ac:dyDescent="0.25">
      <c r="A346" t="e">
        <f ca="1">IF((A1)=(2),1,IF((343)=(A3),IF(("call")=(INDEX(B1:XFD1,(A2)+(0))),((B2)*(2))+(1),IF(("goto")=(INDEX(B1:XFD1,(A2)+(0))),((INDEX(B1:XFD1,(A2)+(1)))*(2))+(1),IF(("gotoiftrue")=(INDEX(B1:XFD1,(A2)+(0))),IF(B2,((INDEX(B1:XFD1,(A2)+(1)))*(2))+(1),(A346)+(2)),(A346)+(2)))),A346))</f>
        <v>#VALUE!</v>
      </c>
      <c r="B346" t="e">
        <f ca="1">IF((A1)=(2),1,IF((343)=(B3),IF(("push")=(INDEX(B1:XFD1,(A2)+(0))),INDEX(B1:XFD1,(A2)+(1)),IF(("load")=(INDEX(B1:XFD1,(A2)+(0))),INDEX(F2:XFD2,INDEX(B1:XFD1,(A2)+(1))),IF(("newheap")=(INDEX(B1:XFD1,(A2)+(0))),(C3)-(2),IF(("getheap")=(INDEX(B1:XFD1,(A2)+(0))),INDEX(C4:C404,(B346)+(1)),IF(("add")=(INDEX(B1:XFD1,(A2)+(0))),(INDEX(B4:B404,(B3)+(1)))+(B346),IF(("equals")=(INDEX(B1:XFD1,(A2)+(0))),(INDEX(B4:B404,(B3)+(1)))=(B346),IF(("leq")=(INDEX(B1:XFD1,(A2)+(0))),(INDEX(B4:B404,(B3)+(1)))&lt;=(B346),IF(("mod")=(INDEX(B1:XFD1,(A2)+(0))),MOD(INDEX(B4:B404,(B3)+(1)),B346),B346)))))))),B346))</f>
        <v>#VALUE!</v>
      </c>
      <c r="C346" t="e">
        <f ca="1">IF((A1)=(2),1,IF(AND((INDEX(B1:XFD1,(A2)+(0)))=("writeheap"),(INDEX(B4:B404,(B3)+(1)))=(342)),INDEX(B4:B404,(B3)+(2)),IF((A1)=(2),1,IF((343)=(C3),C346,C346))))</f>
        <v>#VALUE!</v>
      </c>
      <c r="E346" t="e">
        <f ca="1">IF((A1)=(2),1,IF((343)=(E3),IF(("outputline")=(INDEX(B1:XFD1,(A2)+(0))),B2,E346),E346))</f>
        <v>#VALUE!</v>
      </c>
      <c r="F346" t="e">
        <f ca="1">IF((A1)=(2),1,IF((343)=(F3),IF(IF((INDEX(B1:XFD1,(A2)+(0)))=("store"),(INDEX(B1:XFD1,(A2)+(1)))=("F"),"false"),B2,F346),F346))</f>
        <v>#VALUE!</v>
      </c>
      <c r="G346" t="e">
        <f ca="1">IF((A1)=(2),1,IF((343)=(G3),IF(IF((INDEX(B1:XFD1,(A2)+(0)))=("store"),(INDEX(B1:XFD1,(A2)+(1)))=("G"),"false"),B2,G346),G346))</f>
        <v>#VALUE!</v>
      </c>
      <c r="H346" t="e">
        <f ca="1">IF((A1)=(2),1,IF((343)=(H3),IF(IF((INDEX(B1:XFD1,(A2)+(0)))=("store"),(INDEX(B1:XFD1,(A2)+(1)))=("H"),"false"),B2,H346),H346))</f>
        <v>#VALUE!</v>
      </c>
      <c r="I346" t="e">
        <f ca="1">IF((A1)=(2),1,IF((343)=(I3),IF(IF((INDEX(B1:XFD1,(A2)+(0)))=("store"),(INDEX(B1:XFD1,(A2)+(1)))=("I"),"false"),B2,I346),I346))</f>
        <v>#VALUE!</v>
      </c>
      <c r="J346" t="e">
        <f ca="1">IF((A1)=(2),1,IF((343)=(J3),IF(IF((INDEX(B1:XFD1,(A2)+(0)))=("store"),(INDEX(B1:XFD1,(A2)+(1)))=("J"),"false"),B2,J346),J346))</f>
        <v>#VALUE!</v>
      </c>
      <c r="K346" t="e">
        <f ca="1">IF((A1)=(2),1,IF((343)=(K3),IF(IF((INDEX(B1:XFD1,(A2)+(0)))=("store"),(INDEX(B1:XFD1,(A2)+(1)))=("K"),"false"),B2,K346),K346))</f>
        <v>#VALUE!</v>
      </c>
      <c r="L346" t="e">
        <f ca="1">IF((A1)=(2),1,IF((343)=(L3),IF(IF((INDEX(B1:XFD1,(A2)+(0)))=("store"),(INDEX(B1:XFD1,(A2)+(1)))=("L"),"false"),B2,L346),L346))</f>
        <v>#VALUE!</v>
      </c>
      <c r="M346" t="e">
        <f ca="1">IF((A1)=(2),1,IF((343)=(M3),IF(IF((INDEX(B1:XFD1,(A2)+(0)))=("store"),(INDEX(B1:XFD1,(A2)+(1)))=("M"),"false"),B2,M346),M346))</f>
        <v>#VALUE!</v>
      </c>
      <c r="N346" t="e">
        <f ca="1">IF((A1)=(2),1,IF((343)=(N3),IF(IF((INDEX(B1:XFD1,(A2)+(0)))=("store"),(INDEX(B1:XFD1,(A2)+(1)))=("N"),"false"),B2,N346),N346))</f>
        <v>#VALUE!</v>
      </c>
      <c r="O346" t="e">
        <f ca="1">IF((A1)=(2),1,IF((343)=(O3),IF(IF((INDEX(B1:XFD1,(A2)+(0)))=("store"),(INDEX(B1:XFD1,(A2)+(1)))=("O"),"false"),B2,O346),O346))</f>
        <v>#VALUE!</v>
      </c>
      <c r="P346" t="e">
        <f ca="1">IF((A1)=(2),1,IF((343)=(P3),IF(IF((INDEX(B1:XFD1,(A2)+(0)))=("store"),(INDEX(B1:XFD1,(A2)+(1)))=("P"),"false"),B2,P346),P346))</f>
        <v>#VALUE!</v>
      </c>
      <c r="Q346" t="e">
        <f ca="1">IF((A1)=(2),1,IF((343)=(Q3),IF(IF((INDEX(B1:XFD1,(A2)+(0)))=("store"),(INDEX(B1:XFD1,(A2)+(1)))=("Q"),"false"),B2,Q346),Q346))</f>
        <v>#VALUE!</v>
      </c>
      <c r="R346" t="e">
        <f ca="1">IF((A1)=(2),1,IF((343)=(R3),IF(IF((INDEX(B1:XFD1,(A2)+(0)))=("store"),(INDEX(B1:XFD1,(A2)+(1)))=("R"),"false"),B2,R346),R346))</f>
        <v>#VALUE!</v>
      </c>
      <c r="S346" t="e">
        <f ca="1">IF((A1)=(2),1,IF((343)=(S3),IF(IF((INDEX(B1:XFD1,(A2)+(0)))=("store"),(INDEX(B1:XFD1,(A2)+(1)))=("S"),"false"),B2,S346),S346))</f>
        <v>#VALUE!</v>
      </c>
      <c r="T346" t="e">
        <f ca="1">IF((A1)=(2),1,IF((343)=(T3),IF(IF((INDEX(B1:XFD1,(A2)+(0)))=("store"),(INDEX(B1:XFD1,(A2)+(1)))=("T"),"false"),B2,T346),T346))</f>
        <v>#VALUE!</v>
      </c>
      <c r="U346" t="e">
        <f ca="1">IF((A1)=(2),1,IF((343)=(U3),IF(IF((INDEX(B1:XFD1,(A2)+(0)))=("store"),(INDEX(B1:XFD1,(A2)+(1)))=("U"),"false"),B2,U346),U346))</f>
        <v>#VALUE!</v>
      </c>
      <c r="V346" t="e">
        <f ca="1">IF((A1)=(2),1,IF((343)=(V3),IF(IF((INDEX(B1:XFD1,(A2)+(0)))=("store"),(INDEX(B1:XFD1,(A2)+(1)))=("V"),"false"),B2,V346),V346))</f>
        <v>#VALUE!</v>
      </c>
      <c r="W346" t="e">
        <f ca="1">IF((A1)=(2),1,IF((343)=(W3),IF(IF((INDEX(B1:XFD1,(A2)+(0)))=("store"),(INDEX(B1:XFD1,(A2)+(1)))=("W"),"false"),B2,W346),W346))</f>
        <v>#VALUE!</v>
      </c>
      <c r="X346" t="e">
        <f ca="1">IF((A1)=(2),1,IF((343)=(X3),IF(IF((INDEX(B1:XFD1,(A2)+(0)))=("store"),(INDEX(B1:XFD1,(A2)+(1)))=("X"),"false"),B2,X346),X346))</f>
        <v>#VALUE!</v>
      </c>
      <c r="Y346" t="e">
        <f ca="1">IF((A1)=(2),1,IF((343)=(Y3),IF(IF((INDEX(B1:XFD1,(A2)+(0)))=("store"),(INDEX(B1:XFD1,(A2)+(1)))=("Y"),"false"),B2,Y346),Y346))</f>
        <v>#VALUE!</v>
      </c>
      <c r="Z346" t="e">
        <f ca="1">IF((A1)=(2),1,IF((343)=(Z3),IF(IF((INDEX(B1:XFD1,(A2)+(0)))=("store"),(INDEX(B1:XFD1,(A2)+(1)))=("Z"),"false"),B2,Z346),Z346))</f>
        <v>#VALUE!</v>
      </c>
      <c r="AA346" t="e">
        <f ca="1">IF((A1)=(2),1,IF((343)=(AA3),IF(IF((INDEX(B1:XFD1,(A2)+(0)))=("store"),(INDEX(B1:XFD1,(A2)+(1)))=("AA"),"false"),B2,AA346),AA346))</f>
        <v>#VALUE!</v>
      </c>
      <c r="AB346" t="e">
        <f ca="1">IF((A1)=(2),1,IF((343)=(AB3),IF(IF((INDEX(B1:XFD1,(A2)+(0)))=("store"),(INDEX(B1:XFD1,(A2)+(1)))=("AB"),"false"),B2,AB346),AB346))</f>
        <v>#VALUE!</v>
      </c>
      <c r="AC346" t="e">
        <f ca="1">IF((A1)=(2),1,IF((343)=(AC3),IF(IF((INDEX(B1:XFD1,(A2)+(0)))=("store"),(INDEX(B1:XFD1,(A2)+(1)))=("AC"),"false"),B2,AC346),AC346))</f>
        <v>#VALUE!</v>
      </c>
      <c r="AD346" t="e">
        <f ca="1">IF((A1)=(2),1,IF((343)=(AD3),IF(IF((INDEX(B1:XFD1,(A2)+(0)))=("store"),(INDEX(B1:XFD1,(A2)+(1)))=("AD"),"false"),B2,AD346),AD346))</f>
        <v>#VALUE!</v>
      </c>
    </row>
    <row r="347" spans="1:30" x14ac:dyDescent="0.25">
      <c r="A347" t="e">
        <f ca="1">IF((A1)=(2),1,IF((344)=(A3),IF(("call")=(INDEX(B1:XFD1,(A2)+(0))),((B2)*(2))+(1),IF(("goto")=(INDEX(B1:XFD1,(A2)+(0))),((INDEX(B1:XFD1,(A2)+(1)))*(2))+(1),IF(("gotoiftrue")=(INDEX(B1:XFD1,(A2)+(0))),IF(B2,((INDEX(B1:XFD1,(A2)+(1)))*(2))+(1),(A347)+(2)),(A347)+(2)))),A347))</f>
        <v>#VALUE!</v>
      </c>
      <c r="B347" t="e">
        <f ca="1">IF((A1)=(2),1,IF((344)=(B3),IF(("push")=(INDEX(B1:XFD1,(A2)+(0))),INDEX(B1:XFD1,(A2)+(1)),IF(("load")=(INDEX(B1:XFD1,(A2)+(0))),INDEX(F2:XFD2,INDEX(B1:XFD1,(A2)+(1))),IF(("newheap")=(INDEX(B1:XFD1,(A2)+(0))),(C3)-(2),IF(("getheap")=(INDEX(B1:XFD1,(A2)+(0))),INDEX(C4:C404,(B347)+(1)),IF(("add")=(INDEX(B1:XFD1,(A2)+(0))),(INDEX(B4:B404,(B3)+(1)))+(B347),IF(("equals")=(INDEX(B1:XFD1,(A2)+(0))),(INDEX(B4:B404,(B3)+(1)))=(B347),IF(("leq")=(INDEX(B1:XFD1,(A2)+(0))),(INDEX(B4:B404,(B3)+(1)))&lt;=(B347),IF(("mod")=(INDEX(B1:XFD1,(A2)+(0))),MOD(INDEX(B4:B404,(B3)+(1)),B347),B347)))))))),B347))</f>
        <v>#VALUE!</v>
      </c>
      <c r="C347" t="e">
        <f ca="1">IF((A1)=(2),1,IF(AND((INDEX(B1:XFD1,(A2)+(0)))=("writeheap"),(INDEX(B4:B404,(B3)+(1)))=(343)),INDEX(B4:B404,(B3)+(2)),IF((A1)=(2),1,IF((344)=(C3),C347,C347))))</f>
        <v>#VALUE!</v>
      </c>
      <c r="E347" t="e">
        <f ca="1">IF((A1)=(2),1,IF((344)=(E3),IF(("outputline")=(INDEX(B1:XFD1,(A2)+(0))),B2,E347),E347))</f>
        <v>#VALUE!</v>
      </c>
      <c r="F347" t="e">
        <f ca="1">IF((A1)=(2),1,IF((344)=(F3),IF(IF((INDEX(B1:XFD1,(A2)+(0)))=("store"),(INDEX(B1:XFD1,(A2)+(1)))=("F"),"false"),B2,F347),F347))</f>
        <v>#VALUE!</v>
      </c>
      <c r="G347" t="e">
        <f ca="1">IF((A1)=(2),1,IF((344)=(G3),IF(IF((INDEX(B1:XFD1,(A2)+(0)))=("store"),(INDEX(B1:XFD1,(A2)+(1)))=("G"),"false"),B2,G347),G347))</f>
        <v>#VALUE!</v>
      </c>
      <c r="H347" t="e">
        <f ca="1">IF((A1)=(2),1,IF((344)=(H3),IF(IF((INDEX(B1:XFD1,(A2)+(0)))=("store"),(INDEX(B1:XFD1,(A2)+(1)))=("H"),"false"),B2,H347),H347))</f>
        <v>#VALUE!</v>
      </c>
      <c r="I347" t="e">
        <f ca="1">IF((A1)=(2),1,IF((344)=(I3),IF(IF((INDEX(B1:XFD1,(A2)+(0)))=("store"),(INDEX(B1:XFD1,(A2)+(1)))=("I"),"false"),B2,I347),I347))</f>
        <v>#VALUE!</v>
      </c>
      <c r="J347" t="e">
        <f ca="1">IF((A1)=(2),1,IF((344)=(J3),IF(IF((INDEX(B1:XFD1,(A2)+(0)))=("store"),(INDEX(B1:XFD1,(A2)+(1)))=("J"),"false"),B2,J347),J347))</f>
        <v>#VALUE!</v>
      </c>
      <c r="K347" t="e">
        <f ca="1">IF((A1)=(2),1,IF((344)=(K3),IF(IF((INDEX(B1:XFD1,(A2)+(0)))=("store"),(INDEX(B1:XFD1,(A2)+(1)))=("K"),"false"),B2,K347),K347))</f>
        <v>#VALUE!</v>
      </c>
      <c r="L347" t="e">
        <f ca="1">IF((A1)=(2),1,IF((344)=(L3),IF(IF((INDEX(B1:XFD1,(A2)+(0)))=("store"),(INDEX(B1:XFD1,(A2)+(1)))=("L"),"false"),B2,L347),L347))</f>
        <v>#VALUE!</v>
      </c>
      <c r="M347" t="e">
        <f ca="1">IF((A1)=(2),1,IF((344)=(M3),IF(IF((INDEX(B1:XFD1,(A2)+(0)))=("store"),(INDEX(B1:XFD1,(A2)+(1)))=("M"),"false"),B2,M347),M347))</f>
        <v>#VALUE!</v>
      </c>
      <c r="N347" t="e">
        <f ca="1">IF((A1)=(2),1,IF((344)=(N3),IF(IF((INDEX(B1:XFD1,(A2)+(0)))=("store"),(INDEX(B1:XFD1,(A2)+(1)))=("N"),"false"),B2,N347),N347))</f>
        <v>#VALUE!</v>
      </c>
      <c r="O347" t="e">
        <f ca="1">IF((A1)=(2),1,IF((344)=(O3),IF(IF((INDEX(B1:XFD1,(A2)+(0)))=("store"),(INDEX(B1:XFD1,(A2)+(1)))=("O"),"false"),B2,O347),O347))</f>
        <v>#VALUE!</v>
      </c>
      <c r="P347" t="e">
        <f ca="1">IF((A1)=(2),1,IF((344)=(P3),IF(IF((INDEX(B1:XFD1,(A2)+(0)))=("store"),(INDEX(B1:XFD1,(A2)+(1)))=("P"),"false"),B2,P347),P347))</f>
        <v>#VALUE!</v>
      </c>
      <c r="Q347" t="e">
        <f ca="1">IF((A1)=(2),1,IF((344)=(Q3),IF(IF((INDEX(B1:XFD1,(A2)+(0)))=("store"),(INDEX(B1:XFD1,(A2)+(1)))=("Q"),"false"),B2,Q347),Q347))</f>
        <v>#VALUE!</v>
      </c>
      <c r="R347" t="e">
        <f ca="1">IF((A1)=(2),1,IF((344)=(R3),IF(IF((INDEX(B1:XFD1,(A2)+(0)))=("store"),(INDEX(B1:XFD1,(A2)+(1)))=("R"),"false"),B2,R347),R347))</f>
        <v>#VALUE!</v>
      </c>
      <c r="S347" t="e">
        <f ca="1">IF((A1)=(2),1,IF((344)=(S3),IF(IF((INDEX(B1:XFD1,(A2)+(0)))=("store"),(INDEX(B1:XFD1,(A2)+(1)))=("S"),"false"),B2,S347),S347))</f>
        <v>#VALUE!</v>
      </c>
      <c r="T347" t="e">
        <f ca="1">IF((A1)=(2),1,IF((344)=(T3),IF(IF((INDEX(B1:XFD1,(A2)+(0)))=("store"),(INDEX(B1:XFD1,(A2)+(1)))=("T"),"false"),B2,T347),T347))</f>
        <v>#VALUE!</v>
      </c>
      <c r="U347" t="e">
        <f ca="1">IF((A1)=(2),1,IF((344)=(U3),IF(IF((INDEX(B1:XFD1,(A2)+(0)))=("store"),(INDEX(B1:XFD1,(A2)+(1)))=("U"),"false"),B2,U347),U347))</f>
        <v>#VALUE!</v>
      </c>
      <c r="V347" t="e">
        <f ca="1">IF((A1)=(2),1,IF((344)=(V3),IF(IF((INDEX(B1:XFD1,(A2)+(0)))=("store"),(INDEX(B1:XFD1,(A2)+(1)))=("V"),"false"),B2,V347),V347))</f>
        <v>#VALUE!</v>
      </c>
      <c r="W347" t="e">
        <f ca="1">IF((A1)=(2),1,IF((344)=(W3),IF(IF((INDEX(B1:XFD1,(A2)+(0)))=("store"),(INDEX(B1:XFD1,(A2)+(1)))=("W"),"false"),B2,W347),W347))</f>
        <v>#VALUE!</v>
      </c>
      <c r="X347" t="e">
        <f ca="1">IF((A1)=(2),1,IF((344)=(X3),IF(IF((INDEX(B1:XFD1,(A2)+(0)))=("store"),(INDEX(B1:XFD1,(A2)+(1)))=("X"),"false"),B2,X347),X347))</f>
        <v>#VALUE!</v>
      </c>
      <c r="Y347" t="e">
        <f ca="1">IF((A1)=(2),1,IF((344)=(Y3),IF(IF((INDEX(B1:XFD1,(A2)+(0)))=("store"),(INDEX(B1:XFD1,(A2)+(1)))=("Y"),"false"),B2,Y347),Y347))</f>
        <v>#VALUE!</v>
      </c>
      <c r="Z347" t="e">
        <f ca="1">IF((A1)=(2),1,IF((344)=(Z3),IF(IF((INDEX(B1:XFD1,(A2)+(0)))=("store"),(INDEX(B1:XFD1,(A2)+(1)))=("Z"),"false"),B2,Z347),Z347))</f>
        <v>#VALUE!</v>
      </c>
      <c r="AA347" t="e">
        <f ca="1">IF((A1)=(2),1,IF((344)=(AA3),IF(IF((INDEX(B1:XFD1,(A2)+(0)))=("store"),(INDEX(B1:XFD1,(A2)+(1)))=("AA"),"false"),B2,AA347),AA347))</f>
        <v>#VALUE!</v>
      </c>
      <c r="AB347" t="e">
        <f ca="1">IF((A1)=(2),1,IF((344)=(AB3),IF(IF((INDEX(B1:XFD1,(A2)+(0)))=("store"),(INDEX(B1:XFD1,(A2)+(1)))=("AB"),"false"),B2,AB347),AB347))</f>
        <v>#VALUE!</v>
      </c>
      <c r="AC347" t="e">
        <f ca="1">IF((A1)=(2),1,IF((344)=(AC3),IF(IF((INDEX(B1:XFD1,(A2)+(0)))=("store"),(INDEX(B1:XFD1,(A2)+(1)))=("AC"),"false"),B2,AC347),AC347))</f>
        <v>#VALUE!</v>
      </c>
      <c r="AD347" t="e">
        <f ca="1">IF((A1)=(2),1,IF((344)=(AD3),IF(IF((INDEX(B1:XFD1,(A2)+(0)))=("store"),(INDEX(B1:XFD1,(A2)+(1)))=("AD"),"false"),B2,AD347),AD347))</f>
        <v>#VALUE!</v>
      </c>
    </row>
    <row r="348" spans="1:30" x14ac:dyDescent="0.25">
      <c r="A348" t="e">
        <f ca="1">IF((A1)=(2),1,IF((345)=(A3),IF(("call")=(INDEX(B1:XFD1,(A2)+(0))),((B2)*(2))+(1),IF(("goto")=(INDEX(B1:XFD1,(A2)+(0))),((INDEX(B1:XFD1,(A2)+(1)))*(2))+(1),IF(("gotoiftrue")=(INDEX(B1:XFD1,(A2)+(0))),IF(B2,((INDEX(B1:XFD1,(A2)+(1)))*(2))+(1),(A348)+(2)),(A348)+(2)))),A348))</f>
        <v>#VALUE!</v>
      </c>
      <c r="B348" t="e">
        <f ca="1">IF((A1)=(2),1,IF((345)=(B3),IF(("push")=(INDEX(B1:XFD1,(A2)+(0))),INDEX(B1:XFD1,(A2)+(1)),IF(("load")=(INDEX(B1:XFD1,(A2)+(0))),INDEX(F2:XFD2,INDEX(B1:XFD1,(A2)+(1))),IF(("newheap")=(INDEX(B1:XFD1,(A2)+(0))),(C3)-(2),IF(("getheap")=(INDEX(B1:XFD1,(A2)+(0))),INDEX(C4:C404,(B348)+(1)),IF(("add")=(INDEX(B1:XFD1,(A2)+(0))),(INDEX(B4:B404,(B3)+(1)))+(B348),IF(("equals")=(INDEX(B1:XFD1,(A2)+(0))),(INDEX(B4:B404,(B3)+(1)))=(B348),IF(("leq")=(INDEX(B1:XFD1,(A2)+(0))),(INDEX(B4:B404,(B3)+(1)))&lt;=(B348),IF(("mod")=(INDEX(B1:XFD1,(A2)+(0))),MOD(INDEX(B4:B404,(B3)+(1)),B348),B348)))))))),B348))</f>
        <v>#VALUE!</v>
      </c>
      <c r="C348" t="e">
        <f ca="1">IF((A1)=(2),1,IF(AND((INDEX(B1:XFD1,(A2)+(0)))=("writeheap"),(INDEX(B4:B404,(B3)+(1)))=(344)),INDEX(B4:B404,(B3)+(2)),IF((A1)=(2),1,IF((345)=(C3),C348,C348))))</f>
        <v>#VALUE!</v>
      </c>
      <c r="E348" t="e">
        <f ca="1">IF((A1)=(2),1,IF((345)=(E3),IF(("outputline")=(INDEX(B1:XFD1,(A2)+(0))),B2,E348),E348))</f>
        <v>#VALUE!</v>
      </c>
      <c r="F348" t="e">
        <f ca="1">IF((A1)=(2),1,IF((345)=(F3),IF(IF((INDEX(B1:XFD1,(A2)+(0)))=("store"),(INDEX(B1:XFD1,(A2)+(1)))=("F"),"false"),B2,F348),F348))</f>
        <v>#VALUE!</v>
      </c>
      <c r="G348" t="e">
        <f ca="1">IF((A1)=(2),1,IF((345)=(G3),IF(IF((INDEX(B1:XFD1,(A2)+(0)))=("store"),(INDEX(B1:XFD1,(A2)+(1)))=("G"),"false"),B2,G348),G348))</f>
        <v>#VALUE!</v>
      </c>
      <c r="H348" t="e">
        <f ca="1">IF((A1)=(2),1,IF((345)=(H3),IF(IF((INDEX(B1:XFD1,(A2)+(0)))=("store"),(INDEX(B1:XFD1,(A2)+(1)))=("H"),"false"),B2,H348),H348))</f>
        <v>#VALUE!</v>
      </c>
      <c r="I348" t="e">
        <f ca="1">IF((A1)=(2),1,IF((345)=(I3),IF(IF((INDEX(B1:XFD1,(A2)+(0)))=("store"),(INDEX(B1:XFD1,(A2)+(1)))=("I"),"false"),B2,I348),I348))</f>
        <v>#VALUE!</v>
      </c>
      <c r="J348" t="e">
        <f ca="1">IF((A1)=(2),1,IF((345)=(J3),IF(IF((INDEX(B1:XFD1,(A2)+(0)))=("store"),(INDEX(B1:XFD1,(A2)+(1)))=("J"),"false"),B2,J348),J348))</f>
        <v>#VALUE!</v>
      </c>
      <c r="K348" t="e">
        <f ca="1">IF((A1)=(2),1,IF((345)=(K3),IF(IF((INDEX(B1:XFD1,(A2)+(0)))=("store"),(INDEX(B1:XFD1,(A2)+(1)))=("K"),"false"),B2,K348),K348))</f>
        <v>#VALUE!</v>
      </c>
      <c r="L348" t="e">
        <f ca="1">IF((A1)=(2),1,IF((345)=(L3),IF(IF((INDEX(B1:XFD1,(A2)+(0)))=("store"),(INDEX(B1:XFD1,(A2)+(1)))=("L"),"false"),B2,L348),L348))</f>
        <v>#VALUE!</v>
      </c>
      <c r="M348" t="e">
        <f ca="1">IF((A1)=(2),1,IF((345)=(M3),IF(IF((INDEX(B1:XFD1,(A2)+(0)))=("store"),(INDEX(B1:XFD1,(A2)+(1)))=("M"),"false"),B2,M348),M348))</f>
        <v>#VALUE!</v>
      </c>
      <c r="N348" t="e">
        <f ca="1">IF((A1)=(2),1,IF((345)=(N3),IF(IF((INDEX(B1:XFD1,(A2)+(0)))=("store"),(INDEX(B1:XFD1,(A2)+(1)))=("N"),"false"),B2,N348),N348))</f>
        <v>#VALUE!</v>
      </c>
      <c r="O348" t="e">
        <f ca="1">IF((A1)=(2),1,IF((345)=(O3),IF(IF((INDEX(B1:XFD1,(A2)+(0)))=("store"),(INDEX(B1:XFD1,(A2)+(1)))=("O"),"false"),B2,O348),O348))</f>
        <v>#VALUE!</v>
      </c>
      <c r="P348" t="e">
        <f ca="1">IF((A1)=(2),1,IF((345)=(P3),IF(IF((INDEX(B1:XFD1,(A2)+(0)))=("store"),(INDEX(B1:XFD1,(A2)+(1)))=("P"),"false"),B2,P348),P348))</f>
        <v>#VALUE!</v>
      </c>
      <c r="Q348" t="e">
        <f ca="1">IF((A1)=(2),1,IF((345)=(Q3),IF(IF((INDEX(B1:XFD1,(A2)+(0)))=("store"),(INDEX(B1:XFD1,(A2)+(1)))=("Q"),"false"),B2,Q348),Q348))</f>
        <v>#VALUE!</v>
      </c>
      <c r="R348" t="e">
        <f ca="1">IF((A1)=(2),1,IF((345)=(R3),IF(IF((INDEX(B1:XFD1,(A2)+(0)))=("store"),(INDEX(B1:XFD1,(A2)+(1)))=("R"),"false"),B2,R348),R348))</f>
        <v>#VALUE!</v>
      </c>
      <c r="S348" t="e">
        <f ca="1">IF((A1)=(2),1,IF((345)=(S3),IF(IF((INDEX(B1:XFD1,(A2)+(0)))=("store"),(INDEX(B1:XFD1,(A2)+(1)))=("S"),"false"),B2,S348),S348))</f>
        <v>#VALUE!</v>
      </c>
      <c r="T348" t="e">
        <f ca="1">IF((A1)=(2),1,IF((345)=(T3),IF(IF((INDEX(B1:XFD1,(A2)+(0)))=("store"),(INDEX(B1:XFD1,(A2)+(1)))=("T"),"false"),B2,T348),T348))</f>
        <v>#VALUE!</v>
      </c>
      <c r="U348" t="e">
        <f ca="1">IF((A1)=(2),1,IF((345)=(U3),IF(IF((INDEX(B1:XFD1,(A2)+(0)))=("store"),(INDEX(B1:XFD1,(A2)+(1)))=("U"),"false"),B2,U348),U348))</f>
        <v>#VALUE!</v>
      </c>
      <c r="V348" t="e">
        <f ca="1">IF((A1)=(2),1,IF((345)=(V3),IF(IF((INDEX(B1:XFD1,(A2)+(0)))=("store"),(INDEX(B1:XFD1,(A2)+(1)))=("V"),"false"),B2,V348),V348))</f>
        <v>#VALUE!</v>
      </c>
      <c r="W348" t="e">
        <f ca="1">IF((A1)=(2),1,IF((345)=(W3),IF(IF((INDEX(B1:XFD1,(A2)+(0)))=("store"),(INDEX(B1:XFD1,(A2)+(1)))=("W"),"false"),B2,W348),W348))</f>
        <v>#VALUE!</v>
      </c>
      <c r="X348" t="e">
        <f ca="1">IF((A1)=(2),1,IF((345)=(X3),IF(IF((INDEX(B1:XFD1,(A2)+(0)))=("store"),(INDEX(B1:XFD1,(A2)+(1)))=("X"),"false"),B2,X348),X348))</f>
        <v>#VALUE!</v>
      </c>
      <c r="Y348" t="e">
        <f ca="1">IF((A1)=(2),1,IF((345)=(Y3),IF(IF((INDEX(B1:XFD1,(A2)+(0)))=("store"),(INDEX(B1:XFD1,(A2)+(1)))=("Y"),"false"),B2,Y348),Y348))</f>
        <v>#VALUE!</v>
      </c>
      <c r="Z348" t="e">
        <f ca="1">IF((A1)=(2),1,IF((345)=(Z3),IF(IF((INDEX(B1:XFD1,(A2)+(0)))=("store"),(INDEX(B1:XFD1,(A2)+(1)))=("Z"),"false"),B2,Z348),Z348))</f>
        <v>#VALUE!</v>
      </c>
      <c r="AA348" t="e">
        <f ca="1">IF((A1)=(2),1,IF((345)=(AA3),IF(IF((INDEX(B1:XFD1,(A2)+(0)))=("store"),(INDEX(B1:XFD1,(A2)+(1)))=("AA"),"false"),B2,AA348),AA348))</f>
        <v>#VALUE!</v>
      </c>
      <c r="AB348" t="e">
        <f ca="1">IF((A1)=(2),1,IF((345)=(AB3),IF(IF((INDEX(B1:XFD1,(A2)+(0)))=("store"),(INDEX(B1:XFD1,(A2)+(1)))=("AB"),"false"),B2,AB348),AB348))</f>
        <v>#VALUE!</v>
      </c>
      <c r="AC348" t="e">
        <f ca="1">IF((A1)=(2),1,IF((345)=(AC3),IF(IF((INDEX(B1:XFD1,(A2)+(0)))=("store"),(INDEX(B1:XFD1,(A2)+(1)))=("AC"),"false"),B2,AC348),AC348))</f>
        <v>#VALUE!</v>
      </c>
      <c r="AD348" t="e">
        <f ca="1">IF((A1)=(2),1,IF((345)=(AD3),IF(IF((INDEX(B1:XFD1,(A2)+(0)))=("store"),(INDEX(B1:XFD1,(A2)+(1)))=("AD"),"false"),B2,AD348),AD348))</f>
        <v>#VALUE!</v>
      </c>
    </row>
    <row r="349" spans="1:30" x14ac:dyDescent="0.25">
      <c r="A349" t="e">
        <f ca="1">IF((A1)=(2),1,IF((346)=(A3),IF(("call")=(INDEX(B1:XFD1,(A2)+(0))),((B2)*(2))+(1),IF(("goto")=(INDEX(B1:XFD1,(A2)+(0))),((INDEX(B1:XFD1,(A2)+(1)))*(2))+(1),IF(("gotoiftrue")=(INDEX(B1:XFD1,(A2)+(0))),IF(B2,((INDEX(B1:XFD1,(A2)+(1)))*(2))+(1),(A349)+(2)),(A349)+(2)))),A349))</f>
        <v>#VALUE!</v>
      </c>
      <c r="B349" t="e">
        <f ca="1">IF((A1)=(2),1,IF((346)=(B3),IF(("push")=(INDEX(B1:XFD1,(A2)+(0))),INDEX(B1:XFD1,(A2)+(1)),IF(("load")=(INDEX(B1:XFD1,(A2)+(0))),INDEX(F2:XFD2,INDEX(B1:XFD1,(A2)+(1))),IF(("newheap")=(INDEX(B1:XFD1,(A2)+(0))),(C3)-(2),IF(("getheap")=(INDEX(B1:XFD1,(A2)+(0))),INDEX(C4:C404,(B349)+(1)),IF(("add")=(INDEX(B1:XFD1,(A2)+(0))),(INDEX(B4:B404,(B3)+(1)))+(B349),IF(("equals")=(INDEX(B1:XFD1,(A2)+(0))),(INDEX(B4:B404,(B3)+(1)))=(B349),IF(("leq")=(INDEX(B1:XFD1,(A2)+(0))),(INDEX(B4:B404,(B3)+(1)))&lt;=(B349),IF(("mod")=(INDEX(B1:XFD1,(A2)+(0))),MOD(INDEX(B4:B404,(B3)+(1)),B349),B349)))))))),B349))</f>
        <v>#VALUE!</v>
      </c>
      <c r="C349" t="e">
        <f ca="1">IF((A1)=(2),1,IF(AND((INDEX(B1:XFD1,(A2)+(0)))=("writeheap"),(INDEX(B4:B404,(B3)+(1)))=(345)),INDEX(B4:B404,(B3)+(2)),IF((A1)=(2),1,IF((346)=(C3),C349,C349))))</f>
        <v>#VALUE!</v>
      </c>
      <c r="E349" t="e">
        <f ca="1">IF((A1)=(2),1,IF((346)=(E3),IF(("outputline")=(INDEX(B1:XFD1,(A2)+(0))),B2,E349),E349))</f>
        <v>#VALUE!</v>
      </c>
      <c r="F349" t="e">
        <f ca="1">IF((A1)=(2),1,IF((346)=(F3),IF(IF((INDEX(B1:XFD1,(A2)+(0)))=("store"),(INDEX(B1:XFD1,(A2)+(1)))=("F"),"false"),B2,F349),F349))</f>
        <v>#VALUE!</v>
      </c>
      <c r="G349" t="e">
        <f ca="1">IF((A1)=(2),1,IF((346)=(G3),IF(IF((INDEX(B1:XFD1,(A2)+(0)))=("store"),(INDEX(B1:XFD1,(A2)+(1)))=("G"),"false"),B2,G349),G349))</f>
        <v>#VALUE!</v>
      </c>
      <c r="H349" t="e">
        <f ca="1">IF((A1)=(2),1,IF((346)=(H3),IF(IF((INDEX(B1:XFD1,(A2)+(0)))=("store"),(INDEX(B1:XFD1,(A2)+(1)))=("H"),"false"),B2,H349),H349))</f>
        <v>#VALUE!</v>
      </c>
      <c r="I349" t="e">
        <f ca="1">IF((A1)=(2),1,IF((346)=(I3),IF(IF((INDEX(B1:XFD1,(A2)+(0)))=("store"),(INDEX(B1:XFD1,(A2)+(1)))=("I"),"false"),B2,I349),I349))</f>
        <v>#VALUE!</v>
      </c>
      <c r="J349" t="e">
        <f ca="1">IF((A1)=(2),1,IF((346)=(J3),IF(IF((INDEX(B1:XFD1,(A2)+(0)))=("store"),(INDEX(B1:XFD1,(A2)+(1)))=("J"),"false"),B2,J349),J349))</f>
        <v>#VALUE!</v>
      </c>
      <c r="K349" t="e">
        <f ca="1">IF((A1)=(2),1,IF((346)=(K3),IF(IF((INDEX(B1:XFD1,(A2)+(0)))=("store"),(INDEX(B1:XFD1,(A2)+(1)))=("K"),"false"),B2,K349),K349))</f>
        <v>#VALUE!</v>
      </c>
      <c r="L349" t="e">
        <f ca="1">IF((A1)=(2),1,IF((346)=(L3),IF(IF((INDEX(B1:XFD1,(A2)+(0)))=("store"),(INDEX(B1:XFD1,(A2)+(1)))=("L"),"false"),B2,L349),L349))</f>
        <v>#VALUE!</v>
      </c>
      <c r="M349" t="e">
        <f ca="1">IF((A1)=(2),1,IF((346)=(M3),IF(IF((INDEX(B1:XFD1,(A2)+(0)))=("store"),(INDEX(B1:XFD1,(A2)+(1)))=("M"),"false"),B2,M349),M349))</f>
        <v>#VALUE!</v>
      </c>
      <c r="N349" t="e">
        <f ca="1">IF((A1)=(2),1,IF((346)=(N3),IF(IF((INDEX(B1:XFD1,(A2)+(0)))=("store"),(INDEX(B1:XFD1,(A2)+(1)))=("N"),"false"),B2,N349),N349))</f>
        <v>#VALUE!</v>
      </c>
      <c r="O349" t="e">
        <f ca="1">IF((A1)=(2),1,IF((346)=(O3),IF(IF((INDEX(B1:XFD1,(A2)+(0)))=("store"),(INDEX(B1:XFD1,(A2)+(1)))=("O"),"false"),B2,O349),O349))</f>
        <v>#VALUE!</v>
      </c>
      <c r="P349" t="e">
        <f ca="1">IF((A1)=(2),1,IF((346)=(P3),IF(IF((INDEX(B1:XFD1,(A2)+(0)))=("store"),(INDEX(B1:XFD1,(A2)+(1)))=("P"),"false"),B2,P349),P349))</f>
        <v>#VALUE!</v>
      </c>
      <c r="Q349" t="e">
        <f ca="1">IF((A1)=(2),1,IF((346)=(Q3),IF(IF((INDEX(B1:XFD1,(A2)+(0)))=("store"),(INDEX(B1:XFD1,(A2)+(1)))=("Q"),"false"),B2,Q349),Q349))</f>
        <v>#VALUE!</v>
      </c>
      <c r="R349" t="e">
        <f ca="1">IF((A1)=(2),1,IF((346)=(R3),IF(IF((INDEX(B1:XFD1,(A2)+(0)))=("store"),(INDEX(B1:XFD1,(A2)+(1)))=("R"),"false"),B2,R349),R349))</f>
        <v>#VALUE!</v>
      </c>
      <c r="S349" t="e">
        <f ca="1">IF((A1)=(2),1,IF((346)=(S3),IF(IF((INDEX(B1:XFD1,(A2)+(0)))=("store"),(INDEX(B1:XFD1,(A2)+(1)))=("S"),"false"),B2,S349),S349))</f>
        <v>#VALUE!</v>
      </c>
      <c r="T349" t="e">
        <f ca="1">IF((A1)=(2),1,IF((346)=(T3),IF(IF((INDEX(B1:XFD1,(A2)+(0)))=("store"),(INDEX(B1:XFD1,(A2)+(1)))=("T"),"false"),B2,T349),T349))</f>
        <v>#VALUE!</v>
      </c>
      <c r="U349" t="e">
        <f ca="1">IF((A1)=(2),1,IF((346)=(U3),IF(IF((INDEX(B1:XFD1,(A2)+(0)))=("store"),(INDEX(B1:XFD1,(A2)+(1)))=("U"),"false"),B2,U349),U349))</f>
        <v>#VALUE!</v>
      </c>
      <c r="V349" t="e">
        <f ca="1">IF((A1)=(2),1,IF((346)=(V3),IF(IF((INDEX(B1:XFD1,(A2)+(0)))=("store"),(INDEX(B1:XFD1,(A2)+(1)))=("V"),"false"),B2,V349),V349))</f>
        <v>#VALUE!</v>
      </c>
      <c r="W349" t="e">
        <f ca="1">IF((A1)=(2),1,IF((346)=(W3),IF(IF((INDEX(B1:XFD1,(A2)+(0)))=("store"),(INDEX(B1:XFD1,(A2)+(1)))=("W"),"false"),B2,W349),W349))</f>
        <v>#VALUE!</v>
      </c>
      <c r="X349" t="e">
        <f ca="1">IF((A1)=(2),1,IF((346)=(X3),IF(IF((INDEX(B1:XFD1,(A2)+(0)))=("store"),(INDEX(B1:XFD1,(A2)+(1)))=("X"),"false"),B2,X349),X349))</f>
        <v>#VALUE!</v>
      </c>
      <c r="Y349" t="e">
        <f ca="1">IF((A1)=(2),1,IF((346)=(Y3),IF(IF((INDEX(B1:XFD1,(A2)+(0)))=("store"),(INDEX(B1:XFD1,(A2)+(1)))=("Y"),"false"),B2,Y349),Y349))</f>
        <v>#VALUE!</v>
      </c>
      <c r="Z349" t="e">
        <f ca="1">IF((A1)=(2),1,IF((346)=(Z3),IF(IF((INDEX(B1:XFD1,(A2)+(0)))=("store"),(INDEX(B1:XFD1,(A2)+(1)))=("Z"),"false"),B2,Z349),Z349))</f>
        <v>#VALUE!</v>
      </c>
      <c r="AA349" t="e">
        <f ca="1">IF((A1)=(2),1,IF((346)=(AA3),IF(IF((INDEX(B1:XFD1,(A2)+(0)))=("store"),(INDEX(B1:XFD1,(A2)+(1)))=("AA"),"false"),B2,AA349),AA349))</f>
        <v>#VALUE!</v>
      </c>
      <c r="AB349" t="e">
        <f ca="1">IF((A1)=(2),1,IF((346)=(AB3),IF(IF((INDEX(B1:XFD1,(A2)+(0)))=("store"),(INDEX(B1:XFD1,(A2)+(1)))=("AB"),"false"),B2,AB349),AB349))</f>
        <v>#VALUE!</v>
      </c>
      <c r="AC349" t="e">
        <f ca="1">IF((A1)=(2),1,IF((346)=(AC3),IF(IF((INDEX(B1:XFD1,(A2)+(0)))=("store"),(INDEX(B1:XFD1,(A2)+(1)))=("AC"),"false"),B2,AC349),AC349))</f>
        <v>#VALUE!</v>
      </c>
      <c r="AD349" t="e">
        <f ca="1">IF((A1)=(2),1,IF((346)=(AD3),IF(IF((INDEX(B1:XFD1,(A2)+(0)))=("store"),(INDEX(B1:XFD1,(A2)+(1)))=("AD"),"false"),B2,AD349),AD349))</f>
        <v>#VALUE!</v>
      </c>
    </row>
    <row r="350" spans="1:30" x14ac:dyDescent="0.25">
      <c r="A350" t="e">
        <f ca="1">IF((A1)=(2),1,IF((347)=(A3),IF(("call")=(INDEX(B1:XFD1,(A2)+(0))),((B2)*(2))+(1),IF(("goto")=(INDEX(B1:XFD1,(A2)+(0))),((INDEX(B1:XFD1,(A2)+(1)))*(2))+(1),IF(("gotoiftrue")=(INDEX(B1:XFD1,(A2)+(0))),IF(B2,((INDEX(B1:XFD1,(A2)+(1)))*(2))+(1),(A350)+(2)),(A350)+(2)))),A350))</f>
        <v>#VALUE!</v>
      </c>
      <c r="B350" t="e">
        <f ca="1">IF((A1)=(2),1,IF((347)=(B3),IF(("push")=(INDEX(B1:XFD1,(A2)+(0))),INDEX(B1:XFD1,(A2)+(1)),IF(("load")=(INDEX(B1:XFD1,(A2)+(0))),INDEX(F2:XFD2,INDEX(B1:XFD1,(A2)+(1))),IF(("newheap")=(INDEX(B1:XFD1,(A2)+(0))),(C3)-(2),IF(("getheap")=(INDEX(B1:XFD1,(A2)+(0))),INDEX(C4:C404,(B350)+(1)),IF(("add")=(INDEX(B1:XFD1,(A2)+(0))),(INDEX(B4:B404,(B3)+(1)))+(B350),IF(("equals")=(INDEX(B1:XFD1,(A2)+(0))),(INDEX(B4:B404,(B3)+(1)))=(B350),IF(("leq")=(INDEX(B1:XFD1,(A2)+(0))),(INDEX(B4:B404,(B3)+(1)))&lt;=(B350),IF(("mod")=(INDEX(B1:XFD1,(A2)+(0))),MOD(INDEX(B4:B404,(B3)+(1)),B350),B350)))))))),B350))</f>
        <v>#VALUE!</v>
      </c>
      <c r="C350" t="e">
        <f ca="1">IF((A1)=(2),1,IF(AND((INDEX(B1:XFD1,(A2)+(0)))=("writeheap"),(INDEX(B4:B404,(B3)+(1)))=(346)),INDEX(B4:B404,(B3)+(2)),IF((A1)=(2),1,IF((347)=(C3),C350,C350))))</f>
        <v>#VALUE!</v>
      </c>
      <c r="E350" t="e">
        <f ca="1">IF((A1)=(2),1,IF((347)=(E3),IF(("outputline")=(INDEX(B1:XFD1,(A2)+(0))),B2,E350),E350))</f>
        <v>#VALUE!</v>
      </c>
      <c r="F350" t="e">
        <f ca="1">IF((A1)=(2),1,IF((347)=(F3),IF(IF((INDEX(B1:XFD1,(A2)+(0)))=("store"),(INDEX(B1:XFD1,(A2)+(1)))=("F"),"false"),B2,F350),F350))</f>
        <v>#VALUE!</v>
      </c>
      <c r="G350" t="e">
        <f ca="1">IF((A1)=(2),1,IF((347)=(G3),IF(IF((INDEX(B1:XFD1,(A2)+(0)))=("store"),(INDEX(B1:XFD1,(A2)+(1)))=("G"),"false"),B2,G350),G350))</f>
        <v>#VALUE!</v>
      </c>
      <c r="H350" t="e">
        <f ca="1">IF((A1)=(2),1,IF((347)=(H3),IF(IF((INDEX(B1:XFD1,(A2)+(0)))=("store"),(INDEX(B1:XFD1,(A2)+(1)))=("H"),"false"),B2,H350),H350))</f>
        <v>#VALUE!</v>
      </c>
      <c r="I350" t="e">
        <f ca="1">IF((A1)=(2),1,IF((347)=(I3),IF(IF((INDEX(B1:XFD1,(A2)+(0)))=("store"),(INDEX(B1:XFD1,(A2)+(1)))=("I"),"false"),B2,I350),I350))</f>
        <v>#VALUE!</v>
      </c>
      <c r="J350" t="e">
        <f ca="1">IF((A1)=(2),1,IF((347)=(J3),IF(IF((INDEX(B1:XFD1,(A2)+(0)))=("store"),(INDEX(B1:XFD1,(A2)+(1)))=("J"),"false"),B2,J350),J350))</f>
        <v>#VALUE!</v>
      </c>
      <c r="K350" t="e">
        <f ca="1">IF((A1)=(2),1,IF((347)=(K3),IF(IF((INDEX(B1:XFD1,(A2)+(0)))=("store"),(INDEX(B1:XFD1,(A2)+(1)))=("K"),"false"),B2,K350),K350))</f>
        <v>#VALUE!</v>
      </c>
      <c r="L350" t="e">
        <f ca="1">IF((A1)=(2),1,IF((347)=(L3),IF(IF((INDEX(B1:XFD1,(A2)+(0)))=("store"),(INDEX(B1:XFD1,(A2)+(1)))=("L"),"false"),B2,L350),L350))</f>
        <v>#VALUE!</v>
      </c>
      <c r="M350" t="e">
        <f ca="1">IF((A1)=(2),1,IF((347)=(M3),IF(IF((INDEX(B1:XFD1,(A2)+(0)))=("store"),(INDEX(B1:XFD1,(A2)+(1)))=("M"),"false"),B2,M350),M350))</f>
        <v>#VALUE!</v>
      </c>
      <c r="N350" t="e">
        <f ca="1">IF((A1)=(2),1,IF((347)=(N3),IF(IF((INDEX(B1:XFD1,(A2)+(0)))=("store"),(INDEX(B1:XFD1,(A2)+(1)))=("N"),"false"),B2,N350),N350))</f>
        <v>#VALUE!</v>
      </c>
      <c r="O350" t="e">
        <f ca="1">IF((A1)=(2),1,IF((347)=(O3),IF(IF((INDEX(B1:XFD1,(A2)+(0)))=("store"),(INDEX(B1:XFD1,(A2)+(1)))=("O"),"false"),B2,O350),O350))</f>
        <v>#VALUE!</v>
      </c>
      <c r="P350" t="e">
        <f ca="1">IF((A1)=(2),1,IF((347)=(P3),IF(IF((INDEX(B1:XFD1,(A2)+(0)))=("store"),(INDEX(B1:XFD1,(A2)+(1)))=("P"),"false"),B2,P350),P350))</f>
        <v>#VALUE!</v>
      </c>
      <c r="Q350" t="e">
        <f ca="1">IF((A1)=(2),1,IF((347)=(Q3),IF(IF((INDEX(B1:XFD1,(A2)+(0)))=("store"),(INDEX(B1:XFD1,(A2)+(1)))=("Q"),"false"),B2,Q350),Q350))</f>
        <v>#VALUE!</v>
      </c>
      <c r="R350" t="e">
        <f ca="1">IF((A1)=(2),1,IF((347)=(R3),IF(IF((INDEX(B1:XFD1,(A2)+(0)))=("store"),(INDEX(B1:XFD1,(A2)+(1)))=("R"),"false"),B2,R350),R350))</f>
        <v>#VALUE!</v>
      </c>
      <c r="S350" t="e">
        <f ca="1">IF((A1)=(2),1,IF((347)=(S3),IF(IF((INDEX(B1:XFD1,(A2)+(0)))=("store"),(INDEX(B1:XFD1,(A2)+(1)))=("S"),"false"),B2,S350),S350))</f>
        <v>#VALUE!</v>
      </c>
      <c r="T350" t="e">
        <f ca="1">IF((A1)=(2),1,IF((347)=(T3),IF(IF((INDEX(B1:XFD1,(A2)+(0)))=("store"),(INDEX(B1:XFD1,(A2)+(1)))=("T"),"false"),B2,T350),T350))</f>
        <v>#VALUE!</v>
      </c>
      <c r="U350" t="e">
        <f ca="1">IF((A1)=(2),1,IF((347)=(U3),IF(IF((INDEX(B1:XFD1,(A2)+(0)))=("store"),(INDEX(B1:XFD1,(A2)+(1)))=("U"),"false"),B2,U350),U350))</f>
        <v>#VALUE!</v>
      </c>
      <c r="V350" t="e">
        <f ca="1">IF((A1)=(2),1,IF((347)=(V3),IF(IF((INDEX(B1:XFD1,(A2)+(0)))=("store"),(INDEX(B1:XFD1,(A2)+(1)))=("V"),"false"),B2,V350),V350))</f>
        <v>#VALUE!</v>
      </c>
      <c r="W350" t="e">
        <f ca="1">IF((A1)=(2),1,IF((347)=(W3),IF(IF((INDEX(B1:XFD1,(A2)+(0)))=("store"),(INDEX(B1:XFD1,(A2)+(1)))=("W"),"false"),B2,W350),W350))</f>
        <v>#VALUE!</v>
      </c>
      <c r="X350" t="e">
        <f ca="1">IF((A1)=(2),1,IF((347)=(X3),IF(IF((INDEX(B1:XFD1,(A2)+(0)))=("store"),(INDEX(B1:XFD1,(A2)+(1)))=("X"),"false"),B2,X350),X350))</f>
        <v>#VALUE!</v>
      </c>
      <c r="Y350" t="e">
        <f ca="1">IF((A1)=(2),1,IF((347)=(Y3),IF(IF((INDEX(B1:XFD1,(A2)+(0)))=("store"),(INDEX(B1:XFD1,(A2)+(1)))=("Y"),"false"),B2,Y350),Y350))</f>
        <v>#VALUE!</v>
      </c>
      <c r="Z350" t="e">
        <f ca="1">IF((A1)=(2),1,IF((347)=(Z3),IF(IF((INDEX(B1:XFD1,(A2)+(0)))=("store"),(INDEX(B1:XFD1,(A2)+(1)))=("Z"),"false"),B2,Z350),Z350))</f>
        <v>#VALUE!</v>
      </c>
      <c r="AA350" t="e">
        <f ca="1">IF((A1)=(2),1,IF((347)=(AA3),IF(IF((INDEX(B1:XFD1,(A2)+(0)))=("store"),(INDEX(B1:XFD1,(A2)+(1)))=("AA"),"false"),B2,AA350),AA350))</f>
        <v>#VALUE!</v>
      </c>
      <c r="AB350" t="e">
        <f ca="1">IF((A1)=(2),1,IF((347)=(AB3),IF(IF((INDEX(B1:XFD1,(A2)+(0)))=("store"),(INDEX(B1:XFD1,(A2)+(1)))=("AB"),"false"),B2,AB350),AB350))</f>
        <v>#VALUE!</v>
      </c>
      <c r="AC350" t="e">
        <f ca="1">IF((A1)=(2),1,IF((347)=(AC3),IF(IF((INDEX(B1:XFD1,(A2)+(0)))=("store"),(INDEX(B1:XFD1,(A2)+(1)))=("AC"),"false"),B2,AC350),AC350))</f>
        <v>#VALUE!</v>
      </c>
      <c r="AD350" t="e">
        <f ca="1">IF((A1)=(2),1,IF((347)=(AD3),IF(IF((INDEX(B1:XFD1,(A2)+(0)))=("store"),(INDEX(B1:XFD1,(A2)+(1)))=("AD"),"false"),B2,AD350),AD350))</f>
        <v>#VALUE!</v>
      </c>
    </row>
    <row r="351" spans="1:30" x14ac:dyDescent="0.25">
      <c r="A351" t="e">
        <f ca="1">IF((A1)=(2),1,IF((348)=(A3),IF(("call")=(INDEX(B1:XFD1,(A2)+(0))),((B2)*(2))+(1),IF(("goto")=(INDEX(B1:XFD1,(A2)+(0))),((INDEX(B1:XFD1,(A2)+(1)))*(2))+(1),IF(("gotoiftrue")=(INDEX(B1:XFD1,(A2)+(0))),IF(B2,((INDEX(B1:XFD1,(A2)+(1)))*(2))+(1),(A351)+(2)),(A351)+(2)))),A351))</f>
        <v>#VALUE!</v>
      </c>
      <c r="B351" t="e">
        <f ca="1">IF((A1)=(2),1,IF((348)=(B3),IF(("push")=(INDEX(B1:XFD1,(A2)+(0))),INDEX(B1:XFD1,(A2)+(1)),IF(("load")=(INDEX(B1:XFD1,(A2)+(0))),INDEX(F2:XFD2,INDEX(B1:XFD1,(A2)+(1))),IF(("newheap")=(INDEX(B1:XFD1,(A2)+(0))),(C3)-(2),IF(("getheap")=(INDEX(B1:XFD1,(A2)+(0))),INDEX(C4:C404,(B351)+(1)),IF(("add")=(INDEX(B1:XFD1,(A2)+(0))),(INDEX(B4:B404,(B3)+(1)))+(B351),IF(("equals")=(INDEX(B1:XFD1,(A2)+(0))),(INDEX(B4:B404,(B3)+(1)))=(B351),IF(("leq")=(INDEX(B1:XFD1,(A2)+(0))),(INDEX(B4:B404,(B3)+(1)))&lt;=(B351),IF(("mod")=(INDEX(B1:XFD1,(A2)+(0))),MOD(INDEX(B4:B404,(B3)+(1)),B351),B351)))))))),B351))</f>
        <v>#VALUE!</v>
      </c>
      <c r="C351" t="e">
        <f ca="1">IF((A1)=(2),1,IF(AND((INDEX(B1:XFD1,(A2)+(0)))=("writeheap"),(INDEX(B4:B404,(B3)+(1)))=(347)),INDEX(B4:B404,(B3)+(2)),IF((A1)=(2),1,IF((348)=(C3),C351,C351))))</f>
        <v>#VALUE!</v>
      </c>
      <c r="E351" t="e">
        <f ca="1">IF((A1)=(2),1,IF((348)=(E3),IF(("outputline")=(INDEX(B1:XFD1,(A2)+(0))),B2,E351),E351))</f>
        <v>#VALUE!</v>
      </c>
      <c r="F351" t="e">
        <f ca="1">IF((A1)=(2),1,IF((348)=(F3),IF(IF((INDEX(B1:XFD1,(A2)+(0)))=("store"),(INDEX(B1:XFD1,(A2)+(1)))=("F"),"false"),B2,F351),F351))</f>
        <v>#VALUE!</v>
      </c>
      <c r="G351" t="e">
        <f ca="1">IF((A1)=(2),1,IF((348)=(G3),IF(IF((INDEX(B1:XFD1,(A2)+(0)))=("store"),(INDEX(B1:XFD1,(A2)+(1)))=("G"),"false"),B2,G351),G351))</f>
        <v>#VALUE!</v>
      </c>
      <c r="H351" t="e">
        <f ca="1">IF((A1)=(2),1,IF((348)=(H3),IF(IF((INDEX(B1:XFD1,(A2)+(0)))=("store"),(INDEX(B1:XFD1,(A2)+(1)))=("H"),"false"),B2,H351),H351))</f>
        <v>#VALUE!</v>
      </c>
      <c r="I351" t="e">
        <f ca="1">IF((A1)=(2),1,IF((348)=(I3),IF(IF((INDEX(B1:XFD1,(A2)+(0)))=("store"),(INDEX(B1:XFD1,(A2)+(1)))=("I"),"false"),B2,I351),I351))</f>
        <v>#VALUE!</v>
      </c>
      <c r="J351" t="e">
        <f ca="1">IF((A1)=(2),1,IF((348)=(J3),IF(IF((INDEX(B1:XFD1,(A2)+(0)))=("store"),(INDEX(B1:XFD1,(A2)+(1)))=("J"),"false"),B2,J351),J351))</f>
        <v>#VALUE!</v>
      </c>
      <c r="K351" t="e">
        <f ca="1">IF((A1)=(2),1,IF((348)=(K3),IF(IF((INDEX(B1:XFD1,(A2)+(0)))=("store"),(INDEX(B1:XFD1,(A2)+(1)))=("K"),"false"),B2,K351),K351))</f>
        <v>#VALUE!</v>
      </c>
      <c r="L351" t="e">
        <f ca="1">IF((A1)=(2),1,IF((348)=(L3),IF(IF((INDEX(B1:XFD1,(A2)+(0)))=("store"),(INDEX(B1:XFD1,(A2)+(1)))=("L"),"false"),B2,L351),L351))</f>
        <v>#VALUE!</v>
      </c>
      <c r="M351" t="e">
        <f ca="1">IF((A1)=(2),1,IF((348)=(M3),IF(IF((INDEX(B1:XFD1,(A2)+(0)))=("store"),(INDEX(B1:XFD1,(A2)+(1)))=("M"),"false"),B2,M351),M351))</f>
        <v>#VALUE!</v>
      </c>
      <c r="N351" t="e">
        <f ca="1">IF((A1)=(2),1,IF((348)=(N3),IF(IF((INDEX(B1:XFD1,(A2)+(0)))=("store"),(INDEX(B1:XFD1,(A2)+(1)))=("N"),"false"),B2,N351),N351))</f>
        <v>#VALUE!</v>
      </c>
      <c r="O351" t="e">
        <f ca="1">IF((A1)=(2),1,IF((348)=(O3),IF(IF((INDEX(B1:XFD1,(A2)+(0)))=("store"),(INDEX(B1:XFD1,(A2)+(1)))=("O"),"false"),B2,O351),O351))</f>
        <v>#VALUE!</v>
      </c>
      <c r="P351" t="e">
        <f ca="1">IF((A1)=(2),1,IF((348)=(P3),IF(IF((INDEX(B1:XFD1,(A2)+(0)))=("store"),(INDEX(B1:XFD1,(A2)+(1)))=("P"),"false"),B2,P351),P351))</f>
        <v>#VALUE!</v>
      </c>
      <c r="Q351" t="e">
        <f ca="1">IF((A1)=(2),1,IF((348)=(Q3),IF(IF((INDEX(B1:XFD1,(A2)+(0)))=("store"),(INDEX(B1:XFD1,(A2)+(1)))=("Q"),"false"),B2,Q351),Q351))</f>
        <v>#VALUE!</v>
      </c>
      <c r="R351" t="e">
        <f ca="1">IF((A1)=(2),1,IF((348)=(R3),IF(IF((INDEX(B1:XFD1,(A2)+(0)))=("store"),(INDEX(B1:XFD1,(A2)+(1)))=("R"),"false"),B2,R351),R351))</f>
        <v>#VALUE!</v>
      </c>
      <c r="S351" t="e">
        <f ca="1">IF((A1)=(2),1,IF((348)=(S3),IF(IF((INDEX(B1:XFD1,(A2)+(0)))=("store"),(INDEX(B1:XFD1,(A2)+(1)))=("S"),"false"),B2,S351),S351))</f>
        <v>#VALUE!</v>
      </c>
      <c r="T351" t="e">
        <f ca="1">IF((A1)=(2),1,IF((348)=(T3),IF(IF((INDEX(B1:XFD1,(A2)+(0)))=("store"),(INDEX(B1:XFD1,(A2)+(1)))=("T"),"false"),B2,T351),T351))</f>
        <v>#VALUE!</v>
      </c>
      <c r="U351" t="e">
        <f ca="1">IF((A1)=(2),1,IF((348)=(U3),IF(IF((INDEX(B1:XFD1,(A2)+(0)))=("store"),(INDEX(B1:XFD1,(A2)+(1)))=("U"),"false"),B2,U351),U351))</f>
        <v>#VALUE!</v>
      </c>
      <c r="V351" t="e">
        <f ca="1">IF((A1)=(2),1,IF((348)=(V3),IF(IF((INDEX(B1:XFD1,(A2)+(0)))=("store"),(INDEX(B1:XFD1,(A2)+(1)))=("V"),"false"),B2,V351),V351))</f>
        <v>#VALUE!</v>
      </c>
      <c r="W351" t="e">
        <f ca="1">IF((A1)=(2),1,IF((348)=(W3),IF(IF((INDEX(B1:XFD1,(A2)+(0)))=("store"),(INDEX(B1:XFD1,(A2)+(1)))=("W"),"false"),B2,W351),W351))</f>
        <v>#VALUE!</v>
      </c>
      <c r="X351" t="e">
        <f ca="1">IF((A1)=(2),1,IF((348)=(X3),IF(IF((INDEX(B1:XFD1,(A2)+(0)))=("store"),(INDEX(B1:XFD1,(A2)+(1)))=("X"),"false"),B2,X351),X351))</f>
        <v>#VALUE!</v>
      </c>
      <c r="Y351" t="e">
        <f ca="1">IF((A1)=(2),1,IF((348)=(Y3),IF(IF((INDEX(B1:XFD1,(A2)+(0)))=("store"),(INDEX(B1:XFD1,(A2)+(1)))=("Y"),"false"),B2,Y351),Y351))</f>
        <v>#VALUE!</v>
      </c>
      <c r="Z351" t="e">
        <f ca="1">IF((A1)=(2),1,IF((348)=(Z3),IF(IF((INDEX(B1:XFD1,(A2)+(0)))=("store"),(INDEX(B1:XFD1,(A2)+(1)))=("Z"),"false"),B2,Z351),Z351))</f>
        <v>#VALUE!</v>
      </c>
      <c r="AA351" t="e">
        <f ca="1">IF((A1)=(2),1,IF((348)=(AA3),IF(IF((INDEX(B1:XFD1,(A2)+(0)))=("store"),(INDEX(B1:XFD1,(A2)+(1)))=("AA"),"false"),B2,AA351),AA351))</f>
        <v>#VALUE!</v>
      </c>
      <c r="AB351" t="e">
        <f ca="1">IF((A1)=(2),1,IF((348)=(AB3),IF(IF((INDEX(B1:XFD1,(A2)+(0)))=("store"),(INDEX(B1:XFD1,(A2)+(1)))=("AB"),"false"),B2,AB351),AB351))</f>
        <v>#VALUE!</v>
      </c>
      <c r="AC351" t="e">
        <f ca="1">IF((A1)=(2),1,IF((348)=(AC3),IF(IF((INDEX(B1:XFD1,(A2)+(0)))=("store"),(INDEX(B1:XFD1,(A2)+(1)))=("AC"),"false"),B2,AC351),AC351))</f>
        <v>#VALUE!</v>
      </c>
      <c r="AD351" t="e">
        <f ca="1">IF((A1)=(2),1,IF((348)=(AD3),IF(IF((INDEX(B1:XFD1,(A2)+(0)))=("store"),(INDEX(B1:XFD1,(A2)+(1)))=("AD"),"false"),B2,AD351),AD351))</f>
        <v>#VALUE!</v>
      </c>
    </row>
    <row r="352" spans="1:30" x14ac:dyDescent="0.25">
      <c r="A352" t="e">
        <f ca="1">IF((A1)=(2),1,IF((349)=(A3),IF(("call")=(INDEX(B1:XFD1,(A2)+(0))),((B2)*(2))+(1),IF(("goto")=(INDEX(B1:XFD1,(A2)+(0))),((INDEX(B1:XFD1,(A2)+(1)))*(2))+(1),IF(("gotoiftrue")=(INDEX(B1:XFD1,(A2)+(0))),IF(B2,((INDEX(B1:XFD1,(A2)+(1)))*(2))+(1),(A352)+(2)),(A352)+(2)))),A352))</f>
        <v>#VALUE!</v>
      </c>
      <c r="B352" t="e">
        <f ca="1">IF((A1)=(2),1,IF((349)=(B3),IF(("push")=(INDEX(B1:XFD1,(A2)+(0))),INDEX(B1:XFD1,(A2)+(1)),IF(("load")=(INDEX(B1:XFD1,(A2)+(0))),INDEX(F2:XFD2,INDEX(B1:XFD1,(A2)+(1))),IF(("newheap")=(INDEX(B1:XFD1,(A2)+(0))),(C3)-(2),IF(("getheap")=(INDEX(B1:XFD1,(A2)+(0))),INDEX(C4:C404,(B352)+(1)),IF(("add")=(INDEX(B1:XFD1,(A2)+(0))),(INDEX(B4:B404,(B3)+(1)))+(B352),IF(("equals")=(INDEX(B1:XFD1,(A2)+(0))),(INDEX(B4:B404,(B3)+(1)))=(B352),IF(("leq")=(INDEX(B1:XFD1,(A2)+(0))),(INDEX(B4:B404,(B3)+(1)))&lt;=(B352),IF(("mod")=(INDEX(B1:XFD1,(A2)+(0))),MOD(INDEX(B4:B404,(B3)+(1)),B352),B352)))))))),B352))</f>
        <v>#VALUE!</v>
      </c>
      <c r="C352" t="e">
        <f ca="1">IF((A1)=(2),1,IF(AND((INDEX(B1:XFD1,(A2)+(0)))=("writeheap"),(INDEX(B4:B404,(B3)+(1)))=(348)),INDEX(B4:B404,(B3)+(2)),IF((A1)=(2),1,IF((349)=(C3),C352,C352))))</f>
        <v>#VALUE!</v>
      </c>
      <c r="E352" t="e">
        <f ca="1">IF((A1)=(2),1,IF((349)=(E3),IF(("outputline")=(INDEX(B1:XFD1,(A2)+(0))),B2,E352),E352))</f>
        <v>#VALUE!</v>
      </c>
      <c r="F352" t="e">
        <f ca="1">IF((A1)=(2),1,IF((349)=(F3),IF(IF((INDEX(B1:XFD1,(A2)+(0)))=("store"),(INDEX(B1:XFD1,(A2)+(1)))=("F"),"false"),B2,F352),F352))</f>
        <v>#VALUE!</v>
      </c>
      <c r="G352" t="e">
        <f ca="1">IF((A1)=(2),1,IF((349)=(G3),IF(IF((INDEX(B1:XFD1,(A2)+(0)))=("store"),(INDEX(B1:XFD1,(A2)+(1)))=("G"),"false"),B2,G352),G352))</f>
        <v>#VALUE!</v>
      </c>
      <c r="H352" t="e">
        <f ca="1">IF((A1)=(2),1,IF((349)=(H3),IF(IF((INDEX(B1:XFD1,(A2)+(0)))=("store"),(INDEX(B1:XFD1,(A2)+(1)))=("H"),"false"),B2,H352),H352))</f>
        <v>#VALUE!</v>
      </c>
      <c r="I352" t="e">
        <f ca="1">IF((A1)=(2),1,IF((349)=(I3),IF(IF((INDEX(B1:XFD1,(A2)+(0)))=("store"),(INDEX(B1:XFD1,(A2)+(1)))=("I"),"false"),B2,I352),I352))</f>
        <v>#VALUE!</v>
      </c>
      <c r="J352" t="e">
        <f ca="1">IF((A1)=(2),1,IF((349)=(J3),IF(IF((INDEX(B1:XFD1,(A2)+(0)))=("store"),(INDEX(B1:XFD1,(A2)+(1)))=("J"),"false"),B2,J352),J352))</f>
        <v>#VALUE!</v>
      </c>
      <c r="K352" t="e">
        <f ca="1">IF((A1)=(2),1,IF((349)=(K3),IF(IF((INDEX(B1:XFD1,(A2)+(0)))=("store"),(INDEX(B1:XFD1,(A2)+(1)))=("K"),"false"),B2,K352),K352))</f>
        <v>#VALUE!</v>
      </c>
      <c r="L352" t="e">
        <f ca="1">IF((A1)=(2),1,IF((349)=(L3),IF(IF((INDEX(B1:XFD1,(A2)+(0)))=("store"),(INDEX(B1:XFD1,(A2)+(1)))=("L"),"false"),B2,L352),L352))</f>
        <v>#VALUE!</v>
      </c>
      <c r="M352" t="e">
        <f ca="1">IF((A1)=(2),1,IF((349)=(M3),IF(IF((INDEX(B1:XFD1,(A2)+(0)))=("store"),(INDEX(B1:XFD1,(A2)+(1)))=("M"),"false"),B2,M352),M352))</f>
        <v>#VALUE!</v>
      </c>
      <c r="N352" t="e">
        <f ca="1">IF((A1)=(2),1,IF((349)=(N3),IF(IF((INDEX(B1:XFD1,(A2)+(0)))=("store"),(INDEX(B1:XFD1,(A2)+(1)))=("N"),"false"),B2,N352),N352))</f>
        <v>#VALUE!</v>
      </c>
      <c r="O352" t="e">
        <f ca="1">IF((A1)=(2),1,IF((349)=(O3),IF(IF((INDEX(B1:XFD1,(A2)+(0)))=("store"),(INDEX(B1:XFD1,(A2)+(1)))=("O"),"false"),B2,O352),O352))</f>
        <v>#VALUE!</v>
      </c>
      <c r="P352" t="e">
        <f ca="1">IF((A1)=(2),1,IF((349)=(P3),IF(IF((INDEX(B1:XFD1,(A2)+(0)))=("store"),(INDEX(B1:XFD1,(A2)+(1)))=("P"),"false"),B2,P352),P352))</f>
        <v>#VALUE!</v>
      </c>
      <c r="Q352" t="e">
        <f ca="1">IF((A1)=(2),1,IF((349)=(Q3),IF(IF((INDEX(B1:XFD1,(A2)+(0)))=("store"),(INDEX(B1:XFD1,(A2)+(1)))=("Q"),"false"),B2,Q352),Q352))</f>
        <v>#VALUE!</v>
      </c>
      <c r="R352" t="e">
        <f ca="1">IF((A1)=(2),1,IF((349)=(R3),IF(IF((INDEX(B1:XFD1,(A2)+(0)))=("store"),(INDEX(B1:XFD1,(A2)+(1)))=("R"),"false"),B2,R352),R352))</f>
        <v>#VALUE!</v>
      </c>
      <c r="S352" t="e">
        <f ca="1">IF((A1)=(2),1,IF((349)=(S3),IF(IF((INDEX(B1:XFD1,(A2)+(0)))=("store"),(INDEX(B1:XFD1,(A2)+(1)))=("S"),"false"),B2,S352),S352))</f>
        <v>#VALUE!</v>
      </c>
      <c r="T352" t="e">
        <f ca="1">IF((A1)=(2),1,IF((349)=(T3),IF(IF((INDEX(B1:XFD1,(A2)+(0)))=("store"),(INDEX(B1:XFD1,(A2)+(1)))=("T"),"false"),B2,T352),T352))</f>
        <v>#VALUE!</v>
      </c>
      <c r="U352" t="e">
        <f ca="1">IF((A1)=(2),1,IF((349)=(U3),IF(IF((INDEX(B1:XFD1,(A2)+(0)))=("store"),(INDEX(B1:XFD1,(A2)+(1)))=("U"),"false"),B2,U352),U352))</f>
        <v>#VALUE!</v>
      </c>
      <c r="V352" t="e">
        <f ca="1">IF((A1)=(2),1,IF((349)=(V3),IF(IF((INDEX(B1:XFD1,(A2)+(0)))=("store"),(INDEX(B1:XFD1,(A2)+(1)))=("V"),"false"),B2,V352),V352))</f>
        <v>#VALUE!</v>
      </c>
      <c r="W352" t="e">
        <f ca="1">IF((A1)=(2),1,IF((349)=(W3),IF(IF((INDEX(B1:XFD1,(A2)+(0)))=("store"),(INDEX(B1:XFD1,(A2)+(1)))=("W"),"false"),B2,W352),W352))</f>
        <v>#VALUE!</v>
      </c>
      <c r="X352" t="e">
        <f ca="1">IF((A1)=(2),1,IF((349)=(X3),IF(IF((INDEX(B1:XFD1,(A2)+(0)))=("store"),(INDEX(B1:XFD1,(A2)+(1)))=("X"),"false"),B2,X352),X352))</f>
        <v>#VALUE!</v>
      </c>
      <c r="Y352" t="e">
        <f ca="1">IF((A1)=(2),1,IF((349)=(Y3),IF(IF((INDEX(B1:XFD1,(A2)+(0)))=("store"),(INDEX(B1:XFD1,(A2)+(1)))=("Y"),"false"),B2,Y352),Y352))</f>
        <v>#VALUE!</v>
      </c>
      <c r="Z352" t="e">
        <f ca="1">IF((A1)=(2),1,IF((349)=(Z3),IF(IF((INDEX(B1:XFD1,(A2)+(0)))=("store"),(INDEX(B1:XFD1,(A2)+(1)))=("Z"),"false"),B2,Z352),Z352))</f>
        <v>#VALUE!</v>
      </c>
      <c r="AA352" t="e">
        <f ca="1">IF((A1)=(2),1,IF((349)=(AA3),IF(IF((INDEX(B1:XFD1,(A2)+(0)))=("store"),(INDEX(B1:XFD1,(A2)+(1)))=("AA"),"false"),B2,AA352),AA352))</f>
        <v>#VALUE!</v>
      </c>
      <c r="AB352" t="e">
        <f ca="1">IF((A1)=(2),1,IF((349)=(AB3),IF(IF((INDEX(B1:XFD1,(A2)+(0)))=("store"),(INDEX(B1:XFD1,(A2)+(1)))=("AB"),"false"),B2,AB352),AB352))</f>
        <v>#VALUE!</v>
      </c>
      <c r="AC352" t="e">
        <f ca="1">IF((A1)=(2),1,IF((349)=(AC3),IF(IF((INDEX(B1:XFD1,(A2)+(0)))=("store"),(INDEX(B1:XFD1,(A2)+(1)))=("AC"),"false"),B2,AC352),AC352))</f>
        <v>#VALUE!</v>
      </c>
      <c r="AD352" t="e">
        <f ca="1">IF((A1)=(2),1,IF((349)=(AD3),IF(IF((INDEX(B1:XFD1,(A2)+(0)))=("store"),(INDEX(B1:XFD1,(A2)+(1)))=("AD"),"false"),B2,AD352),AD352))</f>
        <v>#VALUE!</v>
      </c>
    </row>
    <row r="353" spans="1:30" x14ac:dyDescent="0.25">
      <c r="A353" t="e">
        <f ca="1">IF((A1)=(2),1,IF((350)=(A3),IF(("call")=(INDEX(B1:XFD1,(A2)+(0))),((B2)*(2))+(1),IF(("goto")=(INDEX(B1:XFD1,(A2)+(0))),((INDEX(B1:XFD1,(A2)+(1)))*(2))+(1),IF(("gotoiftrue")=(INDEX(B1:XFD1,(A2)+(0))),IF(B2,((INDEX(B1:XFD1,(A2)+(1)))*(2))+(1),(A353)+(2)),(A353)+(2)))),A353))</f>
        <v>#VALUE!</v>
      </c>
      <c r="B353" t="e">
        <f ca="1">IF((A1)=(2),1,IF((350)=(B3),IF(("push")=(INDEX(B1:XFD1,(A2)+(0))),INDEX(B1:XFD1,(A2)+(1)),IF(("load")=(INDEX(B1:XFD1,(A2)+(0))),INDEX(F2:XFD2,INDEX(B1:XFD1,(A2)+(1))),IF(("newheap")=(INDEX(B1:XFD1,(A2)+(0))),(C3)-(2),IF(("getheap")=(INDEX(B1:XFD1,(A2)+(0))),INDEX(C4:C404,(B353)+(1)),IF(("add")=(INDEX(B1:XFD1,(A2)+(0))),(INDEX(B4:B404,(B3)+(1)))+(B353),IF(("equals")=(INDEX(B1:XFD1,(A2)+(0))),(INDEX(B4:B404,(B3)+(1)))=(B353),IF(("leq")=(INDEX(B1:XFD1,(A2)+(0))),(INDEX(B4:B404,(B3)+(1)))&lt;=(B353),IF(("mod")=(INDEX(B1:XFD1,(A2)+(0))),MOD(INDEX(B4:B404,(B3)+(1)),B353),B353)))))))),B353))</f>
        <v>#VALUE!</v>
      </c>
      <c r="C353" t="e">
        <f ca="1">IF((A1)=(2),1,IF(AND((INDEX(B1:XFD1,(A2)+(0)))=("writeheap"),(INDEX(B4:B404,(B3)+(1)))=(349)),INDEX(B4:B404,(B3)+(2)),IF((A1)=(2),1,IF((350)=(C3),C353,C353))))</f>
        <v>#VALUE!</v>
      </c>
      <c r="E353" t="e">
        <f ca="1">IF((A1)=(2),1,IF((350)=(E3),IF(("outputline")=(INDEX(B1:XFD1,(A2)+(0))),B2,E353),E353))</f>
        <v>#VALUE!</v>
      </c>
      <c r="F353" t="e">
        <f ca="1">IF((A1)=(2),1,IF((350)=(F3),IF(IF((INDEX(B1:XFD1,(A2)+(0)))=("store"),(INDEX(B1:XFD1,(A2)+(1)))=("F"),"false"),B2,F353),F353))</f>
        <v>#VALUE!</v>
      </c>
      <c r="G353" t="e">
        <f ca="1">IF((A1)=(2),1,IF((350)=(G3),IF(IF((INDEX(B1:XFD1,(A2)+(0)))=("store"),(INDEX(B1:XFD1,(A2)+(1)))=("G"),"false"),B2,G353),G353))</f>
        <v>#VALUE!</v>
      </c>
      <c r="H353" t="e">
        <f ca="1">IF((A1)=(2),1,IF((350)=(H3),IF(IF((INDEX(B1:XFD1,(A2)+(0)))=("store"),(INDEX(B1:XFD1,(A2)+(1)))=("H"),"false"),B2,H353),H353))</f>
        <v>#VALUE!</v>
      </c>
      <c r="I353" t="e">
        <f ca="1">IF((A1)=(2),1,IF((350)=(I3),IF(IF((INDEX(B1:XFD1,(A2)+(0)))=("store"),(INDEX(B1:XFD1,(A2)+(1)))=("I"),"false"),B2,I353),I353))</f>
        <v>#VALUE!</v>
      </c>
      <c r="J353" t="e">
        <f ca="1">IF((A1)=(2),1,IF((350)=(J3),IF(IF((INDEX(B1:XFD1,(A2)+(0)))=("store"),(INDEX(B1:XFD1,(A2)+(1)))=("J"),"false"),B2,J353),J353))</f>
        <v>#VALUE!</v>
      </c>
      <c r="K353" t="e">
        <f ca="1">IF((A1)=(2),1,IF((350)=(K3),IF(IF((INDEX(B1:XFD1,(A2)+(0)))=("store"),(INDEX(B1:XFD1,(A2)+(1)))=("K"),"false"),B2,K353),K353))</f>
        <v>#VALUE!</v>
      </c>
      <c r="L353" t="e">
        <f ca="1">IF((A1)=(2),1,IF((350)=(L3),IF(IF((INDEX(B1:XFD1,(A2)+(0)))=("store"),(INDEX(B1:XFD1,(A2)+(1)))=("L"),"false"),B2,L353),L353))</f>
        <v>#VALUE!</v>
      </c>
      <c r="M353" t="e">
        <f ca="1">IF((A1)=(2),1,IF((350)=(M3),IF(IF((INDEX(B1:XFD1,(A2)+(0)))=("store"),(INDEX(B1:XFD1,(A2)+(1)))=("M"),"false"),B2,M353),M353))</f>
        <v>#VALUE!</v>
      </c>
      <c r="N353" t="e">
        <f ca="1">IF((A1)=(2),1,IF((350)=(N3),IF(IF((INDEX(B1:XFD1,(A2)+(0)))=("store"),(INDEX(B1:XFD1,(A2)+(1)))=("N"),"false"),B2,N353),N353))</f>
        <v>#VALUE!</v>
      </c>
      <c r="O353" t="e">
        <f ca="1">IF((A1)=(2),1,IF((350)=(O3),IF(IF((INDEX(B1:XFD1,(A2)+(0)))=("store"),(INDEX(B1:XFD1,(A2)+(1)))=("O"),"false"),B2,O353),O353))</f>
        <v>#VALUE!</v>
      </c>
      <c r="P353" t="e">
        <f ca="1">IF((A1)=(2),1,IF((350)=(P3),IF(IF((INDEX(B1:XFD1,(A2)+(0)))=("store"),(INDEX(B1:XFD1,(A2)+(1)))=("P"),"false"),B2,P353),P353))</f>
        <v>#VALUE!</v>
      </c>
      <c r="Q353" t="e">
        <f ca="1">IF((A1)=(2),1,IF((350)=(Q3),IF(IF((INDEX(B1:XFD1,(A2)+(0)))=("store"),(INDEX(B1:XFD1,(A2)+(1)))=("Q"),"false"),B2,Q353),Q353))</f>
        <v>#VALUE!</v>
      </c>
      <c r="R353" t="e">
        <f ca="1">IF((A1)=(2),1,IF((350)=(R3),IF(IF((INDEX(B1:XFD1,(A2)+(0)))=("store"),(INDEX(B1:XFD1,(A2)+(1)))=("R"),"false"),B2,R353),R353))</f>
        <v>#VALUE!</v>
      </c>
      <c r="S353" t="e">
        <f ca="1">IF((A1)=(2),1,IF((350)=(S3),IF(IF((INDEX(B1:XFD1,(A2)+(0)))=("store"),(INDEX(B1:XFD1,(A2)+(1)))=("S"),"false"),B2,S353),S353))</f>
        <v>#VALUE!</v>
      </c>
      <c r="T353" t="e">
        <f ca="1">IF((A1)=(2),1,IF((350)=(T3),IF(IF((INDEX(B1:XFD1,(A2)+(0)))=("store"),(INDEX(B1:XFD1,(A2)+(1)))=("T"),"false"),B2,T353),T353))</f>
        <v>#VALUE!</v>
      </c>
      <c r="U353" t="e">
        <f ca="1">IF((A1)=(2),1,IF((350)=(U3),IF(IF((INDEX(B1:XFD1,(A2)+(0)))=("store"),(INDEX(B1:XFD1,(A2)+(1)))=("U"),"false"),B2,U353),U353))</f>
        <v>#VALUE!</v>
      </c>
      <c r="V353" t="e">
        <f ca="1">IF((A1)=(2),1,IF((350)=(V3),IF(IF((INDEX(B1:XFD1,(A2)+(0)))=("store"),(INDEX(B1:XFD1,(A2)+(1)))=("V"),"false"),B2,V353),V353))</f>
        <v>#VALUE!</v>
      </c>
      <c r="W353" t="e">
        <f ca="1">IF((A1)=(2),1,IF((350)=(W3),IF(IF((INDEX(B1:XFD1,(A2)+(0)))=("store"),(INDEX(B1:XFD1,(A2)+(1)))=("W"),"false"),B2,W353),W353))</f>
        <v>#VALUE!</v>
      </c>
      <c r="X353" t="e">
        <f ca="1">IF((A1)=(2),1,IF((350)=(X3),IF(IF((INDEX(B1:XFD1,(A2)+(0)))=("store"),(INDEX(B1:XFD1,(A2)+(1)))=("X"),"false"),B2,X353),X353))</f>
        <v>#VALUE!</v>
      </c>
      <c r="Y353" t="e">
        <f ca="1">IF((A1)=(2),1,IF((350)=(Y3),IF(IF((INDEX(B1:XFD1,(A2)+(0)))=("store"),(INDEX(B1:XFD1,(A2)+(1)))=("Y"),"false"),B2,Y353),Y353))</f>
        <v>#VALUE!</v>
      </c>
      <c r="Z353" t="e">
        <f ca="1">IF((A1)=(2),1,IF((350)=(Z3),IF(IF((INDEX(B1:XFD1,(A2)+(0)))=("store"),(INDEX(B1:XFD1,(A2)+(1)))=("Z"),"false"),B2,Z353),Z353))</f>
        <v>#VALUE!</v>
      </c>
      <c r="AA353" t="e">
        <f ca="1">IF((A1)=(2),1,IF((350)=(AA3),IF(IF((INDEX(B1:XFD1,(A2)+(0)))=("store"),(INDEX(B1:XFD1,(A2)+(1)))=("AA"),"false"),B2,AA353),AA353))</f>
        <v>#VALUE!</v>
      </c>
      <c r="AB353" t="e">
        <f ca="1">IF((A1)=(2),1,IF((350)=(AB3),IF(IF((INDEX(B1:XFD1,(A2)+(0)))=("store"),(INDEX(B1:XFD1,(A2)+(1)))=("AB"),"false"),B2,AB353),AB353))</f>
        <v>#VALUE!</v>
      </c>
      <c r="AC353" t="e">
        <f ca="1">IF((A1)=(2),1,IF((350)=(AC3),IF(IF((INDEX(B1:XFD1,(A2)+(0)))=("store"),(INDEX(B1:XFD1,(A2)+(1)))=("AC"),"false"),B2,AC353),AC353))</f>
        <v>#VALUE!</v>
      </c>
      <c r="AD353" t="e">
        <f ca="1">IF((A1)=(2),1,IF((350)=(AD3),IF(IF((INDEX(B1:XFD1,(A2)+(0)))=("store"),(INDEX(B1:XFD1,(A2)+(1)))=("AD"),"false"),B2,AD353),AD353))</f>
        <v>#VALUE!</v>
      </c>
    </row>
    <row r="354" spans="1:30" x14ac:dyDescent="0.25">
      <c r="A354" t="e">
        <f ca="1">IF((A1)=(2),1,IF((351)=(A3),IF(("call")=(INDEX(B1:XFD1,(A2)+(0))),((B2)*(2))+(1),IF(("goto")=(INDEX(B1:XFD1,(A2)+(0))),((INDEX(B1:XFD1,(A2)+(1)))*(2))+(1),IF(("gotoiftrue")=(INDEX(B1:XFD1,(A2)+(0))),IF(B2,((INDEX(B1:XFD1,(A2)+(1)))*(2))+(1),(A354)+(2)),(A354)+(2)))),A354))</f>
        <v>#VALUE!</v>
      </c>
      <c r="B354" t="e">
        <f ca="1">IF((A1)=(2),1,IF((351)=(B3),IF(("push")=(INDEX(B1:XFD1,(A2)+(0))),INDEX(B1:XFD1,(A2)+(1)),IF(("load")=(INDEX(B1:XFD1,(A2)+(0))),INDEX(F2:XFD2,INDEX(B1:XFD1,(A2)+(1))),IF(("newheap")=(INDEX(B1:XFD1,(A2)+(0))),(C3)-(2),IF(("getheap")=(INDEX(B1:XFD1,(A2)+(0))),INDEX(C4:C404,(B354)+(1)),IF(("add")=(INDEX(B1:XFD1,(A2)+(0))),(INDEX(B4:B404,(B3)+(1)))+(B354),IF(("equals")=(INDEX(B1:XFD1,(A2)+(0))),(INDEX(B4:B404,(B3)+(1)))=(B354),IF(("leq")=(INDEX(B1:XFD1,(A2)+(0))),(INDEX(B4:B404,(B3)+(1)))&lt;=(B354),IF(("mod")=(INDEX(B1:XFD1,(A2)+(0))),MOD(INDEX(B4:B404,(B3)+(1)),B354),B354)))))))),B354))</f>
        <v>#VALUE!</v>
      </c>
      <c r="C354" t="e">
        <f ca="1">IF((A1)=(2),1,IF(AND((INDEX(B1:XFD1,(A2)+(0)))=("writeheap"),(INDEX(B4:B404,(B3)+(1)))=(350)),INDEX(B4:B404,(B3)+(2)),IF((A1)=(2),1,IF((351)=(C3),C354,C354))))</f>
        <v>#VALUE!</v>
      </c>
      <c r="E354" t="e">
        <f ca="1">IF((A1)=(2),1,IF((351)=(E3),IF(("outputline")=(INDEX(B1:XFD1,(A2)+(0))),B2,E354),E354))</f>
        <v>#VALUE!</v>
      </c>
      <c r="F354" t="e">
        <f ca="1">IF((A1)=(2),1,IF((351)=(F3),IF(IF((INDEX(B1:XFD1,(A2)+(0)))=("store"),(INDEX(B1:XFD1,(A2)+(1)))=("F"),"false"),B2,F354),F354))</f>
        <v>#VALUE!</v>
      </c>
      <c r="G354" t="e">
        <f ca="1">IF((A1)=(2),1,IF((351)=(G3),IF(IF((INDEX(B1:XFD1,(A2)+(0)))=("store"),(INDEX(B1:XFD1,(A2)+(1)))=("G"),"false"),B2,G354),G354))</f>
        <v>#VALUE!</v>
      </c>
      <c r="H354" t="e">
        <f ca="1">IF((A1)=(2),1,IF((351)=(H3),IF(IF((INDEX(B1:XFD1,(A2)+(0)))=("store"),(INDEX(B1:XFD1,(A2)+(1)))=("H"),"false"),B2,H354),H354))</f>
        <v>#VALUE!</v>
      </c>
      <c r="I354" t="e">
        <f ca="1">IF((A1)=(2),1,IF((351)=(I3),IF(IF((INDEX(B1:XFD1,(A2)+(0)))=("store"),(INDEX(B1:XFD1,(A2)+(1)))=("I"),"false"),B2,I354),I354))</f>
        <v>#VALUE!</v>
      </c>
      <c r="J354" t="e">
        <f ca="1">IF((A1)=(2),1,IF((351)=(J3),IF(IF((INDEX(B1:XFD1,(A2)+(0)))=("store"),(INDEX(B1:XFD1,(A2)+(1)))=("J"),"false"),B2,J354),J354))</f>
        <v>#VALUE!</v>
      </c>
      <c r="K354" t="e">
        <f ca="1">IF((A1)=(2),1,IF((351)=(K3),IF(IF((INDEX(B1:XFD1,(A2)+(0)))=("store"),(INDEX(B1:XFD1,(A2)+(1)))=("K"),"false"),B2,K354),K354))</f>
        <v>#VALUE!</v>
      </c>
      <c r="L354" t="e">
        <f ca="1">IF((A1)=(2),1,IF((351)=(L3),IF(IF((INDEX(B1:XFD1,(A2)+(0)))=("store"),(INDEX(B1:XFD1,(A2)+(1)))=("L"),"false"),B2,L354),L354))</f>
        <v>#VALUE!</v>
      </c>
      <c r="M354" t="e">
        <f ca="1">IF((A1)=(2),1,IF((351)=(M3),IF(IF((INDEX(B1:XFD1,(A2)+(0)))=("store"),(INDEX(B1:XFD1,(A2)+(1)))=("M"),"false"),B2,M354),M354))</f>
        <v>#VALUE!</v>
      </c>
      <c r="N354" t="e">
        <f ca="1">IF((A1)=(2),1,IF((351)=(N3),IF(IF((INDEX(B1:XFD1,(A2)+(0)))=("store"),(INDEX(B1:XFD1,(A2)+(1)))=("N"),"false"),B2,N354),N354))</f>
        <v>#VALUE!</v>
      </c>
      <c r="O354" t="e">
        <f ca="1">IF((A1)=(2),1,IF((351)=(O3),IF(IF((INDEX(B1:XFD1,(A2)+(0)))=("store"),(INDEX(B1:XFD1,(A2)+(1)))=("O"),"false"),B2,O354),O354))</f>
        <v>#VALUE!</v>
      </c>
      <c r="P354" t="e">
        <f ca="1">IF((A1)=(2),1,IF((351)=(P3),IF(IF((INDEX(B1:XFD1,(A2)+(0)))=("store"),(INDEX(B1:XFD1,(A2)+(1)))=("P"),"false"),B2,P354),P354))</f>
        <v>#VALUE!</v>
      </c>
      <c r="Q354" t="e">
        <f ca="1">IF((A1)=(2),1,IF((351)=(Q3),IF(IF((INDEX(B1:XFD1,(A2)+(0)))=("store"),(INDEX(B1:XFD1,(A2)+(1)))=("Q"),"false"),B2,Q354),Q354))</f>
        <v>#VALUE!</v>
      </c>
      <c r="R354" t="e">
        <f ca="1">IF((A1)=(2),1,IF((351)=(R3),IF(IF((INDEX(B1:XFD1,(A2)+(0)))=("store"),(INDEX(B1:XFD1,(A2)+(1)))=("R"),"false"),B2,R354),R354))</f>
        <v>#VALUE!</v>
      </c>
      <c r="S354" t="e">
        <f ca="1">IF((A1)=(2),1,IF((351)=(S3),IF(IF((INDEX(B1:XFD1,(A2)+(0)))=("store"),(INDEX(B1:XFD1,(A2)+(1)))=("S"),"false"),B2,S354),S354))</f>
        <v>#VALUE!</v>
      </c>
      <c r="T354" t="e">
        <f ca="1">IF((A1)=(2),1,IF((351)=(T3),IF(IF((INDEX(B1:XFD1,(A2)+(0)))=("store"),(INDEX(B1:XFD1,(A2)+(1)))=("T"),"false"),B2,T354),T354))</f>
        <v>#VALUE!</v>
      </c>
      <c r="U354" t="e">
        <f ca="1">IF((A1)=(2),1,IF((351)=(U3),IF(IF((INDEX(B1:XFD1,(A2)+(0)))=("store"),(INDEX(B1:XFD1,(A2)+(1)))=("U"),"false"),B2,U354),U354))</f>
        <v>#VALUE!</v>
      </c>
      <c r="V354" t="e">
        <f ca="1">IF((A1)=(2),1,IF((351)=(V3),IF(IF((INDEX(B1:XFD1,(A2)+(0)))=("store"),(INDEX(B1:XFD1,(A2)+(1)))=("V"),"false"),B2,V354),V354))</f>
        <v>#VALUE!</v>
      </c>
      <c r="W354" t="e">
        <f ca="1">IF((A1)=(2),1,IF((351)=(W3),IF(IF((INDEX(B1:XFD1,(A2)+(0)))=("store"),(INDEX(B1:XFD1,(A2)+(1)))=("W"),"false"),B2,W354),W354))</f>
        <v>#VALUE!</v>
      </c>
      <c r="X354" t="e">
        <f ca="1">IF((A1)=(2),1,IF((351)=(X3),IF(IF((INDEX(B1:XFD1,(A2)+(0)))=("store"),(INDEX(B1:XFD1,(A2)+(1)))=("X"),"false"),B2,X354),X354))</f>
        <v>#VALUE!</v>
      </c>
      <c r="Y354" t="e">
        <f ca="1">IF((A1)=(2),1,IF((351)=(Y3),IF(IF((INDEX(B1:XFD1,(A2)+(0)))=("store"),(INDEX(B1:XFD1,(A2)+(1)))=("Y"),"false"),B2,Y354),Y354))</f>
        <v>#VALUE!</v>
      </c>
      <c r="Z354" t="e">
        <f ca="1">IF((A1)=(2),1,IF((351)=(Z3),IF(IF((INDEX(B1:XFD1,(A2)+(0)))=("store"),(INDEX(B1:XFD1,(A2)+(1)))=("Z"),"false"),B2,Z354),Z354))</f>
        <v>#VALUE!</v>
      </c>
      <c r="AA354" t="e">
        <f ca="1">IF((A1)=(2),1,IF((351)=(AA3),IF(IF((INDEX(B1:XFD1,(A2)+(0)))=("store"),(INDEX(B1:XFD1,(A2)+(1)))=("AA"),"false"),B2,AA354),AA354))</f>
        <v>#VALUE!</v>
      </c>
      <c r="AB354" t="e">
        <f ca="1">IF((A1)=(2),1,IF((351)=(AB3),IF(IF((INDEX(B1:XFD1,(A2)+(0)))=("store"),(INDEX(B1:XFD1,(A2)+(1)))=("AB"),"false"),B2,AB354),AB354))</f>
        <v>#VALUE!</v>
      </c>
      <c r="AC354" t="e">
        <f ca="1">IF((A1)=(2),1,IF((351)=(AC3),IF(IF((INDEX(B1:XFD1,(A2)+(0)))=("store"),(INDEX(B1:XFD1,(A2)+(1)))=("AC"),"false"),B2,AC354),AC354))</f>
        <v>#VALUE!</v>
      </c>
      <c r="AD354" t="e">
        <f ca="1">IF((A1)=(2),1,IF((351)=(AD3),IF(IF((INDEX(B1:XFD1,(A2)+(0)))=("store"),(INDEX(B1:XFD1,(A2)+(1)))=("AD"),"false"),B2,AD354),AD354))</f>
        <v>#VALUE!</v>
      </c>
    </row>
    <row r="355" spans="1:30" x14ac:dyDescent="0.25">
      <c r="A355" t="e">
        <f ca="1">IF((A1)=(2),1,IF((352)=(A3),IF(("call")=(INDEX(B1:XFD1,(A2)+(0))),((B2)*(2))+(1),IF(("goto")=(INDEX(B1:XFD1,(A2)+(0))),((INDEX(B1:XFD1,(A2)+(1)))*(2))+(1),IF(("gotoiftrue")=(INDEX(B1:XFD1,(A2)+(0))),IF(B2,((INDEX(B1:XFD1,(A2)+(1)))*(2))+(1),(A355)+(2)),(A355)+(2)))),A355))</f>
        <v>#VALUE!</v>
      </c>
      <c r="B355" t="e">
        <f ca="1">IF((A1)=(2),1,IF((352)=(B3),IF(("push")=(INDEX(B1:XFD1,(A2)+(0))),INDEX(B1:XFD1,(A2)+(1)),IF(("load")=(INDEX(B1:XFD1,(A2)+(0))),INDEX(F2:XFD2,INDEX(B1:XFD1,(A2)+(1))),IF(("newheap")=(INDEX(B1:XFD1,(A2)+(0))),(C3)-(2),IF(("getheap")=(INDEX(B1:XFD1,(A2)+(0))),INDEX(C4:C404,(B355)+(1)),IF(("add")=(INDEX(B1:XFD1,(A2)+(0))),(INDEX(B4:B404,(B3)+(1)))+(B355),IF(("equals")=(INDEX(B1:XFD1,(A2)+(0))),(INDEX(B4:B404,(B3)+(1)))=(B355),IF(("leq")=(INDEX(B1:XFD1,(A2)+(0))),(INDEX(B4:B404,(B3)+(1)))&lt;=(B355),IF(("mod")=(INDEX(B1:XFD1,(A2)+(0))),MOD(INDEX(B4:B404,(B3)+(1)),B355),B355)))))))),B355))</f>
        <v>#VALUE!</v>
      </c>
      <c r="C355" t="e">
        <f ca="1">IF((A1)=(2),1,IF(AND((INDEX(B1:XFD1,(A2)+(0)))=("writeheap"),(INDEX(B4:B404,(B3)+(1)))=(351)),INDEX(B4:B404,(B3)+(2)),IF((A1)=(2),1,IF((352)=(C3),C355,C355))))</f>
        <v>#VALUE!</v>
      </c>
      <c r="E355" t="e">
        <f ca="1">IF((A1)=(2),1,IF((352)=(E3),IF(("outputline")=(INDEX(B1:XFD1,(A2)+(0))),B2,E355),E355))</f>
        <v>#VALUE!</v>
      </c>
      <c r="F355" t="e">
        <f ca="1">IF((A1)=(2),1,IF((352)=(F3),IF(IF((INDEX(B1:XFD1,(A2)+(0)))=("store"),(INDEX(B1:XFD1,(A2)+(1)))=("F"),"false"),B2,F355),F355))</f>
        <v>#VALUE!</v>
      </c>
      <c r="G355" t="e">
        <f ca="1">IF((A1)=(2),1,IF((352)=(G3),IF(IF((INDEX(B1:XFD1,(A2)+(0)))=("store"),(INDEX(B1:XFD1,(A2)+(1)))=("G"),"false"),B2,G355),G355))</f>
        <v>#VALUE!</v>
      </c>
      <c r="H355" t="e">
        <f ca="1">IF((A1)=(2),1,IF((352)=(H3),IF(IF((INDEX(B1:XFD1,(A2)+(0)))=("store"),(INDEX(B1:XFD1,(A2)+(1)))=("H"),"false"),B2,H355),H355))</f>
        <v>#VALUE!</v>
      </c>
      <c r="I355" t="e">
        <f ca="1">IF((A1)=(2),1,IF((352)=(I3),IF(IF((INDEX(B1:XFD1,(A2)+(0)))=("store"),(INDEX(B1:XFD1,(A2)+(1)))=("I"),"false"),B2,I355),I355))</f>
        <v>#VALUE!</v>
      </c>
      <c r="J355" t="e">
        <f ca="1">IF((A1)=(2),1,IF((352)=(J3),IF(IF((INDEX(B1:XFD1,(A2)+(0)))=("store"),(INDEX(B1:XFD1,(A2)+(1)))=("J"),"false"),B2,J355),J355))</f>
        <v>#VALUE!</v>
      </c>
      <c r="K355" t="e">
        <f ca="1">IF((A1)=(2),1,IF((352)=(K3),IF(IF((INDEX(B1:XFD1,(A2)+(0)))=("store"),(INDEX(B1:XFD1,(A2)+(1)))=("K"),"false"),B2,K355),K355))</f>
        <v>#VALUE!</v>
      </c>
      <c r="L355" t="e">
        <f ca="1">IF((A1)=(2),1,IF((352)=(L3),IF(IF((INDEX(B1:XFD1,(A2)+(0)))=("store"),(INDEX(B1:XFD1,(A2)+(1)))=("L"),"false"),B2,L355),L355))</f>
        <v>#VALUE!</v>
      </c>
      <c r="M355" t="e">
        <f ca="1">IF((A1)=(2),1,IF((352)=(M3),IF(IF((INDEX(B1:XFD1,(A2)+(0)))=("store"),(INDEX(B1:XFD1,(A2)+(1)))=("M"),"false"),B2,M355),M355))</f>
        <v>#VALUE!</v>
      </c>
      <c r="N355" t="e">
        <f ca="1">IF((A1)=(2),1,IF((352)=(N3),IF(IF((INDEX(B1:XFD1,(A2)+(0)))=("store"),(INDEX(B1:XFD1,(A2)+(1)))=("N"),"false"),B2,N355),N355))</f>
        <v>#VALUE!</v>
      </c>
      <c r="O355" t="e">
        <f ca="1">IF((A1)=(2),1,IF((352)=(O3),IF(IF((INDEX(B1:XFD1,(A2)+(0)))=("store"),(INDEX(B1:XFD1,(A2)+(1)))=("O"),"false"),B2,O355),O355))</f>
        <v>#VALUE!</v>
      </c>
      <c r="P355" t="e">
        <f ca="1">IF((A1)=(2),1,IF((352)=(P3),IF(IF((INDEX(B1:XFD1,(A2)+(0)))=("store"),(INDEX(B1:XFD1,(A2)+(1)))=("P"),"false"),B2,P355),P355))</f>
        <v>#VALUE!</v>
      </c>
      <c r="Q355" t="e">
        <f ca="1">IF((A1)=(2),1,IF((352)=(Q3),IF(IF((INDEX(B1:XFD1,(A2)+(0)))=("store"),(INDEX(B1:XFD1,(A2)+(1)))=("Q"),"false"),B2,Q355),Q355))</f>
        <v>#VALUE!</v>
      </c>
      <c r="R355" t="e">
        <f ca="1">IF((A1)=(2),1,IF((352)=(R3),IF(IF((INDEX(B1:XFD1,(A2)+(0)))=("store"),(INDEX(B1:XFD1,(A2)+(1)))=("R"),"false"),B2,R355),R355))</f>
        <v>#VALUE!</v>
      </c>
      <c r="S355" t="e">
        <f ca="1">IF((A1)=(2),1,IF((352)=(S3),IF(IF((INDEX(B1:XFD1,(A2)+(0)))=("store"),(INDEX(B1:XFD1,(A2)+(1)))=("S"),"false"),B2,S355),S355))</f>
        <v>#VALUE!</v>
      </c>
      <c r="T355" t="e">
        <f ca="1">IF((A1)=(2),1,IF((352)=(T3),IF(IF((INDEX(B1:XFD1,(A2)+(0)))=("store"),(INDEX(B1:XFD1,(A2)+(1)))=("T"),"false"),B2,T355),T355))</f>
        <v>#VALUE!</v>
      </c>
      <c r="U355" t="e">
        <f ca="1">IF((A1)=(2),1,IF((352)=(U3),IF(IF((INDEX(B1:XFD1,(A2)+(0)))=("store"),(INDEX(B1:XFD1,(A2)+(1)))=("U"),"false"),B2,U355),U355))</f>
        <v>#VALUE!</v>
      </c>
      <c r="V355" t="e">
        <f ca="1">IF((A1)=(2),1,IF((352)=(V3),IF(IF((INDEX(B1:XFD1,(A2)+(0)))=("store"),(INDEX(B1:XFD1,(A2)+(1)))=("V"),"false"),B2,V355),V355))</f>
        <v>#VALUE!</v>
      </c>
      <c r="W355" t="e">
        <f ca="1">IF((A1)=(2),1,IF((352)=(W3),IF(IF((INDEX(B1:XFD1,(A2)+(0)))=("store"),(INDEX(B1:XFD1,(A2)+(1)))=("W"),"false"),B2,W355),W355))</f>
        <v>#VALUE!</v>
      </c>
      <c r="X355" t="e">
        <f ca="1">IF((A1)=(2),1,IF((352)=(X3),IF(IF((INDEX(B1:XFD1,(A2)+(0)))=("store"),(INDEX(B1:XFD1,(A2)+(1)))=("X"),"false"),B2,X355),X355))</f>
        <v>#VALUE!</v>
      </c>
      <c r="Y355" t="e">
        <f ca="1">IF((A1)=(2),1,IF((352)=(Y3),IF(IF((INDEX(B1:XFD1,(A2)+(0)))=("store"),(INDEX(B1:XFD1,(A2)+(1)))=("Y"),"false"),B2,Y355),Y355))</f>
        <v>#VALUE!</v>
      </c>
      <c r="Z355" t="e">
        <f ca="1">IF((A1)=(2),1,IF((352)=(Z3),IF(IF((INDEX(B1:XFD1,(A2)+(0)))=("store"),(INDEX(B1:XFD1,(A2)+(1)))=("Z"),"false"),B2,Z355),Z355))</f>
        <v>#VALUE!</v>
      </c>
      <c r="AA355" t="e">
        <f ca="1">IF((A1)=(2),1,IF((352)=(AA3),IF(IF((INDEX(B1:XFD1,(A2)+(0)))=("store"),(INDEX(B1:XFD1,(A2)+(1)))=("AA"),"false"),B2,AA355),AA355))</f>
        <v>#VALUE!</v>
      </c>
      <c r="AB355" t="e">
        <f ca="1">IF((A1)=(2),1,IF((352)=(AB3),IF(IF((INDEX(B1:XFD1,(A2)+(0)))=("store"),(INDEX(B1:XFD1,(A2)+(1)))=("AB"),"false"),B2,AB355),AB355))</f>
        <v>#VALUE!</v>
      </c>
      <c r="AC355" t="e">
        <f ca="1">IF((A1)=(2),1,IF((352)=(AC3),IF(IF((INDEX(B1:XFD1,(A2)+(0)))=("store"),(INDEX(B1:XFD1,(A2)+(1)))=("AC"),"false"),B2,AC355),AC355))</f>
        <v>#VALUE!</v>
      </c>
      <c r="AD355" t="e">
        <f ca="1">IF((A1)=(2),1,IF((352)=(AD3),IF(IF((INDEX(B1:XFD1,(A2)+(0)))=("store"),(INDEX(B1:XFD1,(A2)+(1)))=("AD"),"false"),B2,AD355),AD355))</f>
        <v>#VALUE!</v>
      </c>
    </row>
    <row r="356" spans="1:30" x14ac:dyDescent="0.25">
      <c r="A356" t="e">
        <f ca="1">IF((A1)=(2),1,IF((353)=(A3),IF(("call")=(INDEX(B1:XFD1,(A2)+(0))),((B2)*(2))+(1),IF(("goto")=(INDEX(B1:XFD1,(A2)+(0))),((INDEX(B1:XFD1,(A2)+(1)))*(2))+(1),IF(("gotoiftrue")=(INDEX(B1:XFD1,(A2)+(0))),IF(B2,((INDEX(B1:XFD1,(A2)+(1)))*(2))+(1),(A356)+(2)),(A356)+(2)))),A356))</f>
        <v>#VALUE!</v>
      </c>
      <c r="B356" t="e">
        <f ca="1">IF((A1)=(2),1,IF((353)=(B3),IF(("push")=(INDEX(B1:XFD1,(A2)+(0))),INDEX(B1:XFD1,(A2)+(1)),IF(("load")=(INDEX(B1:XFD1,(A2)+(0))),INDEX(F2:XFD2,INDEX(B1:XFD1,(A2)+(1))),IF(("newheap")=(INDEX(B1:XFD1,(A2)+(0))),(C3)-(2),IF(("getheap")=(INDEX(B1:XFD1,(A2)+(0))),INDEX(C4:C404,(B356)+(1)),IF(("add")=(INDEX(B1:XFD1,(A2)+(0))),(INDEX(B4:B404,(B3)+(1)))+(B356),IF(("equals")=(INDEX(B1:XFD1,(A2)+(0))),(INDEX(B4:B404,(B3)+(1)))=(B356),IF(("leq")=(INDEX(B1:XFD1,(A2)+(0))),(INDEX(B4:B404,(B3)+(1)))&lt;=(B356),IF(("mod")=(INDEX(B1:XFD1,(A2)+(0))),MOD(INDEX(B4:B404,(B3)+(1)),B356),B356)))))))),B356))</f>
        <v>#VALUE!</v>
      </c>
      <c r="C356" t="e">
        <f ca="1">IF((A1)=(2),1,IF(AND((INDEX(B1:XFD1,(A2)+(0)))=("writeheap"),(INDEX(B4:B404,(B3)+(1)))=(352)),INDEX(B4:B404,(B3)+(2)),IF((A1)=(2),1,IF((353)=(C3),C356,C356))))</f>
        <v>#VALUE!</v>
      </c>
      <c r="E356" t="e">
        <f ca="1">IF((A1)=(2),1,IF((353)=(E3),IF(("outputline")=(INDEX(B1:XFD1,(A2)+(0))),B2,E356),E356))</f>
        <v>#VALUE!</v>
      </c>
      <c r="F356" t="e">
        <f ca="1">IF((A1)=(2),1,IF((353)=(F3),IF(IF((INDEX(B1:XFD1,(A2)+(0)))=("store"),(INDEX(B1:XFD1,(A2)+(1)))=("F"),"false"),B2,F356),F356))</f>
        <v>#VALUE!</v>
      </c>
      <c r="G356" t="e">
        <f ca="1">IF((A1)=(2),1,IF((353)=(G3),IF(IF((INDEX(B1:XFD1,(A2)+(0)))=("store"),(INDEX(B1:XFD1,(A2)+(1)))=("G"),"false"),B2,G356),G356))</f>
        <v>#VALUE!</v>
      </c>
      <c r="H356" t="e">
        <f ca="1">IF((A1)=(2),1,IF((353)=(H3),IF(IF((INDEX(B1:XFD1,(A2)+(0)))=("store"),(INDEX(B1:XFD1,(A2)+(1)))=("H"),"false"),B2,H356),H356))</f>
        <v>#VALUE!</v>
      </c>
      <c r="I356" t="e">
        <f ca="1">IF((A1)=(2),1,IF((353)=(I3),IF(IF((INDEX(B1:XFD1,(A2)+(0)))=("store"),(INDEX(B1:XFD1,(A2)+(1)))=("I"),"false"),B2,I356),I356))</f>
        <v>#VALUE!</v>
      </c>
      <c r="J356" t="e">
        <f ca="1">IF((A1)=(2),1,IF((353)=(J3),IF(IF((INDEX(B1:XFD1,(A2)+(0)))=("store"),(INDEX(B1:XFD1,(A2)+(1)))=("J"),"false"),B2,J356),J356))</f>
        <v>#VALUE!</v>
      </c>
      <c r="K356" t="e">
        <f ca="1">IF((A1)=(2),1,IF((353)=(K3),IF(IF((INDEX(B1:XFD1,(A2)+(0)))=("store"),(INDEX(B1:XFD1,(A2)+(1)))=("K"),"false"),B2,K356),K356))</f>
        <v>#VALUE!</v>
      </c>
      <c r="L356" t="e">
        <f ca="1">IF((A1)=(2),1,IF((353)=(L3),IF(IF((INDEX(B1:XFD1,(A2)+(0)))=("store"),(INDEX(B1:XFD1,(A2)+(1)))=("L"),"false"),B2,L356),L356))</f>
        <v>#VALUE!</v>
      </c>
      <c r="M356" t="e">
        <f ca="1">IF((A1)=(2),1,IF((353)=(M3),IF(IF((INDEX(B1:XFD1,(A2)+(0)))=("store"),(INDEX(B1:XFD1,(A2)+(1)))=("M"),"false"),B2,M356),M356))</f>
        <v>#VALUE!</v>
      </c>
      <c r="N356" t="e">
        <f ca="1">IF((A1)=(2),1,IF((353)=(N3),IF(IF((INDEX(B1:XFD1,(A2)+(0)))=("store"),(INDEX(B1:XFD1,(A2)+(1)))=("N"),"false"),B2,N356),N356))</f>
        <v>#VALUE!</v>
      </c>
      <c r="O356" t="e">
        <f ca="1">IF((A1)=(2),1,IF((353)=(O3),IF(IF((INDEX(B1:XFD1,(A2)+(0)))=("store"),(INDEX(B1:XFD1,(A2)+(1)))=("O"),"false"),B2,O356),O356))</f>
        <v>#VALUE!</v>
      </c>
      <c r="P356" t="e">
        <f ca="1">IF((A1)=(2),1,IF((353)=(P3),IF(IF((INDEX(B1:XFD1,(A2)+(0)))=("store"),(INDEX(B1:XFD1,(A2)+(1)))=("P"),"false"),B2,P356),P356))</f>
        <v>#VALUE!</v>
      </c>
      <c r="Q356" t="e">
        <f ca="1">IF((A1)=(2),1,IF((353)=(Q3),IF(IF((INDEX(B1:XFD1,(A2)+(0)))=("store"),(INDEX(B1:XFD1,(A2)+(1)))=("Q"),"false"),B2,Q356),Q356))</f>
        <v>#VALUE!</v>
      </c>
      <c r="R356" t="e">
        <f ca="1">IF((A1)=(2),1,IF((353)=(R3),IF(IF((INDEX(B1:XFD1,(A2)+(0)))=("store"),(INDEX(B1:XFD1,(A2)+(1)))=("R"),"false"),B2,R356),R356))</f>
        <v>#VALUE!</v>
      </c>
      <c r="S356" t="e">
        <f ca="1">IF((A1)=(2),1,IF((353)=(S3),IF(IF((INDEX(B1:XFD1,(A2)+(0)))=("store"),(INDEX(B1:XFD1,(A2)+(1)))=("S"),"false"),B2,S356),S356))</f>
        <v>#VALUE!</v>
      </c>
      <c r="T356" t="e">
        <f ca="1">IF((A1)=(2),1,IF((353)=(T3),IF(IF((INDEX(B1:XFD1,(A2)+(0)))=("store"),(INDEX(B1:XFD1,(A2)+(1)))=("T"),"false"),B2,T356),T356))</f>
        <v>#VALUE!</v>
      </c>
      <c r="U356" t="e">
        <f ca="1">IF((A1)=(2),1,IF((353)=(U3),IF(IF((INDEX(B1:XFD1,(A2)+(0)))=("store"),(INDEX(B1:XFD1,(A2)+(1)))=("U"),"false"),B2,U356),U356))</f>
        <v>#VALUE!</v>
      </c>
      <c r="V356" t="e">
        <f ca="1">IF((A1)=(2),1,IF((353)=(V3),IF(IF((INDEX(B1:XFD1,(A2)+(0)))=("store"),(INDEX(B1:XFD1,(A2)+(1)))=("V"),"false"),B2,V356),V356))</f>
        <v>#VALUE!</v>
      </c>
      <c r="W356" t="e">
        <f ca="1">IF((A1)=(2),1,IF((353)=(W3),IF(IF((INDEX(B1:XFD1,(A2)+(0)))=("store"),(INDEX(B1:XFD1,(A2)+(1)))=("W"),"false"),B2,W356),W356))</f>
        <v>#VALUE!</v>
      </c>
      <c r="X356" t="e">
        <f ca="1">IF((A1)=(2),1,IF((353)=(X3),IF(IF((INDEX(B1:XFD1,(A2)+(0)))=("store"),(INDEX(B1:XFD1,(A2)+(1)))=("X"),"false"),B2,X356),X356))</f>
        <v>#VALUE!</v>
      </c>
      <c r="Y356" t="e">
        <f ca="1">IF((A1)=(2),1,IF((353)=(Y3),IF(IF((INDEX(B1:XFD1,(A2)+(0)))=("store"),(INDEX(B1:XFD1,(A2)+(1)))=("Y"),"false"),B2,Y356),Y356))</f>
        <v>#VALUE!</v>
      </c>
      <c r="Z356" t="e">
        <f ca="1">IF((A1)=(2),1,IF((353)=(Z3),IF(IF((INDEX(B1:XFD1,(A2)+(0)))=("store"),(INDEX(B1:XFD1,(A2)+(1)))=("Z"),"false"),B2,Z356),Z356))</f>
        <v>#VALUE!</v>
      </c>
      <c r="AA356" t="e">
        <f ca="1">IF((A1)=(2),1,IF((353)=(AA3),IF(IF((INDEX(B1:XFD1,(A2)+(0)))=("store"),(INDEX(B1:XFD1,(A2)+(1)))=("AA"),"false"),B2,AA356),AA356))</f>
        <v>#VALUE!</v>
      </c>
      <c r="AB356" t="e">
        <f ca="1">IF((A1)=(2),1,IF((353)=(AB3),IF(IF((INDEX(B1:XFD1,(A2)+(0)))=("store"),(INDEX(B1:XFD1,(A2)+(1)))=("AB"),"false"),B2,AB356),AB356))</f>
        <v>#VALUE!</v>
      </c>
      <c r="AC356" t="e">
        <f ca="1">IF((A1)=(2),1,IF((353)=(AC3),IF(IF((INDEX(B1:XFD1,(A2)+(0)))=("store"),(INDEX(B1:XFD1,(A2)+(1)))=("AC"),"false"),B2,AC356),AC356))</f>
        <v>#VALUE!</v>
      </c>
      <c r="AD356" t="e">
        <f ca="1">IF((A1)=(2),1,IF((353)=(AD3),IF(IF((INDEX(B1:XFD1,(A2)+(0)))=("store"),(INDEX(B1:XFD1,(A2)+(1)))=("AD"),"false"),B2,AD356),AD356))</f>
        <v>#VALUE!</v>
      </c>
    </row>
    <row r="357" spans="1:30" x14ac:dyDescent="0.25">
      <c r="A357" t="e">
        <f ca="1">IF((A1)=(2),1,IF((354)=(A3),IF(("call")=(INDEX(B1:XFD1,(A2)+(0))),((B2)*(2))+(1),IF(("goto")=(INDEX(B1:XFD1,(A2)+(0))),((INDEX(B1:XFD1,(A2)+(1)))*(2))+(1),IF(("gotoiftrue")=(INDEX(B1:XFD1,(A2)+(0))),IF(B2,((INDEX(B1:XFD1,(A2)+(1)))*(2))+(1),(A357)+(2)),(A357)+(2)))),A357))</f>
        <v>#VALUE!</v>
      </c>
      <c r="B357" t="e">
        <f ca="1">IF((A1)=(2),1,IF((354)=(B3),IF(("push")=(INDEX(B1:XFD1,(A2)+(0))),INDEX(B1:XFD1,(A2)+(1)),IF(("load")=(INDEX(B1:XFD1,(A2)+(0))),INDEX(F2:XFD2,INDEX(B1:XFD1,(A2)+(1))),IF(("newheap")=(INDEX(B1:XFD1,(A2)+(0))),(C3)-(2),IF(("getheap")=(INDEX(B1:XFD1,(A2)+(0))),INDEX(C4:C404,(B357)+(1)),IF(("add")=(INDEX(B1:XFD1,(A2)+(0))),(INDEX(B4:B404,(B3)+(1)))+(B357),IF(("equals")=(INDEX(B1:XFD1,(A2)+(0))),(INDEX(B4:B404,(B3)+(1)))=(B357),IF(("leq")=(INDEX(B1:XFD1,(A2)+(0))),(INDEX(B4:B404,(B3)+(1)))&lt;=(B357),IF(("mod")=(INDEX(B1:XFD1,(A2)+(0))),MOD(INDEX(B4:B404,(B3)+(1)),B357),B357)))))))),B357))</f>
        <v>#VALUE!</v>
      </c>
      <c r="C357" t="e">
        <f ca="1">IF((A1)=(2),1,IF(AND((INDEX(B1:XFD1,(A2)+(0)))=("writeheap"),(INDEX(B4:B404,(B3)+(1)))=(353)),INDEX(B4:B404,(B3)+(2)),IF((A1)=(2),1,IF((354)=(C3),C357,C357))))</f>
        <v>#VALUE!</v>
      </c>
      <c r="E357" t="e">
        <f ca="1">IF((A1)=(2),1,IF((354)=(E3),IF(("outputline")=(INDEX(B1:XFD1,(A2)+(0))),B2,E357),E357))</f>
        <v>#VALUE!</v>
      </c>
      <c r="F357" t="e">
        <f ca="1">IF((A1)=(2),1,IF((354)=(F3),IF(IF((INDEX(B1:XFD1,(A2)+(0)))=("store"),(INDEX(B1:XFD1,(A2)+(1)))=("F"),"false"),B2,F357),F357))</f>
        <v>#VALUE!</v>
      </c>
      <c r="G357" t="e">
        <f ca="1">IF((A1)=(2),1,IF((354)=(G3),IF(IF((INDEX(B1:XFD1,(A2)+(0)))=("store"),(INDEX(B1:XFD1,(A2)+(1)))=("G"),"false"),B2,G357),G357))</f>
        <v>#VALUE!</v>
      </c>
      <c r="H357" t="e">
        <f ca="1">IF((A1)=(2),1,IF((354)=(H3),IF(IF((INDEX(B1:XFD1,(A2)+(0)))=("store"),(INDEX(B1:XFD1,(A2)+(1)))=("H"),"false"),B2,H357),H357))</f>
        <v>#VALUE!</v>
      </c>
      <c r="I357" t="e">
        <f ca="1">IF((A1)=(2),1,IF((354)=(I3),IF(IF((INDEX(B1:XFD1,(A2)+(0)))=("store"),(INDEX(B1:XFD1,(A2)+(1)))=("I"),"false"),B2,I357),I357))</f>
        <v>#VALUE!</v>
      </c>
      <c r="J357" t="e">
        <f ca="1">IF((A1)=(2),1,IF((354)=(J3),IF(IF((INDEX(B1:XFD1,(A2)+(0)))=("store"),(INDEX(B1:XFD1,(A2)+(1)))=("J"),"false"),B2,J357),J357))</f>
        <v>#VALUE!</v>
      </c>
      <c r="K357" t="e">
        <f ca="1">IF((A1)=(2),1,IF((354)=(K3),IF(IF((INDEX(B1:XFD1,(A2)+(0)))=("store"),(INDEX(B1:XFD1,(A2)+(1)))=("K"),"false"),B2,K357),K357))</f>
        <v>#VALUE!</v>
      </c>
      <c r="L357" t="e">
        <f ca="1">IF((A1)=(2),1,IF((354)=(L3),IF(IF((INDEX(B1:XFD1,(A2)+(0)))=("store"),(INDEX(B1:XFD1,(A2)+(1)))=("L"),"false"),B2,L357),L357))</f>
        <v>#VALUE!</v>
      </c>
      <c r="M357" t="e">
        <f ca="1">IF((A1)=(2),1,IF((354)=(M3),IF(IF((INDEX(B1:XFD1,(A2)+(0)))=("store"),(INDEX(B1:XFD1,(A2)+(1)))=("M"),"false"),B2,M357),M357))</f>
        <v>#VALUE!</v>
      </c>
      <c r="N357" t="e">
        <f ca="1">IF((A1)=(2),1,IF((354)=(N3),IF(IF((INDEX(B1:XFD1,(A2)+(0)))=("store"),(INDEX(B1:XFD1,(A2)+(1)))=("N"),"false"),B2,N357),N357))</f>
        <v>#VALUE!</v>
      </c>
      <c r="O357" t="e">
        <f ca="1">IF((A1)=(2),1,IF((354)=(O3),IF(IF((INDEX(B1:XFD1,(A2)+(0)))=("store"),(INDEX(B1:XFD1,(A2)+(1)))=("O"),"false"),B2,O357),O357))</f>
        <v>#VALUE!</v>
      </c>
      <c r="P357" t="e">
        <f ca="1">IF((A1)=(2),1,IF((354)=(P3),IF(IF((INDEX(B1:XFD1,(A2)+(0)))=("store"),(INDEX(B1:XFD1,(A2)+(1)))=("P"),"false"),B2,P357),P357))</f>
        <v>#VALUE!</v>
      </c>
      <c r="Q357" t="e">
        <f ca="1">IF((A1)=(2),1,IF((354)=(Q3),IF(IF((INDEX(B1:XFD1,(A2)+(0)))=("store"),(INDEX(B1:XFD1,(A2)+(1)))=("Q"),"false"),B2,Q357),Q357))</f>
        <v>#VALUE!</v>
      </c>
      <c r="R357" t="e">
        <f ca="1">IF((A1)=(2),1,IF((354)=(R3),IF(IF((INDEX(B1:XFD1,(A2)+(0)))=("store"),(INDEX(B1:XFD1,(A2)+(1)))=("R"),"false"),B2,R357),R357))</f>
        <v>#VALUE!</v>
      </c>
      <c r="S357" t="e">
        <f ca="1">IF((A1)=(2),1,IF((354)=(S3),IF(IF((INDEX(B1:XFD1,(A2)+(0)))=("store"),(INDEX(B1:XFD1,(A2)+(1)))=("S"),"false"),B2,S357),S357))</f>
        <v>#VALUE!</v>
      </c>
      <c r="T357" t="e">
        <f ca="1">IF((A1)=(2),1,IF((354)=(T3),IF(IF((INDEX(B1:XFD1,(A2)+(0)))=("store"),(INDEX(B1:XFD1,(A2)+(1)))=("T"),"false"),B2,T357),T357))</f>
        <v>#VALUE!</v>
      </c>
      <c r="U357" t="e">
        <f ca="1">IF((A1)=(2),1,IF((354)=(U3),IF(IF((INDEX(B1:XFD1,(A2)+(0)))=("store"),(INDEX(B1:XFD1,(A2)+(1)))=("U"),"false"),B2,U357),U357))</f>
        <v>#VALUE!</v>
      </c>
      <c r="V357" t="e">
        <f ca="1">IF((A1)=(2),1,IF((354)=(V3),IF(IF((INDEX(B1:XFD1,(A2)+(0)))=("store"),(INDEX(B1:XFD1,(A2)+(1)))=("V"),"false"),B2,V357),V357))</f>
        <v>#VALUE!</v>
      </c>
      <c r="W357" t="e">
        <f ca="1">IF((A1)=(2),1,IF((354)=(W3),IF(IF((INDEX(B1:XFD1,(A2)+(0)))=("store"),(INDEX(B1:XFD1,(A2)+(1)))=("W"),"false"),B2,W357),W357))</f>
        <v>#VALUE!</v>
      </c>
      <c r="X357" t="e">
        <f ca="1">IF((A1)=(2),1,IF((354)=(X3),IF(IF((INDEX(B1:XFD1,(A2)+(0)))=("store"),(INDEX(B1:XFD1,(A2)+(1)))=("X"),"false"),B2,X357),X357))</f>
        <v>#VALUE!</v>
      </c>
      <c r="Y357" t="e">
        <f ca="1">IF((A1)=(2),1,IF((354)=(Y3),IF(IF((INDEX(B1:XFD1,(A2)+(0)))=("store"),(INDEX(B1:XFD1,(A2)+(1)))=("Y"),"false"),B2,Y357),Y357))</f>
        <v>#VALUE!</v>
      </c>
      <c r="Z357" t="e">
        <f ca="1">IF((A1)=(2),1,IF((354)=(Z3),IF(IF((INDEX(B1:XFD1,(A2)+(0)))=("store"),(INDEX(B1:XFD1,(A2)+(1)))=("Z"),"false"),B2,Z357),Z357))</f>
        <v>#VALUE!</v>
      </c>
      <c r="AA357" t="e">
        <f ca="1">IF((A1)=(2),1,IF((354)=(AA3),IF(IF((INDEX(B1:XFD1,(A2)+(0)))=("store"),(INDEX(B1:XFD1,(A2)+(1)))=("AA"),"false"),B2,AA357),AA357))</f>
        <v>#VALUE!</v>
      </c>
      <c r="AB357" t="e">
        <f ca="1">IF((A1)=(2),1,IF((354)=(AB3),IF(IF((INDEX(B1:XFD1,(A2)+(0)))=("store"),(INDEX(B1:XFD1,(A2)+(1)))=("AB"),"false"),B2,AB357),AB357))</f>
        <v>#VALUE!</v>
      </c>
      <c r="AC357" t="e">
        <f ca="1">IF((A1)=(2),1,IF((354)=(AC3),IF(IF((INDEX(B1:XFD1,(A2)+(0)))=("store"),(INDEX(B1:XFD1,(A2)+(1)))=("AC"),"false"),B2,AC357),AC357))</f>
        <v>#VALUE!</v>
      </c>
      <c r="AD357" t="e">
        <f ca="1">IF((A1)=(2),1,IF((354)=(AD3),IF(IF((INDEX(B1:XFD1,(A2)+(0)))=("store"),(INDEX(B1:XFD1,(A2)+(1)))=("AD"),"false"),B2,AD357),AD357))</f>
        <v>#VALUE!</v>
      </c>
    </row>
    <row r="358" spans="1:30" x14ac:dyDescent="0.25">
      <c r="A358" t="e">
        <f ca="1">IF((A1)=(2),1,IF((355)=(A3),IF(("call")=(INDEX(B1:XFD1,(A2)+(0))),((B2)*(2))+(1),IF(("goto")=(INDEX(B1:XFD1,(A2)+(0))),((INDEX(B1:XFD1,(A2)+(1)))*(2))+(1),IF(("gotoiftrue")=(INDEX(B1:XFD1,(A2)+(0))),IF(B2,((INDEX(B1:XFD1,(A2)+(1)))*(2))+(1),(A358)+(2)),(A358)+(2)))),A358))</f>
        <v>#VALUE!</v>
      </c>
      <c r="B358" t="e">
        <f ca="1">IF((A1)=(2),1,IF((355)=(B3),IF(("push")=(INDEX(B1:XFD1,(A2)+(0))),INDEX(B1:XFD1,(A2)+(1)),IF(("load")=(INDEX(B1:XFD1,(A2)+(0))),INDEX(F2:XFD2,INDEX(B1:XFD1,(A2)+(1))),IF(("newheap")=(INDEX(B1:XFD1,(A2)+(0))),(C3)-(2),IF(("getheap")=(INDEX(B1:XFD1,(A2)+(0))),INDEX(C4:C404,(B358)+(1)),IF(("add")=(INDEX(B1:XFD1,(A2)+(0))),(INDEX(B4:B404,(B3)+(1)))+(B358),IF(("equals")=(INDEX(B1:XFD1,(A2)+(0))),(INDEX(B4:B404,(B3)+(1)))=(B358),IF(("leq")=(INDEX(B1:XFD1,(A2)+(0))),(INDEX(B4:B404,(B3)+(1)))&lt;=(B358),IF(("mod")=(INDEX(B1:XFD1,(A2)+(0))),MOD(INDEX(B4:B404,(B3)+(1)),B358),B358)))))))),B358))</f>
        <v>#VALUE!</v>
      </c>
      <c r="C358" t="e">
        <f ca="1">IF((A1)=(2),1,IF(AND((INDEX(B1:XFD1,(A2)+(0)))=("writeheap"),(INDEX(B4:B404,(B3)+(1)))=(354)),INDEX(B4:B404,(B3)+(2)),IF((A1)=(2),1,IF((355)=(C3),C358,C358))))</f>
        <v>#VALUE!</v>
      </c>
      <c r="E358" t="e">
        <f ca="1">IF((A1)=(2),1,IF((355)=(E3),IF(("outputline")=(INDEX(B1:XFD1,(A2)+(0))),B2,E358),E358))</f>
        <v>#VALUE!</v>
      </c>
      <c r="F358" t="e">
        <f ca="1">IF((A1)=(2),1,IF((355)=(F3),IF(IF((INDEX(B1:XFD1,(A2)+(0)))=("store"),(INDEX(B1:XFD1,(A2)+(1)))=("F"),"false"),B2,F358),F358))</f>
        <v>#VALUE!</v>
      </c>
      <c r="G358" t="e">
        <f ca="1">IF((A1)=(2),1,IF((355)=(G3),IF(IF((INDEX(B1:XFD1,(A2)+(0)))=("store"),(INDEX(B1:XFD1,(A2)+(1)))=("G"),"false"),B2,G358),G358))</f>
        <v>#VALUE!</v>
      </c>
      <c r="H358" t="e">
        <f ca="1">IF((A1)=(2),1,IF((355)=(H3),IF(IF((INDEX(B1:XFD1,(A2)+(0)))=("store"),(INDEX(B1:XFD1,(A2)+(1)))=("H"),"false"),B2,H358),H358))</f>
        <v>#VALUE!</v>
      </c>
      <c r="I358" t="e">
        <f ca="1">IF((A1)=(2),1,IF((355)=(I3),IF(IF((INDEX(B1:XFD1,(A2)+(0)))=("store"),(INDEX(B1:XFD1,(A2)+(1)))=("I"),"false"),B2,I358),I358))</f>
        <v>#VALUE!</v>
      </c>
      <c r="J358" t="e">
        <f ca="1">IF((A1)=(2),1,IF((355)=(J3),IF(IF((INDEX(B1:XFD1,(A2)+(0)))=("store"),(INDEX(B1:XFD1,(A2)+(1)))=("J"),"false"),B2,J358),J358))</f>
        <v>#VALUE!</v>
      </c>
      <c r="K358" t="e">
        <f ca="1">IF((A1)=(2),1,IF((355)=(K3),IF(IF((INDEX(B1:XFD1,(A2)+(0)))=("store"),(INDEX(B1:XFD1,(A2)+(1)))=("K"),"false"),B2,K358),K358))</f>
        <v>#VALUE!</v>
      </c>
      <c r="L358" t="e">
        <f ca="1">IF((A1)=(2),1,IF((355)=(L3),IF(IF((INDEX(B1:XFD1,(A2)+(0)))=("store"),(INDEX(B1:XFD1,(A2)+(1)))=("L"),"false"),B2,L358),L358))</f>
        <v>#VALUE!</v>
      </c>
      <c r="M358" t="e">
        <f ca="1">IF((A1)=(2),1,IF((355)=(M3),IF(IF((INDEX(B1:XFD1,(A2)+(0)))=("store"),(INDEX(B1:XFD1,(A2)+(1)))=("M"),"false"),B2,M358),M358))</f>
        <v>#VALUE!</v>
      </c>
      <c r="N358" t="e">
        <f ca="1">IF((A1)=(2),1,IF((355)=(N3),IF(IF((INDEX(B1:XFD1,(A2)+(0)))=("store"),(INDEX(B1:XFD1,(A2)+(1)))=("N"),"false"),B2,N358),N358))</f>
        <v>#VALUE!</v>
      </c>
      <c r="O358" t="e">
        <f ca="1">IF((A1)=(2),1,IF((355)=(O3),IF(IF((INDEX(B1:XFD1,(A2)+(0)))=("store"),(INDEX(B1:XFD1,(A2)+(1)))=("O"),"false"),B2,O358),O358))</f>
        <v>#VALUE!</v>
      </c>
      <c r="P358" t="e">
        <f ca="1">IF((A1)=(2),1,IF((355)=(P3),IF(IF((INDEX(B1:XFD1,(A2)+(0)))=("store"),(INDEX(B1:XFD1,(A2)+(1)))=("P"),"false"),B2,P358),P358))</f>
        <v>#VALUE!</v>
      </c>
      <c r="Q358" t="e">
        <f ca="1">IF((A1)=(2),1,IF((355)=(Q3),IF(IF((INDEX(B1:XFD1,(A2)+(0)))=("store"),(INDEX(B1:XFD1,(A2)+(1)))=("Q"),"false"),B2,Q358),Q358))</f>
        <v>#VALUE!</v>
      </c>
      <c r="R358" t="e">
        <f ca="1">IF((A1)=(2),1,IF((355)=(R3),IF(IF((INDEX(B1:XFD1,(A2)+(0)))=("store"),(INDEX(B1:XFD1,(A2)+(1)))=("R"),"false"),B2,R358),R358))</f>
        <v>#VALUE!</v>
      </c>
      <c r="S358" t="e">
        <f ca="1">IF((A1)=(2),1,IF((355)=(S3),IF(IF((INDEX(B1:XFD1,(A2)+(0)))=("store"),(INDEX(B1:XFD1,(A2)+(1)))=("S"),"false"),B2,S358),S358))</f>
        <v>#VALUE!</v>
      </c>
      <c r="T358" t="e">
        <f ca="1">IF((A1)=(2),1,IF((355)=(T3),IF(IF((INDEX(B1:XFD1,(A2)+(0)))=("store"),(INDEX(B1:XFD1,(A2)+(1)))=("T"),"false"),B2,T358),T358))</f>
        <v>#VALUE!</v>
      </c>
      <c r="U358" t="e">
        <f ca="1">IF((A1)=(2),1,IF((355)=(U3),IF(IF((INDEX(B1:XFD1,(A2)+(0)))=("store"),(INDEX(B1:XFD1,(A2)+(1)))=("U"),"false"),B2,U358),U358))</f>
        <v>#VALUE!</v>
      </c>
      <c r="V358" t="e">
        <f ca="1">IF((A1)=(2),1,IF((355)=(V3),IF(IF((INDEX(B1:XFD1,(A2)+(0)))=("store"),(INDEX(B1:XFD1,(A2)+(1)))=("V"),"false"),B2,V358),V358))</f>
        <v>#VALUE!</v>
      </c>
      <c r="W358" t="e">
        <f ca="1">IF((A1)=(2),1,IF((355)=(W3),IF(IF((INDEX(B1:XFD1,(A2)+(0)))=("store"),(INDEX(B1:XFD1,(A2)+(1)))=("W"),"false"),B2,W358),W358))</f>
        <v>#VALUE!</v>
      </c>
      <c r="X358" t="e">
        <f ca="1">IF((A1)=(2),1,IF((355)=(X3),IF(IF((INDEX(B1:XFD1,(A2)+(0)))=("store"),(INDEX(B1:XFD1,(A2)+(1)))=("X"),"false"),B2,X358),X358))</f>
        <v>#VALUE!</v>
      </c>
      <c r="Y358" t="e">
        <f ca="1">IF((A1)=(2),1,IF((355)=(Y3),IF(IF((INDEX(B1:XFD1,(A2)+(0)))=("store"),(INDEX(B1:XFD1,(A2)+(1)))=("Y"),"false"),B2,Y358),Y358))</f>
        <v>#VALUE!</v>
      </c>
      <c r="Z358" t="e">
        <f ca="1">IF((A1)=(2),1,IF((355)=(Z3),IF(IF((INDEX(B1:XFD1,(A2)+(0)))=("store"),(INDEX(B1:XFD1,(A2)+(1)))=("Z"),"false"),B2,Z358),Z358))</f>
        <v>#VALUE!</v>
      </c>
      <c r="AA358" t="e">
        <f ca="1">IF((A1)=(2),1,IF((355)=(AA3),IF(IF((INDEX(B1:XFD1,(A2)+(0)))=("store"),(INDEX(B1:XFD1,(A2)+(1)))=("AA"),"false"),B2,AA358),AA358))</f>
        <v>#VALUE!</v>
      </c>
      <c r="AB358" t="e">
        <f ca="1">IF((A1)=(2),1,IF((355)=(AB3),IF(IF((INDEX(B1:XFD1,(A2)+(0)))=("store"),(INDEX(B1:XFD1,(A2)+(1)))=("AB"),"false"),B2,AB358),AB358))</f>
        <v>#VALUE!</v>
      </c>
      <c r="AC358" t="e">
        <f ca="1">IF((A1)=(2),1,IF((355)=(AC3),IF(IF((INDEX(B1:XFD1,(A2)+(0)))=("store"),(INDEX(B1:XFD1,(A2)+(1)))=("AC"),"false"),B2,AC358),AC358))</f>
        <v>#VALUE!</v>
      </c>
      <c r="AD358" t="e">
        <f ca="1">IF((A1)=(2),1,IF((355)=(AD3),IF(IF((INDEX(B1:XFD1,(A2)+(0)))=("store"),(INDEX(B1:XFD1,(A2)+(1)))=("AD"),"false"),B2,AD358),AD358))</f>
        <v>#VALUE!</v>
      </c>
    </row>
    <row r="359" spans="1:30" x14ac:dyDescent="0.25">
      <c r="A359" t="e">
        <f ca="1">IF((A1)=(2),1,IF((356)=(A3),IF(("call")=(INDEX(B1:XFD1,(A2)+(0))),((B2)*(2))+(1),IF(("goto")=(INDEX(B1:XFD1,(A2)+(0))),((INDEX(B1:XFD1,(A2)+(1)))*(2))+(1),IF(("gotoiftrue")=(INDEX(B1:XFD1,(A2)+(0))),IF(B2,((INDEX(B1:XFD1,(A2)+(1)))*(2))+(1),(A359)+(2)),(A359)+(2)))),A359))</f>
        <v>#VALUE!</v>
      </c>
      <c r="B359" t="e">
        <f ca="1">IF((A1)=(2),1,IF((356)=(B3),IF(("push")=(INDEX(B1:XFD1,(A2)+(0))),INDEX(B1:XFD1,(A2)+(1)),IF(("load")=(INDEX(B1:XFD1,(A2)+(0))),INDEX(F2:XFD2,INDEX(B1:XFD1,(A2)+(1))),IF(("newheap")=(INDEX(B1:XFD1,(A2)+(0))),(C3)-(2),IF(("getheap")=(INDEX(B1:XFD1,(A2)+(0))),INDEX(C4:C404,(B359)+(1)),IF(("add")=(INDEX(B1:XFD1,(A2)+(0))),(INDEX(B4:B404,(B3)+(1)))+(B359),IF(("equals")=(INDEX(B1:XFD1,(A2)+(0))),(INDEX(B4:B404,(B3)+(1)))=(B359),IF(("leq")=(INDEX(B1:XFD1,(A2)+(0))),(INDEX(B4:B404,(B3)+(1)))&lt;=(B359),IF(("mod")=(INDEX(B1:XFD1,(A2)+(0))),MOD(INDEX(B4:B404,(B3)+(1)),B359),B359)))))))),B359))</f>
        <v>#VALUE!</v>
      </c>
      <c r="C359" t="e">
        <f ca="1">IF((A1)=(2),1,IF(AND((INDEX(B1:XFD1,(A2)+(0)))=("writeheap"),(INDEX(B4:B404,(B3)+(1)))=(355)),INDEX(B4:B404,(B3)+(2)),IF((A1)=(2),1,IF((356)=(C3),C359,C359))))</f>
        <v>#VALUE!</v>
      </c>
      <c r="E359" t="e">
        <f ca="1">IF((A1)=(2),1,IF((356)=(E3),IF(("outputline")=(INDEX(B1:XFD1,(A2)+(0))),B2,E359),E359))</f>
        <v>#VALUE!</v>
      </c>
      <c r="F359" t="e">
        <f ca="1">IF((A1)=(2),1,IF((356)=(F3),IF(IF((INDEX(B1:XFD1,(A2)+(0)))=("store"),(INDEX(B1:XFD1,(A2)+(1)))=("F"),"false"),B2,F359),F359))</f>
        <v>#VALUE!</v>
      </c>
      <c r="G359" t="e">
        <f ca="1">IF((A1)=(2),1,IF((356)=(G3),IF(IF((INDEX(B1:XFD1,(A2)+(0)))=("store"),(INDEX(B1:XFD1,(A2)+(1)))=("G"),"false"),B2,G359),G359))</f>
        <v>#VALUE!</v>
      </c>
      <c r="H359" t="e">
        <f ca="1">IF((A1)=(2),1,IF((356)=(H3),IF(IF((INDEX(B1:XFD1,(A2)+(0)))=("store"),(INDEX(B1:XFD1,(A2)+(1)))=("H"),"false"),B2,H359),H359))</f>
        <v>#VALUE!</v>
      </c>
      <c r="I359" t="e">
        <f ca="1">IF((A1)=(2),1,IF((356)=(I3),IF(IF((INDEX(B1:XFD1,(A2)+(0)))=("store"),(INDEX(B1:XFD1,(A2)+(1)))=("I"),"false"),B2,I359),I359))</f>
        <v>#VALUE!</v>
      </c>
      <c r="J359" t="e">
        <f ca="1">IF((A1)=(2),1,IF((356)=(J3),IF(IF((INDEX(B1:XFD1,(A2)+(0)))=("store"),(INDEX(B1:XFD1,(A2)+(1)))=("J"),"false"),B2,J359),J359))</f>
        <v>#VALUE!</v>
      </c>
      <c r="K359" t="e">
        <f ca="1">IF((A1)=(2),1,IF((356)=(K3),IF(IF((INDEX(B1:XFD1,(A2)+(0)))=("store"),(INDEX(B1:XFD1,(A2)+(1)))=("K"),"false"),B2,K359),K359))</f>
        <v>#VALUE!</v>
      </c>
      <c r="L359" t="e">
        <f ca="1">IF((A1)=(2),1,IF((356)=(L3),IF(IF((INDEX(B1:XFD1,(A2)+(0)))=("store"),(INDEX(B1:XFD1,(A2)+(1)))=("L"),"false"),B2,L359),L359))</f>
        <v>#VALUE!</v>
      </c>
      <c r="M359" t="e">
        <f ca="1">IF((A1)=(2),1,IF((356)=(M3),IF(IF((INDEX(B1:XFD1,(A2)+(0)))=("store"),(INDEX(B1:XFD1,(A2)+(1)))=("M"),"false"),B2,M359),M359))</f>
        <v>#VALUE!</v>
      </c>
      <c r="N359" t="e">
        <f ca="1">IF((A1)=(2),1,IF((356)=(N3),IF(IF((INDEX(B1:XFD1,(A2)+(0)))=("store"),(INDEX(B1:XFD1,(A2)+(1)))=("N"),"false"),B2,N359),N359))</f>
        <v>#VALUE!</v>
      </c>
      <c r="O359" t="e">
        <f ca="1">IF((A1)=(2),1,IF((356)=(O3),IF(IF((INDEX(B1:XFD1,(A2)+(0)))=("store"),(INDEX(B1:XFD1,(A2)+(1)))=("O"),"false"),B2,O359),O359))</f>
        <v>#VALUE!</v>
      </c>
      <c r="P359" t="e">
        <f ca="1">IF((A1)=(2),1,IF((356)=(P3),IF(IF((INDEX(B1:XFD1,(A2)+(0)))=("store"),(INDEX(B1:XFD1,(A2)+(1)))=("P"),"false"),B2,P359),P359))</f>
        <v>#VALUE!</v>
      </c>
      <c r="Q359" t="e">
        <f ca="1">IF((A1)=(2),1,IF((356)=(Q3),IF(IF((INDEX(B1:XFD1,(A2)+(0)))=("store"),(INDEX(B1:XFD1,(A2)+(1)))=("Q"),"false"),B2,Q359),Q359))</f>
        <v>#VALUE!</v>
      </c>
      <c r="R359" t="e">
        <f ca="1">IF((A1)=(2),1,IF((356)=(R3),IF(IF((INDEX(B1:XFD1,(A2)+(0)))=("store"),(INDEX(B1:XFD1,(A2)+(1)))=("R"),"false"),B2,R359),R359))</f>
        <v>#VALUE!</v>
      </c>
      <c r="S359" t="e">
        <f ca="1">IF((A1)=(2),1,IF((356)=(S3),IF(IF((INDEX(B1:XFD1,(A2)+(0)))=("store"),(INDEX(B1:XFD1,(A2)+(1)))=("S"),"false"),B2,S359),S359))</f>
        <v>#VALUE!</v>
      </c>
      <c r="T359" t="e">
        <f ca="1">IF((A1)=(2),1,IF((356)=(T3),IF(IF((INDEX(B1:XFD1,(A2)+(0)))=("store"),(INDEX(B1:XFD1,(A2)+(1)))=("T"),"false"),B2,T359),T359))</f>
        <v>#VALUE!</v>
      </c>
      <c r="U359" t="e">
        <f ca="1">IF((A1)=(2),1,IF((356)=(U3),IF(IF((INDEX(B1:XFD1,(A2)+(0)))=("store"),(INDEX(B1:XFD1,(A2)+(1)))=("U"),"false"),B2,U359),U359))</f>
        <v>#VALUE!</v>
      </c>
      <c r="V359" t="e">
        <f ca="1">IF((A1)=(2),1,IF((356)=(V3),IF(IF((INDEX(B1:XFD1,(A2)+(0)))=("store"),(INDEX(B1:XFD1,(A2)+(1)))=("V"),"false"),B2,V359),V359))</f>
        <v>#VALUE!</v>
      </c>
      <c r="W359" t="e">
        <f ca="1">IF((A1)=(2),1,IF((356)=(W3),IF(IF((INDEX(B1:XFD1,(A2)+(0)))=("store"),(INDEX(B1:XFD1,(A2)+(1)))=("W"),"false"),B2,W359),W359))</f>
        <v>#VALUE!</v>
      </c>
      <c r="X359" t="e">
        <f ca="1">IF((A1)=(2),1,IF((356)=(X3),IF(IF((INDEX(B1:XFD1,(A2)+(0)))=("store"),(INDEX(B1:XFD1,(A2)+(1)))=("X"),"false"),B2,X359),X359))</f>
        <v>#VALUE!</v>
      </c>
      <c r="Y359" t="e">
        <f ca="1">IF((A1)=(2),1,IF((356)=(Y3),IF(IF((INDEX(B1:XFD1,(A2)+(0)))=("store"),(INDEX(B1:XFD1,(A2)+(1)))=("Y"),"false"),B2,Y359),Y359))</f>
        <v>#VALUE!</v>
      </c>
      <c r="Z359" t="e">
        <f ca="1">IF((A1)=(2),1,IF((356)=(Z3),IF(IF((INDEX(B1:XFD1,(A2)+(0)))=("store"),(INDEX(B1:XFD1,(A2)+(1)))=("Z"),"false"),B2,Z359),Z359))</f>
        <v>#VALUE!</v>
      </c>
      <c r="AA359" t="e">
        <f ca="1">IF((A1)=(2),1,IF((356)=(AA3),IF(IF((INDEX(B1:XFD1,(A2)+(0)))=("store"),(INDEX(B1:XFD1,(A2)+(1)))=("AA"),"false"),B2,AA359),AA359))</f>
        <v>#VALUE!</v>
      </c>
      <c r="AB359" t="e">
        <f ca="1">IF((A1)=(2),1,IF((356)=(AB3),IF(IF((INDEX(B1:XFD1,(A2)+(0)))=("store"),(INDEX(B1:XFD1,(A2)+(1)))=("AB"),"false"),B2,AB359),AB359))</f>
        <v>#VALUE!</v>
      </c>
      <c r="AC359" t="e">
        <f ca="1">IF((A1)=(2),1,IF((356)=(AC3),IF(IF((INDEX(B1:XFD1,(A2)+(0)))=("store"),(INDEX(B1:XFD1,(A2)+(1)))=("AC"),"false"),B2,AC359),AC359))</f>
        <v>#VALUE!</v>
      </c>
      <c r="AD359" t="e">
        <f ca="1">IF((A1)=(2),1,IF((356)=(AD3),IF(IF((INDEX(B1:XFD1,(A2)+(0)))=("store"),(INDEX(B1:XFD1,(A2)+(1)))=("AD"),"false"),B2,AD359),AD359))</f>
        <v>#VALUE!</v>
      </c>
    </row>
    <row r="360" spans="1:30" x14ac:dyDescent="0.25">
      <c r="A360" t="e">
        <f ca="1">IF((A1)=(2),1,IF((357)=(A3),IF(("call")=(INDEX(B1:XFD1,(A2)+(0))),((B2)*(2))+(1),IF(("goto")=(INDEX(B1:XFD1,(A2)+(0))),((INDEX(B1:XFD1,(A2)+(1)))*(2))+(1),IF(("gotoiftrue")=(INDEX(B1:XFD1,(A2)+(0))),IF(B2,((INDEX(B1:XFD1,(A2)+(1)))*(2))+(1),(A360)+(2)),(A360)+(2)))),A360))</f>
        <v>#VALUE!</v>
      </c>
      <c r="B360" t="e">
        <f ca="1">IF((A1)=(2),1,IF((357)=(B3),IF(("push")=(INDEX(B1:XFD1,(A2)+(0))),INDEX(B1:XFD1,(A2)+(1)),IF(("load")=(INDEX(B1:XFD1,(A2)+(0))),INDEX(F2:XFD2,INDEX(B1:XFD1,(A2)+(1))),IF(("newheap")=(INDEX(B1:XFD1,(A2)+(0))),(C3)-(2),IF(("getheap")=(INDEX(B1:XFD1,(A2)+(0))),INDEX(C4:C404,(B360)+(1)),IF(("add")=(INDEX(B1:XFD1,(A2)+(0))),(INDEX(B4:B404,(B3)+(1)))+(B360),IF(("equals")=(INDEX(B1:XFD1,(A2)+(0))),(INDEX(B4:B404,(B3)+(1)))=(B360),IF(("leq")=(INDEX(B1:XFD1,(A2)+(0))),(INDEX(B4:B404,(B3)+(1)))&lt;=(B360),IF(("mod")=(INDEX(B1:XFD1,(A2)+(0))),MOD(INDEX(B4:B404,(B3)+(1)),B360),B360)))))))),B360))</f>
        <v>#VALUE!</v>
      </c>
      <c r="C360" t="e">
        <f ca="1">IF((A1)=(2),1,IF(AND((INDEX(B1:XFD1,(A2)+(0)))=("writeheap"),(INDEX(B4:B404,(B3)+(1)))=(356)),INDEX(B4:B404,(B3)+(2)),IF((A1)=(2),1,IF((357)=(C3),C360,C360))))</f>
        <v>#VALUE!</v>
      </c>
      <c r="E360" t="e">
        <f ca="1">IF((A1)=(2),1,IF((357)=(E3),IF(("outputline")=(INDEX(B1:XFD1,(A2)+(0))),B2,E360),E360))</f>
        <v>#VALUE!</v>
      </c>
      <c r="F360" t="e">
        <f ca="1">IF((A1)=(2),1,IF((357)=(F3),IF(IF((INDEX(B1:XFD1,(A2)+(0)))=("store"),(INDEX(B1:XFD1,(A2)+(1)))=("F"),"false"),B2,F360),F360))</f>
        <v>#VALUE!</v>
      </c>
      <c r="G360" t="e">
        <f ca="1">IF((A1)=(2),1,IF((357)=(G3),IF(IF((INDEX(B1:XFD1,(A2)+(0)))=("store"),(INDEX(B1:XFD1,(A2)+(1)))=("G"),"false"),B2,G360),G360))</f>
        <v>#VALUE!</v>
      </c>
      <c r="H360" t="e">
        <f ca="1">IF((A1)=(2),1,IF((357)=(H3),IF(IF((INDEX(B1:XFD1,(A2)+(0)))=("store"),(INDEX(B1:XFD1,(A2)+(1)))=("H"),"false"),B2,H360),H360))</f>
        <v>#VALUE!</v>
      </c>
      <c r="I360" t="e">
        <f ca="1">IF((A1)=(2),1,IF((357)=(I3),IF(IF((INDEX(B1:XFD1,(A2)+(0)))=("store"),(INDEX(B1:XFD1,(A2)+(1)))=("I"),"false"),B2,I360),I360))</f>
        <v>#VALUE!</v>
      </c>
      <c r="J360" t="e">
        <f ca="1">IF((A1)=(2),1,IF((357)=(J3),IF(IF((INDEX(B1:XFD1,(A2)+(0)))=("store"),(INDEX(B1:XFD1,(A2)+(1)))=("J"),"false"),B2,J360),J360))</f>
        <v>#VALUE!</v>
      </c>
      <c r="K360" t="e">
        <f ca="1">IF((A1)=(2),1,IF((357)=(K3),IF(IF((INDEX(B1:XFD1,(A2)+(0)))=("store"),(INDEX(B1:XFD1,(A2)+(1)))=("K"),"false"),B2,K360),K360))</f>
        <v>#VALUE!</v>
      </c>
      <c r="L360" t="e">
        <f ca="1">IF((A1)=(2),1,IF((357)=(L3),IF(IF((INDEX(B1:XFD1,(A2)+(0)))=("store"),(INDEX(B1:XFD1,(A2)+(1)))=("L"),"false"),B2,L360),L360))</f>
        <v>#VALUE!</v>
      </c>
      <c r="M360" t="e">
        <f ca="1">IF((A1)=(2),1,IF((357)=(M3),IF(IF((INDEX(B1:XFD1,(A2)+(0)))=("store"),(INDEX(B1:XFD1,(A2)+(1)))=("M"),"false"),B2,M360),M360))</f>
        <v>#VALUE!</v>
      </c>
      <c r="N360" t="e">
        <f ca="1">IF((A1)=(2),1,IF((357)=(N3),IF(IF((INDEX(B1:XFD1,(A2)+(0)))=("store"),(INDEX(B1:XFD1,(A2)+(1)))=("N"),"false"),B2,N360),N360))</f>
        <v>#VALUE!</v>
      </c>
      <c r="O360" t="e">
        <f ca="1">IF((A1)=(2),1,IF((357)=(O3),IF(IF((INDEX(B1:XFD1,(A2)+(0)))=("store"),(INDEX(B1:XFD1,(A2)+(1)))=("O"),"false"),B2,O360),O360))</f>
        <v>#VALUE!</v>
      </c>
      <c r="P360" t="e">
        <f ca="1">IF((A1)=(2),1,IF((357)=(P3),IF(IF((INDEX(B1:XFD1,(A2)+(0)))=("store"),(INDEX(B1:XFD1,(A2)+(1)))=("P"),"false"),B2,P360),P360))</f>
        <v>#VALUE!</v>
      </c>
      <c r="Q360" t="e">
        <f ca="1">IF((A1)=(2),1,IF((357)=(Q3),IF(IF((INDEX(B1:XFD1,(A2)+(0)))=("store"),(INDEX(B1:XFD1,(A2)+(1)))=("Q"),"false"),B2,Q360),Q360))</f>
        <v>#VALUE!</v>
      </c>
      <c r="R360" t="e">
        <f ca="1">IF((A1)=(2),1,IF((357)=(R3),IF(IF((INDEX(B1:XFD1,(A2)+(0)))=("store"),(INDEX(B1:XFD1,(A2)+(1)))=("R"),"false"),B2,R360),R360))</f>
        <v>#VALUE!</v>
      </c>
      <c r="S360" t="e">
        <f ca="1">IF((A1)=(2),1,IF((357)=(S3),IF(IF((INDEX(B1:XFD1,(A2)+(0)))=("store"),(INDEX(B1:XFD1,(A2)+(1)))=("S"),"false"),B2,S360),S360))</f>
        <v>#VALUE!</v>
      </c>
      <c r="T360" t="e">
        <f ca="1">IF((A1)=(2),1,IF((357)=(T3),IF(IF((INDEX(B1:XFD1,(A2)+(0)))=("store"),(INDEX(B1:XFD1,(A2)+(1)))=("T"),"false"),B2,T360),T360))</f>
        <v>#VALUE!</v>
      </c>
      <c r="U360" t="e">
        <f ca="1">IF((A1)=(2),1,IF((357)=(U3),IF(IF((INDEX(B1:XFD1,(A2)+(0)))=("store"),(INDEX(B1:XFD1,(A2)+(1)))=("U"),"false"),B2,U360),U360))</f>
        <v>#VALUE!</v>
      </c>
      <c r="V360" t="e">
        <f ca="1">IF((A1)=(2),1,IF((357)=(V3),IF(IF((INDEX(B1:XFD1,(A2)+(0)))=("store"),(INDEX(B1:XFD1,(A2)+(1)))=("V"),"false"),B2,V360),V360))</f>
        <v>#VALUE!</v>
      </c>
      <c r="W360" t="e">
        <f ca="1">IF((A1)=(2),1,IF((357)=(W3),IF(IF((INDEX(B1:XFD1,(A2)+(0)))=("store"),(INDEX(B1:XFD1,(A2)+(1)))=("W"),"false"),B2,W360),W360))</f>
        <v>#VALUE!</v>
      </c>
      <c r="X360" t="e">
        <f ca="1">IF((A1)=(2),1,IF((357)=(X3),IF(IF((INDEX(B1:XFD1,(A2)+(0)))=("store"),(INDEX(B1:XFD1,(A2)+(1)))=("X"),"false"),B2,X360),X360))</f>
        <v>#VALUE!</v>
      </c>
      <c r="Y360" t="e">
        <f ca="1">IF((A1)=(2),1,IF((357)=(Y3),IF(IF((INDEX(B1:XFD1,(A2)+(0)))=("store"),(INDEX(B1:XFD1,(A2)+(1)))=("Y"),"false"),B2,Y360),Y360))</f>
        <v>#VALUE!</v>
      </c>
      <c r="Z360" t="e">
        <f ca="1">IF((A1)=(2),1,IF((357)=(Z3),IF(IF((INDEX(B1:XFD1,(A2)+(0)))=("store"),(INDEX(B1:XFD1,(A2)+(1)))=("Z"),"false"),B2,Z360),Z360))</f>
        <v>#VALUE!</v>
      </c>
      <c r="AA360" t="e">
        <f ca="1">IF((A1)=(2),1,IF((357)=(AA3),IF(IF((INDEX(B1:XFD1,(A2)+(0)))=("store"),(INDEX(B1:XFD1,(A2)+(1)))=("AA"),"false"),B2,AA360),AA360))</f>
        <v>#VALUE!</v>
      </c>
      <c r="AB360" t="e">
        <f ca="1">IF((A1)=(2),1,IF((357)=(AB3),IF(IF((INDEX(B1:XFD1,(A2)+(0)))=("store"),(INDEX(B1:XFD1,(A2)+(1)))=("AB"),"false"),B2,AB360),AB360))</f>
        <v>#VALUE!</v>
      </c>
      <c r="AC360" t="e">
        <f ca="1">IF((A1)=(2),1,IF((357)=(AC3),IF(IF((INDEX(B1:XFD1,(A2)+(0)))=("store"),(INDEX(B1:XFD1,(A2)+(1)))=("AC"),"false"),B2,AC360),AC360))</f>
        <v>#VALUE!</v>
      </c>
      <c r="AD360" t="e">
        <f ca="1">IF((A1)=(2),1,IF((357)=(AD3),IF(IF((INDEX(B1:XFD1,(A2)+(0)))=("store"),(INDEX(B1:XFD1,(A2)+(1)))=("AD"),"false"),B2,AD360),AD360))</f>
        <v>#VALUE!</v>
      </c>
    </row>
    <row r="361" spans="1:30" x14ac:dyDescent="0.25">
      <c r="A361" t="e">
        <f ca="1">IF((A1)=(2),1,IF((358)=(A3),IF(("call")=(INDEX(B1:XFD1,(A2)+(0))),((B2)*(2))+(1),IF(("goto")=(INDEX(B1:XFD1,(A2)+(0))),((INDEX(B1:XFD1,(A2)+(1)))*(2))+(1),IF(("gotoiftrue")=(INDEX(B1:XFD1,(A2)+(0))),IF(B2,((INDEX(B1:XFD1,(A2)+(1)))*(2))+(1),(A361)+(2)),(A361)+(2)))),A361))</f>
        <v>#VALUE!</v>
      </c>
      <c r="B361" t="e">
        <f ca="1">IF((A1)=(2),1,IF((358)=(B3),IF(("push")=(INDEX(B1:XFD1,(A2)+(0))),INDEX(B1:XFD1,(A2)+(1)),IF(("load")=(INDEX(B1:XFD1,(A2)+(0))),INDEX(F2:XFD2,INDEX(B1:XFD1,(A2)+(1))),IF(("newheap")=(INDEX(B1:XFD1,(A2)+(0))),(C3)-(2),IF(("getheap")=(INDEX(B1:XFD1,(A2)+(0))),INDEX(C4:C404,(B361)+(1)),IF(("add")=(INDEX(B1:XFD1,(A2)+(0))),(INDEX(B4:B404,(B3)+(1)))+(B361),IF(("equals")=(INDEX(B1:XFD1,(A2)+(0))),(INDEX(B4:B404,(B3)+(1)))=(B361),IF(("leq")=(INDEX(B1:XFD1,(A2)+(0))),(INDEX(B4:B404,(B3)+(1)))&lt;=(B361),IF(("mod")=(INDEX(B1:XFD1,(A2)+(0))),MOD(INDEX(B4:B404,(B3)+(1)),B361),B361)))))))),B361))</f>
        <v>#VALUE!</v>
      </c>
      <c r="C361" t="e">
        <f ca="1">IF((A1)=(2),1,IF(AND((INDEX(B1:XFD1,(A2)+(0)))=("writeheap"),(INDEX(B4:B404,(B3)+(1)))=(357)),INDEX(B4:B404,(B3)+(2)),IF((A1)=(2),1,IF((358)=(C3),C361,C361))))</f>
        <v>#VALUE!</v>
      </c>
      <c r="E361" t="e">
        <f ca="1">IF((A1)=(2),1,IF((358)=(E3),IF(("outputline")=(INDEX(B1:XFD1,(A2)+(0))),B2,E361),E361))</f>
        <v>#VALUE!</v>
      </c>
      <c r="F361" t="e">
        <f ca="1">IF((A1)=(2),1,IF((358)=(F3),IF(IF((INDEX(B1:XFD1,(A2)+(0)))=("store"),(INDEX(B1:XFD1,(A2)+(1)))=("F"),"false"),B2,F361),F361))</f>
        <v>#VALUE!</v>
      </c>
      <c r="G361" t="e">
        <f ca="1">IF((A1)=(2),1,IF((358)=(G3),IF(IF((INDEX(B1:XFD1,(A2)+(0)))=("store"),(INDEX(B1:XFD1,(A2)+(1)))=("G"),"false"),B2,G361),G361))</f>
        <v>#VALUE!</v>
      </c>
      <c r="H361" t="e">
        <f ca="1">IF((A1)=(2),1,IF((358)=(H3),IF(IF((INDEX(B1:XFD1,(A2)+(0)))=("store"),(INDEX(B1:XFD1,(A2)+(1)))=("H"),"false"),B2,H361),H361))</f>
        <v>#VALUE!</v>
      </c>
      <c r="I361" t="e">
        <f ca="1">IF((A1)=(2),1,IF((358)=(I3),IF(IF((INDEX(B1:XFD1,(A2)+(0)))=("store"),(INDEX(B1:XFD1,(A2)+(1)))=("I"),"false"),B2,I361),I361))</f>
        <v>#VALUE!</v>
      </c>
      <c r="J361" t="e">
        <f ca="1">IF((A1)=(2),1,IF((358)=(J3),IF(IF((INDEX(B1:XFD1,(A2)+(0)))=("store"),(INDEX(B1:XFD1,(A2)+(1)))=("J"),"false"),B2,J361),J361))</f>
        <v>#VALUE!</v>
      </c>
      <c r="K361" t="e">
        <f ca="1">IF((A1)=(2),1,IF((358)=(K3),IF(IF((INDEX(B1:XFD1,(A2)+(0)))=("store"),(INDEX(B1:XFD1,(A2)+(1)))=("K"),"false"),B2,K361),K361))</f>
        <v>#VALUE!</v>
      </c>
      <c r="L361" t="e">
        <f ca="1">IF((A1)=(2),1,IF((358)=(L3),IF(IF((INDEX(B1:XFD1,(A2)+(0)))=("store"),(INDEX(B1:XFD1,(A2)+(1)))=("L"),"false"),B2,L361),L361))</f>
        <v>#VALUE!</v>
      </c>
      <c r="M361" t="e">
        <f ca="1">IF((A1)=(2),1,IF((358)=(M3),IF(IF((INDEX(B1:XFD1,(A2)+(0)))=("store"),(INDEX(B1:XFD1,(A2)+(1)))=("M"),"false"),B2,M361),M361))</f>
        <v>#VALUE!</v>
      </c>
      <c r="N361" t="e">
        <f ca="1">IF((A1)=(2),1,IF((358)=(N3),IF(IF((INDEX(B1:XFD1,(A2)+(0)))=("store"),(INDEX(B1:XFD1,(A2)+(1)))=("N"),"false"),B2,N361),N361))</f>
        <v>#VALUE!</v>
      </c>
      <c r="O361" t="e">
        <f ca="1">IF((A1)=(2),1,IF((358)=(O3),IF(IF((INDEX(B1:XFD1,(A2)+(0)))=("store"),(INDEX(B1:XFD1,(A2)+(1)))=("O"),"false"),B2,O361),O361))</f>
        <v>#VALUE!</v>
      </c>
      <c r="P361" t="e">
        <f ca="1">IF((A1)=(2),1,IF((358)=(P3),IF(IF((INDEX(B1:XFD1,(A2)+(0)))=("store"),(INDEX(B1:XFD1,(A2)+(1)))=("P"),"false"),B2,P361),P361))</f>
        <v>#VALUE!</v>
      </c>
      <c r="Q361" t="e">
        <f ca="1">IF((A1)=(2),1,IF((358)=(Q3),IF(IF((INDEX(B1:XFD1,(A2)+(0)))=("store"),(INDEX(B1:XFD1,(A2)+(1)))=("Q"),"false"),B2,Q361),Q361))</f>
        <v>#VALUE!</v>
      </c>
      <c r="R361" t="e">
        <f ca="1">IF((A1)=(2),1,IF((358)=(R3),IF(IF((INDEX(B1:XFD1,(A2)+(0)))=("store"),(INDEX(B1:XFD1,(A2)+(1)))=("R"),"false"),B2,R361),R361))</f>
        <v>#VALUE!</v>
      </c>
      <c r="S361" t="e">
        <f ca="1">IF((A1)=(2),1,IF((358)=(S3),IF(IF((INDEX(B1:XFD1,(A2)+(0)))=("store"),(INDEX(B1:XFD1,(A2)+(1)))=("S"),"false"),B2,S361),S361))</f>
        <v>#VALUE!</v>
      </c>
      <c r="T361" t="e">
        <f ca="1">IF((A1)=(2),1,IF((358)=(T3),IF(IF((INDEX(B1:XFD1,(A2)+(0)))=("store"),(INDEX(B1:XFD1,(A2)+(1)))=("T"),"false"),B2,T361),T361))</f>
        <v>#VALUE!</v>
      </c>
      <c r="U361" t="e">
        <f ca="1">IF((A1)=(2),1,IF((358)=(U3),IF(IF((INDEX(B1:XFD1,(A2)+(0)))=("store"),(INDEX(B1:XFD1,(A2)+(1)))=("U"),"false"),B2,U361),U361))</f>
        <v>#VALUE!</v>
      </c>
      <c r="V361" t="e">
        <f ca="1">IF((A1)=(2),1,IF((358)=(V3),IF(IF((INDEX(B1:XFD1,(A2)+(0)))=("store"),(INDEX(B1:XFD1,(A2)+(1)))=("V"),"false"),B2,V361),V361))</f>
        <v>#VALUE!</v>
      </c>
      <c r="W361" t="e">
        <f ca="1">IF((A1)=(2),1,IF((358)=(W3),IF(IF((INDEX(B1:XFD1,(A2)+(0)))=("store"),(INDEX(B1:XFD1,(A2)+(1)))=("W"),"false"),B2,W361),W361))</f>
        <v>#VALUE!</v>
      </c>
      <c r="X361" t="e">
        <f ca="1">IF((A1)=(2),1,IF((358)=(X3),IF(IF((INDEX(B1:XFD1,(A2)+(0)))=("store"),(INDEX(B1:XFD1,(A2)+(1)))=("X"),"false"),B2,X361),X361))</f>
        <v>#VALUE!</v>
      </c>
      <c r="Y361" t="e">
        <f ca="1">IF((A1)=(2),1,IF((358)=(Y3),IF(IF((INDEX(B1:XFD1,(A2)+(0)))=("store"),(INDEX(B1:XFD1,(A2)+(1)))=("Y"),"false"),B2,Y361),Y361))</f>
        <v>#VALUE!</v>
      </c>
      <c r="Z361" t="e">
        <f ca="1">IF((A1)=(2),1,IF((358)=(Z3),IF(IF((INDEX(B1:XFD1,(A2)+(0)))=("store"),(INDEX(B1:XFD1,(A2)+(1)))=("Z"),"false"),B2,Z361),Z361))</f>
        <v>#VALUE!</v>
      </c>
      <c r="AA361" t="e">
        <f ca="1">IF((A1)=(2),1,IF((358)=(AA3),IF(IF((INDEX(B1:XFD1,(A2)+(0)))=("store"),(INDEX(B1:XFD1,(A2)+(1)))=("AA"),"false"),B2,AA361),AA361))</f>
        <v>#VALUE!</v>
      </c>
      <c r="AB361" t="e">
        <f ca="1">IF((A1)=(2),1,IF((358)=(AB3),IF(IF((INDEX(B1:XFD1,(A2)+(0)))=("store"),(INDEX(B1:XFD1,(A2)+(1)))=("AB"),"false"),B2,AB361),AB361))</f>
        <v>#VALUE!</v>
      </c>
      <c r="AC361" t="e">
        <f ca="1">IF((A1)=(2),1,IF((358)=(AC3),IF(IF((INDEX(B1:XFD1,(A2)+(0)))=("store"),(INDEX(B1:XFD1,(A2)+(1)))=("AC"),"false"),B2,AC361),AC361))</f>
        <v>#VALUE!</v>
      </c>
      <c r="AD361" t="e">
        <f ca="1">IF((A1)=(2),1,IF((358)=(AD3),IF(IF((INDEX(B1:XFD1,(A2)+(0)))=("store"),(INDEX(B1:XFD1,(A2)+(1)))=("AD"),"false"),B2,AD361),AD361))</f>
        <v>#VALUE!</v>
      </c>
    </row>
    <row r="362" spans="1:30" x14ac:dyDescent="0.25">
      <c r="A362" t="e">
        <f ca="1">IF((A1)=(2),1,IF((359)=(A3),IF(("call")=(INDEX(B1:XFD1,(A2)+(0))),((B2)*(2))+(1),IF(("goto")=(INDEX(B1:XFD1,(A2)+(0))),((INDEX(B1:XFD1,(A2)+(1)))*(2))+(1),IF(("gotoiftrue")=(INDEX(B1:XFD1,(A2)+(0))),IF(B2,((INDEX(B1:XFD1,(A2)+(1)))*(2))+(1),(A362)+(2)),(A362)+(2)))),A362))</f>
        <v>#VALUE!</v>
      </c>
      <c r="B362" t="e">
        <f ca="1">IF((A1)=(2),1,IF((359)=(B3),IF(("push")=(INDEX(B1:XFD1,(A2)+(0))),INDEX(B1:XFD1,(A2)+(1)),IF(("load")=(INDEX(B1:XFD1,(A2)+(0))),INDEX(F2:XFD2,INDEX(B1:XFD1,(A2)+(1))),IF(("newheap")=(INDEX(B1:XFD1,(A2)+(0))),(C3)-(2),IF(("getheap")=(INDEX(B1:XFD1,(A2)+(0))),INDEX(C4:C404,(B362)+(1)),IF(("add")=(INDEX(B1:XFD1,(A2)+(0))),(INDEX(B4:B404,(B3)+(1)))+(B362),IF(("equals")=(INDEX(B1:XFD1,(A2)+(0))),(INDEX(B4:B404,(B3)+(1)))=(B362),IF(("leq")=(INDEX(B1:XFD1,(A2)+(0))),(INDEX(B4:B404,(B3)+(1)))&lt;=(B362),IF(("mod")=(INDEX(B1:XFD1,(A2)+(0))),MOD(INDEX(B4:B404,(B3)+(1)),B362),B362)))))))),B362))</f>
        <v>#VALUE!</v>
      </c>
      <c r="C362" t="e">
        <f ca="1">IF((A1)=(2),1,IF(AND((INDEX(B1:XFD1,(A2)+(0)))=("writeheap"),(INDEX(B4:B404,(B3)+(1)))=(358)),INDEX(B4:B404,(B3)+(2)),IF((A1)=(2),1,IF((359)=(C3),C362,C362))))</f>
        <v>#VALUE!</v>
      </c>
      <c r="E362" t="e">
        <f ca="1">IF((A1)=(2),1,IF((359)=(E3),IF(("outputline")=(INDEX(B1:XFD1,(A2)+(0))),B2,E362),E362))</f>
        <v>#VALUE!</v>
      </c>
      <c r="F362" t="e">
        <f ca="1">IF((A1)=(2),1,IF((359)=(F3),IF(IF((INDEX(B1:XFD1,(A2)+(0)))=("store"),(INDEX(B1:XFD1,(A2)+(1)))=("F"),"false"),B2,F362),F362))</f>
        <v>#VALUE!</v>
      </c>
      <c r="G362" t="e">
        <f ca="1">IF((A1)=(2),1,IF((359)=(G3),IF(IF((INDEX(B1:XFD1,(A2)+(0)))=("store"),(INDEX(B1:XFD1,(A2)+(1)))=("G"),"false"),B2,G362),G362))</f>
        <v>#VALUE!</v>
      </c>
      <c r="H362" t="e">
        <f ca="1">IF((A1)=(2),1,IF((359)=(H3),IF(IF((INDEX(B1:XFD1,(A2)+(0)))=("store"),(INDEX(B1:XFD1,(A2)+(1)))=("H"),"false"),B2,H362),H362))</f>
        <v>#VALUE!</v>
      </c>
      <c r="I362" t="e">
        <f ca="1">IF((A1)=(2),1,IF((359)=(I3),IF(IF((INDEX(B1:XFD1,(A2)+(0)))=("store"),(INDEX(B1:XFD1,(A2)+(1)))=("I"),"false"),B2,I362),I362))</f>
        <v>#VALUE!</v>
      </c>
      <c r="J362" t="e">
        <f ca="1">IF((A1)=(2),1,IF((359)=(J3),IF(IF((INDEX(B1:XFD1,(A2)+(0)))=("store"),(INDEX(B1:XFD1,(A2)+(1)))=("J"),"false"),B2,J362),J362))</f>
        <v>#VALUE!</v>
      </c>
      <c r="K362" t="e">
        <f ca="1">IF((A1)=(2),1,IF((359)=(K3),IF(IF((INDEX(B1:XFD1,(A2)+(0)))=("store"),(INDEX(B1:XFD1,(A2)+(1)))=("K"),"false"),B2,K362),K362))</f>
        <v>#VALUE!</v>
      </c>
      <c r="L362" t="e">
        <f ca="1">IF((A1)=(2),1,IF((359)=(L3),IF(IF((INDEX(B1:XFD1,(A2)+(0)))=("store"),(INDEX(B1:XFD1,(A2)+(1)))=("L"),"false"),B2,L362),L362))</f>
        <v>#VALUE!</v>
      </c>
      <c r="M362" t="e">
        <f ca="1">IF((A1)=(2),1,IF((359)=(M3),IF(IF((INDEX(B1:XFD1,(A2)+(0)))=("store"),(INDEX(B1:XFD1,(A2)+(1)))=("M"),"false"),B2,M362),M362))</f>
        <v>#VALUE!</v>
      </c>
      <c r="N362" t="e">
        <f ca="1">IF((A1)=(2),1,IF((359)=(N3),IF(IF((INDEX(B1:XFD1,(A2)+(0)))=("store"),(INDEX(B1:XFD1,(A2)+(1)))=("N"),"false"),B2,N362),N362))</f>
        <v>#VALUE!</v>
      </c>
      <c r="O362" t="e">
        <f ca="1">IF((A1)=(2),1,IF((359)=(O3),IF(IF((INDEX(B1:XFD1,(A2)+(0)))=("store"),(INDEX(B1:XFD1,(A2)+(1)))=("O"),"false"),B2,O362),O362))</f>
        <v>#VALUE!</v>
      </c>
      <c r="P362" t="e">
        <f ca="1">IF((A1)=(2),1,IF((359)=(P3),IF(IF((INDEX(B1:XFD1,(A2)+(0)))=("store"),(INDEX(B1:XFD1,(A2)+(1)))=("P"),"false"),B2,P362),P362))</f>
        <v>#VALUE!</v>
      </c>
      <c r="Q362" t="e">
        <f ca="1">IF((A1)=(2),1,IF((359)=(Q3),IF(IF((INDEX(B1:XFD1,(A2)+(0)))=("store"),(INDEX(B1:XFD1,(A2)+(1)))=("Q"),"false"),B2,Q362),Q362))</f>
        <v>#VALUE!</v>
      </c>
      <c r="R362" t="e">
        <f ca="1">IF((A1)=(2),1,IF((359)=(R3),IF(IF((INDEX(B1:XFD1,(A2)+(0)))=("store"),(INDEX(B1:XFD1,(A2)+(1)))=("R"),"false"),B2,R362),R362))</f>
        <v>#VALUE!</v>
      </c>
      <c r="S362" t="e">
        <f ca="1">IF((A1)=(2),1,IF((359)=(S3),IF(IF((INDEX(B1:XFD1,(A2)+(0)))=("store"),(INDEX(B1:XFD1,(A2)+(1)))=("S"),"false"),B2,S362),S362))</f>
        <v>#VALUE!</v>
      </c>
      <c r="T362" t="e">
        <f ca="1">IF((A1)=(2),1,IF((359)=(T3),IF(IF((INDEX(B1:XFD1,(A2)+(0)))=("store"),(INDEX(B1:XFD1,(A2)+(1)))=("T"),"false"),B2,T362),T362))</f>
        <v>#VALUE!</v>
      </c>
      <c r="U362" t="e">
        <f ca="1">IF((A1)=(2),1,IF((359)=(U3),IF(IF((INDEX(B1:XFD1,(A2)+(0)))=("store"),(INDEX(B1:XFD1,(A2)+(1)))=("U"),"false"),B2,U362),U362))</f>
        <v>#VALUE!</v>
      </c>
      <c r="V362" t="e">
        <f ca="1">IF((A1)=(2),1,IF((359)=(V3),IF(IF((INDEX(B1:XFD1,(A2)+(0)))=("store"),(INDEX(B1:XFD1,(A2)+(1)))=("V"),"false"),B2,V362),V362))</f>
        <v>#VALUE!</v>
      </c>
      <c r="W362" t="e">
        <f ca="1">IF((A1)=(2),1,IF((359)=(W3),IF(IF((INDEX(B1:XFD1,(A2)+(0)))=("store"),(INDEX(B1:XFD1,(A2)+(1)))=("W"),"false"),B2,W362),W362))</f>
        <v>#VALUE!</v>
      </c>
      <c r="X362" t="e">
        <f ca="1">IF((A1)=(2),1,IF((359)=(X3),IF(IF((INDEX(B1:XFD1,(A2)+(0)))=("store"),(INDEX(B1:XFD1,(A2)+(1)))=("X"),"false"),B2,X362),X362))</f>
        <v>#VALUE!</v>
      </c>
      <c r="Y362" t="e">
        <f ca="1">IF((A1)=(2),1,IF((359)=(Y3),IF(IF((INDEX(B1:XFD1,(A2)+(0)))=("store"),(INDEX(B1:XFD1,(A2)+(1)))=("Y"),"false"),B2,Y362),Y362))</f>
        <v>#VALUE!</v>
      </c>
      <c r="Z362" t="e">
        <f ca="1">IF((A1)=(2),1,IF((359)=(Z3),IF(IF((INDEX(B1:XFD1,(A2)+(0)))=("store"),(INDEX(B1:XFD1,(A2)+(1)))=("Z"),"false"),B2,Z362),Z362))</f>
        <v>#VALUE!</v>
      </c>
      <c r="AA362" t="e">
        <f ca="1">IF((A1)=(2),1,IF((359)=(AA3),IF(IF((INDEX(B1:XFD1,(A2)+(0)))=("store"),(INDEX(B1:XFD1,(A2)+(1)))=("AA"),"false"),B2,AA362),AA362))</f>
        <v>#VALUE!</v>
      </c>
      <c r="AB362" t="e">
        <f ca="1">IF((A1)=(2),1,IF((359)=(AB3),IF(IF((INDEX(B1:XFD1,(A2)+(0)))=("store"),(INDEX(B1:XFD1,(A2)+(1)))=("AB"),"false"),B2,AB362),AB362))</f>
        <v>#VALUE!</v>
      </c>
      <c r="AC362" t="e">
        <f ca="1">IF((A1)=(2),1,IF((359)=(AC3),IF(IF((INDEX(B1:XFD1,(A2)+(0)))=("store"),(INDEX(B1:XFD1,(A2)+(1)))=("AC"),"false"),B2,AC362),AC362))</f>
        <v>#VALUE!</v>
      </c>
      <c r="AD362" t="e">
        <f ca="1">IF((A1)=(2),1,IF((359)=(AD3),IF(IF((INDEX(B1:XFD1,(A2)+(0)))=("store"),(INDEX(B1:XFD1,(A2)+(1)))=("AD"),"false"),B2,AD362),AD362))</f>
        <v>#VALUE!</v>
      </c>
    </row>
    <row r="363" spans="1:30" x14ac:dyDescent="0.25">
      <c r="A363" t="e">
        <f ca="1">IF((A1)=(2),1,IF((360)=(A3),IF(("call")=(INDEX(B1:XFD1,(A2)+(0))),((B2)*(2))+(1),IF(("goto")=(INDEX(B1:XFD1,(A2)+(0))),((INDEX(B1:XFD1,(A2)+(1)))*(2))+(1),IF(("gotoiftrue")=(INDEX(B1:XFD1,(A2)+(0))),IF(B2,((INDEX(B1:XFD1,(A2)+(1)))*(2))+(1),(A363)+(2)),(A363)+(2)))),A363))</f>
        <v>#VALUE!</v>
      </c>
      <c r="B363" t="e">
        <f ca="1">IF((A1)=(2),1,IF((360)=(B3),IF(("push")=(INDEX(B1:XFD1,(A2)+(0))),INDEX(B1:XFD1,(A2)+(1)),IF(("load")=(INDEX(B1:XFD1,(A2)+(0))),INDEX(F2:XFD2,INDEX(B1:XFD1,(A2)+(1))),IF(("newheap")=(INDEX(B1:XFD1,(A2)+(0))),(C3)-(2),IF(("getheap")=(INDEX(B1:XFD1,(A2)+(0))),INDEX(C4:C404,(B363)+(1)),IF(("add")=(INDEX(B1:XFD1,(A2)+(0))),(INDEX(B4:B404,(B3)+(1)))+(B363),IF(("equals")=(INDEX(B1:XFD1,(A2)+(0))),(INDEX(B4:B404,(B3)+(1)))=(B363),IF(("leq")=(INDEX(B1:XFD1,(A2)+(0))),(INDEX(B4:B404,(B3)+(1)))&lt;=(B363),IF(("mod")=(INDEX(B1:XFD1,(A2)+(0))),MOD(INDEX(B4:B404,(B3)+(1)),B363),B363)))))))),B363))</f>
        <v>#VALUE!</v>
      </c>
      <c r="C363" t="e">
        <f ca="1">IF((A1)=(2),1,IF(AND((INDEX(B1:XFD1,(A2)+(0)))=("writeheap"),(INDEX(B4:B404,(B3)+(1)))=(359)),INDEX(B4:B404,(B3)+(2)),IF((A1)=(2),1,IF((360)=(C3),C363,C363))))</f>
        <v>#VALUE!</v>
      </c>
      <c r="E363" t="e">
        <f ca="1">IF((A1)=(2),1,IF((360)=(E3),IF(("outputline")=(INDEX(B1:XFD1,(A2)+(0))),B2,E363),E363))</f>
        <v>#VALUE!</v>
      </c>
      <c r="F363" t="e">
        <f ca="1">IF((A1)=(2),1,IF((360)=(F3),IF(IF((INDEX(B1:XFD1,(A2)+(0)))=("store"),(INDEX(B1:XFD1,(A2)+(1)))=("F"),"false"),B2,F363),F363))</f>
        <v>#VALUE!</v>
      </c>
      <c r="G363" t="e">
        <f ca="1">IF((A1)=(2),1,IF((360)=(G3),IF(IF((INDEX(B1:XFD1,(A2)+(0)))=("store"),(INDEX(B1:XFD1,(A2)+(1)))=("G"),"false"),B2,G363),G363))</f>
        <v>#VALUE!</v>
      </c>
      <c r="H363" t="e">
        <f ca="1">IF((A1)=(2),1,IF((360)=(H3),IF(IF((INDEX(B1:XFD1,(A2)+(0)))=("store"),(INDEX(B1:XFD1,(A2)+(1)))=("H"),"false"),B2,H363),H363))</f>
        <v>#VALUE!</v>
      </c>
      <c r="I363" t="e">
        <f ca="1">IF((A1)=(2),1,IF((360)=(I3),IF(IF((INDEX(B1:XFD1,(A2)+(0)))=("store"),(INDEX(B1:XFD1,(A2)+(1)))=("I"),"false"),B2,I363),I363))</f>
        <v>#VALUE!</v>
      </c>
      <c r="J363" t="e">
        <f ca="1">IF((A1)=(2),1,IF((360)=(J3),IF(IF((INDEX(B1:XFD1,(A2)+(0)))=("store"),(INDEX(B1:XFD1,(A2)+(1)))=("J"),"false"),B2,J363),J363))</f>
        <v>#VALUE!</v>
      </c>
      <c r="K363" t="e">
        <f ca="1">IF((A1)=(2),1,IF((360)=(K3),IF(IF((INDEX(B1:XFD1,(A2)+(0)))=("store"),(INDEX(B1:XFD1,(A2)+(1)))=("K"),"false"),B2,K363),K363))</f>
        <v>#VALUE!</v>
      </c>
      <c r="L363" t="e">
        <f ca="1">IF((A1)=(2),1,IF((360)=(L3),IF(IF((INDEX(B1:XFD1,(A2)+(0)))=("store"),(INDEX(B1:XFD1,(A2)+(1)))=("L"),"false"),B2,L363),L363))</f>
        <v>#VALUE!</v>
      </c>
      <c r="M363" t="e">
        <f ca="1">IF((A1)=(2),1,IF((360)=(M3),IF(IF((INDEX(B1:XFD1,(A2)+(0)))=("store"),(INDEX(B1:XFD1,(A2)+(1)))=("M"),"false"),B2,M363),M363))</f>
        <v>#VALUE!</v>
      </c>
      <c r="N363" t="e">
        <f ca="1">IF((A1)=(2),1,IF((360)=(N3),IF(IF((INDEX(B1:XFD1,(A2)+(0)))=("store"),(INDEX(B1:XFD1,(A2)+(1)))=("N"),"false"),B2,N363),N363))</f>
        <v>#VALUE!</v>
      </c>
      <c r="O363" t="e">
        <f ca="1">IF((A1)=(2),1,IF((360)=(O3),IF(IF((INDEX(B1:XFD1,(A2)+(0)))=("store"),(INDEX(B1:XFD1,(A2)+(1)))=("O"),"false"),B2,O363),O363))</f>
        <v>#VALUE!</v>
      </c>
      <c r="P363" t="e">
        <f ca="1">IF((A1)=(2),1,IF((360)=(P3),IF(IF((INDEX(B1:XFD1,(A2)+(0)))=("store"),(INDEX(B1:XFD1,(A2)+(1)))=("P"),"false"),B2,P363),P363))</f>
        <v>#VALUE!</v>
      </c>
      <c r="Q363" t="e">
        <f ca="1">IF((A1)=(2),1,IF((360)=(Q3),IF(IF((INDEX(B1:XFD1,(A2)+(0)))=("store"),(INDEX(B1:XFD1,(A2)+(1)))=("Q"),"false"),B2,Q363),Q363))</f>
        <v>#VALUE!</v>
      </c>
      <c r="R363" t="e">
        <f ca="1">IF((A1)=(2),1,IF((360)=(R3),IF(IF((INDEX(B1:XFD1,(A2)+(0)))=("store"),(INDEX(B1:XFD1,(A2)+(1)))=("R"),"false"),B2,R363),R363))</f>
        <v>#VALUE!</v>
      </c>
      <c r="S363" t="e">
        <f ca="1">IF((A1)=(2),1,IF((360)=(S3),IF(IF((INDEX(B1:XFD1,(A2)+(0)))=("store"),(INDEX(B1:XFD1,(A2)+(1)))=("S"),"false"),B2,S363),S363))</f>
        <v>#VALUE!</v>
      </c>
      <c r="T363" t="e">
        <f ca="1">IF((A1)=(2),1,IF((360)=(T3),IF(IF((INDEX(B1:XFD1,(A2)+(0)))=("store"),(INDEX(B1:XFD1,(A2)+(1)))=("T"),"false"),B2,T363),T363))</f>
        <v>#VALUE!</v>
      </c>
      <c r="U363" t="e">
        <f ca="1">IF((A1)=(2),1,IF((360)=(U3),IF(IF((INDEX(B1:XFD1,(A2)+(0)))=("store"),(INDEX(B1:XFD1,(A2)+(1)))=("U"),"false"),B2,U363),U363))</f>
        <v>#VALUE!</v>
      </c>
      <c r="V363" t="e">
        <f ca="1">IF((A1)=(2),1,IF((360)=(V3),IF(IF((INDEX(B1:XFD1,(A2)+(0)))=("store"),(INDEX(B1:XFD1,(A2)+(1)))=("V"),"false"),B2,V363),V363))</f>
        <v>#VALUE!</v>
      </c>
      <c r="W363" t="e">
        <f ca="1">IF((A1)=(2),1,IF((360)=(W3),IF(IF((INDEX(B1:XFD1,(A2)+(0)))=("store"),(INDEX(B1:XFD1,(A2)+(1)))=("W"),"false"),B2,W363),W363))</f>
        <v>#VALUE!</v>
      </c>
      <c r="X363" t="e">
        <f ca="1">IF((A1)=(2),1,IF((360)=(X3),IF(IF((INDEX(B1:XFD1,(A2)+(0)))=("store"),(INDEX(B1:XFD1,(A2)+(1)))=("X"),"false"),B2,X363),X363))</f>
        <v>#VALUE!</v>
      </c>
      <c r="Y363" t="e">
        <f ca="1">IF((A1)=(2),1,IF((360)=(Y3),IF(IF((INDEX(B1:XFD1,(A2)+(0)))=("store"),(INDEX(B1:XFD1,(A2)+(1)))=("Y"),"false"),B2,Y363),Y363))</f>
        <v>#VALUE!</v>
      </c>
      <c r="Z363" t="e">
        <f ca="1">IF((A1)=(2),1,IF((360)=(Z3),IF(IF((INDEX(B1:XFD1,(A2)+(0)))=("store"),(INDEX(B1:XFD1,(A2)+(1)))=("Z"),"false"),B2,Z363),Z363))</f>
        <v>#VALUE!</v>
      </c>
      <c r="AA363" t="e">
        <f ca="1">IF((A1)=(2),1,IF((360)=(AA3),IF(IF((INDEX(B1:XFD1,(A2)+(0)))=("store"),(INDEX(B1:XFD1,(A2)+(1)))=("AA"),"false"),B2,AA363),AA363))</f>
        <v>#VALUE!</v>
      </c>
      <c r="AB363" t="e">
        <f ca="1">IF((A1)=(2),1,IF((360)=(AB3),IF(IF((INDEX(B1:XFD1,(A2)+(0)))=("store"),(INDEX(B1:XFD1,(A2)+(1)))=("AB"),"false"),B2,AB363),AB363))</f>
        <v>#VALUE!</v>
      </c>
      <c r="AC363" t="e">
        <f ca="1">IF((A1)=(2),1,IF((360)=(AC3),IF(IF((INDEX(B1:XFD1,(A2)+(0)))=("store"),(INDEX(B1:XFD1,(A2)+(1)))=("AC"),"false"),B2,AC363),AC363))</f>
        <v>#VALUE!</v>
      </c>
      <c r="AD363" t="e">
        <f ca="1">IF((A1)=(2),1,IF((360)=(AD3),IF(IF((INDEX(B1:XFD1,(A2)+(0)))=("store"),(INDEX(B1:XFD1,(A2)+(1)))=("AD"),"false"),B2,AD363),AD363))</f>
        <v>#VALUE!</v>
      </c>
    </row>
    <row r="364" spans="1:30" x14ac:dyDescent="0.25">
      <c r="A364" t="e">
        <f ca="1">IF((A1)=(2),1,IF((361)=(A3),IF(("call")=(INDEX(B1:XFD1,(A2)+(0))),((B2)*(2))+(1),IF(("goto")=(INDEX(B1:XFD1,(A2)+(0))),((INDEX(B1:XFD1,(A2)+(1)))*(2))+(1),IF(("gotoiftrue")=(INDEX(B1:XFD1,(A2)+(0))),IF(B2,((INDEX(B1:XFD1,(A2)+(1)))*(2))+(1),(A364)+(2)),(A364)+(2)))),A364))</f>
        <v>#VALUE!</v>
      </c>
      <c r="B364" t="e">
        <f ca="1">IF((A1)=(2),1,IF((361)=(B3),IF(("push")=(INDEX(B1:XFD1,(A2)+(0))),INDEX(B1:XFD1,(A2)+(1)),IF(("load")=(INDEX(B1:XFD1,(A2)+(0))),INDEX(F2:XFD2,INDEX(B1:XFD1,(A2)+(1))),IF(("newheap")=(INDEX(B1:XFD1,(A2)+(0))),(C3)-(2),IF(("getheap")=(INDEX(B1:XFD1,(A2)+(0))),INDEX(C4:C404,(B364)+(1)),IF(("add")=(INDEX(B1:XFD1,(A2)+(0))),(INDEX(B4:B404,(B3)+(1)))+(B364),IF(("equals")=(INDEX(B1:XFD1,(A2)+(0))),(INDEX(B4:B404,(B3)+(1)))=(B364),IF(("leq")=(INDEX(B1:XFD1,(A2)+(0))),(INDEX(B4:B404,(B3)+(1)))&lt;=(B364),IF(("mod")=(INDEX(B1:XFD1,(A2)+(0))),MOD(INDEX(B4:B404,(B3)+(1)),B364),B364)))))))),B364))</f>
        <v>#VALUE!</v>
      </c>
      <c r="C364" t="e">
        <f ca="1">IF((A1)=(2),1,IF(AND((INDEX(B1:XFD1,(A2)+(0)))=("writeheap"),(INDEX(B4:B404,(B3)+(1)))=(360)),INDEX(B4:B404,(B3)+(2)),IF((A1)=(2),1,IF((361)=(C3),C364,C364))))</f>
        <v>#VALUE!</v>
      </c>
      <c r="E364" t="e">
        <f ca="1">IF((A1)=(2),1,IF((361)=(E3),IF(("outputline")=(INDEX(B1:XFD1,(A2)+(0))),B2,E364),E364))</f>
        <v>#VALUE!</v>
      </c>
      <c r="F364" t="e">
        <f ca="1">IF((A1)=(2),1,IF((361)=(F3),IF(IF((INDEX(B1:XFD1,(A2)+(0)))=("store"),(INDEX(B1:XFD1,(A2)+(1)))=("F"),"false"),B2,F364),F364))</f>
        <v>#VALUE!</v>
      </c>
      <c r="G364" t="e">
        <f ca="1">IF((A1)=(2),1,IF((361)=(G3),IF(IF((INDEX(B1:XFD1,(A2)+(0)))=("store"),(INDEX(B1:XFD1,(A2)+(1)))=("G"),"false"),B2,G364),G364))</f>
        <v>#VALUE!</v>
      </c>
      <c r="H364" t="e">
        <f ca="1">IF((A1)=(2),1,IF((361)=(H3),IF(IF((INDEX(B1:XFD1,(A2)+(0)))=("store"),(INDEX(B1:XFD1,(A2)+(1)))=("H"),"false"),B2,H364),H364))</f>
        <v>#VALUE!</v>
      </c>
      <c r="I364" t="e">
        <f ca="1">IF((A1)=(2),1,IF((361)=(I3),IF(IF((INDEX(B1:XFD1,(A2)+(0)))=("store"),(INDEX(B1:XFD1,(A2)+(1)))=("I"),"false"),B2,I364),I364))</f>
        <v>#VALUE!</v>
      </c>
      <c r="J364" t="e">
        <f ca="1">IF((A1)=(2),1,IF((361)=(J3),IF(IF((INDEX(B1:XFD1,(A2)+(0)))=("store"),(INDEX(B1:XFD1,(A2)+(1)))=("J"),"false"),B2,J364),J364))</f>
        <v>#VALUE!</v>
      </c>
      <c r="K364" t="e">
        <f ca="1">IF((A1)=(2),1,IF((361)=(K3),IF(IF((INDEX(B1:XFD1,(A2)+(0)))=("store"),(INDEX(B1:XFD1,(A2)+(1)))=("K"),"false"),B2,K364),K364))</f>
        <v>#VALUE!</v>
      </c>
      <c r="L364" t="e">
        <f ca="1">IF((A1)=(2),1,IF((361)=(L3),IF(IF((INDEX(B1:XFD1,(A2)+(0)))=("store"),(INDEX(B1:XFD1,(A2)+(1)))=("L"),"false"),B2,L364),L364))</f>
        <v>#VALUE!</v>
      </c>
      <c r="M364" t="e">
        <f ca="1">IF((A1)=(2),1,IF((361)=(M3),IF(IF((INDEX(B1:XFD1,(A2)+(0)))=("store"),(INDEX(B1:XFD1,(A2)+(1)))=("M"),"false"),B2,M364),M364))</f>
        <v>#VALUE!</v>
      </c>
      <c r="N364" t="e">
        <f ca="1">IF((A1)=(2),1,IF((361)=(N3),IF(IF((INDEX(B1:XFD1,(A2)+(0)))=("store"),(INDEX(B1:XFD1,(A2)+(1)))=("N"),"false"),B2,N364),N364))</f>
        <v>#VALUE!</v>
      </c>
      <c r="O364" t="e">
        <f ca="1">IF((A1)=(2),1,IF((361)=(O3),IF(IF((INDEX(B1:XFD1,(A2)+(0)))=("store"),(INDEX(B1:XFD1,(A2)+(1)))=("O"),"false"),B2,O364),O364))</f>
        <v>#VALUE!</v>
      </c>
      <c r="P364" t="e">
        <f ca="1">IF((A1)=(2),1,IF((361)=(P3),IF(IF((INDEX(B1:XFD1,(A2)+(0)))=("store"),(INDEX(B1:XFD1,(A2)+(1)))=("P"),"false"),B2,P364),P364))</f>
        <v>#VALUE!</v>
      </c>
      <c r="Q364" t="e">
        <f ca="1">IF((A1)=(2),1,IF((361)=(Q3),IF(IF((INDEX(B1:XFD1,(A2)+(0)))=("store"),(INDEX(B1:XFD1,(A2)+(1)))=("Q"),"false"),B2,Q364),Q364))</f>
        <v>#VALUE!</v>
      </c>
      <c r="R364" t="e">
        <f ca="1">IF((A1)=(2),1,IF((361)=(R3),IF(IF((INDEX(B1:XFD1,(A2)+(0)))=("store"),(INDEX(B1:XFD1,(A2)+(1)))=("R"),"false"),B2,R364),R364))</f>
        <v>#VALUE!</v>
      </c>
      <c r="S364" t="e">
        <f ca="1">IF((A1)=(2),1,IF((361)=(S3),IF(IF((INDEX(B1:XFD1,(A2)+(0)))=("store"),(INDEX(B1:XFD1,(A2)+(1)))=("S"),"false"),B2,S364),S364))</f>
        <v>#VALUE!</v>
      </c>
      <c r="T364" t="e">
        <f ca="1">IF((A1)=(2),1,IF((361)=(T3),IF(IF((INDEX(B1:XFD1,(A2)+(0)))=("store"),(INDEX(B1:XFD1,(A2)+(1)))=("T"),"false"),B2,T364),T364))</f>
        <v>#VALUE!</v>
      </c>
      <c r="U364" t="e">
        <f ca="1">IF((A1)=(2),1,IF((361)=(U3),IF(IF((INDEX(B1:XFD1,(A2)+(0)))=("store"),(INDEX(B1:XFD1,(A2)+(1)))=("U"),"false"),B2,U364),U364))</f>
        <v>#VALUE!</v>
      </c>
      <c r="V364" t="e">
        <f ca="1">IF((A1)=(2),1,IF((361)=(V3),IF(IF((INDEX(B1:XFD1,(A2)+(0)))=("store"),(INDEX(B1:XFD1,(A2)+(1)))=("V"),"false"),B2,V364),V364))</f>
        <v>#VALUE!</v>
      </c>
      <c r="W364" t="e">
        <f ca="1">IF((A1)=(2),1,IF((361)=(W3),IF(IF((INDEX(B1:XFD1,(A2)+(0)))=("store"),(INDEX(B1:XFD1,(A2)+(1)))=("W"),"false"),B2,W364),W364))</f>
        <v>#VALUE!</v>
      </c>
      <c r="X364" t="e">
        <f ca="1">IF((A1)=(2),1,IF((361)=(X3),IF(IF((INDEX(B1:XFD1,(A2)+(0)))=("store"),(INDEX(B1:XFD1,(A2)+(1)))=("X"),"false"),B2,X364),X364))</f>
        <v>#VALUE!</v>
      </c>
      <c r="Y364" t="e">
        <f ca="1">IF((A1)=(2),1,IF((361)=(Y3),IF(IF((INDEX(B1:XFD1,(A2)+(0)))=("store"),(INDEX(B1:XFD1,(A2)+(1)))=("Y"),"false"),B2,Y364),Y364))</f>
        <v>#VALUE!</v>
      </c>
      <c r="Z364" t="e">
        <f ca="1">IF((A1)=(2),1,IF((361)=(Z3),IF(IF((INDEX(B1:XFD1,(A2)+(0)))=("store"),(INDEX(B1:XFD1,(A2)+(1)))=("Z"),"false"),B2,Z364),Z364))</f>
        <v>#VALUE!</v>
      </c>
      <c r="AA364" t="e">
        <f ca="1">IF((A1)=(2),1,IF((361)=(AA3),IF(IF((INDEX(B1:XFD1,(A2)+(0)))=("store"),(INDEX(B1:XFD1,(A2)+(1)))=("AA"),"false"),B2,AA364),AA364))</f>
        <v>#VALUE!</v>
      </c>
      <c r="AB364" t="e">
        <f ca="1">IF((A1)=(2),1,IF((361)=(AB3),IF(IF((INDEX(B1:XFD1,(A2)+(0)))=("store"),(INDEX(B1:XFD1,(A2)+(1)))=("AB"),"false"),B2,AB364),AB364))</f>
        <v>#VALUE!</v>
      </c>
      <c r="AC364" t="e">
        <f ca="1">IF((A1)=(2),1,IF((361)=(AC3),IF(IF((INDEX(B1:XFD1,(A2)+(0)))=("store"),(INDEX(B1:XFD1,(A2)+(1)))=("AC"),"false"),B2,AC364),AC364))</f>
        <v>#VALUE!</v>
      </c>
      <c r="AD364" t="e">
        <f ca="1">IF((A1)=(2),1,IF((361)=(AD3),IF(IF((INDEX(B1:XFD1,(A2)+(0)))=("store"),(INDEX(B1:XFD1,(A2)+(1)))=("AD"),"false"),B2,AD364),AD364))</f>
        <v>#VALUE!</v>
      </c>
    </row>
    <row r="365" spans="1:30" x14ac:dyDescent="0.25">
      <c r="A365" t="e">
        <f ca="1">IF((A1)=(2),1,IF((362)=(A3),IF(("call")=(INDEX(B1:XFD1,(A2)+(0))),((B2)*(2))+(1),IF(("goto")=(INDEX(B1:XFD1,(A2)+(0))),((INDEX(B1:XFD1,(A2)+(1)))*(2))+(1),IF(("gotoiftrue")=(INDEX(B1:XFD1,(A2)+(0))),IF(B2,((INDEX(B1:XFD1,(A2)+(1)))*(2))+(1),(A365)+(2)),(A365)+(2)))),A365))</f>
        <v>#VALUE!</v>
      </c>
      <c r="B365" t="e">
        <f ca="1">IF((A1)=(2),1,IF((362)=(B3),IF(("push")=(INDEX(B1:XFD1,(A2)+(0))),INDEX(B1:XFD1,(A2)+(1)),IF(("load")=(INDEX(B1:XFD1,(A2)+(0))),INDEX(F2:XFD2,INDEX(B1:XFD1,(A2)+(1))),IF(("newheap")=(INDEX(B1:XFD1,(A2)+(0))),(C3)-(2),IF(("getheap")=(INDEX(B1:XFD1,(A2)+(0))),INDEX(C4:C404,(B365)+(1)),IF(("add")=(INDEX(B1:XFD1,(A2)+(0))),(INDEX(B4:B404,(B3)+(1)))+(B365),IF(("equals")=(INDEX(B1:XFD1,(A2)+(0))),(INDEX(B4:B404,(B3)+(1)))=(B365),IF(("leq")=(INDEX(B1:XFD1,(A2)+(0))),(INDEX(B4:B404,(B3)+(1)))&lt;=(B365),IF(("mod")=(INDEX(B1:XFD1,(A2)+(0))),MOD(INDEX(B4:B404,(B3)+(1)),B365),B365)))))))),B365))</f>
        <v>#VALUE!</v>
      </c>
      <c r="C365" t="e">
        <f ca="1">IF((A1)=(2),1,IF(AND((INDEX(B1:XFD1,(A2)+(0)))=("writeheap"),(INDEX(B4:B404,(B3)+(1)))=(361)),INDEX(B4:B404,(B3)+(2)),IF((A1)=(2),1,IF((362)=(C3),C365,C365))))</f>
        <v>#VALUE!</v>
      </c>
      <c r="E365" t="e">
        <f ca="1">IF((A1)=(2),1,IF((362)=(E3),IF(("outputline")=(INDEX(B1:XFD1,(A2)+(0))),B2,E365),E365))</f>
        <v>#VALUE!</v>
      </c>
      <c r="F365" t="e">
        <f ca="1">IF((A1)=(2),1,IF((362)=(F3),IF(IF((INDEX(B1:XFD1,(A2)+(0)))=("store"),(INDEX(B1:XFD1,(A2)+(1)))=("F"),"false"),B2,F365),F365))</f>
        <v>#VALUE!</v>
      </c>
      <c r="G365" t="e">
        <f ca="1">IF((A1)=(2),1,IF((362)=(G3),IF(IF((INDEX(B1:XFD1,(A2)+(0)))=("store"),(INDEX(B1:XFD1,(A2)+(1)))=("G"),"false"),B2,G365),G365))</f>
        <v>#VALUE!</v>
      </c>
      <c r="H365" t="e">
        <f ca="1">IF((A1)=(2),1,IF((362)=(H3),IF(IF((INDEX(B1:XFD1,(A2)+(0)))=("store"),(INDEX(B1:XFD1,(A2)+(1)))=("H"),"false"),B2,H365),H365))</f>
        <v>#VALUE!</v>
      </c>
      <c r="I365" t="e">
        <f ca="1">IF((A1)=(2),1,IF((362)=(I3),IF(IF((INDEX(B1:XFD1,(A2)+(0)))=("store"),(INDEX(B1:XFD1,(A2)+(1)))=("I"),"false"),B2,I365),I365))</f>
        <v>#VALUE!</v>
      </c>
      <c r="J365" t="e">
        <f ca="1">IF((A1)=(2),1,IF((362)=(J3),IF(IF((INDEX(B1:XFD1,(A2)+(0)))=("store"),(INDEX(B1:XFD1,(A2)+(1)))=("J"),"false"),B2,J365),J365))</f>
        <v>#VALUE!</v>
      </c>
      <c r="K365" t="e">
        <f ca="1">IF((A1)=(2),1,IF((362)=(K3),IF(IF((INDEX(B1:XFD1,(A2)+(0)))=("store"),(INDEX(B1:XFD1,(A2)+(1)))=("K"),"false"),B2,K365),K365))</f>
        <v>#VALUE!</v>
      </c>
      <c r="L365" t="e">
        <f ca="1">IF((A1)=(2),1,IF((362)=(L3),IF(IF((INDEX(B1:XFD1,(A2)+(0)))=("store"),(INDEX(B1:XFD1,(A2)+(1)))=("L"),"false"),B2,L365),L365))</f>
        <v>#VALUE!</v>
      </c>
      <c r="M365" t="e">
        <f ca="1">IF((A1)=(2),1,IF((362)=(M3),IF(IF((INDEX(B1:XFD1,(A2)+(0)))=("store"),(INDEX(B1:XFD1,(A2)+(1)))=("M"),"false"),B2,M365),M365))</f>
        <v>#VALUE!</v>
      </c>
      <c r="N365" t="e">
        <f ca="1">IF((A1)=(2),1,IF((362)=(N3),IF(IF((INDEX(B1:XFD1,(A2)+(0)))=("store"),(INDEX(B1:XFD1,(A2)+(1)))=("N"),"false"),B2,N365),N365))</f>
        <v>#VALUE!</v>
      </c>
      <c r="O365" t="e">
        <f ca="1">IF((A1)=(2),1,IF((362)=(O3),IF(IF((INDEX(B1:XFD1,(A2)+(0)))=("store"),(INDEX(B1:XFD1,(A2)+(1)))=("O"),"false"),B2,O365),O365))</f>
        <v>#VALUE!</v>
      </c>
      <c r="P365" t="e">
        <f ca="1">IF((A1)=(2),1,IF((362)=(P3),IF(IF((INDEX(B1:XFD1,(A2)+(0)))=("store"),(INDEX(B1:XFD1,(A2)+(1)))=("P"),"false"),B2,P365),P365))</f>
        <v>#VALUE!</v>
      </c>
      <c r="Q365" t="e">
        <f ca="1">IF((A1)=(2),1,IF((362)=(Q3),IF(IF((INDEX(B1:XFD1,(A2)+(0)))=("store"),(INDEX(B1:XFD1,(A2)+(1)))=("Q"),"false"),B2,Q365),Q365))</f>
        <v>#VALUE!</v>
      </c>
      <c r="R365" t="e">
        <f ca="1">IF((A1)=(2),1,IF((362)=(R3),IF(IF((INDEX(B1:XFD1,(A2)+(0)))=("store"),(INDEX(B1:XFD1,(A2)+(1)))=("R"),"false"),B2,R365),R365))</f>
        <v>#VALUE!</v>
      </c>
      <c r="S365" t="e">
        <f ca="1">IF((A1)=(2),1,IF((362)=(S3),IF(IF((INDEX(B1:XFD1,(A2)+(0)))=("store"),(INDEX(B1:XFD1,(A2)+(1)))=("S"),"false"),B2,S365),S365))</f>
        <v>#VALUE!</v>
      </c>
      <c r="T365" t="e">
        <f ca="1">IF((A1)=(2),1,IF((362)=(T3),IF(IF((INDEX(B1:XFD1,(A2)+(0)))=("store"),(INDEX(B1:XFD1,(A2)+(1)))=("T"),"false"),B2,T365),T365))</f>
        <v>#VALUE!</v>
      </c>
      <c r="U365" t="e">
        <f ca="1">IF((A1)=(2),1,IF((362)=(U3),IF(IF((INDEX(B1:XFD1,(A2)+(0)))=("store"),(INDEX(B1:XFD1,(A2)+(1)))=("U"),"false"),B2,U365),U365))</f>
        <v>#VALUE!</v>
      </c>
      <c r="V365" t="e">
        <f ca="1">IF((A1)=(2),1,IF((362)=(V3),IF(IF((INDEX(B1:XFD1,(A2)+(0)))=("store"),(INDEX(B1:XFD1,(A2)+(1)))=("V"),"false"),B2,V365),V365))</f>
        <v>#VALUE!</v>
      </c>
      <c r="W365" t="e">
        <f ca="1">IF((A1)=(2),1,IF((362)=(W3),IF(IF((INDEX(B1:XFD1,(A2)+(0)))=("store"),(INDEX(B1:XFD1,(A2)+(1)))=("W"),"false"),B2,W365),W365))</f>
        <v>#VALUE!</v>
      </c>
      <c r="X365" t="e">
        <f ca="1">IF((A1)=(2),1,IF((362)=(X3),IF(IF((INDEX(B1:XFD1,(A2)+(0)))=("store"),(INDEX(B1:XFD1,(A2)+(1)))=("X"),"false"),B2,X365),X365))</f>
        <v>#VALUE!</v>
      </c>
      <c r="Y365" t="e">
        <f ca="1">IF((A1)=(2),1,IF((362)=(Y3),IF(IF((INDEX(B1:XFD1,(A2)+(0)))=("store"),(INDEX(B1:XFD1,(A2)+(1)))=("Y"),"false"),B2,Y365),Y365))</f>
        <v>#VALUE!</v>
      </c>
      <c r="Z365" t="e">
        <f ca="1">IF((A1)=(2),1,IF((362)=(Z3),IF(IF((INDEX(B1:XFD1,(A2)+(0)))=("store"),(INDEX(B1:XFD1,(A2)+(1)))=("Z"),"false"),B2,Z365),Z365))</f>
        <v>#VALUE!</v>
      </c>
      <c r="AA365" t="e">
        <f ca="1">IF((A1)=(2),1,IF((362)=(AA3),IF(IF((INDEX(B1:XFD1,(A2)+(0)))=("store"),(INDEX(B1:XFD1,(A2)+(1)))=("AA"),"false"),B2,AA365),AA365))</f>
        <v>#VALUE!</v>
      </c>
      <c r="AB365" t="e">
        <f ca="1">IF((A1)=(2),1,IF((362)=(AB3),IF(IF((INDEX(B1:XFD1,(A2)+(0)))=("store"),(INDEX(B1:XFD1,(A2)+(1)))=("AB"),"false"),B2,AB365),AB365))</f>
        <v>#VALUE!</v>
      </c>
      <c r="AC365" t="e">
        <f ca="1">IF((A1)=(2),1,IF((362)=(AC3),IF(IF((INDEX(B1:XFD1,(A2)+(0)))=("store"),(INDEX(B1:XFD1,(A2)+(1)))=("AC"),"false"),B2,AC365),AC365))</f>
        <v>#VALUE!</v>
      </c>
      <c r="AD365" t="e">
        <f ca="1">IF((A1)=(2),1,IF((362)=(AD3),IF(IF((INDEX(B1:XFD1,(A2)+(0)))=("store"),(INDEX(B1:XFD1,(A2)+(1)))=("AD"),"false"),B2,AD365),AD365))</f>
        <v>#VALUE!</v>
      </c>
    </row>
    <row r="366" spans="1:30" x14ac:dyDescent="0.25">
      <c r="A366" t="e">
        <f ca="1">IF((A1)=(2),1,IF((363)=(A3),IF(("call")=(INDEX(B1:XFD1,(A2)+(0))),((B2)*(2))+(1),IF(("goto")=(INDEX(B1:XFD1,(A2)+(0))),((INDEX(B1:XFD1,(A2)+(1)))*(2))+(1),IF(("gotoiftrue")=(INDEX(B1:XFD1,(A2)+(0))),IF(B2,((INDEX(B1:XFD1,(A2)+(1)))*(2))+(1),(A366)+(2)),(A366)+(2)))),A366))</f>
        <v>#VALUE!</v>
      </c>
      <c r="B366" t="e">
        <f ca="1">IF((A1)=(2),1,IF((363)=(B3),IF(("push")=(INDEX(B1:XFD1,(A2)+(0))),INDEX(B1:XFD1,(A2)+(1)),IF(("load")=(INDEX(B1:XFD1,(A2)+(0))),INDEX(F2:XFD2,INDEX(B1:XFD1,(A2)+(1))),IF(("newheap")=(INDEX(B1:XFD1,(A2)+(0))),(C3)-(2),IF(("getheap")=(INDEX(B1:XFD1,(A2)+(0))),INDEX(C4:C404,(B366)+(1)),IF(("add")=(INDEX(B1:XFD1,(A2)+(0))),(INDEX(B4:B404,(B3)+(1)))+(B366),IF(("equals")=(INDEX(B1:XFD1,(A2)+(0))),(INDEX(B4:B404,(B3)+(1)))=(B366),IF(("leq")=(INDEX(B1:XFD1,(A2)+(0))),(INDEX(B4:B404,(B3)+(1)))&lt;=(B366),IF(("mod")=(INDEX(B1:XFD1,(A2)+(0))),MOD(INDEX(B4:B404,(B3)+(1)),B366),B366)))))))),B366))</f>
        <v>#VALUE!</v>
      </c>
      <c r="C366" t="e">
        <f ca="1">IF((A1)=(2),1,IF(AND((INDEX(B1:XFD1,(A2)+(0)))=("writeheap"),(INDEX(B4:B404,(B3)+(1)))=(362)),INDEX(B4:B404,(B3)+(2)),IF((A1)=(2),1,IF((363)=(C3),C366,C366))))</f>
        <v>#VALUE!</v>
      </c>
      <c r="E366" t="e">
        <f ca="1">IF((A1)=(2),1,IF((363)=(E3),IF(("outputline")=(INDEX(B1:XFD1,(A2)+(0))),B2,E366),E366))</f>
        <v>#VALUE!</v>
      </c>
      <c r="F366" t="e">
        <f ca="1">IF((A1)=(2),1,IF((363)=(F3),IF(IF((INDEX(B1:XFD1,(A2)+(0)))=("store"),(INDEX(B1:XFD1,(A2)+(1)))=("F"),"false"),B2,F366),F366))</f>
        <v>#VALUE!</v>
      </c>
      <c r="G366" t="e">
        <f ca="1">IF((A1)=(2),1,IF((363)=(G3),IF(IF((INDEX(B1:XFD1,(A2)+(0)))=("store"),(INDEX(B1:XFD1,(A2)+(1)))=("G"),"false"),B2,G366),G366))</f>
        <v>#VALUE!</v>
      </c>
      <c r="H366" t="e">
        <f ca="1">IF((A1)=(2),1,IF((363)=(H3),IF(IF((INDEX(B1:XFD1,(A2)+(0)))=("store"),(INDEX(B1:XFD1,(A2)+(1)))=("H"),"false"),B2,H366),H366))</f>
        <v>#VALUE!</v>
      </c>
      <c r="I366" t="e">
        <f ca="1">IF((A1)=(2),1,IF((363)=(I3),IF(IF((INDEX(B1:XFD1,(A2)+(0)))=("store"),(INDEX(B1:XFD1,(A2)+(1)))=("I"),"false"),B2,I366),I366))</f>
        <v>#VALUE!</v>
      </c>
      <c r="J366" t="e">
        <f ca="1">IF((A1)=(2),1,IF((363)=(J3),IF(IF((INDEX(B1:XFD1,(A2)+(0)))=("store"),(INDEX(B1:XFD1,(A2)+(1)))=("J"),"false"),B2,J366),J366))</f>
        <v>#VALUE!</v>
      </c>
      <c r="K366" t="e">
        <f ca="1">IF((A1)=(2),1,IF((363)=(K3),IF(IF((INDEX(B1:XFD1,(A2)+(0)))=("store"),(INDEX(B1:XFD1,(A2)+(1)))=("K"),"false"),B2,K366),K366))</f>
        <v>#VALUE!</v>
      </c>
      <c r="L366" t="e">
        <f ca="1">IF((A1)=(2),1,IF((363)=(L3),IF(IF((INDEX(B1:XFD1,(A2)+(0)))=("store"),(INDEX(B1:XFD1,(A2)+(1)))=("L"),"false"),B2,L366),L366))</f>
        <v>#VALUE!</v>
      </c>
      <c r="M366" t="e">
        <f ca="1">IF((A1)=(2),1,IF((363)=(M3),IF(IF((INDEX(B1:XFD1,(A2)+(0)))=("store"),(INDEX(B1:XFD1,(A2)+(1)))=("M"),"false"),B2,M366),M366))</f>
        <v>#VALUE!</v>
      </c>
      <c r="N366" t="e">
        <f ca="1">IF((A1)=(2),1,IF((363)=(N3),IF(IF((INDEX(B1:XFD1,(A2)+(0)))=("store"),(INDEX(B1:XFD1,(A2)+(1)))=("N"),"false"),B2,N366),N366))</f>
        <v>#VALUE!</v>
      </c>
      <c r="O366" t="e">
        <f ca="1">IF((A1)=(2),1,IF((363)=(O3),IF(IF((INDEX(B1:XFD1,(A2)+(0)))=("store"),(INDEX(B1:XFD1,(A2)+(1)))=("O"),"false"),B2,O366),O366))</f>
        <v>#VALUE!</v>
      </c>
      <c r="P366" t="e">
        <f ca="1">IF((A1)=(2),1,IF((363)=(P3),IF(IF((INDEX(B1:XFD1,(A2)+(0)))=("store"),(INDEX(B1:XFD1,(A2)+(1)))=("P"),"false"),B2,P366),P366))</f>
        <v>#VALUE!</v>
      </c>
      <c r="Q366" t="e">
        <f ca="1">IF((A1)=(2),1,IF((363)=(Q3),IF(IF((INDEX(B1:XFD1,(A2)+(0)))=("store"),(INDEX(B1:XFD1,(A2)+(1)))=("Q"),"false"),B2,Q366),Q366))</f>
        <v>#VALUE!</v>
      </c>
      <c r="R366" t="e">
        <f ca="1">IF((A1)=(2),1,IF((363)=(R3),IF(IF((INDEX(B1:XFD1,(A2)+(0)))=("store"),(INDEX(B1:XFD1,(A2)+(1)))=("R"),"false"),B2,R366),R366))</f>
        <v>#VALUE!</v>
      </c>
      <c r="S366" t="e">
        <f ca="1">IF((A1)=(2),1,IF((363)=(S3),IF(IF((INDEX(B1:XFD1,(A2)+(0)))=("store"),(INDEX(B1:XFD1,(A2)+(1)))=("S"),"false"),B2,S366),S366))</f>
        <v>#VALUE!</v>
      </c>
      <c r="T366" t="e">
        <f ca="1">IF((A1)=(2),1,IF((363)=(T3),IF(IF((INDEX(B1:XFD1,(A2)+(0)))=("store"),(INDEX(B1:XFD1,(A2)+(1)))=("T"),"false"),B2,T366),T366))</f>
        <v>#VALUE!</v>
      </c>
      <c r="U366" t="e">
        <f ca="1">IF((A1)=(2),1,IF((363)=(U3),IF(IF((INDEX(B1:XFD1,(A2)+(0)))=("store"),(INDEX(B1:XFD1,(A2)+(1)))=("U"),"false"),B2,U366),U366))</f>
        <v>#VALUE!</v>
      </c>
      <c r="V366" t="e">
        <f ca="1">IF((A1)=(2),1,IF((363)=(V3),IF(IF((INDEX(B1:XFD1,(A2)+(0)))=("store"),(INDEX(B1:XFD1,(A2)+(1)))=("V"),"false"),B2,V366),V366))</f>
        <v>#VALUE!</v>
      </c>
      <c r="W366" t="e">
        <f ca="1">IF((A1)=(2),1,IF((363)=(W3),IF(IF((INDEX(B1:XFD1,(A2)+(0)))=("store"),(INDEX(B1:XFD1,(A2)+(1)))=("W"),"false"),B2,W366),W366))</f>
        <v>#VALUE!</v>
      </c>
      <c r="X366" t="e">
        <f ca="1">IF((A1)=(2),1,IF((363)=(X3),IF(IF((INDEX(B1:XFD1,(A2)+(0)))=("store"),(INDEX(B1:XFD1,(A2)+(1)))=("X"),"false"),B2,X366),X366))</f>
        <v>#VALUE!</v>
      </c>
      <c r="Y366" t="e">
        <f ca="1">IF((A1)=(2),1,IF((363)=(Y3),IF(IF((INDEX(B1:XFD1,(A2)+(0)))=("store"),(INDEX(B1:XFD1,(A2)+(1)))=("Y"),"false"),B2,Y366),Y366))</f>
        <v>#VALUE!</v>
      </c>
      <c r="Z366" t="e">
        <f ca="1">IF((A1)=(2),1,IF((363)=(Z3),IF(IF((INDEX(B1:XFD1,(A2)+(0)))=("store"),(INDEX(B1:XFD1,(A2)+(1)))=("Z"),"false"),B2,Z366),Z366))</f>
        <v>#VALUE!</v>
      </c>
      <c r="AA366" t="e">
        <f ca="1">IF((A1)=(2),1,IF((363)=(AA3),IF(IF((INDEX(B1:XFD1,(A2)+(0)))=("store"),(INDEX(B1:XFD1,(A2)+(1)))=("AA"),"false"),B2,AA366),AA366))</f>
        <v>#VALUE!</v>
      </c>
      <c r="AB366" t="e">
        <f ca="1">IF((A1)=(2),1,IF((363)=(AB3),IF(IF((INDEX(B1:XFD1,(A2)+(0)))=("store"),(INDEX(B1:XFD1,(A2)+(1)))=("AB"),"false"),B2,AB366),AB366))</f>
        <v>#VALUE!</v>
      </c>
      <c r="AC366" t="e">
        <f ca="1">IF((A1)=(2),1,IF((363)=(AC3),IF(IF((INDEX(B1:XFD1,(A2)+(0)))=("store"),(INDEX(B1:XFD1,(A2)+(1)))=("AC"),"false"),B2,AC366),AC366))</f>
        <v>#VALUE!</v>
      </c>
      <c r="AD366" t="e">
        <f ca="1">IF((A1)=(2),1,IF((363)=(AD3),IF(IF((INDEX(B1:XFD1,(A2)+(0)))=("store"),(INDEX(B1:XFD1,(A2)+(1)))=("AD"),"false"),B2,AD366),AD366))</f>
        <v>#VALUE!</v>
      </c>
    </row>
    <row r="367" spans="1:30" x14ac:dyDescent="0.25">
      <c r="A367" t="e">
        <f ca="1">IF((A1)=(2),1,IF((364)=(A3),IF(("call")=(INDEX(B1:XFD1,(A2)+(0))),((B2)*(2))+(1),IF(("goto")=(INDEX(B1:XFD1,(A2)+(0))),((INDEX(B1:XFD1,(A2)+(1)))*(2))+(1),IF(("gotoiftrue")=(INDEX(B1:XFD1,(A2)+(0))),IF(B2,((INDEX(B1:XFD1,(A2)+(1)))*(2))+(1),(A367)+(2)),(A367)+(2)))),A367))</f>
        <v>#VALUE!</v>
      </c>
      <c r="B367" t="e">
        <f ca="1">IF((A1)=(2),1,IF((364)=(B3),IF(("push")=(INDEX(B1:XFD1,(A2)+(0))),INDEX(B1:XFD1,(A2)+(1)),IF(("load")=(INDEX(B1:XFD1,(A2)+(0))),INDEX(F2:XFD2,INDEX(B1:XFD1,(A2)+(1))),IF(("newheap")=(INDEX(B1:XFD1,(A2)+(0))),(C3)-(2),IF(("getheap")=(INDEX(B1:XFD1,(A2)+(0))),INDEX(C4:C404,(B367)+(1)),IF(("add")=(INDEX(B1:XFD1,(A2)+(0))),(INDEX(B4:B404,(B3)+(1)))+(B367),IF(("equals")=(INDEX(B1:XFD1,(A2)+(0))),(INDEX(B4:B404,(B3)+(1)))=(B367),IF(("leq")=(INDEX(B1:XFD1,(A2)+(0))),(INDEX(B4:B404,(B3)+(1)))&lt;=(B367),IF(("mod")=(INDEX(B1:XFD1,(A2)+(0))),MOD(INDEX(B4:B404,(B3)+(1)),B367),B367)))))))),B367))</f>
        <v>#VALUE!</v>
      </c>
      <c r="C367" t="e">
        <f ca="1">IF((A1)=(2),1,IF(AND((INDEX(B1:XFD1,(A2)+(0)))=("writeheap"),(INDEX(B4:B404,(B3)+(1)))=(363)),INDEX(B4:B404,(B3)+(2)),IF((A1)=(2),1,IF((364)=(C3),C367,C367))))</f>
        <v>#VALUE!</v>
      </c>
      <c r="E367" t="e">
        <f ca="1">IF((A1)=(2),1,IF((364)=(E3),IF(("outputline")=(INDEX(B1:XFD1,(A2)+(0))),B2,E367),E367))</f>
        <v>#VALUE!</v>
      </c>
      <c r="F367" t="e">
        <f ca="1">IF((A1)=(2),1,IF((364)=(F3),IF(IF((INDEX(B1:XFD1,(A2)+(0)))=("store"),(INDEX(B1:XFD1,(A2)+(1)))=("F"),"false"),B2,F367),F367))</f>
        <v>#VALUE!</v>
      </c>
      <c r="G367" t="e">
        <f ca="1">IF((A1)=(2),1,IF((364)=(G3),IF(IF((INDEX(B1:XFD1,(A2)+(0)))=("store"),(INDEX(B1:XFD1,(A2)+(1)))=("G"),"false"),B2,G367),G367))</f>
        <v>#VALUE!</v>
      </c>
      <c r="H367" t="e">
        <f ca="1">IF((A1)=(2),1,IF((364)=(H3),IF(IF((INDEX(B1:XFD1,(A2)+(0)))=("store"),(INDEX(B1:XFD1,(A2)+(1)))=("H"),"false"),B2,H367),H367))</f>
        <v>#VALUE!</v>
      </c>
      <c r="I367" t="e">
        <f ca="1">IF((A1)=(2),1,IF((364)=(I3),IF(IF((INDEX(B1:XFD1,(A2)+(0)))=("store"),(INDEX(B1:XFD1,(A2)+(1)))=("I"),"false"),B2,I367),I367))</f>
        <v>#VALUE!</v>
      </c>
      <c r="J367" t="e">
        <f ca="1">IF((A1)=(2),1,IF((364)=(J3),IF(IF((INDEX(B1:XFD1,(A2)+(0)))=("store"),(INDEX(B1:XFD1,(A2)+(1)))=("J"),"false"),B2,J367),J367))</f>
        <v>#VALUE!</v>
      </c>
      <c r="K367" t="e">
        <f ca="1">IF((A1)=(2),1,IF((364)=(K3),IF(IF((INDEX(B1:XFD1,(A2)+(0)))=("store"),(INDEX(B1:XFD1,(A2)+(1)))=("K"),"false"),B2,K367),K367))</f>
        <v>#VALUE!</v>
      </c>
      <c r="L367" t="e">
        <f ca="1">IF((A1)=(2),1,IF((364)=(L3),IF(IF((INDEX(B1:XFD1,(A2)+(0)))=("store"),(INDEX(B1:XFD1,(A2)+(1)))=("L"),"false"),B2,L367),L367))</f>
        <v>#VALUE!</v>
      </c>
      <c r="M367" t="e">
        <f ca="1">IF((A1)=(2),1,IF((364)=(M3),IF(IF((INDEX(B1:XFD1,(A2)+(0)))=("store"),(INDEX(B1:XFD1,(A2)+(1)))=("M"),"false"),B2,M367),M367))</f>
        <v>#VALUE!</v>
      </c>
      <c r="N367" t="e">
        <f ca="1">IF((A1)=(2),1,IF((364)=(N3),IF(IF((INDEX(B1:XFD1,(A2)+(0)))=("store"),(INDEX(B1:XFD1,(A2)+(1)))=("N"),"false"),B2,N367),N367))</f>
        <v>#VALUE!</v>
      </c>
      <c r="O367" t="e">
        <f ca="1">IF((A1)=(2),1,IF((364)=(O3),IF(IF((INDEX(B1:XFD1,(A2)+(0)))=("store"),(INDEX(B1:XFD1,(A2)+(1)))=("O"),"false"),B2,O367),O367))</f>
        <v>#VALUE!</v>
      </c>
      <c r="P367" t="e">
        <f ca="1">IF((A1)=(2),1,IF((364)=(P3),IF(IF((INDEX(B1:XFD1,(A2)+(0)))=("store"),(INDEX(B1:XFD1,(A2)+(1)))=("P"),"false"),B2,P367),P367))</f>
        <v>#VALUE!</v>
      </c>
      <c r="Q367" t="e">
        <f ca="1">IF((A1)=(2),1,IF((364)=(Q3),IF(IF((INDEX(B1:XFD1,(A2)+(0)))=("store"),(INDEX(B1:XFD1,(A2)+(1)))=("Q"),"false"),B2,Q367),Q367))</f>
        <v>#VALUE!</v>
      </c>
      <c r="R367" t="e">
        <f ca="1">IF((A1)=(2),1,IF((364)=(R3),IF(IF((INDEX(B1:XFD1,(A2)+(0)))=("store"),(INDEX(B1:XFD1,(A2)+(1)))=("R"),"false"),B2,R367),R367))</f>
        <v>#VALUE!</v>
      </c>
      <c r="S367" t="e">
        <f ca="1">IF((A1)=(2),1,IF((364)=(S3),IF(IF((INDEX(B1:XFD1,(A2)+(0)))=("store"),(INDEX(B1:XFD1,(A2)+(1)))=("S"),"false"),B2,S367),S367))</f>
        <v>#VALUE!</v>
      </c>
      <c r="T367" t="e">
        <f ca="1">IF((A1)=(2),1,IF((364)=(T3),IF(IF((INDEX(B1:XFD1,(A2)+(0)))=("store"),(INDEX(B1:XFD1,(A2)+(1)))=("T"),"false"),B2,T367),T367))</f>
        <v>#VALUE!</v>
      </c>
      <c r="U367" t="e">
        <f ca="1">IF((A1)=(2),1,IF((364)=(U3),IF(IF((INDEX(B1:XFD1,(A2)+(0)))=("store"),(INDEX(B1:XFD1,(A2)+(1)))=("U"),"false"),B2,U367),U367))</f>
        <v>#VALUE!</v>
      </c>
      <c r="V367" t="e">
        <f ca="1">IF((A1)=(2),1,IF((364)=(V3),IF(IF((INDEX(B1:XFD1,(A2)+(0)))=("store"),(INDEX(B1:XFD1,(A2)+(1)))=("V"),"false"),B2,V367),V367))</f>
        <v>#VALUE!</v>
      </c>
      <c r="W367" t="e">
        <f ca="1">IF((A1)=(2),1,IF((364)=(W3),IF(IF((INDEX(B1:XFD1,(A2)+(0)))=("store"),(INDEX(B1:XFD1,(A2)+(1)))=("W"),"false"),B2,W367),W367))</f>
        <v>#VALUE!</v>
      </c>
      <c r="X367" t="e">
        <f ca="1">IF((A1)=(2),1,IF((364)=(X3),IF(IF((INDEX(B1:XFD1,(A2)+(0)))=("store"),(INDEX(B1:XFD1,(A2)+(1)))=("X"),"false"),B2,X367),X367))</f>
        <v>#VALUE!</v>
      </c>
      <c r="Y367" t="e">
        <f ca="1">IF((A1)=(2),1,IF((364)=(Y3),IF(IF((INDEX(B1:XFD1,(A2)+(0)))=("store"),(INDEX(B1:XFD1,(A2)+(1)))=("Y"),"false"),B2,Y367),Y367))</f>
        <v>#VALUE!</v>
      </c>
      <c r="Z367" t="e">
        <f ca="1">IF((A1)=(2),1,IF((364)=(Z3),IF(IF((INDEX(B1:XFD1,(A2)+(0)))=("store"),(INDEX(B1:XFD1,(A2)+(1)))=("Z"),"false"),B2,Z367),Z367))</f>
        <v>#VALUE!</v>
      </c>
      <c r="AA367" t="e">
        <f ca="1">IF((A1)=(2),1,IF((364)=(AA3),IF(IF((INDEX(B1:XFD1,(A2)+(0)))=("store"),(INDEX(B1:XFD1,(A2)+(1)))=("AA"),"false"),B2,AA367),AA367))</f>
        <v>#VALUE!</v>
      </c>
      <c r="AB367" t="e">
        <f ca="1">IF((A1)=(2),1,IF((364)=(AB3),IF(IF((INDEX(B1:XFD1,(A2)+(0)))=("store"),(INDEX(B1:XFD1,(A2)+(1)))=("AB"),"false"),B2,AB367),AB367))</f>
        <v>#VALUE!</v>
      </c>
      <c r="AC367" t="e">
        <f ca="1">IF((A1)=(2),1,IF((364)=(AC3),IF(IF((INDEX(B1:XFD1,(A2)+(0)))=("store"),(INDEX(B1:XFD1,(A2)+(1)))=("AC"),"false"),B2,AC367),AC367))</f>
        <v>#VALUE!</v>
      </c>
      <c r="AD367" t="e">
        <f ca="1">IF((A1)=(2),1,IF((364)=(AD3),IF(IF((INDEX(B1:XFD1,(A2)+(0)))=("store"),(INDEX(B1:XFD1,(A2)+(1)))=("AD"),"false"),B2,AD367),AD367))</f>
        <v>#VALUE!</v>
      </c>
    </row>
    <row r="368" spans="1:30" x14ac:dyDescent="0.25">
      <c r="A368" t="e">
        <f ca="1">IF((A1)=(2),1,IF((365)=(A3),IF(("call")=(INDEX(B1:XFD1,(A2)+(0))),((B2)*(2))+(1),IF(("goto")=(INDEX(B1:XFD1,(A2)+(0))),((INDEX(B1:XFD1,(A2)+(1)))*(2))+(1),IF(("gotoiftrue")=(INDEX(B1:XFD1,(A2)+(0))),IF(B2,((INDEX(B1:XFD1,(A2)+(1)))*(2))+(1),(A368)+(2)),(A368)+(2)))),A368))</f>
        <v>#VALUE!</v>
      </c>
      <c r="B368" t="e">
        <f ca="1">IF((A1)=(2),1,IF((365)=(B3),IF(("push")=(INDEX(B1:XFD1,(A2)+(0))),INDEX(B1:XFD1,(A2)+(1)),IF(("load")=(INDEX(B1:XFD1,(A2)+(0))),INDEX(F2:XFD2,INDEX(B1:XFD1,(A2)+(1))),IF(("newheap")=(INDEX(B1:XFD1,(A2)+(0))),(C3)-(2),IF(("getheap")=(INDEX(B1:XFD1,(A2)+(0))),INDEX(C4:C404,(B368)+(1)),IF(("add")=(INDEX(B1:XFD1,(A2)+(0))),(INDEX(B4:B404,(B3)+(1)))+(B368),IF(("equals")=(INDEX(B1:XFD1,(A2)+(0))),(INDEX(B4:B404,(B3)+(1)))=(B368),IF(("leq")=(INDEX(B1:XFD1,(A2)+(0))),(INDEX(B4:B404,(B3)+(1)))&lt;=(B368),IF(("mod")=(INDEX(B1:XFD1,(A2)+(0))),MOD(INDEX(B4:B404,(B3)+(1)),B368),B368)))))))),B368))</f>
        <v>#VALUE!</v>
      </c>
      <c r="C368" t="e">
        <f ca="1">IF((A1)=(2),1,IF(AND((INDEX(B1:XFD1,(A2)+(0)))=("writeheap"),(INDEX(B4:B404,(B3)+(1)))=(364)),INDEX(B4:B404,(B3)+(2)),IF((A1)=(2),1,IF((365)=(C3),C368,C368))))</f>
        <v>#VALUE!</v>
      </c>
      <c r="E368" t="e">
        <f ca="1">IF((A1)=(2),1,IF((365)=(E3),IF(("outputline")=(INDEX(B1:XFD1,(A2)+(0))),B2,E368),E368))</f>
        <v>#VALUE!</v>
      </c>
      <c r="F368" t="e">
        <f ca="1">IF((A1)=(2),1,IF((365)=(F3),IF(IF((INDEX(B1:XFD1,(A2)+(0)))=("store"),(INDEX(B1:XFD1,(A2)+(1)))=("F"),"false"),B2,F368),F368))</f>
        <v>#VALUE!</v>
      </c>
      <c r="G368" t="e">
        <f ca="1">IF((A1)=(2),1,IF((365)=(G3),IF(IF((INDEX(B1:XFD1,(A2)+(0)))=("store"),(INDEX(B1:XFD1,(A2)+(1)))=("G"),"false"),B2,G368),G368))</f>
        <v>#VALUE!</v>
      </c>
      <c r="H368" t="e">
        <f ca="1">IF((A1)=(2),1,IF((365)=(H3),IF(IF((INDEX(B1:XFD1,(A2)+(0)))=("store"),(INDEX(B1:XFD1,(A2)+(1)))=("H"),"false"),B2,H368),H368))</f>
        <v>#VALUE!</v>
      </c>
      <c r="I368" t="e">
        <f ca="1">IF((A1)=(2),1,IF((365)=(I3),IF(IF((INDEX(B1:XFD1,(A2)+(0)))=("store"),(INDEX(B1:XFD1,(A2)+(1)))=("I"),"false"),B2,I368),I368))</f>
        <v>#VALUE!</v>
      </c>
      <c r="J368" t="e">
        <f ca="1">IF((A1)=(2),1,IF((365)=(J3),IF(IF((INDEX(B1:XFD1,(A2)+(0)))=("store"),(INDEX(B1:XFD1,(A2)+(1)))=("J"),"false"),B2,J368),J368))</f>
        <v>#VALUE!</v>
      </c>
      <c r="K368" t="e">
        <f ca="1">IF((A1)=(2),1,IF((365)=(K3),IF(IF((INDEX(B1:XFD1,(A2)+(0)))=("store"),(INDEX(B1:XFD1,(A2)+(1)))=("K"),"false"),B2,K368),K368))</f>
        <v>#VALUE!</v>
      </c>
      <c r="L368" t="e">
        <f ca="1">IF((A1)=(2),1,IF((365)=(L3),IF(IF((INDEX(B1:XFD1,(A2)+(0)))=("store"),(INDEX(B1:XFD1,(A2)+(1)))=("L"),"false"),B2,L368),L368))</f>
        <v>#VALUE!</v>
      </c>
      <c r="M368" t="e">
        <f ca="1">IF((A1)=(2),1,IF((365)=(M3),IF(IF((INDEX(B1:XFD1,(A2)+(0)))=("store"),(INDEX(B1:XFD1,(A2)+(1)))=("M"),"false"),B2,M368),M368))</f>
        <v>#VALUE!</v>
      </c>
      <c r="N368" t="e">
        <f ca="1">IF((A1)=(2),1,IF((365)=(N3),IF(IF((INDEX(B1:XFD1,(A2)+(0)))=("store"),(INDEX(B1:XFD1,(A2)+(1)))=("N"),"false"),B2,N368),N368))</f>
        <v>#VALUE!</v>
      </c>
      <c r="O368" t="e">
        <f ca="1">IF((A1)=(2),1,IF((365)=(O3),IF(IF((INDEX(B1:XFD1,(A2)+(0)))=("store"),(INDEX(B1:XFD1,(A2)+(1)))=("O"),"false"),B2,O368),O368))</f>
        <v>#VALUE!</v>
      </c>
      <c r="P368" t="e">
        <f ca="1">IF((A1)=(2),1,IF((365)=(P3),IF(IF((INDEX(B1:XFD1,(A2)+(0)))=("store"),(INDEX(B1:XFD1,(A2)+(1)))=("P"),"false"),B2,P368),P368))</f>
        <v>#VALUE!</v>
      </c>
      <c r="Q368" t="e">
        <f ca="1">IF((A1)=(2),1,IF((365)=(Q3),IF(IF((INDEX(B1:XFD1,(A2)+(0)))=("store"),(INDEX(B1:XFD1,(A2)+(1)))=("Q"),"false"),B2,Q368),Q368))</f>
        <v>#VALUE!</v>
      </c>
      <c r="R368" t="e">
        <f ca="1">IF((A1)=(2),1,IF((365)=(R3),IF(IF((INDEX(B1:XFD1,(A2)+(0)))=("store"),(INDEX(B1:XFD1,(A2)+(1)))=("R"),"false"),B2,R368),R368))</f>
        <v>#VALUE!</v>
      </c>
      <c r="S368" t="e">
        <f ca="1">IF((A1)=(2),1,IF((365)=(S3),IF(IF((INDEX(B1:XFD1,(A2)+(0)))=("store"),(INDEX(B1:XFD1,(A2)+(1)))=("S"),"false"),B2,S368),S368))</f>
        <v>#VALUE!</v>
      </c>
      <c r="T368" t="e">
        <f ca="1">IF((A1)=(2),1,IF((365)=(T3),IF(IF((INDEX(B1:XFD1,(A2)+(0)))=("store"),(INDEX(B1:XFD1,(A2)+(1)))=("T"),"false"),B2,T368),T368))</f>
        <v>#VALUE!</v>
      </c>
      <c r="U368" t="e">
        <f ca="1">IF((A1)=(2),1,IF((365)=(U3),IF(IF((INDEX(B1:XFD1,(A2)+(0)))=("store"),(INDEX(B1:XFD1,(A2)+(1)))=("U"),"false"),B2,U368),U368))</f>
        <v>#VALUE!</v>
      </c>
      <c r="V368" t="e">
        <f ca="1">IF((A1)=(2),1,IF((365)=(V3),IF(IF((INDEX(B1:XFD1,(A2)+(0)))=("store"),(INDEX(B1:XFD1,(A2)+(1)))=("V"),"false"),B2,V368),V368))</f>
        <v>#VALUE!</v>
      </c>
      <c r="W368" t="e">
        <f ca="1">IF((A1)=(2),1,IF((365)=(W3),IF(IF((INDEX(B1:XFD1,(A2)+(0)))=("store"),(INDEX(B1:XFD1,(A2)+(1)))=("W"),"false"),B2,W368),W368))</f>
        <v>#VALUE!</v>
      </c>
      <c r="X368" t="e">
        <f ca="1">IF((A1)=(2),1,IF((365)=(X3),IF(IF((INDEX(B1:XFD1,(A2)+(0)))=("store"),(INDEX(B1:XFD1,(A2)+(1)))=("X"),"false"),B2,X368),X368))</f>
        <v>#VALUE!</v>
      </c>
      <c r="Y368" t="e">
        <f ca="1">IF((A1)=(2),1,IF((365)=(Y3),IF(IF((INDEX(B1:XFD1,(A2)+(0)))=("store"),(INDEX(B1:XFD1,(A2)+(1)))=("Y"),"false"),B2,Y368),Y368))</f>
        <v>#VALUE!</v>
      </c>
      <c r="Z368" t="e">
        <f ca="1">IF((A1)=(2),1,IF((365)=(Z3),IF(IF((INDEX(B1:XFD1,(A2)+(0)))=("store"),(INDEX(B1:XFD1,(A2)+(1)))=("Z"),"false"),B2,Z368),Z368))</f>
        <v>#VALUE!</v>
      </c>
      <c r="AA368" t="e">
        <f ca="1">IF((A1)=(2),1,IF((365)=(AA3),IF(IF((INDEX(B1:XFD1,(A2)+(0)))=("store"),(INDEX(B1:XFD1,(A2)+(1)))=("AA"),"false"),B2,AA368),AA368))</f>
        <v>#VALUE!</v>
      </c>
      <c r="AB368" t="e">
        <f ca="1">IF((A1)=(2),1,IF((365)=(AB3),IF(IF((INDEX(B1:XFD1,(A2)+(0)))=("store"),(INDEX(B1:XFD1,(A2)+(1)))=("AB"),"false"),B2,AB368),AB368))</f>
        <v>#VALUE!</v>
      </c>
      <c r="AC368" t="e">
        <f ca="1">IF((A1)=(2),1,IF((365)=(AC3),IF(IF((INDEX(B1:XFD1,(A2)+(0)))=("store"),(INDEX(B1:XFD1,(A2)+(1)))=("AC"),"false"),B2,AC368),AC368))</f>
        <v>#VALUE!</v>
      </c>
      <c r="AD368" t="e">
        <f ca="1">IF((A1)=(2),1,IF((365)=(AD3),IF(IF((INDEX(B1:XFD1,(A2)+(0)))=("store"),(INDEX(B1:XFD1,(A2)+(1)))=("AD"),"false"),B2,AD368),AD368))</f>
        <v>#VALUE!</v>
      </c>
    </row>
    <row r="369" spans="1:30" x14ac:dyDescent="0.25">
      <c r="A369" t="e">
        <f ca="1">IF((A1)=(2),1,IF((366)=(A3),IF(("call")=(INDEX(B1:XFD1,(A2)+(0))),((B2)*(2))+(1),IF(("goto")=(INDEX(B1:XFD1,(A2)+(0))),((INDEX(B1:XFD1,(A2)+(1)))*(2))+(1),IF(("gotoiftrue")=(INDEX(B1:XFD1,(A2)+(0))),IF(B2,((INDEX(B1:XFD1,(A2)+(1)))*(2))+(1),(A369)+(2)),(A369)+(2)))),A369))</f>
        <v>#VALUE!</v>
      </c>
      <c r="B369" t="e">
        <f ca="1">IF((A1)=(2),1,IF((366)=(B3),IF(("push")=(INDEX(B1:XFD1,(A2)+(0))),INDEX(B1:XFD1,(A2)+(1)),IF(("load")=(INDEX(B1:XFD1,(A2)+(0))),INDEX(F2:XFD2,INDEX(B1:XFD1,(A2)+(1))),IF(("newheap")=(INDEX(B1:XFD1,(A2)+(0))),(C3)-(2),IF(("getheap")=(INDEX(B1:XFD1,(A2)+(0))),INDEX(C4:C404,(B369)+(1)),IF(("add")=(INDEX(B1:XFD1,(A2)+(0))),(INDEX(B4:B404,(B3)+(1)))+(B369),IF(("equals")=(INDEX(B1:XFD1,(A2)+(0))),(INDEX(B4:B404,(B3)+(1)))=(B369),IF(("leq")=(INDEX(B1:XFD1,(A2)+(0))),(INDEX(B4:B404,(B3)+(1)))&lt;=(B369),IF(("mod")=(INDEX(B1:XFD1,(A2)+(0))),MOD(INDEX(B4:B404,(B3)+(1)),B369),B369)))))))),B369))</f>
        <v>#VALUE!</v>
      </c>
      <c r="C369" t="e">
        <f ca="1">IF((A1)=(2),1,IF(AND((INDEX(B1:XFD1,(A2)+(0)))=("writeheap"),(INDEX(B4:B404,(B3)+(1)))=(365)),INDEX(B4:B404,(B3)+(2)),IF((A1)=(2),1,IF((366)=(C3),C369,C369))))</f>
        <v>#VALUE!</v>
      </c>
      <c r="E369" t="e">
        <f ca="1">IF((A1)=(2),1,IF((366)=(E3),IF(("outputline")=(INDEX(B1:XFD1,(A2)+(0))),B2,E369),E369))</f>
        <v>#VALUE!</v>
      </c>
      <c r="F369" t="e">
        <f ca="1">IF((A1)=(2),1,IF((366)=(F3),IF(IF((INDEX(B1:XFD1,(A2)+(0)))=("store"),(INDEX(B1:XFD1,(A2)+(1)))=("F"),"false"),B2,F369),F369))</f>
        <v>#VALUE!</v>
      </c>
      <c r="G369" t="e">
        <f ca="1">IF((A1)=(2),1,IF((366)=(G3),IF(IF((INDEX(B1:XFD1,(A2)+(0)))=("store"),(INDEX(B1:XFD1,(A2)+(1)))=("G"),"false"),B2,G369),G369))</f>
        <v>#VALUE!</v>
      </c>
      <c r="H369" t="e">
        <f ca="1">IF((A1)=(2),1,IF((366)=(H3),IF(IF((INDEX(B1:XFD1,(A2)+(0)))=("store"),(INDEX(B1:XFD1,(A2)+(1)))=("H"),"false"),B2,H369),H369))</f>
        <v>#VALUE!</v>
      </c>
      <c r="I369" t="e">
        <f ca="1">IF((A1)=(2),1,IF((366)=(I3),IF(IF((INDEX(B1:XFD1,(A2)+(0)))=("store"),(INDEX(B1:XFD1,(A2)+(1)))=("I"),"false"),B2,I369),I369))</f>
        <v>#VALUE!</v>
      </c>
      <c r="J369" t="e">
        <f ca="1">IF((A1)=(2),1,IF((366)=(J3),IF(IF((INDEX(B1:XFD1,(A2)+(0)))=("store"),(INDEX(B1:XFD1,(A2)+(1)))=("J"),"false"),B2,J369),J369))</f>
        <v>#VALUE!</v>
      </c>
      <c r="K369" t="e">
        <f ca="1">IF((A1)=(2),1,IF((366)=(K3),IF(IF((INDEX(B1:XFD1,(A2)+(0)))=("store"),(INDEX(B1:XFD1,(A2)+(1)))=("K"),"false"),B2,K369),K369))</f>
        <v>#VALUE!</v>
      </c>
      <c r="L369" t="e">
        <f ca="1">IF((A1)=(2),1,IF((366)=(L3),IF(IF((INDEX(B1:XFD1,(A2)+(0)))=("store"),(INDEX(B1:XFD1,(A2)+(1)))=("L"),"false"),B2,L369),L369))</f>
        <v>#VALUE!</v>
      </c>
      <c r="M369" t="e">
        <f ca="1">IF((A1)=(2),1,IF((366)=(M3),IF(IF((INDEX(B1:XFD1,(A2)+(0)))=("store"),(INDEX(B1:XFD1,(A2)+(1)))=("M"),"false"),B2,M369),M369))</f>
        <v>#VALUE!</v>
      </c>
      <c r="N369" t="e">
        <f ca="1">IF((A1)=(2),1,IF((366)=(N3),IF(IF((INDEX(B1:XFD1,(A2)+(0)))=("store"),(INDEX(B1:XFD1,(A2)+(1)))=("N"),"false"),B2,N369),N369))</f>
        <v>#VALUE!</v>
      </c>
      <c r="O369" t="e">
        <f ca="1">IF((A1)=(2),1,IF((366)=(O3),IF(IF((INDEX(B1:XFD1,(A2)+(0)))=("store"),(INDEX(B1:XFD1,(A2)+(1)))=("O"),"false"),B2,O369),O369))</f>
        <v>#VALUE!</v>
      </c>
      <c r="P369" t="e">
        <f ca="1">IF((A1)=(2),1,IF((366)=(P3),IF(IF((INDEX(B1:XFD1,(A2)+(0)))=("store"),(INDEX(B1:XFD1,(A2)+(1)))=("P"),"false"),B2,P369),P369))</f>
        <v>#VALUE!</v>
      </c>
      <c r="Q369" t="e">
        <f ca="1">IF((A1)=(2),1,IF((366)=(Q3),IF(IF((INDEX(B1:XFD1,(A2)+(0)))=("store"),(INDEX(B1:XFD1,(A2)+(1)))=("Q"),"false"),B2,Q369),Q369))</f>
        <v>#VALUE!</v>
      </c>
      <c r="R369" t="e">
        <f ca="1">IF((A1)=(2),1,IF((366)=(R3),IF(IF((INDEX(B1:XFD1,(A2)+(0)))=("store"),(INDEX(B1:XFD1,(A2)+(1)))=("R"),"false"),B2,R369),R369))</f>
        <v>#VALUE!</v>
      </c>
      <c r="S369" t="e">
        <f ca="1">IF((A1)=(2),1,IF((366)=(S3),IF(IF((INDEX(B1:XFD1,(A2)+(0)))=("store"),(INDEX(B1:XFD1,(A2)+(1)))=("S"),"false"),B2,S369),S369))</f>
        <v>#VALUE!</v>
      </c>
      <c r="T369" t="e">
        <f ca="1">IF((A1)=(2),1,IF((366)=(T3),IF(IF((INDEX(B1:XFD1,(A2)+(0)))=("store"),(INDEX(B1:XFD1,(A2)+(1)))=("T"),"false"),B2,T369),T369))</f>
        <v>#VALUE!</v>
      </c>
      <c r="U369" t="e">
        <f ca="1">IF((A1)=(2),1,IF((366)=(U3),IF(IF((INDEX(B1:XFD1,(A2)+(0)))=("store"),(INDEX(B1:XFD1,(A2)+(1)))=("U"),"false"),B2,U369),U369))</f>
        <v>#VALUE!</v>
      </c>
      <c r="V369" t="e">
        <f ca="1">IF((A1)=(2),1,IF((366)=(V3),IF(IF((INDEX(B1:XFD1,(A2)+(0)))=("store"),(INDEX(B1:XFD1,(A2)+(1)))=("V"),"false"),B2,V369),V369))</f>
        <v>#VALUE!</v>
      </c>
      <c r="W369" t="e">
        <f ca="1">IF((A1)=(2),1,IF((366)=(W3),IF(IF((INDEX(B1:XFD1,(A2)+(0)))=("store"),(INDEX(B1:XFD1,(A2)+(1)))=("W"),"false"),B2,W369),W369))</f>
        <v>#VALUE!</v>
      </c>
      <c r="X369" t="e">
        <f ca="1">IF((A1)=(2),1,IF((366)=(X3),IF(IF((INDEX(B1:XFD1,(A2)+(0)))=("store"),(INDEX(B1:XFD1,(A2)+(1)))=("X"),"false"),B2,X369),X369))</f>
        <v>#VALUE!</v>
      </c>
      <c r="Y369" t="e">
        <f ca="1">IF((A1)=(2),1,IF((366)=(Y3),IF(IF((INDEX(B1:XFD1,(A2)+(0)))=("store"),(INDEX(B1:XFD1,(A2)+(1)))=("Y"),"false"),B2,Y369),Y369))</f>
        <v>#VALUE!</v>
      </c>
      <c r="Z369" t="e">
        <f ca="1">IF((A1)=(2),1,IF((366)=(Z3),IF(IF((INDEX(B1:XFD1,(A2)+(0)))=("store"),(INDEX(B1:XFD1,(A2)+(1)))=("Z"),"false"),B2,Z369),Z369))</f>
        <v>#VALUE!</v>
      </c>
      <c r="AA369" t="e">
        <f ca="1">IF((A1)=(2),1,IF((366)=(AA3),IF(IF((INDEX(B1:XFD1,(A2)+(0)))=("store"),(INDEX(B1:XFD1,(A2)+(1)))=("AA"),"false"),B2,AA369),AA369))</f>
        <v>#VALUE!</v>
      </c>
      <c r="AB369" t="e">
        <f ca="1">IF((A1)=(2),1,IF((366)=(AB3),IF(IF((INDEX(B1:XFD1,(A2)+(0)))=("store"),(INDEX(B1:XFD1,(A2)+(1)))=("AB"),"false"),B2,AB369),AB369))</f>
        <v>#VALUE!</v>
      </c>
      <c r="AC369" t="e">
        <f ca="1">IF((A1)=(2),1,IF((366)=(AC3),IF(IF((INDEX(B1:XFD1,(A2)+(0)))=("store"),(INDEX(B1:XFD1,(A2)+(1)))=("AC"),"false"),B2,AC369),AC369))</f>
        <v>#VALUE!</v>
      </c>
      <c r="AD369" t="e">
        <f ca="1">IF((A1)=(2),1,IF((366)=(AD3),IF(IF((INDEX(B1:XFD1,(A2)+(0)))=("store"),(INDEX(B1:XFD1,(A2)+(1)))=("AD"),"false"),B2,AD369),AD369))</f>
        <v>#VALUE!</v>
      </c>
    </row>
    <row r="370" spans="1:30" x14ac:dyDescent="0.25">
      <c r="A370" t="e">
        <f ca="1">IF((A1)=(2),1,IF((367)=(A3),IF(("call")=(INDEX(B1:XFD1,(A2)+(0))),((B2)*(2))+(1),IF(("goto")=(INDEX(B1:XFD1,(A2)+(0))),((INDEX(B1:XFD1,(A2)+(1)))*(2))+(1),IF(("gotoiftrue")=(INDEX(B1:XFD1,(A2)+(0))),IF(B2,((INDEX(B1:XFD1,(A2)+(1)))*(2))+(1),(A370)+(2)),(A370)+(2)))),A370))</f>
        <v>#VALUE!</v>
      </c>
      <c r="B370" t="e">
        <f ca="1">IF((A1)=(2),1,IF((367)=(B3),IF(("push")=(INDEX(B1:XFD1,(A2)+(0))),INDEX(B1:XFD1,(A2)+(1)),IF(("load")=(INDEX(B1:XFD1,(A2)+(0))),INDEX(F2:XFD2,INDEX(B1:XFD1,(A2)+(1))),IF(("newheap")=(INDEX(B1:XFD1,(A2)+(0))),(C3)-(2),IF(("getheap")=(INDEX(B1:XFD1,(A2)+(0))),INDEX(C4:C404,(B370)+(1)),IF(("add")=(INDEX(B1:XFD1,(A2)+(0))),(INDEX(B4:B404,(B3)+(1)))+(B370),IF(("equals")=(INDEX(B1:XFD1,(A2)+(0))),(INDEX(B4:B404,(B3)+(1)))=(B370),IF(("leq")=(INDEX(B1:XFD1,(A2)+(0))),(INDEX(B4:B404,(B3)+(1)))&lt;=(B370),IF(("mod")=(INDEX(B1:XFD1,(A2)+(0))),MOD(INDEX(B4:B404,(B3)+(1)),B370),B370)))))))),B370))</f>
        <v>#VALUE!</v>
      </c>
      <c r="C370" t="e">
        <f ca="1">IF((A1)=(2),1,IF(AND((INDEX(B1:XFD1,(A2)+(0)))=("writeheap"),(INDEX(B4:B404,(B3)+(1)))=(366)),INDEX(B4:B404,(B3)+(2)),IF((A1)=(2),1,IF((367)=(C3),C370,C370))))</f>
        <v>#VALUE!</v>
      </c>
      <c r="E370" t="e">
        <f ca="1">IF((A1)=(2),1,IF((367)=(E3),IF(("outputline")=(INDEX(B1:XFD1,(A2)+(0))),B2,E370),E370))</f>
        <v>#VALUE!</v>
      </c>
      <c r="F370" t="e">
        <f ca="1">IF((A1)=(2),1,IF((367)=(F3),IF(IF((INDEX(B1:XFD1,(A2)+(0)))=("store"),(INDEX(B1:XFD1,(A2)+(1)))=("F"),"false"),B2,F370),F370))</f>
        <v>#VALUE!</v>
      </c>
      <c r="G370" t="e">
        <f ca="1">IF((A1)=(2),1,IF((367)=(G3),IF(IF((INDEX(B1:XFD1,(A2)+(0)))=("store"),(INDEX(B1:XFD1,(A2)+(1)))=("G"),"false"),B2,G370),G370))</f>
        <v>#VALUE!</v>
      </c>
      <c r="H370" t="e">
        <f ca="1">IF((A1)=(2),1,IF((367)=(H3),IF(IF((INDEX(B1:XFD1,(A2)+(0)))=("store"),(INDEX(B1:XFD1,(A2)+(1)))=("H"),"false"),B2,H370),H370))</f>
        <v>#VALUE!</v>
      </c>
      <c r="I370" t="e">
        <f ca="1">IF((A1)=(2),1,IF((367)=(I3),IF(IF((INDEX(B1:XFD1,(A2)+(0)))=("store"),(INDEX(B1:XFD1,(A2)+(1)))=("I"),"false"),B2,I370),I370))</f>
        <v>#VALUE!</v>
      </c>
      <c r="J370" t="e">
        <f ca="1">IF((A1)=(2),1,IF((367)=(J3),IF(IF((INDEX(B1:XFD1,(A2)+(0)))=("store"),(INDEX(B1:XFD1,(A2)+(1)))=("J"),"false"),B2,J370),J370))</f>
        <v>#VALUE!</v>
      </c>
      <c r="K370" t="e">
        <f ca="1">IF((A1)=(2),1,IF((367)=(K3),IF(IF((INDEX(B1:XFD1,(A2)+(0)))=("store"),(INDEX(B1:XFD1,(A2)+(1)))=("K"),"false"),B2,K370),K370))</f>
        <v>#VALUE!</v>
      </c>
      <c r="L370" t="e">
        <f ca="1">IF((A1)=(2),1,IF((367)=(L3),IF(IF((INDEX(B1:XFD1,(A2)+(0)))=("store"),(INDEX(B1:XFD1,(A2)+(1)))=("L"),"false"),B2,L370),L370))</f>
        <v>#VALUE!</v>
      </c>
      <c r="M370" t="e">
        <f ca="1">IF((A1)=(2),1,IF((367)=(M3),IF(IF((INDEX(B1:XFD1,(A2)+(0)))=("store"),(INDEX(B1:XFD1,(A2)+(1)))=("M"),"false"),B2,M370),M370))</f>
        <v>#VALUE!</v>
      </c>
      <c r="N370" t="e">
        <f ca="1">IF((A1)=(2),1,IF((367)=(N3),IF(IF((INDEX(B1:XFD1,(A2)+(0)))=("store"),(INDEX(B1:XFD1,(A2)+(1)))=("N"),"false"),B2,N370),N370))</f>
        <v>#VALUE!</v>
      </c>
      <c r="O370" t="e">
        <f ca="1">IF((A1)=(2),1,IF((367)=(O3),IF(IF((INDEX(B1:XFD1,(A2)+(0)))=("store"),(INDEX(B1:XFD1,(A2)+(1)))=("O"),"false"),B2,O370),O370))</f>
        <v>#VALUE!</v>
      </c>
      <c r="P370" t="e">
        <f ca="1">IF((A1)=(2),1,IF((367)=(P3),IF(IF((INDEX(B1:XFD1,(A2)+(0)))=("store"),(INDEX(B1:XFD1,(A2)+(1)))=("P"),"false"),B2,P370),P370))</f>
        <v>#VALUE!</v>
      </c>
      <c r="Q370" t="e">
        <f ca="1">IF((A1)=(2),1,IF((367)=(Q3),IF(IF((INDEX(B1:XFD1,(A2)+(0)))=("store"),(INDEX(B1:XFD1,(A2)+(1)))=("Q"),"false"),B2,Q370),Q370))</f>
        <v>#VALUE!</v>
      </c>
      <c r="R370" t="e">
        <f ca="1">IF((A1)=(2),1,IF((367)=(R3),IF(IF((INDEX(B1:XFD1,(A2)+(0)))=("store"),(INDEX(B1:XFD1,(A2)+(1)))=("R"),"false"),B2,R370),R370))</f>
        <v>#VALUE!</v>
      </c>
      <c r="S370" t="e">
        <f ca="1">IF((A1)=(2),1,IF((367)=(S3),IF(IF((INDEX(B1:XFD1,(A2)+(0)))=("store"),(INDEX(B1:XFD1,(A2)+(1)))=("S"),"false"),B2,S370),S370))</f>
        <v>#VALUE!</v>
      </c>
      <c r="T370" t="e">
        <f ca="1">IF((A1)=(2),1,IF((367)=(T3),IF(IF((INDEX(B1:XFD1,(A2)+(0)))=("store"),(INDEX(B1:XFD1,(A2)+(1)))=("T"),"false"),B2,T370),T370))</f>
        <v>#VALUE!</v>
      </c>
      <c r="U370" t="e">
        <f ca="1">IF((A1)=(2),1,IF((367)=(U3),IF(IF((INDEX(B1:XFD1,(A2)+(0)))=("store"),(INDEX(B1:XFD1,(A2)+(1)))=("U"),"false"),B2,U370),U370))</f>
        <v>#VALUE!</v>
      </c>
      <c r="V370" t="e">
        <f ca="1">IF((A1)=(2),1,IF((367)=(V3),IF(IF((INDEX(B1:XFD1,(A2)+(0)))=("store"),(INDEX(B1:XFD1,(A2)+(1)))=("V"),"false"),B2,V370),V370))</f>
        <v>#VALUE!</v>
      </c>
      <c r="W370" t="e">
        <f ca="1">IF((A1)=(2),1,IF((367)=(W3),IF(IF((INDEX(B1:XFD1,(A2)+(0)))=("store"),(INDEX(B1:XFD1,(A2)+(1)))=("W"),"false"),B2,W370),W370))</f>
        <v>#VALUE!</v>
      </c>
      <c r="X370" t="e">
        <f ca="1">IF((A1)=(2),1,IF((367)=(X3),IF(IF((INDEX(B1:XFD1,(A2)+(0)))=("store"),(INDEX(B1:XFD1,(A2)+(1)))=("X"),"false"),B2,X370),X370))</f>
        <v>#VALUE!</v>
      </c>
      <c r="Y370" t="e">
        <f ca="1">IF((A1)=(2),1,IF((367)=(Y3),IF(IF((INDEX(B1:XFD1,(A2)+(0)))=("store"),(INDEX(B1:XFD1,(A2)+(1)))=("Y"),"false"),B2,Y370),Y370))</f>
        <v>#VALUE!</v>
      </c>
      <c r="Z370" t="e">
        <f ca="1">IF((A1)=(2),1,IF((367)=(Z3),IF(IF((INDEX(B1:XFD1,(A2)+(0)))=("store"),(INDEX(B1:XFD1,(A2)+(1)))=("Z"),"false"),B2,Z370),Z370))</f>
        <v>#VALUE!</v>
      </c>
      <c r="AA370" t="e">
        <f ca="1">IF((A1)=(2),1,IF((367)=(AA3),IF(IF((INDEX(B1:XFD1,(A2)+(0)))=("store"),(INDEX(B1:XFD1,(A2)+(1)))=("AA"),"false"),B2,AA370),AA370))</f>
        <v>#VALUE!</v>
      </c>
      <c r="AB370" t="e">
        <f ca="1">IF((A1)=(2),1,IF((367)=(AB3),IF(IF((INDEX(B1:XFD1,(A2)+(0)))=("store"),(INDEX(B1:XFD1,(A2)+(1)))=("AB"),"false"),B2,AB370),AB370))</f>
        <v>#VALUE!</v>
      </c>
      <c r="AC370" t="e">
        <f ca="1">IF((A1)=(2),1,IF((367)=(AC3),IF(IF((INDEX(B1:XFD1,(A2)+(0)))=("store"),(INDEX(B1:XFD1,(A2)+(1)))=("AC"),"false"),B2,AC370),AC370))</f>
        <v>#VALUE!</v>
      </c>
      <c r="AD370" t="e">
        <f ca="1">IF((A1)=(2),1,IF((367)=(AD3),IF(IF((INDEX(B1:XFD1,(A2)+(0)))=("store"),(INDEX(B1:XFD1,(A2)+(1)))=("AD"),"false"),B2,AD370),AD370))</f>
        <v>#VALUE!</v>
      </c>
    </row>
    <row r="371" spans="1:30" x14ac:dyDescent="0.25">
      <c r="A371" t="e">
        <f ca="1">IF((A1)=(2),1,IF((368)=(A3),IF(("call")=(INDEX(B1:XFD1,(A2)+(0))),((B2)*(2))+(1),IF(("goto")=(INDEX(B1:XFD1,(A2)+(0))),((INDEX(B1:XFD1,(A2)+(1)))*(2))+(1),IF(("gotoiftrue")=(INDEX(B1:XFD1,(A2)+(0))),IF(B2,((INDEX(B1:XFD1,(A2)+(1)))*(2))+(1),(A371)+(2)),(A371)+(2)))),A371))</f>
        <v>#VALUE!</v>
      </c>
      <c r="B371" t="e">
        <f ca="1">IF((A1)=(2),1,IF((368)=(B3),IF(("push")=(INDEX(B1:XFD1,(A2)+(0))),INDEX(B1:XFD1,(A2)+(1)),IF(("load")=(INDEX(B1:XFD1,(A2)+(0))),INDEX(F2:XFD2,INDEX(B1:XFD1,(A2)+(1))),IF(("newheap")=(INDEX(B1:XFD1,(A2)+(0))),(C3)-(2),IF(("getheap")=(INDEX(B1:XFD1,(A2)+(0))),INDEX(C4:C404,(B371)+(1)),IF(("add")=(INDEX(B1:XFD1,(A2)+(0))),(INDEX(B4:B404,(B3)+(1)))+(B371),IF(("equals")=(INDEX(B1:XFD1,(A2)+(0))),(INDEX(B4:B404,(B3)+(1)))=(B371),IF(("leq")=(INDEX(B1:XFD1,(A2)+(0))),(INDEX(B4:B404,(B3)+(1)))&lt;=(B371),IF(("mod")=(INDEX(B1:XFD1,(A2)+(0))),MOD(INDEX(B4:B404,(B3)+(1)),B371),B371)))))))),B371))</f>
        <v>#VALUE!</v>
      </c>
      <c r="C371" t="e">
        <f ca="1">IF((A1)=(2),1,IF(AND((INDEX(B1:XFD1,(A2)+(0)))=("writeheap"),(INDEX(B4:B404,(B3)+(1)))=(367)),INDEX(B4:B404,(B3)+(2)),IF((A1)=(2),1,IF((368)=(C3),C371,C371))))</f>
        <v>#VALUE!</v>
      </c>
      <c r="E371" t="e">
        <f ca="1">IF((A1)=(2),1,IF((368)=(E3),IF(("outputline")=(INDEX(B1:XFD1,(A2)+(0))),B2,E371),E371))</f>
        <v>#VALUE!</v>
      </c>
      <c r="F371" t="e">
        <f ca="1">IF((A1)=(2),1,IF((368)=(F3),IF(IF((INDEX(B1:XFD1,(A2)+(0)))=("store"),(INDEX(B1:XFD1,(A2)+(1)))=("F"),"false"),B2,F371),F371))</f>
        <v>#VALUE!</v>
      </c>
      <c r="G371" t="e">
        <f ca="1">IF((A1)=(2),1,IF((368)=(G3),IF(IF((INDEX(B1:XFD1,(A2)+(0)))=("store"),(INDEX(B1:XFD1,(A2)+(1)))=("G"),"false"),B2,G371),G371))</f>
        <v>#VALUE!</v>
      </c>
      <c r="H371" t="e">
        <f ca="1">IF((A1)=(2),1,IF((368)=(H3),IF(IF((INDEX(B1:XFD1,(A2)+(0)))=("store"),(INDEX(B1:XFD1,(A2)+(1)))=("H"),"false"),B2,H371),H371))</f>
        <v>#VALUE!</v>
      </c>
      <c r="I371" t="e">
        <f ca="1">IF((A1)=(2),1,IF((368)=(I3),IF(IF((INDEX(B1:XFD1,(A2)+(0)))=("store"),(INDEX(B1:XFD1,(A2)+(1)))=("I"),"false"),B2,I371),I371))</f>
        <v>#VALUE!</v>
      </c>
      <c r="J371" t="e">
        <f ca="1">IF((A1)=(2),1,IF((368)=(J3),IF(IF((INDEX(B1:XFD1,(A2)+(0)))=("store"),(INDEX(B1:XFD1,(A2)+(1)))=("J"),"false"),B2,J371),J371))</f>
        <v>#VALUE!</v>
      </c>
      <c r="K371" t="e">
        <f ca="1">IF((A1)=(2),1,IF((368)=(K3),IF(IF((INDEX(B1:XFD1,(A2)+(0)))=("store"),(INDEX(B1:XFD1,(A2)+(1)))=("K"),"false"),B2,K371),K371))</f>
        <v>#VALUE!</v>
      </c>
      <c r="L371" t="e">
        <f ca="1">IF((A1)=(2),1,IF((368)=(L3),IF(IF((INDEX(B1:XFD1,(A2)+(0)))=("store"),(INDEX(B1:XFD1,(A2)+(1)))=("L"),"false"),B2,L371),L371))</f>
        <v>#VALUE!</v>
      </c>
      <c r="M371" t="e">
        <f ca="1">IF((A1)=(2),1,IF((368)=(M3),IF(IF((INDEX(B1:XFD1,(A2)+(0)))=("store"),(INDEX(B1:XFD1,(A2)+(1)))=("M"),"false"),B2,M371),M371))</f>
        <v>#VALUE!</v>
      </c>
      <c r="N371" t="e">
        <f ca="1">IF((A1)=(2),1,IF((368)=(N3),IF(IF((INDEX(B1:XFD1,(A2)+(0)))=("store"),(INDEX(B1:XFD1,(A2)+(1)))=("N"),"false"),B2,N371),N371))</f>
        <v>#VALUE!</v>
      </c>
      <c r="O371" t="e">
        <f ca="1">IF((A1)=(2),1,IF((368)=(O3),IF(IF((INDEX(B1:XFD1,(A2)+(0)))=("store"),(INDEX(B1:XFD1,(A2)+(1)))=("O"),"false"),B2,O371),O371))</f>
        <v>#VALUE!</v>
      </c>
      <c r="P371" t="e">
        <f ca="1">IF((A1)=(2),1,IF((368)=(P3),IF(IF((INDEX(B1:XFD1,(A2)+(0)))=("store"),(INDEX(B1:XFD1,(A2)+(1)))=("P"),"false"),B2,P371),P371))</f>
        <v>#VALUE!</v>
      </c>
      <c r="Q371" t="e">
        <f ca="1">IF((A1)=(2),1,IF((368)=(Q3),IF(IF((INDEX(B1:XFD1,(A2)+(0)))=("store"),(INDEX(B1:XFD1,(A2)+(1)))=("Q"),"false"),B2,Q371),Q371))</f>
        <v>#VALUE!</v>
      </c>
      <c r="R371" t="e">
        <f ca="1">IF((A1)=(2),1,IF((368)=(R3),IF(IF((INDEX(B1:XFD1,(A2)+(0)))=("store"),(INDEX(B1:XFD1,(A2)+(1)))=("R"),"false"),B2,R371),R371))</f>
        <v>#VALUE!</v>
      </c>
      <c r="S371" t="e">
        <f ca="1">IF((A1)=(2),1,IF((368)=(S3),IF(IF((INDEX(B1:XFD1,(A2)+(0)))=("store"),(INDEX(B1:XFD1,(A2)+(1)))=("S"),"false"),B2,S371),S371))</f>
        <v>#VALUE!</v>
      </c>
      <c r="T371" t="e">
        <f ca="1">IF((A1)=(2),1,IF((368)=(T3),IF(IF((INDEX(B1:XFD1,(A2)+(0)))=("store"),(INDEX(B1:XFD1,(A2)+(1)))=("T"),"false"),B2,T371),T371))</f>
        <v>#VALUE!</v>
      </c>
      <c r="U371" t="e">
        <f ca="1">IF((A1)=(2),1,IF((368)=(U3),IF(IF((INDEX(B1:XFD1,(A2)+(0)))=("store"),(INDEX(B1:XFD1,(A2)+(1)))=("U"),"false"),B2,U371),U371))</f>
        <v>#VALUE!</v>
      </c>
      <c r="V371" t="e">
        <f ca="1">IF((A1)=(2),1,IF((368)=(V3),IF(IF((INDEX(B1:XFD1,(A2)+(0)))=("store"),(INDEX(B1:XFD1,(A2)+(1)))=("V"),"false"),B2,V371),V371))</f>
        <v>#VALUE!</v>
      </c>
      <c r="W371" t="e">
        <f ca="1">IF((A1)=(2),1,IF((368)=(W3),IF(IF((INDEX(B1:XFD1,(A2)+(0)))=("store"),(INDEX(B1:XFD1,(A2)+(1)))=("W"),"false"),B2,W371),W371))</f>
        <v>#VALUE!</v>
      </c>
      <c r="X371" t="e">
        <f ca="1">IF((A1)=(2),1,IF((368)=(X3),IF(IF((INDEX(B1:XFD1,(A2)+(0)))=("store"),(INDEX(B1:XFD1,(A2)+(1)))=("X"),"false"),B2,X371),X371))</f>
        <v>#VALUE!</v>
      </c>
      <c r="Y371" t="e">
        <f ca="1">IF((A1)=(2),1,IF((368)=(Y3),IF(IF((INDEX(B1:XFD1,(A2)+(0)))=("store"),(INDEX(B1:XFD1,(A2)+(1)))=("Y"),"false"),B2,Y371),Y371))</f>
        <v>#VALUE!</v>
      </c>
      <c r="Z371" t="e">
        <f ca="1">IF((A1)=(2),1,IF((368)=(Z3),IF(IF((INDEX(B1:XFD1,(A2)+(0)))=("store"),(INDEX(B1:XFD1,(A2)+(1)))=("Z"),"false"),B2,Z371),Z371))</f>
        <v>#VALUE!</v>
      </c>
      <c r="AA371" t="e">
        <f ca="1">IF((A1)=(2),1,IF((368)=(AA3),IF(IF((INDEX(B1:XFD1,(A2)+(0)))=("store"),(INDEX(B1:XFD1,(A2)+(1)))=("AA"),"false"),B2,AA371),AA371))</f>
        <v>#VALUE!</v>
      </c>
      <c r="AB371" t="e">
        <f ca="1">IF((A1)=(2),1,IF((368)=(AB3),IF(IF((INDEX(B1:XFD1,(A2)+(0)))=("store"),(INDEX(B1:XFD1,(A2)+(1)))=("AB"),"false"),B2,AB371),AB371))</f>
        <v>#VALUE!</v>
      </c>
      <c r="AC371" t="e">
        <f ca="1">IF((A1)=(2),1,IF((368)=(AC3),IF(IF((INDEX(B1:XFD1,(A2)+(0)))=("store"),(INDEX(B1:XFD1,(A2)+(1)))=("AC"),"false"),B2,AC371),AC371))</f>
        <v>#VALUE!</v>
      </c>
      <c r="AD371" t="e">
        <f ca="1">IF((A1)=(2),1,IF((368)=(AD3),IF(IF((INDEX(B1:XFD1,(A2)+(0)))=("store"),(INDEX(B1:XFD1,(A2)+(1)))=("AD"),"false"),B2,AD371),AD371))</f>
        <v>#VALUE!</v>
      </c>
    </row>
    <row r="372" spans="1:30" x14ac:dyDescent="0.25">
      <c r="A372" t="e">
        <f ca="1">IF((A1)=(2),1,IF((369)=(A3),IF(("call")=(INDEX(B1:XFD1,(A2)+(0))),((B2)*(2))+(1),IF(("goto")=(INDEX(B1:XFD1,(A2)+(0))),((INDEX(B1:XFD1,(A2)+(1)))*(2))+(1),IF(("gotoiftrue")=(INDEX(B1:XFD1,(A2)+(0))),IF(B2,((INDEX(B1:XFD1,(A2)+(1)))*(2))+(1),(A372)+(2)),(A372)+(2)))),A372))</f>
        <v>#VALUE!</v>
      </c>
      <c r="B372" t="e">
        <f ca="1">IF((A1)=(2),1,IF((369)=(B3),IF(("push")=(INDEX(B1:XFD1,(A2)+(0))),INDEX(B1:XFD1,(A2)+(1)),IF(("load")=(INDEX(B1:XFD1,(A2)+(0))),INDEX(F2:XFD2,INDEX(B1:XFD1,(A2)+(1))),IF(("newheap")=(INDEX(B1:XFD1,(A2)+(0))),(C3)-(2),IF(("getheap")=(INDEX(B1:XFD1,(A2)+(0))),INDEX(C4:C404,(B372)+(1)),IF(("add")=(INDEX(B1:XFD1,(A2)+(0))),(INDEX(B4:B404,(B3)+(1)))+(B372),IF(("equals")=(INDEX(B1:XFD1,(A2)+(0))),(INDEX(B4:B404,(B3)+(1)))=(B372),IF(("leq")=(INDEX(B1:XFD1,(A2)+(0))),(INDEX(B4:B404,(B3)+(1)))&lt;=(B372),IF(("mod")=(INDEX(B1:XFD1,(A2)+(0))),MOD(INDEX(B4:B404,(B3)+(1)),B372),B372)))))))),B372))</f>
        <v>#VALUE!</v>
      </c>
      <c r="C372" t="e">
        <f ca="1">IF((A1)=(2),1,IF(AND((INDEX(B1:XFD1,(A2)+(0)))=("writeheap"),(INDEX(B4:B404,(B3)+(1)))=(368)),INDEX(B4:B404,(B3)+(2)),IF((A1)=(2),1,IF((369)=(C3),C372,C372))))</f>
        <v>#VALUE!</v>
      </c>
      <c r="E372" t="e">
        <f ca="1">IF((A1)=(2),1,IF((369)=(E3),IF(("outputline")=(INDEX(B1:XFD1,(A2)+(0))),B2,E372),E372))</f>
        <v>#VALUE!</v>
      </c>
      <c r="F372" t="e">
        <f ca="1">IF((A1)=(2),1,IF((369)=(F3),IF(IF((INDEX(B1:XFD1,(A2)+(0)))=("store"),(INDEX(B1:XFD1,(A2)+(1)))=("F"),"false"),B2,F372),F372))</f>
        <v>#VALUE!</v>
      </c>
      <c r="G372" t="e">
        <f ca="1">IF((A1)=(2),1,IF((369)=(G3),IF(IF((INDEX(B1:XFD1,(A2)+(0)))=("store"),(INDEX(B1:XFD1,(A2)+(1)))=("G"),"false"),B2,G372),G372))</f>
        <v>#VALUE!</v>
      </c>
      <c r="H372" t="e">
        <f ca="1">IF((A1)=(2),1,IF((369)=(H3),IF(IF((INDEX(B1:XFD1,(A2)+(0)))=("store"),(INDEX(B1:XFD1,(A2)+(1)))=("H"),"false"),B2,H372),H372))</f>
        <v>#VALUE!</v>
      </c>
      <c r="I372" t="e">
        <f ca="1">IF((A1)=(2),1,IF((369)=(I3),IF(IF((INDEX(B1:XFD1,(A2)+(0)))=("store"),(INDEX(B1:XFD1,(A2)+(1)))=("I"),"false"),B2,I372),I372))</f>
        <v>#VALUE!</v>
      </c>
      <c r="J372" t="e">
        <f ca="1">IF((A1)=(2),1,IF((369)=(J3),IF(IF((INDEX(B1:XFD1,(A2)+(0)))=("store"),(INDEX(B1:XFD1,(A2)+(1)))=("J"),"false"),B2,J372),J372))</f>
        <v>#VALUE!</v>
      </c>
      <c r="K372" t="e">
        <f ca="1">IF((A1)=(2),1,IF((369)=(K3),IF(IF((INDEX(B1:XFD1,(A2)+(0)))=("store"),(INDEX(B1:XFD1,(A2)+(1)))=("K"),"false"),B2,K372),K372))</f>
        <v>#VALUE!</v>
      </c>
      <c r="L372" t="e">
        <f ca="1">IF((A1)=(2),1,IF((369)=(L3),IF(IF((INDEX(B1:XFD1,(A2)+(0)))=("store"),(INDEX(B1:XFD1,(A2)+(1)))=("L"),"false"),B2,L372),L372))</f>
        <v>#VALUE!</v>
      </c>
      <c r="M372" t="e">
        <f ca="1">IF((A1)=(2),1,IF((369)=(M3),IF(IF((INDEX(B1:XFD1,(A2)+(0)))=("store"),(INDEX(B1:XFD1,(A2)+(1)))=("M"),"false"),B2,M372),M372))</f>
        <v>#VALUE!</v>
      </c>
      <c r="N372" t="e">
        <f ca="1">IF((A1)=(2),1,IF((369)=(N3),IF(IF((INDEX(B1:XFD1,(A2)+(0)))=("store"),(INDEX(B1:XFD1,(A2)+(1)))=("N"),"false"),B2,N372),N372))</f>
        <v>#VALUE!</v>
      </c>
      <c r="O372" t="e">
        <f ca="1">IF((A1)=(2),1,IF((369)=(O3),IF(IF((INDEX(B1:XFD1,(A2)+(0)))=("store"),(INDEX(B1:XFD1,(A2)+(1)))=("O"),"false"),B2,O372),O372))</f>
        <v>#VALUE!</v>
      </c>
      <c r="P372" t="e">
        <f ca="1">IF((A1)=(2),1,IF((369)=(P3),IF(IF((INDEX(B1:XFD1,(A2)+(0)))=("store"),(INDEX(B1:XFD1,(A2)+(1)))=("P"),"false"),B2,P372),P372))</f>
        <v>#VALUE!</v>
      </c>
      <c r="Q372" t="e">
        <f ca="1">IF((A1)=(2),1,IF((369)=(Q3),IF(IF((INDEX(B1:XFD1,(A2)+(0)))=("store"),(INDEX(B1:XFD1,(A2)+(1)))=("Q"),"false"),B2,Q372),Q372))</f>
        <v>#VALUE!</v>
      </c>
      <c r="R372" t="e">
        <f ca="1">IF((A1)=(2),1,IF((369)=(R3),IF(IF((INDEX(B1:XFD1,(A2)+(0)))=("store"),(INDEX(B1:XFD1,(A2)+(1)))=("R"),"false"),B2,R372),R372))</f>
        <v>#VALUE!</v>
      </c>
      <c r="S372" t="e">
        <f ca="1">IF((A1)=(2),1,IF((369)=(S3),IF(IF((INDEX(B1:XFD1,(A2)+(0)))=("store"),(INDEX(B1:XFD1,(A2)+(1)))=("S"),"false"),B2,S372),S372))</f>
        <v>#VALUE!</v>
      </c>
      <c r="T372" t="e">
        <f ca="1">IF((A1)=(2),1,IF((369)=(T3),IF(IF((INDEX(B1:XFD1,(A2)+(0)))=("store"),(INDEX(B1:XFD1,(A2)+(1)))=("T"),"false"),B2,T372),T372))</f>
        <v>#VALUE!</v>
      </c>
      <c r="U372" t="e">
        <f ca="1">IF((A1)=(2),1,IF((369)=(U3),IF(IF((INDEX(B1:XFD1,(A2)+(0)))=("store"),(INDEX(B1:XFD1,(A2)+(1)))=("U"),"false"),B2,U372),U372))</f>
        <v>#VALUE!</v>
      </c>
      <c r="V372" t="e">
        <f ca="1">IF((A1)=(2),1,IF((369)=(V3),IF(IF((INDEX(B1:XFD1,(A2)+(0)))=("store"),(INDEX(B1:XFD1,(A2)+(1)))=("V"),"false"),B2,V372),V372))</f>
        <v>#VALUE!</v>
      </c>
      <c r="W372" t="e">
        <f ca="1">IF((A1)=(2),1,IF((369)=(W3),IF(IF((INDEX(B1:XFD1,(A2)+(0)))=("store"),(INDEX(B1:XFD1,(A2)+(1)))=("W"),"false"),B2,W372),W372))</f>
        <v>#VALUE!</v>
      </c>
      <c r="X372" t="e">
        <f ca="1">IF((A1)=(2),1,IF((369)=(X3),IF(IF((INDEX(B1:XFD1,(A2)+(0)))=("store"),(INDEX(B1:XFD1,(A2)+(1)))=("X"),"false"),B2,X372),X372))</f>
        <v>#VALUE!</v>
      </c>
      <c r="Y372" t="e">
        <f ca="1">IF((A1)=(2),1,IF((369)=(Y3),IF(IF((INDEX(B1:XFD1,(A2)+(0)))=("store"),(INDEX(B1:XFD1,(A2)+(1)))=("Y"),"false"),B2,Y372),Y372))</f>
        <v>#VALUE!</v>
      </c>
      <c r="Z372" t="e">
        <f ca="1">IF((A1)=(2),1,IF((369)=(Z3),IF(IF((INDEX(B1:XFD1,(A2)+(0)))=("store"),(INDEX(B1:XFD1,(A2)+(1)))=("Z"),"false"),B2,Z372),Z372))</f>
        <v>#VALUE!</v>
      </c>
      <c r="AA372" t="e">
        <f ca="1">IF((A1)=(2),1,IF((369)=(AA3),IF(IF((INDEX(B1:XFD1,(A2)+(0)))=("store"),(INDEX(B1:XFD1,(A2)+(1)))=("AA"),"false"),B2,AA372),AA372))</f>
        <v>#VALUE!</v>
      </c>
      <c r="AB372" t="e">
        <f ca="1">IF((A1)=(2),1,IF((369)=(AB3),IF(IF((INDEX(B1:XFD1,(A2)+(0)))=("store"),(INDEX(B1:XFD1,(A2)+(1)))=("AB"),"false"),B2,AB372),AB372))</f>
        <v>#VALUE!</v>
      </c>
      <c r="AC372" t="e">
        <f ca="1">IF((A1)=(2),1,IF((369)=(AC3),IF(IF((INDEX(B1:XFD1,(A2)+(0)))=("store"),(INDEX(B1:XFD1,(A2)+(1)))=("AC"),"false"),B2,AC372),AC372))</f>
        <v>#VALUE!</v>
      </c>
      <c r="AD372" t="e">
        <f ca="1">IF((A1)=(2),1,IF((369)=(AD3),IF(IF((INDEX(B1:XFD1,(A2)+(0)))=("store"),(INDEX(B1:XFD1,(A2)+(1)))=("AD"),"false"),B2,AD372),AD372))</f>
        <v>#VALUE!</v>
      </c>
    </row>
    <row r="373" spans="1:30" x14ac:dyDescent="0.25">
      <c r="A373" t="e">
        <f ca="1">IF((A1)=(2),1,IF((370)=(A3),IF(("call")=(INDEX(B1:XFD1,(A2)+(0))),((B2)*(2))+(1),IF(("goto")=(INDEX(B1:XFD1,(A2)+(0))),((INDEX(B1:XFD1,(A2)+(1)))*(2))+(1),IF(("gotoiftrue")=(INDEX(B1:XFD1,(A2)+(0))),IF(B2,((INDEX(B1:XFD1,(A2)+(1)))*(2))+(1),(A373)+(2)),(A373)+(2)))),A373))</f>
        <v>#VALUE!</v>
      </c>
      <c r="B373" t="e">
        <f ca="1">IF((A1)=(2),1,IF((370)=(B3),IF(("push")=(INDEX(B1:XFD1,(A2)+(0))),INDEX(B1:XFD1,(A2)+(1)),IF(("load")=(INDEX(B1:XFD1,(A2)+(0))),INDEX(F2:XFD2,INDEX(B1:XFD1,(A2)+(1))),IF(("newheap")=(INDEX(B1:XFD1,(A2)+(0))),(C3)-(2),IF(("getheap")=(INDEX(B1:XFD1,(A2)+(0))),INDEX(C4:C404,(B373)+(1)),IF(("add")=(INDEX(B1:XFD1,(A2)+(0))),(INDEX(B4:B404,(B3)+(1)))+(B373),IF(("equals")=(INDEX(B1:XFD1,(A2)+(0))),(INDEX(B4:B404,(B3)+(1)))=(B373),IF(("leq")=(INDEX(B1:XFD1,(A2)+(0))),(INDEX(B4:B404,(B3)+(1)))&lt;=(B373),IF(("mod")=(INDEX(B1:XFD1,(A2)+(0))),MOD(INDEX(B4:B404,(B3)+(1)),B373),B373)))))))),B373))</f>
        <v>#VALUE!</v>
      </c>
      <c r="C373" t="e">
        <f ca="1">IF((A1)=(2),1,IF(AND((INDEX(B1:XFD1,(A2)+(0)))=("writeheap"),(INDEX(B4:B404,(B3)+(1)))=(369)),INDEX(B4:B404,(B3)+(2)),IF((A1)=(2),1,IF((370)=(C3),C373,C373))))</f>
        <v>#VALUE!</v>
      </c>
      <c r="E373" t="e">
        <f ca="1">IF((A1)=(2),1,IF((370)=(E3),IF(("outputline")=(INDEX(B1:XFD1,(A2)+(0))),B2,E373),E373))</f>
        <v>#VALUE!</v>
      </c>
      <c r="F373" t="e">
        <f ca="1">IF((A1)=(2),1,IF((370)=(F3),IF(IF((INDEX(B1:XFD1,(A2)+(0)))=("store"),(INDEX(B1:XFD1,(A2)+(1)))=("F"),"false"),B2,F373),F373))</f>
        <v>#VALUE!</v>
      </c>
      <c r="G373" t="e">
        <f ca="1">IF((A1)=(2),1,IF((370)=(G3),IF(IF((INDEX(B1:XFD1,(A2)+(0)))=("store"),(INDEX(B1:XFD1,(A2)+(1)))=("G"),"false"),B2,G373),G373))</f>
        <v>#VALUE!</v>
      </c>
      <c r="H373" t="e">
        <f ca="1">IF((A1)=(2),1,IF((370)=(H3),IF(IF((INDEX(B1:XFD1,(A2)+(0)))=("store"),(INDEX(B1:XFD1,(A2)+(1)))=("H"),"false"),B2,H373),H373))</f>
        <v>#VALUE!</v>
      </c>
      <c r="I373" t="e">
        <f ca="1">IF((A1)=(2),1,IF((370)=(I3),IF(IF((INDEX(B1:XFD1,(A2)+(0)))=("store"),(INDEX(B1:XFD1,(A2)+(1)))=("I"),"false"),B2,I373),I373))</f>
        <v>#VALUE!</v>
      </c>
      <c r="J373" t="e">
        <f ca="1">IF((A1)=(2),1,IF((370)=(J3),IF(IF((INDEX(B1:XFD1,(A2)+(0)))=("store"),(INDEX(B1:XFD1,(A2)+(1)))=("J"),"false"),B2,J373),J373))</f>
        <v>#VALUE!</v>
      </c>
      <c r="K373" t="e">
        <f ca="1">IF((A1)=(2),1,IF((370)=(K3),IF(IF((INDEX(B1:XFD1,(A2)+(0)))=("store"),(INDEX(B1:XFD1,(A2)+(1)))=("K"),"false"),B2,K373),K373))</f>
        <v>#VALUE!</v>
      </c>
      <c r="L373" t="e">
        <f ca="1">IF((A1)=(2),1,IF((370)=(L3),IF(IF((INDEX(B1:XFD1,(A2)+(0)))=("store"),(INDEX(B1:XFD1,(A2)+(1)))=("L"),"false"),B2,L373),L373))</f>
        <v>#VALUE!</v>
      </c>
      <c r="M373" t="e">
        <f ca="1">IF((A1)=(2),1,IF((370)=(M3),IF(IF((INDEX(B1:XFD1,(A2)+(0)))=("store"),(INDEX(B1:XFD1,(A2)+(1)))=("M"),"false"),B2,M373),M373))</f>
        <v>#VALUE!</v>
      </c>
      <c r="N373" t="e">
        <f ca="1">IF((A1)=(2),1,IF((370)=(N3),IF(IF((INDEX(B1:XFD1,(A2)+(0)))=("store"),(INDEX(B1:XFD1,(A2)+(1)))=("N"),"false"),B2,N373),N373))</f>
        <v>#VALUE!</v>
      </c>
      <c r="O373" t="e">
        <f ca="1">IF((A1)=(2),1,IF((370)=(O3),IF(IF((INDEX(B1:XFD1,(A2)+(0)))=("store"),(INDEX(B1:XFD1,(A2)+(1)))=("O"),"false"),B2,O373),O373))</f>
        <v>#VALUE!</v>
      </c>
      <c r="P373" t="e">
        <f ca="1">IF((A1)=(2),1,IF((370)=(P3),IF(IF((INDEX(B1:XFD1,(A2)+(0)))=("store"),(INDEX(B1:XFD1,(A2)+(1)))=("P"),"false"),B2,P373),P373))</f>
        <v>#VALUE!</v>
      </c>
      <c r="Q373" t="e">
        <f ca="1">IF((A1)=(2),1,IF((370)=(Q3),IF(IF((INDEX(B1:XFD1,(A2)+(0)))=("store"),(INDEX(B1:XFD1,(A2)+(1)))=("Q"),"false"),B2,Q373),Q373))</f>
        <v>#VALUE!</v>
      </c>
      <c r="R373" t="e">
        <f ca="1">IF((A1)=(2),1,IF((370)=(R3),IF(IF((INDEX(B1:XFD1,(A2)+(0)))=("store"),(INDEX(B1:XFD1,(A2)+(1)))=("R"),"false"),B2,R373),R373))</f>
        <v>#VALUE!</v>
      </c>
      <c r="S373" t="e">
        <f ca="1">IF((A1)=(2),1,IF((370)=(S3),IF(IF((INDEX(B1:XFD1,(A2)+(0)))=("store"),(INDEX(B1:XFD1,(A2)+(1)))=("S"),"false"),B2,S373),S373))</f>
        <v>#VALUE!</v>
      </c>
      <c r="T373" t="e">
        <f ca="1">IF((A1)=(2),1,IF((370)=(T3),IF(IF((INDEX(B1:XFD1,(A2)+(0)))=("store"),(INDEX(B1:XFD1,(A2)+(1)))=("T"),"false"),B2,T373),T373))</f>
        <v>#VALUE!</v>
      </c>
      <c r="U373" t="e">
        <f ca="1">IF((A1)=(2),1,IF((370)=(U3),IF(IF((INDEX(B1:XFD1,(A2)+(0)))=("store"),(INDEX(B1:XFD1,(A2)+(1)))=("U"),"false"),B2,U373),U373))</f>
        <v>#VALUE!</v>
      </c>
      <c r="V373" t="e">
        <f ca="1">IF((A1)=(2),1,IF((370)=(V3),IF(IF((INDEX(B1:XFD1,(A2)+(0)))=("store"),(INDEX(B1:XFD1,(A2)+(1)))=("V"),"false"),B2,V373),V373))</f>
        <v>#VALUE!</v>
      </c>
      <c r="W373" t="e">
        <f ca="1">IF((A1)=(2),1,IF((370)=(W3),IF(IF((INDEX(B1:XFD1,(A2)+(0)))=("store"),(INDEX(B1:XFD1,(A2)+(1)))=("W"),"false"),B2,W373),W373))</f>
        <v>#VALUE!</v>
      </c>
      <c r="X373" t="e">
        <f ca="1">IF((A1)=(2),1,IF((370)=(X3),IF(IF((INDEX(B1:XFD1,(A2)+(0)))=("store"),(INDEX(B1:XFD1,(A2)+(1)))=("X"),"false"),B2,X373),X373))</f>
        <v>#VALUE!</v>
      </c>
      <c r="Y373" t="e">
        <f ca="1">IF((A1)=(2),1,IF((370)=(Y3),IF(IF((INDEX(B1:XFD1,(A2)+(0)))=("store"),(INDEX(B1:XFD1,(A2)+(1)))=("Y"),"false"),B2,Y373),Y373))</f>
        <v>#VALUE!</v>
      </c>
      <c r="Z373" t="e">
        <f ca="1">IF((A1)=(2),1,IF((370)=(Z3),IF(IF((INDEX(B1:XFD1,(A2)+(0)))=("store"),(INDEX(B1:XFD1,(A2)+(1)))=("Z"),"false"),B2,Z373),Z373))</f>
        <v>#VALUE!</v>
      </c>
      <c r="AA373" t="e">
        <f ca="1">IF((A1)=(2),1,IF((370)=(AA3),IF(IF((INDEX(B1:XFD1,(A2)+(0)))=("store"),(INDEX(B1:XFD1,(A2)+(1)))=("AA"),"false"),B2,AA373),AA373))</f>
        <v>#VALUE!</v>
      </c>
      <c r="AB373" t="e">
        <f ca="1">IF((A1)=(2),1,IF((370)=(AB3),IF(IF((INDEX(B1:XFD1,(A2)+(0)))=("store"),(INDEX(B1:XFD1,(A2)+(1)))=("AB"),"false"),B2,AB373),AB373))</f>
        <v>#VALUE!</v>
      </c>
      <c r="AC373" t="e">
        <f ca="1">IF((A1)=(2),1,IF((370)=(AC3),IF(IF((INDEX(B1:XFD1,(A2)+(0)))=("store"),(INDEX(B1:XFD1,(A2)+(1)))=("AC"),"false"),B2,AC373),AC373))</f>
        <v>#VALUE!</v>
      </c>
      <c r="AD373" t="e">
        <f ca="1">IF((A1)=(2),1,IF((370)=(AD3),IF(IF((INDEX(B1:XFD1,(A2)+(0)))=("store"),(INDEX(B1:XFD1,(A2)+(1)))=("AD"),"false"),B2,AD373),AD373))</f>
        <v>#VALUE!</v>
      </c>
    </row>
    <row r="374" spans="1:30" x14ac:dyDescent="0.25">
      <c r="A374" t="e">
        <f ca="1">IF((A1)=(2),1,IF((371)=(A3),IF(("call")=(INDEX(B1:XFD1,(A2)+(0))),((B2)*(2))+(1),IF(("goto")=(INDEX(B1:XFD1,(A2)+(0))),((INDEX(B1:XFD1,(A2)+(1)))*(2))+(1),IF(("gotoiftrue")=(INDEX(B1:XFD1,(A2)+(0))),IF(B2,((INDEX(B1:XFD1,(A2)+(1)))*(2))+(1),(A374)+(2)),(A374)+(2)))),A374))</f>
        <v>#VALUE!</v>
      </c>
      <c r="B374" t="e">
        <f ca="1">IF((A1)=(2),1,IF((371)=(B3),IF(("push")=(INDEX(B1:XFD1,(A2)+(0))),INDEX(B1:XFD1,(A2)+(1)),IF(("load")=(INDEX(B1:XFD1,(A2)+(0))),INDEX(F2:XFD2,INDEX(B1:XFD1,(A2)+(1))),IF(("newheap")=(INDEX(B1:XFD1,(A2)+(0))),(C3)-(2),IF(("getheap")=(INDEX(B1:XFD1,(A2)+(0))),INDEX(C4:C404,(B374)+(1)),IF(("add")=(INDEX(B1:XFD1,(A2)+(0))),(INDEX(B4:B404,(B3)+(1)))+(B374),IF(("equals")=(INDEX(B1:XFD1,(A2)+(0))),(INDEX(B4:B404,(B3)+(1)))=(B374),IF(("leq")=(INDEX(B1:XFD1,(A2)+(0))),(INDEX(B4:B404,(B3)+(1)))&lt;=(B374),IF(("mod")=(INDEX(B1:XFD1,(A2)+(0))),MOD(INDEX(B4:B404,(B3)+(1)),B374),B374)))))))),B374))</f>
        <v>#VALUE!</v>
      </c>
      <c r="C374" t="e">
        <f ca="1">IF((A1)=(2),1,IF(AND((INDEX(B1:XFD1,(A2)+(0)))=("writeheap"),(INDEX(B4:B404,(B3)+(1)))=(370)),INDEX(B4:B404,(B3)+(2)),IF((A1)=(2),1,IF((371)=(C3),C374,C374))))</f>
        <v>#VALUE!</v>
      </c>
      <c r="E374" t="e">
        <f ca="1">IF((A1)=(2),1,IF((371)=(E3),IF(("outputline")=(INDEX(B1:XFD1,(A2)+(0))),B2,E374),E374))</f>
        <v>#VALUE!</v>
      </c>
      <c r="F374" t="e">
        <f ca="1">IF((A1)=(2),1,IF((371)=(F3),IF(IF((INDEX(B1:XFD1,(A2)+(0)))=("store"),(INDEX(B1:XFD1,(A2)+(1)))=("F"),"false"),B2,F374),F374))</f>
        <v>#VALUE!</v>
      </c>
      <c r="G374" t="e">
        <f ca="1">IF((A1)=(2),1,IF((371)=(G3),IF(IF((INDEX(B1:XFD1,(A2)+(0)))=("store"),(INDEX(B1:XFD1,(A2)+(1)))=("G"),"false"),B2,G374),G374))</f>
        <v>#VALUE!</v>
      </c>
      <c r="H374" t="e">
        <f ca="1">IF((A1)=(2),1,IF((371)=(H3),IF(IF((INDEX(B1:XFD1,(A2)+(0)))=("store"),(INDEX(B1:XFD1,(A2)+(1)))=("H"),"false"),B2,H374),H374))</f>
        <v>#VALUE!</v>
      </c>
      <c r="I374" t="e">
        <f ca="1">IF((A1)=(2),1,IF((371)=(I3),IF(IF((INDEX(B1:XFD1,(A2)+(0)))=("store"),(INDEX(B1:XFD1,(A2)+(1)))=("I"),"false"),B2,I374),I374))</f>
        <v>#VALUE!</v>
      </c>
      <c r="J374" t="e">
        <f ca="1">IF((A1)=(2),1,IF((371)=(J3),IF(IF((INDEX(B1:XFD1,(A2)+(0)))=("store"),(INDEX(B1:XFD1,(A2)+(1)))=("J"),"false"),B2,J374),J374))</f>
        <v>#VALUE!</v>
      </c>
      <c r="K374" t="e">
        <f ca="1">IF((A1)=(2),1,IF((371)=(K3),IF(IF((INDEX(B1:XFD1,(A2)+(0)))=("store"),(INDEX(B1:XFD1,(A2)+(1)))=("K"),"false"),B2,K374),K374))</f>
        <v>#VALUE!</v>
      </c>
      <c r="L374" t="e">
        <f ca="1">IF((A1)=(2),1,IF((371)=(L3),IF(IF((INDEX(B1:XFD1,(A2)+(0)))=("store"),(INDEX(B1:XFD1,(A2)+(1)))=("L"),"false"),B2,L374),L374))</f>
        <v>#VALUE!</v>
      </c>
      <c r="M374" t="e">
        <f ca="1">IF((A1)=(2),1,IF((371)=(M3),IF(IF((INDEX(B1:XFD1,(A2)+(0)))=("store"),(INDEX(B1:XFD1,(A2)+(1)))=("M"),"false"),B2,M374),M374))</f>
        <v>#VALUE!</v>
      </c>
      <c r="N374" t="e">
        <f ca="1">IF((A1)=(2),1,IF((371)=(N3),IF(IF((INDEX(B1:XFD1,(A2)+(0)))=("store"),(INDEX(B1:XFD1,(A2)+(1)))=("N"),"false"),B2,N374),N374))</f>
        <v>#VALUE!</v>
      </c>
      <c r="O374" t="e">
        <f ca="1">IF((A1)=(2),1,IF((371)=(O3),IF(IF((INDEX(B1:XFD1,(A2)+(0)))=("store"),(INDEX(B1:XFD1,(A2)+(1)))=("O"),"false"),B2,O374),O374))</f>
        <v>#VALUE!</v>
      </c>
      <c r="P374" t="e">
        <f ca="1">IF((A1)=(2),1,IF((371)=(P3),IF(IF((INDEX(B1:XFD1,(A2)+(0)))=("store"),(INDEX(B1:XFD1,(A2)+(1)))=("P"),"false"),B2,P374),P374))</f>
        <v>#VALUE!</v>
      </c>
      <c r="Q374" t="e">
        <f ca="1">IF((A1)=(2),1,IF((371)=(Q3),IF(IF((INDEX(B1:XFD1,(A2)+(0)))=("store"),(INDEX(B1:XFD1,(A2)+(1)))=("Q"),"false"),B2,Q374),Q374))</f>
        <v>#VALUE!</v>
      </c>
      <c r="R374" t="e">
        <f ca="1">IF((A1)=(2),1,IF((371)=(R3),IF(IF((INDEX(B1:XFD1,(A2)+(0)))=("store"),(INDEX(B1:XFD1,(A2)+(1)))=("R"),"false"),B2,R374),R374))</f>
        <v>#VALUE!</v>
      </c>
      <c r="S374" t="e">
        <f ca="1">IF((A1)=(2),1,IF((371)=(S3),IF(IF((INDEX(B1:XFD1,(A2)+(0)))=("store"),(INDEX(B1:XFD1,(A2)+(1)))=("S"),"false"),B2,S374),S374))</f>
        <v>#VALUE!</v>
      </c>
      <c r="T374" t="e">
        <f ca="1">IF((A1)=(2),1,IF((371)=(T3),IF(IF((INDEX(B1:XFD1,(A2)+(0)))=("store"),(INDEX(B1:XFD1,(A2)+(1)))=("T"),"false"),B2,T374),T374))</f>
        <v>#VALUE!</v>
      </c>
      <c r="U374" t="e">
        <f ca="1">IF((A1)=(2),1,IF((371)=(U3),IF(IF((INDEX(B1:XFD1,(A2)+(0)))=("store"),(INDEX(B1:XFD1,(A2)+(1)))=("U"),"false"),B2,U374),U374))</f>
        <v>#VALUE!</v>
      </c>
      <c r="V374" t="e">
        <f ca="1">IF((A1)=(2),1,IF((371)=(V3),IF(IF((INDEX(B1:XFD1,(A2)+(0)))=("store"),(INDEX(B1:XFD1,(A2)+(1)))=("V"),"false"),B2,V374),V374))</f>
        <v>#VALUE!</v>
      </c>
      <c r="W374" t="e">
        <f ca="1">IF((A1)=(2),1,IF((371)=(W3),IF(IF((INDEX(B1:XFD1,(A2)+(0)))=("store"),(INDEX(B1:XFD1,(A2)+(1)))=("W"),"false"),B2,W374),W374))</f>
        <v>#VALUE!</v>
      </c>
      <c r="X374" t="e">
        <f ca="1">IF((A1)=(2),1,IF((371)=(X3),IF(IF((INDEX(B1:XFD1,(A2)+(0)))=("store"),(INDEX(B1:XFD1,(A2)+(1)))=("X"),"false"),B2,X374),X374))</f>
        <v>#VALUE!</v>
      </c>
      <c r="Y374" t="e">
        <f ca="1">IF((A1)=(2),1,IF((371)=(Y3),IF(IF((INDEX(B1:XFD1,(A2)+(0)))=("store"),(INDEX(B1:XFD1,(A2)+(1)))=("Y"),"false"),B2,Y374),Y374))</f>
        <v>#VALUE!</v>
      </c>
      <c r="Z374" t="e">
        <f ca="1">IF((A1)=(2),1,IF((371)=(Z3),IF(IF((INDEX(B1:XFD1,(A2)+(0)))=("store"),(INDEX(B1:XFD1,(A2)+(1)))=("Z"),"false"),B2,Z374),Z374))</f>
        <v>#VALUE!</v>
      </c>
      <c r="AA374" t="e">
        <f ca="1">IF((A1)=(2),1,IF((371)=(AA3),IF(IF((INDEX(B1:XFD1,(A2)+(0)))=("store"),(INDEX(B1:XFD1,(A2)+(1)))=("AA"),"false"),B2,AA374),AA374))</f>
        <v>#VALUE!</v>
      </c>
      <c r="AB374" t="e">
        <f ca="1">IF((A1)=(2),1,IF((371)=(AB3),IF(IF((INDEX(B1:XFD1,(A2)+(0)))=("store"),(INDEX(B1:XFD1,(A2)+(1)))=("AB"),"false"),B2,AB374),AB374))</f>
        <v>#VALUE!</v>
      </c>
      <c r="AC374" t="e">
        <f ca="1">IF((A1)=(2),1,IF((371)=(AC3),IF(IF((INDEX(B1:XFD1,(A2)+(0)))=("store"),(INDEX(B1:XFD1,(A2)+(1)))=("AC"),"false"),B2,AC374),AC374))</f>
        <v>#VALUE!</v>
      </c>
      <c r="AD374" t="e">
        <f ca="1">IF((A1)=(2),1,IF((371)=(AD3),IF(IF((INDEX(B1:XFD1,(A2)+(0)))=("store"),(INDEX(B1:XFD1,(A2)+(1)))=("AD"),"false"),B2,AD374),AD374))</f>
        <v>#VALUE!</v>
      </c>
    </row>
    <row r="375" spans="1:30" x14ac:dyDescent="0.25">
      <c r="A375" t="e">
        <f ca="1">IF((A1)=(2),1,IF((372)=(A3),IF(("call")=(INDEX(B1:XFD1,(A2)+(0))),((B2)*(2))+(1),IF(("goto")=(INDEX(B1:XFD1,(A2)+(0))),((INDEX(B1:XFD1,(A2)+(1)))*(2))+(1),IF(("gotoiftrue")=(INDEX(B1:XFD1,(A2)+(0))),IF(B2,((INDEX(B1:XFD1,(A2)+(1)))*(2))+(1),(A375)+(2)),(A375)+(2)))),A375))</f>
        <v>#VALUE!</v>
      </c>
      <c r="B375" t="e">
        <f ca="1">IF((A1)=(2),1,IF((372)=(B3),IF(("push")=(INDEX(B1:XFD1,(A2)+(0))),INDEX(B1:XFD1,(A2)+(1)),IF(("load")=(INDEX(B1:XFD1,(A2)+(0))),INDEX(F2:XFD2,INDEX(B1:XFD1,(A2)+(1))),IF(("newheap")=(INDEX(B1:XFD1,(A2)+(0))),(C3)-(2),IF(("getheap")=(INDEX(B1:XFD1,(A2)+(0))),INDEX(C4:C404,(B375)+(1)),IF(("add")=(INDEX(B1:XFD1,(A2)+(0))),(INDEX(B4:B404,(B3)+(1)))+(B375),IF(("equals")=(INDEX(B1:XFD1,(A2)+(0))),(INDEX(B4:B404,(B3)+(1)))=(B375),IF(("leq")=(INDEX(B1:XFD1,(A2)+(0))),(INDEX(B4:B404,(B3)+(1)))&lt;=(B375),IF(("mod")=(INDEX(B1:XFD1,(A2)+(0))),MOD(INDEX(B4:B404,(B3)+(1)),B375),B375)))))))),B375))</f>
        <v>#VALUE!</v>
      </c>
      <c r="C375" t="e">
        <f ca="1">IF((A1)=(2),1,IF(AND((INDEX(B1:XFD1,(A2)+(0)))=("writeheap"),(INDEX(B4:B404,(B3)+(1)))=(371)),INDEX(B4:B404,(B3)+(2)),IF((A1)=(2),1,IF((372)=(C3),C375,C375))))</f>
        <v>#VALUE!</v>
      </c>
      <c r="E375" t="e">
        <f ca="1">IF((A1)=(2),1,IF((372)=(E3),IF(("outputline")=(INDEX(B1:XFD1,(A2)+(0))),B2,E375),E375))</f>
        <v>#VALUE!</v>
      </c>
      <c r="F375" t="e">
        <f ca="1">IF((A1)=(2),1,IF((372)=(F3),IF(IF((INDEX(B1:XFD1,(A2)+(0)))=("store"),(INDEX(B1:XFD1,(A2)+(1)))=("F"),"false"),B2,F375),F375))</f>
        <v>#VALUE!</v>
      </c>
      <c r="G375" t="e">
        <f ca="1">IF((A1)=(2),1,IF((372)=(G3),IF(IF((INDEX(B1:XFD1,(A2)+(0)))=("store"),(INDEX(B1:XFD1,(A2)+(1)))=("G"),"false"),B2,G375),G375))</f>
        <v>#VALUE!</v>
      </c>
      <c r="H375" t="e">
        <f ca="1">IF((A1)=(2),1,IF((372)=(H3),IF(IF((INDEX(B1:XFD1,(A2)+(0)))=("store"),(INDEX(B1:XFD1,(A2)+(1)))=("H"),"false"),B2,H375),H375))</f>
        <v>#VALUE!</v>
      </c>
      <c r="I375" t="e">
        <f ca="1">IF((A1)=(2),1,IF((372)=(I3),IF(IF((INDEX(B1:XFD1,(A2)+(0)))=("store"),(INDEX(B1:XFD1,(A2)+(1)))=("I"),"false"),B2,I375),I375))</f>
        <v>#VALUE!</v>
      </c>
      <c r="J375" t="e">
        <f ca="1">IF((A1)=(2),1,IF((372)=(J3),IF(IF((INDEX(B1:XFD1,(A2)+(0)))=("store"),(INDEX(B1:XFD1,(A2)+(1)))=("J"),"false"),B2,J375),J375))</f>
        <v>#VALUE!</v>
      </c>
      <c r="K375" t="e">
        <f ca="1">IF((A1)=(2),1,IF((372)=(K3),IF(IF((INDEX(B1:XFD1,(A2)+(0)))=("store"),(INDEX(B1:XFD1,(A2)+(1)))=("K"),"false"),B2,K375),K375))</f>
        <v>#VALUE!</v>
      </c>
      <c r="L375" t="e">
        <f ca="1">IF((A1)=(2),1,IF((372)=(L3),IF(IF((INDEX(B1:XFD1,(A2)+(0)))=("store"),(INDEX(B1:XFD1,(A2)+(1)))=("L"),"false"),B2,L375),L375))</f>
        <v>#VALUE!</v>
      </c>
      <c r="M375" t="e">
        <f ca="1">IF((A1)=(2),1,IF((372)=(M3),IF(IF((INDEX(B1:XFD1,(A2)+(0)))=("store"),(INDEX(B1:XFD1,(A2)+(1)))=("M"),"false"),B2,M375),M375))</f>
        <v>#VALUE!</v>
      </c>
      <c r="N375" t="e">
        <f ca="1">IF((A1)=(2),1,IF((372)=(N3),IF(IF((INDEX(B1:XFD1,(A2)+(0)))=("store"),(INDEX(B1:XFD1,(A2)+(1)))=("N"),"false"),B2,N375),N375))</f>
        <v>#VALUE!</v>
      </c>
      <c r="O375" t="e">
        <f ca="1">IF((A1)=(2),1,IF((372)=(O3),IF(IF((INDEX(B1:XFD1,(A2)+(0)))=("store"),(INDEX(B1:XFD1,(A2)+(1)))=("O"),"false"),B2,O375),O375))</f>
        <v>#VALUE!</v>
      </c>
      <c r="P375" t="e">
        <f ca="1">IF((A1)=(2),1,IF((372)=(P3),IF(IF((INDEX(B1:XFD1,(A2)+(0)))=("store"),(INDEX(B1:XFD1,(A2)+(1)))=("P"),"false"),B2,P375),P375))</f>
        <v>#VALUE!</v>
      </c>
      <c r="Q375" t="e">
        <f ca="1">IF((A1)=(2),1,IF((372)=(Q3),IF(IF((INDEX(B1:XFD1,(A2)+(0)))=("store"),(INDEX(B1:XFD1,(A2)+(1)))=("Q"),"false"),B2,Q375),Q375))</f>
        <v>#VALUE!</v>
      </c>
      <c r="R375" t="e">
        <f ca="1">IF((A1)=(2),1,IF((372)=(R3),IF(IF((INDEX(B1:XFD1,(A2)+(0)))=("store"),(INDEX(B1:XFD1,(A2)+(1)))=("R"),"false"),B2,R375),R375))</f>
        <v>#VALUE!</v>
      </c>
      <c r="S375" t="e">
        <f ca="1">IF((A1)=(2),1,IF((372)=(S3),IF(IF((INDEX(B1:XFD1,(A2)+(0)))=("store"),(INDEX(B1:XFD1,(A2)+(1)))=("S"),"false"),B2,S375),S375))</f>
        <v>#VALUE!</v>
      </c>
      <c r="T375" t="e">
        <f ca="1">IF((A1)=(2),1,IF((372)=(T3),IF(IF((INDEX(B1:XFD1,(A2)+(0)))=("store"),(INDEX(B1:XFD1,(A2)+(1)))=("T"),"false"),B2,T375),T375))</f>
        <v>#VALUE!</v>
      </c>
      <c r="U375" t="e">
        <f ca="1">IF((A1)=(2),1,IF((372)=(U3),IF(IF((INDEX(B1:XFD1,(A2)+(0)))=("store"),(INDEX(B1:XFD1,(A2)+(1)))=("U"),"false"),B2,U375),U375))</f>
        <v>#VALUE!</v>
      </c>
      <c r="V375" t="e">
        <f ca="1">IF((A1)=(2),1,IF((372)=(V3),IF(IF((INDEX(B1:XFD1,(A2)+(0)))=("store"),(INDEX(B1:XFD1,(A2)+(1)))=("V"),"false"),B2,V375),V375))</f>
        <v>#VALUE!</v>
      </c>
      <c r="W375" t="e">
        <f ca="1">IF((A1)=(2),1,IF((372)=(W3),IF(IF((INDEX(B1:XFD1,(A2)+(0)))=("store"),(INDEX(B1:XFD1,(A2)+(1)))=("W"),"false"),B2,W375),W375))</f>
        <v>#VALUE!</v>
      </c>
      <c r="X375" t="e">
        <f ca="1">IF((A1)=(2),1,IF((372)=(X3),IF(IF((INDEX(B1:XFD1,(A2)+(0)))=("store"),(INDEX(B1:XFD1,(A2)+(1)))=("X"),"false"),B2,X375),X375))</f>
        <v>#VALUE!</v>
      </c>
      <c r="Y375" t="e">
        <f ca="1">IF((A1)=(2),1,IF((372)=(Y3),IF(IF((INDEX(B1:XFD1,(A2)+(0)))=("store"),(INDEX(B1:XFD1,(A2)+(1)))=("Y"),"false"),B2,Y375),Y375))</f>
        <v>#VALUE!</v>
      </c>
      <c r="Z375" t="e">
        <f ca="1">IF((A1)=(2),1,IF((372)=(Z3),IF(IF((INDEX(B1:XFD1,(A2)+(0)))=("store"),(INDEX(B1:XFD1,(A2)+(1)))=("Z"),"false"),B2,Z375),Z375))</f>
        <v>#VALUE!</v>
      </c>
      <c r="AA375" t="e">
        <f ca="1">IF((A1)=(2),1,IF((372)=(AA3),IF(IF((INDEX(B1:XFD1,(A2)+(0)))=("store"),(INDEX(B1:XFD1,(A2)+(1)))=("AA"),"false"),B2,AA375),AA375))</f>
        <v>#VALUE!</v>
      </c>
      <c r="AB375" t="e">
        <f ca="1">IF((A1)=(2),1,IF((372)=(AB3),IF(IF((INDEX(B1:XFD1,(A2)+(0)))=("store"),(INDEX(B1:XFD1,(A2)+(1)))=("AB"),"false"),B2,AB375),AB375))</f>
        <v>#VALUE!</v>
      </c>
      <c r="AC375" t="e">
        <f ca="1">IF((A1)=(2),1,IF((372)=(AC3),IF(IF((INDEX(B1:XFD1,(A2)+(0)))=("store"),(INDEX(B1:XFD1,(A2)+(1)))=("AC"),"false"),B2,AC375),AC375))</f>
        <v>#VALUE!</v>
      </c>
      <c r="AD375" t="e">
        <f ca="1">IF((A1)=(2),1,IF((372)=(AD3),IF(IF((INDEX(B1:XFD1,(A2)+(0)))=("store"),(INDEX(B1:XFD1,(A2)+(1)))=("AD"),"false"),B2,AD375),AD375))</f>
        <v>#VALUE!</v>
      </c>
    </row>
    <row r="376" spans="1:30" x14ac:dyDescent="0.25">
      <c r="A376" t="e">
        <f ca="1">IF((A1)=(2),1,IF((373)=(A3),IF(("call")=(INDEX(B1:XFD1,(A2)+(0))),((B2)*(2))+(1),IF(("goto")=(INDEX(B1:XFD1,(A2)+(0))),((INDEX(B1:XFD1,(A2)+(1)))*(2))+(1),IF(("gotoiftrue")=(INDEX(B1:XFD1,(A2)+(0))),IF(B2,((INDEX(B1:XFD1,(A2)+(1)))*(2))+(1),(A376)+(2)),(A376)+(2)))),A376))</f>
        <v>#VALUE!</v>
      </c>
      <c r="B376" t="e">
        <f ca="1">IF((A1)=(2),1,IF((373)=(B3),IF(("push")=(INDEX(B1:XFD1,(A2)+(0))),INDEX(B1:XFD1,(A2)+(1)),IF(("load")=(INDEX(B1:XFD1,(A2)+(0))),INDEX(F2:XFD2,INDEX(B1:XFD1,(A2)+(1))),IF(("newheap")=(INDEX(B1:XFD1,(A2)+(0))),(C3)-(2),IF(("getheap")=(INDEX(B1:XFD1,(A2)+(0))),INDEX(C4:C404,(B376)+(1)),IF(("add")=(INDEX(B1:XFD1,(A2)+(0))),(INDEX(B4:B404,(B3)+(1)))+(B376),IF(("equals")=(INDEX(B1:XFD1,(A2)+(0))),(INDEX(B4:B404,(B3)+(1)))=(B376),IF(("leq")=(INDEX(B1:XFD1,(A2)+(0))),(INDEX(B4:B404,(B3)+(1)))&lt;=(B376),IF(("mod")=(INDEX(B1:XFD1,(A2)+(0))),MOD(INDEX(B4:B404,(B3)+(1)),B376),B376)))))))),B376))</f>
        <v>#VALUE!</v>
      </c>
      <c r="C376" t="e">
        <f ca="1">IF((A1)=(2),1,IF(AND((INDEX(B1:XFD1,(A2)+(0)))=("writeheap"),(INDEX(B4:B404,(B3)+(1)))=(372)),INDEX(B4:B404,(B3)+(2)),IF((A1)=(2),1,IF((373)=(C3),C376,C376))))</f>
        <v>#VALUE!</v>
      </c>
      <c r="E376" t="e">
        <f ca="1">IF((A1)=(2),1,IF((373)=(E3),IF(("outputline")=(INDEX(B1:XFD1,(A2)+(0))),B2,E376),E376))</f>
        <v>#VALUE!</v>
      </c>
      <c r="F376" t="e">
        <f ca="1">IF((A1)=(2),1,IF((373)=(F3),IF(IF((INDEX(B1:XFD1,(A2)+(0)))=("store"),(INDEX(B1:XFD1,(A2)+(1)))=("F"),"false"),B2,F376),F376))</f>
        <v>#VALUE!</v>
      </c>
      <c r="G376" t="e">
        <f ca="1">IF((A1)=(2),1,IF((373)=(G3),IF(IF((INDEX(B1:XFD1,(A2)+(0)))=("store"),(INDEX(B1:XFD1,(A2)+(1)))=("G"),"false"),B2,G376),G376))</f>
        <v>#VALUE!</v>
      </c>
      <c r="H376" t="e">
        <f ca="1">IF((A1)=(2),1,IF((373)=(H3),IF(IF((INDEX(B1:XFD1,(A2)+(0)))=("store"),(INDEX(B1:XFD1,(A2)+(1)))=("H"),"false"),B2,H376),H376))</f>
        <v>#VALUE!</v>
      </c>
      <c r="I376" t="e">
        <f ca="1">IF((A1)=(2),1,IF((373)=(I3),IF(IF((INDEX(B1:XFD1,(A2)+(0)))=("store"),(INDEX(B1:XFD1,(A2)+(1)))=("I"),"false"),B2,I376),I376))</f>
        <v>#VALUE!</v>
      </c>
      <c r="J376" t="e">
        <f ca="1">IF((A1)=(2),1,IF((373)=(J3),IF(IF((INDEX(B1:XFD1,(A2)+(0)))=("store"),(INDEX(B1:XFD1,(A2)+(1)))=("J"),"false"),B2,J376),J376))</f>
        <v>#VALUE!</v>
      </c>
      <c r="K376" t="e">
        <f ca="1">IF((A1)=(2),1,IF((373)=(K3),IF(IF((INDEX(B1:XFD1,(A2)+(0)))=("store"),(INDEX(B1:XFD1,(A2)+(1)))=("K"),"false"),B2,K376),K376))</f>
        <v>#VALUE!</v>
      </c>
      <c r="L376" t="e">
        <f ca="1">IF((A1)=(2),1,IF((373)=(L3),IF(IF((INDEX(B1:XFD1,(A2)+(0)))=("store"),(INDEX(B1:XFD1,(A2)+(1)))=("L"),"false"),B2,L376),L376))</f>
        <v>#VALUE!</v>
      </c>
      <c r="M376" t="e">
        <f ca="1">IF((A1)=(2),1,IF((373)=(M3),IF(IF((INDEX(B1:XFD1,(A2)+(0)))=("store"),(INDEX(B1:XFD1,(A2)+(1)))=("M"),"false"),B2,M376),M376))</f>
        <v>#VALUE!</v>
      </c>
      <c r="N376" t="e">
        <f ca="1">IF((A1)=(2),1,IF((373)=(N3),IF(IF((INDEX(B1:XFD1,(A2)+(0)))=("store"),(INDEX(B1:XFD1,(A2)+(1)))=("N"),"false"),B2,N376),N376))</f>
        <v>#VALUE!</v>
      </c>
      <c r="O376" t="e">
        <f ca="1">IF((A1)=(2),1,IF((373)=(O3),IF(IF((INDEX(B1:XFD1,(A2)+(0)))=("store"),(INDEX(B1:XFD1,(A2)+(1)))=("O"),"false"),B2,O376),O376))</f>
        <v>#VALUE!</v>
      </c>
      <c r="P376" t="e">
        <f ca="1">IF((A1)=(2),1,IF((373)=(P3),IF(IF((INDEX(B1:XFD1,(A2)+(0)))=("store"),(INDEX(B1:XFD1,(A2)+(1)))=("P"),"false"),B2,P376),P376))</f>
        <v>#VALUE!</v>
      </c>
      <c r="Q376" t="e">
        <f ca="1">IF((A1)=(2),1,IF((373)=(Q3),IF(IF((INDEX(B1:XFD1,(A2)+(0)))=("store"),(INDEX(B1:XFD1,(A2)+(1)))=("Q"),"false"),B2,Q376),Q376))</f>
        <v>#VALUE!</v>
      </c>
      <c r="R376" t="e">
        <f ca="1">IF((A1)=(2),1,IF((373)=(R3),IF(IF((INDEX(B1:XFD1,(A2)+(0)))=("store"),(INDEX(B1:XFD1,(A2)+(1)))=("R"),"false"),B2,R376),R376))</f>
        <v>#VALUE!</v>
      </c>
      <c r="S376" t="e">
        <f ca="1">IF((A1)=(2),1,IF((373)=(S3),IF(IF((INDEX(B1:XFD1,(A2)+(0)))=("store"),(INDEX(B1:XFD1,(A2)+(1)))=("S"),"false"),B2,S376),S376))</f>
        <v>#VALUE!</v>
      </c>
      <c r="T376" t="e">
        <f ca="1">IF((A1)=(2),1,IF((373)=(T3),IF(IF((INDEX(B1:XFD1,(A2)+(0)))=("store"),(INDEX(B1:XFD1,(A2)+(1)))=("T"),"false"),B2,T376),T376))</f>
        <v>#VALUE!</v>
      </c>
      <c r="U376" t="e">
        <f ca="1">IF((A1)=(2),1,IF((373)=(U3),IF(IF((INDEX(B1:XFD1,(A2)+(0)))=("store"),(INDEX(B1:XFD1,(A2)+(1)))=("U"),"false"),B2,U376),U376))</f>
        <v>#VALUE!</v>
      </c>
      <c r="V376" t="e">
        <f ca="1">IF((A1)=(2),1,IF((373)=(V3),IF(IF((INDEX(B1:XFD1,(A2)+(0)))=("store"),(INDEX(B1:XFD1,(A2)+(1)))=("V"),"false"),B2,V376),V376))</f>
        <v>#VALUE!</v>
      </c>
      <c r="W376" t="e">
        <f ca="1">IF((A1)=(2),1,IF((373)=(W3),IF(IF((INDEX(B1:XFD1,(A2)+(0)))=("store"),(INDEX(B1:XFD1,(A2)+(1)))=("W"),"false"),B2,W376),W376))</f>
        <v>#VALUE!</v>
      </c>
      <c r="X376" t="e">
        <f ca="1">IF((A1)=(2),1,IF((373)=(X3),IF(IF((INDEX(B1:XFD1,(A2)+(0)))=("store"),(INDEX(B1:XFD1,(A2)+(1)))=("X"),"false"),B2,X376),X376))</f>
        <v>#VALUE!</v>
      </c>
      <c r="Y376" t="e">
        <f ca="1">IF((A1)=(2),1,IF((373)=(Y3),IF(IF((INDEX(B1:XFD1,(A2)+(0)))=("store"),(INDEX(B1:XFD1,(A2)+(1)))=("Y"),"false"),B2,Y376),Y376))</f>
        <v>#VALUE!</v>
      </c>
      <c r="Z376" t="e">
        <f ca="1">IF((A1)=(2),1,IF((373)=(Z3),IF(IF((INDEX(B1:XFD1,(A2)+(0)))=("store"),(INDEX(B1:XFD1,(A2)+(1)))=("Z"),"false"),B2,Z376),Z376))</f>
        <v>#VALUE!</v>
      </c>
      <c r="AA376" t="e">
        <f ca="1">IF((A1)=(2),1,IF((373)=(AA3),IF(IF((INDEX(B1:XFD1,(A2)+(0)))=("store"),(INDEX(B1:XFD1,(A2)+(1)))=("AA"),"false"),B2,AA376),AA376))</f>
        <v>#VALUE!</v>
      </c>
      <c r="AB376" t="e">
        <f ca="1">IF((A1)=(2),1,IF((373)=(AB3),IF(IF((INDEX(B1:XFD1,(A2)+(0)))=("store"),(INDEX(B1:XFD1,(A2)+(1)))=("AB"),"false"),B2,AB376),AB376))</f>
        <v>#VALUE!</v>
      </c>
      <c r="AC376" t="e">
        <f ca="1">IF((A1)=(2),1,IF((373)=(AC3),IF(IF((INDEX(B1:XFD1,(A2)+(0)))=("store"),(INDEX(B1:XFD1,(A2)+(1)))=("AC"),"false"),B2,AC376),AC376))</f>
        <v>#VALUE!</v>
      </c>
      <c r="AD376" t="e">
        <f ca="1">IF((A1)=(2),1,IF((373)=(AD3),IF(IF((INDEX(B1:XFD1,(A2)+(0)))=("store"),(INDEX(B1:XFD1,(A2)+(1)))=("AD"),"false"),B2,AD376),AD376))</f>
        <v>#VALUE!</v>
      </c>
    </row>
    <row r="377" spans="1:30" x14ac:dyDescent="0.25">
      <c r="A377" t="e">
        <f ca="1">IF((A1)=(2),1,IF((374)=(A3),IF(("call")=(INDEX(B1:XFD1,(A2)+(0))),((B2)*(2))+(1),IF(("goto")=(INDEX(B1:XFD1,(A2)+(0))),((INDEX(B1:XFD1,(A2)+(1)))*(2))+(1),IF(("gotoiftrue")=(INDEX(B1:XFD1,(A2)+(0))),IF(B2,((INDEX(B1:XFD1,(A2)+(1)))*(2))+(1),(A377)+(2)),(A377)+(2)))),A377))</f>
        <v>#VALUE!</v>
      </c>
      <c r="B377" t="e">
        <f ca="1">IF((A1)=(2),1,IF((374)=(B3),IF(("push")=(INDEX(B1:XFD1,(A2)+(0))),INDEX(B1:XFD1,(A2)+(1)),IF(("load")=(INDEX(B1:XFD1,(A2)+(0))),INDEX(F2:XFD2,INDEX(B1:XFD1,(A2)+(1))),IF(("newheap")=(INDEX(B1:XFD1,(A2)+(0))),(C3)-(2),IF(("getheap")=(INDEX(B1:XFD1,(A2)+(0))),INDEX(C4:C404,(B377)+(1)),IF(("add")=(INDEX(B1:XFD1,(A2)+(0))),(INDEX(B4:B404,(B3)+(1)))+(B377),IF(("equals")=(INDEX(B1:XFD1,(A2)+(0))),(INDEX(B4:B404,(B3)+(1)))=(B377),IF(("leq")=(INDEX(B1:XFD1,(A2)+(0))),(INDEX(B4:B404,(B3)+(1)))&lt;=(B377),IF(("mod")=(INDEX(B1:XFD1,(A2)+(0))),MOD(INDEX(B4:B404,(B3)+(1)),B377),B377)))))))),B377))</f>
        <v>#VALUE!</v>
      </c>
      <c r="C377" t="e">
        <f ca="1">IF((A1)=(2),1,IF(AND((INDEX(B1:XFD1,(A2)+(0)))=("writeheap"),(INDEX(B4:B404,(B3)+(1)))=(373)),INDEX(B4:B404,(B3)+(2)),IF((A1)=(2),1,IF((374)=(C3),C377,C377))))</f>
        <v>#VALUE!</v>
      </c>
      <c r="E377" t="e">
        <f ca="1">IF((A1)=(2),1,IF((374)=(E3),IF(("outputline")=(INDEX(B1:XFD1,(A2)+(0))),B2,E377),E377))</f>
        <v>#VALUE!</v>
      </c>
      <c r="F377" t="e">
        <f ca="1">IF((A1)=(2),1,IF((374)=(F3),IF(IF((INDEX(B1:XFD1,(A2)+(0)))=("store"),(INDEX(B1:XFD1,(A2)+(1)))=("F"),"false"),B2,F377),F377))</f>
        <v>#VALUE!</v>
      </c>
      <c r="G377" t="e">
        <f ca="1">IF((A1)=(2),1,IF((374)=(G3),IF(IF((INDEX(B1:XFD1,(A2)+(0)))=("store"),(INDEX(B1:XFD1,(A2)+(1)))=("G"),"false"),B2,G377),G377))</f>
        <v>#VALUE!</v>
      </c>
      <c r="H377" t="e">
        <f ca="1">IF((A1)=(2),1,IF((374)=(H3),IF(IF((INDEX(B1:XFD1,(A2)+(0)))=("store"),(INDEX(B1:XFD1,(A2)+(1)))=("H"),"false"),B2,H377),H377))</f>
        <v>#VALUE!</v>
      </c>
      <c r="I377" t="e">
        <f ca="1">IF((A1)=(2),1,IF((374)=(I3),IF(IF((INDEX(B1:XFD1,(A2)+(0)))=("store"),(INDEX(B1:XFD1,(A2)+(1)))=("I"),"false"),B2,I377),I377))</f>
        <v>#VALUE!</v>
      </c>
      <c r="J377" t="e">
        <f ca="1">IF((A1)=(2),1,IF((374)=(J3),IF(IF((INDEX(B1:XFD1,(A2)+(0)))=("store"),(INDEX(B1:XFD1,(A2)+(1)))=("J"),"false"),B2,J377),J377))</f>
        <v>#VALUE!</v>
      </c>
      <c r="K377" t="e">
        <f ca="1">IF((A1)=(2),1,IF((374)=(K3),IF(IF((INDEX(B1:XFD1,(A2)+(0)))=("store"),(INDEX(B1:XFD1,(A2)+(1)))=("K"),"false"),B2,K377),K377))</f>
        <v>#VALUE!</v>
      </c>
      <c r="L377" t="e">
        <f ca="1">IF((A1)=(2),1,IF((374)=(L3),IF(IF((INDEX(B1:XFD1,(A2)+(0)))=("store"),(INDEX(B1:XFD1,(A2)+(1)))=("L"),"false"),B2,L377),L377))</f>
        <v>#VALUE!</v>
      </c>
      <c r="M377" t="e">
        <f ca="1">IF((A1)=(2),1,IF((374)=(M3),IF(IF((INDEX(B1:XFD1,(A2)+(0)))=("store"),(INDEX(B1:XFD1,(A2)+(1)))=("M"),"false"),B2,M377),M377))</f>
        <v>#VALUE!</v>
      </c>
      <c r="N377" t="e">
        <f ca="1">IF((A1)=(2),1,IF((374)=(N3),IF(IF((INDEX(B1:XFD1,(A2)+(0)))=("store"),(INDEX(B1:XFD1,(A2)+(1)))=("N"),"false"),B2,N377),N377))</f>
        <v>#VALUE!</v>
      </c>
      <c r="O377" t="e">
        <f ca="1">IF((A1)=(2),1,IF((374)=(O3),IF(IF((INDEX(B1:XFD1,(A2)+(0)))=("store"),(INDEX(B1:XFD1,(A2)+(1)))=("O"),"false"),B2,O377),O377))</f>
        <v>#VALUE!</v>
      </c>
      <c r="P377" t="e">
        <f ca="1">IF((A1)=(2),1,IF((374)=(P3),IF(IF((INDEX(B1:XFD1,(A2)+(0)))=("store"),(INDEX(B1:XFD1,(A2)+(1)))=("P"),"false"),B2,P377),P377))</f>
        <v>#VALUE!</v>
      </c>
      <c r="Q377" t="e">
        <f ca="1">IF((A1)=(2),1,IF((374)=(Q3),IF(IF((INDEX(B1:XFD1,(A2)+(0)))=("store"),(INDEX(B1:XFD1,(A2)+(1)))=("Q"),"false"),B2,Q377),Q377))</f>
        <v>#VALUE!</v>
      </c>
      <c r="R377" t="e">
        <f ca="1">IF((A1)=(2),1,IF((374)=(R3),IF(IF((INDEX(B1:XFD1,(A2)+(0)))=("store"),(INDEX(B1:XFD1,(A2)+(1)))=("R"),"false"),B2,R377),R377))</f>
        <v>#VALUE!</v>
      </c>
      <c r="S377" t="e">
        <f ca="1">IF((A1)=(2),1,IF((374)=(S3),IF(IF((INDEX(B1:XFD1,(A2)+(0)))=("store"),(INDEX(B1:XFD1,(A2)+(1)))=("S"),"false"),B2,S377),S377))</f>
        <v>#VALUE!</v>
      </c>
      <c r="T377" t="e">
        <f ca="1">IF((A1)=(2),1,IF((374)=(T3),IF(IF((INDEX(B1:XFD1,(A2)+(0)))=("store"),(INDEX(B1:XFD1,(A2)+(1)))=("T"),"false"),B2,T377),T377))</f>
        <v>#VALUE!</v>
      </c>
      <c r="U377" t="e">
        <f ca="1">IF((A1)=(2),1,IF((374)=(U3),IF(IF((INDEX(B1:XFD1,(A2)+(0)))=("store"),(INDEX(B1:XFD1,(A2)+(1)))=("U"),"false"),B2,U377),U377))</f>
        <v>#VALUE!</v>
      </c>
      <c r="V377" t="e">
        <f ca="1">IF((A1)=(2),1,IF((374)=(V3),IF(IF((INDEX(B1:XFD1,(A2)+(0)))=("store"),(INDEX(B1:XFD1,(A2)+(1)))=("V"),"false"),B2,V377),V377))</f>
        <v>#VALUE!</v>
      </c>
      <c r="W377" t="e">
        <f ca="1">IF((A1)=(2),1,IF((374)=(W3),IF(IF((INDEX(B1:XFD1,(A2)+(0)))=("store"),(INDEX(B1:XFD1,(A2)+(1)))=("W"),"false"),B2,W377),W377))</f>
        <v>#VALUE!</v>
      </c>
      <c r="X377" t="e">
        <f ca="1">IF((A1)=(2),1,IF((374)=(X3),IF(IF((INDEX(B1:XFD1,(A2)+(0)))=("store"),(INDEX(B1:XFD1,(A2)+(1)))=("X"),"false"),B2,X377),X377))</f>
        <v>#VALUE!</v>
      </c>
      <c r="Y377" t="e">
        <f ca="1">IF((A1)=(2),1,IF((374)=(Y3),IF(IF((INDEX(B1:XFD1,(A2)+(0)))=("store"),(INDEX(B1:XFD1,(A2)+(1)))=("Y"),"false"),B2,Y377),Y377))</f>
        <v>#VALUE!</v>
      </c>
      <c r="Z377" t="e">
        <f ca="1">IF((A1)=(2),1,IF((374)=(Z3),IF(IF((INDEX(B1:XFD1,(A2)+(0)))=("store"),(INDEX(B1:XFD1,(A2)+(1)))=("Z"),"false"),B2,Z377),Z377))</f>
        <v>#VALUE!</v>
      </c>
      <c r="AA377" t="e">
        <f ca="1">IF((A1)=(2),1,IF((374)=(AA3),IF(IF((INDEX(B1:XFD1,(A2)+(0)))=("store"),(INDEX(B1:XFD1,(A2)+(1)))=("AA"),"false"),B2,AA377),AA377))</f>
        <v>#VALUE!</v>
      </c>
      <c r="AB377" t="e">
        <f ca="1">IF((A1)=(2),1,IF((374)=(AB3),IF(IF((INDEX(B1:XFD1,(A2)+(0)))=("store"),(INDEX(B1:XFD1,(A2)+(1)))=("AB"),"false"),B2,AB377),AB377))</f>
        <v>#VALUE!</v>
      </c>
      <c r="AC377" t="e">
        <f ca="1">IF((A1)=(2),1,IF((374)=(AC3),IF(IF((INDEX(B1:XFD1,(A2)+(0)))=("store"),(INDEX(B1:XFD1,(A2)+(1)))=("AC"),"false"),B2,AC377),AC377))</f>
        <v>#VALUE!</v>
      </c>
      <c r="AD377" t="e">
        <f ca="1">IF((A1)=(2),1,IF((374)=(AD3),IF(IF((INDEX(B1:XFD1,(A2)+(0)))=("store"),(INDEX(B1:XFD1,(A2)+(1)))=("AD"),"false"),B2,AD377),AD377))</f>
        <v>#VALUE!</v>
      </c>
    </row>
    <row r="378" spans="1:30" x14ac:dyDescent="0.25">
      <c r="A378" t="e">
        <f ca="1">IF((A1)=(2),1,IF((375)=(A3),IF(("call")=(INDEX(B1:XFD1,(A2)+(0))),((B2)*(2))+(1),IF(("goto")=(INDEX(B1:XFD1,(A2)+(0))),((INDEX(B1:XFD1,(A2)+(1)))*(2))+(1),IF(("gotoiftrue")=(INDEX(B1:XFD1,(A2)+(0))),IF(B2,((INDEX(B1:XFD1,(A2)+(1)))*(2))+(1),(A378)+(2)),(A378)+(2)))),A378))</f>
        <v>#VALUE!</v>
      </c>
      <c r="B378" t="e">
        <f ca="1">IF((A1)=(2),1,IF((375)=(B3),IF(("push")=(INDEX(B1:XFD1,(A2)+(0))),INDEX(B1:XFD1,(A2)+(1)),IF(("load")=(INDEX(B1:XFD1,(A2)+(0))),INDEX(F2:XFD2,INDEX(B1:XFD1,(A2)+(1))),IF(("newheap")=(INDEX(B1:XFD1,(A2)+(0))),(C3)-(2),IF(("getheap")=(INDEX(B1:XFD1,(A2)+(0))),INDEX(C4:C404,(B378)+(1)),IF(("add")=(INDEX(B1:XFD1,(A2)+(0))),(INDEX(B4:B404,(B3)+(1)))+(B378),IF(("equals")=(INDEX(B1:XFD1,(A2)+(0))),(INDEX(B4:B404,(B3)+(1)))=(B378),IF(("leq")=(INDEX(B1:XFD1,(A2)+(0))),(INDEX(B4:B404,(B3)+(1)))&lt;=(B378),IF(("mod")=(INDEX(B1:XFD1,(A2)+(0))),MOD(INDEX(B4:B404,(B3)+(1)),B378),B378)))))))),B378))</f>
        <v>#VALUE!</v>
      </c>
      <c r="C378" t="e">
        <f ca="1">IF((A1)=(2),1,IF(AND((INDEX(B1:XFD1,(A2)+(0)))=("writeheap"),(INDEX(B4:B404,(B3)+(1)))=(374)),INDEX(B4:B404,(B3)+(2)),IF((A1)=(2),1,IF((375)=(C3),C378,C378))))</f>
        <v>#VALUE!</v>
      </c>
      <c r="E378" t="e">
        <f ca="1">IF((A1)=(2),1,IF((375)=(E3),IF(("outputline")=(INDEX(B1:XFD1,(A2)+(0))),B2,E378),E378))</f>
        <v>#VALUE!</v>
      </c>
      <c r="F378" t="e">
        <f ca="1">IF((A1)=(2),1,IF((375)=(F3),IF(IF((INDEX(B1:XFD1,(A2)+(0)))=("store"),(INDEX(B1:XFD1,(A2)+(1)))=("F"),"false"),B2,F378),F378))</f>
        <v>#VALUE!</v>
      </c>
      <c r="G378" t="e">
        <f ca="1">IF((A1)=(2),1,IF((375)=(G3),IF(IF((INDEX(B1:XFD1,(A2)+(0)))=("store"),(INDEX(B1:XFD1,(A2)+(1)))=("G"),"false"),B2,G378),G378))</f>
        <v>#VALUE!</v>
      </c>
      <c r="H378" t="e">
        <f ca="1">IF((A1)=(2),1,IF((375)=(H3),IF(IF((INDEX(B1:XFD1,(A2)+(0)))=("store"),(INDEX(B1:XFD1,(A2)+(1)))=("H"),"false"),B2,H378),H378))</f>
        <v>#VALUE!</v>
      </c>
      <c r="I378" t="e">
        <f ca="1">IF((A1)=(2),1,IF((375)=(I3),IF(IF((INDEX(B1:XFD1,(A2)+(0)))=("store"),(INDEX(B1:XFD1,(A2)+(1)))=("I"),"false"),B2,I378),I378))</f>
        <v>#VALUE!</v>
      </c>
      <c r="J378" t="e">
        <f ca="1">IF((A1)=(2),1,IF((375)=(J3),IF(IF((INDEX(B1:XFD1,(A2)+(0)))=("store"),(INDEX(B1:XFD1,(A2)+(1)))=("J"),"false"),B2,J378),J378))</f>
        <v>#VALUE!</v>
      </c>
      <c r="K378" t="e">
        <f ca="1">IF((A1)=(2),1,IF((375)=(K3),IF(IF((INDEX(B1:XFD1,(A2)+(0)))=("store"),(INDEX(B1:XFD1,(A2)+(1)))=("K"),"false"),B2,K378),K378))</f>
        <v>#VALUE!</v>
      </c>
      <c r="L378" t="e">
        <f ca="1">IF((A1)=(2),1,IF((375)=(L3),IF(IF((INDEX(B1:XFD1,(A2)+(0)))=("store"),(INDEX(B1:XFD1,(A2)+(1)))=("L"),"false"),B2,L378),L378))</f>
        <v>#VALUE!</v>
      </c>
      <c r="M378" t="e">
        <f ca="1">IF((A1)=(2),1,IF((375)=(M3),IF(IF((INDEX(B1:XFD1,(A2)+(0)))=("store"),(INDEX(B1:XFD1,(A2)+(1)))=("M"),"false"),B2,M378),M378))</f>
        <v>#VALUE!</v>
      </c>
      <c r="N378" t="e">
        <f ca="1">IF((A1)=(2),1,IF((375)=(N3),IF(IF((INDEX(B1:XFD1,(A2)+(0)))=("store"),(INDEX(B1:XFD1,(A2)+(1)))=("N"),"false"),B2,N378),N378))</f>
        <v>#VALUE!</v>
      </c>
      <c r="O378" t="e">
        <f ca="1">IF((A1)=(2),1,IF((375)=(O3),IF(IF((INDEX(B1:XFD1,(A2)+(0)))=("store"),(INDEX(B1:XFD1,(A2)+(1)))=("O"),"false"),B2,O378),O378))</f>
        <v>#VALUE!</v>
      </c>
      <c r="P378" t="e">
        <f ca="1">IF((A1)=(2),1,IF((375)=(P3),IF(IF((INDEX(B1:XFD1,(A2)+(0)))=("store"),(INDEX(B1:XFD1,(A2)+(1)))=("P"),"false"),B2,P378),P378))</f>
        <v>#VALUE!</v>
      </c>
      <c r="Q378" t="e">
        <f ca="1">IF((A1)=(2),1,IF((375)=(Q3),IF(IF((INDEX(B1:XFD1,(A2)+(0)))=("store"),(INDEX(B1:XFD1,(A2)+(1)))=("Q"),"false"),B2,Q378),Q378))</f>
        <v>#VALUE!</v>
      </c>
      <c r="R378" t="e">
        <f ca="1">IF((A1)=(2),1,IF((375)=(R3),IF(IF((INDEX(B1:XFD1,(A2)+(0)))=("store"),(INDEX(B1:XFD1,(A2)+(1)))=("R"),"false"),B2,R378),R378))</f>
        <v>#VALUE!</v>
      </c>
      <c r="S378" t="e">
        <f ca="1">IF((A1)=(2),1,IF((375)=(S3),IF(IF((INDEX(B1:XFD1,(A2)+(0)))=("store"),(INDEX(B1:XFD1,(A2)+(1)))=("S"),"false"),B2,S378),S378))</f>
        <v>#VALUE!</v>
      </c>
      <c r="T378" t="e">
        <f ca="1">IF((A1)=(2),1,IF((375)=(T3),IF(IF((INDEX(B1:XFD1,(A2)+(0)))=("store"),(INDEX(B1:XFD1,(A2)+(1)))=("T"),"false"),B2,T378),T378))</f>
        <v>#VALUE!</v>
      </c>
      <c r="U378" t="e">
        <f ca="1">IF((A1)=(2),1,IF((375)=(U3),IF(IF((INDEX(B1:XFD1,(A2)+(0)))=("store"),(INDEX(B1:XFD1,(A2)+(1)))=("U"),"false"),B2,U378),U378))</f>
        <v>#VALUE!</v>
      </c>
      <c r="V378" t="e">
        <f ca="1">IF((A1)=(2),1,IF((375)=(V3),IF(IF((INDEX(B1:XFD1,(A2)+(0)))=("store"),(INDEX(B1:XFD1,(A2)+(1)))=("V"),"false"),B2,V378),V378))</f>
        <v>#VALUE!</v>
      </c>
      <c r="W378" t="e">
        <f ca="1">IF((A1)=(2),1,IF((375)=(W3),IF(IF((INDEX(B1:XFD1,(A2)+(0)))=("store"),(INDEX(B1:XFD1,(A2)+(1)))=("W"),"false"),B2,W378),W378))</f>
        <v>#VALUE!</v>
      </c>
      <c r="X378" t="e">
        <f ca="1">IF((A1)=(2),1,IF((375)=(X3),IF(IF((INDEX(B1:XFD1,(A2)+(0)))=("store"),(INDEX(B1:XFD1,(A2)+(1)))=("X"),"false"),B2,X378),X378))</f>
        <v>#VALUE!</v>
      </c>
      <c r="Y378" t="e">
        <f ca="1">IF((A1)=(2),1,IF((375)=(Y3),IF(IF((INDEX(B1:XFD1,(A2)+(0)))=("store"),(INDEX(B1:XFD1,(A2)+(1)))=("Y"),"false"),B2,Y378),Y378))</f>
        <v>#VALUE!</v>
      </c>
      <c r="Z378" t="e">
        <f ca="1">IF((A1)=(2),1,IF((375)=(Z3),IF(IF((INDEX(B1:XFD1,(A2)+(0)))=("store"),(INDEX(B1:XFD1,(A2)+(1)))=("Z"),"false"),B2,Z378),Z378))</f>
        <v>#VALUE!</v>
      </c>
      <c r="AA378" t="e">
        <f ca="1">IF((A1)=(2),1,IF((375)=(AA3),IF(IF((INDEX(B1:XFD1,(A2)+(0)))=("store"),(INDEX(B1:XFD1,(A2)+(1)))=("AA"),"false"),B2,AA378),AA378))</f>
        <v>#VALUE!</v>
      </c>
      <c r="AB378" t="e">
        <f ca="1">IF((A1)=(2),1,IF((375)=(AB3),IF(IF((INDEX(B1:XFD1,(A2)+(0)))=("store"),(INDEX(B1:XFD1,(A2)+(1)))=("AB"),"false"),B2,AB378),AB378))</f>
        <v>#VALUE!</v>
      </c>
      <c r="AC378" t="e">
        <f ca="1">IF((A1)=(2),1,IF((375)=(AC3),IF(IF((INDEX(B1:XFD1,(A2)+(0)))=("store"),(INDEX(B1:XFD1,(A2)+(1)))=("AC"),"false"),B2,AC378),AC378))</f>
        <v>#VALUE!</v>
      </c>
      <c r="AD378" t="e">
        <f ca="1">IF((A1)=(2),1,IF((375)=(AD3),IF(IF((INDEX(B1:XFD1,(A2)+(0)))=("store"),(INDEX(B1:XFD1,(A2)+(1)))=("AD"),"false"),B2,AD378),AD378))</f>
        <v>#VALUE!</v>
      </c>
    </row>
    <row r="379" spans="1:30" x14ac:dyDescent="0.25">
      <c r="A379" t="e">
        <f ca="1">IF((A1)=(2),1,IF((376)=(A3),IF(("call")=(INDEX(B1:XFD1,(A2)+(0))),((B2)*(2))+(1),IF(("goto")=(INDEX(B1:XFD1,(A2)+(0))),((INDEX(B1:XFD1,(A2)+(1)))*(2))+(1),IF(("gotoiftrue")=(INDEX(B1:XFD1,(A2)+(0))),IF(B2,((INDEX(B1:XFD1,(A2)+(1)))*(2))+(1),(A379)+(2)),(A379)+(2)))),A379))</f>
        <v>#VALUE!</v>
      </c>
      <c r="B379" t="e">
        <f ca="1">IF((A1)=(2),1,IF((376)=(B3),IF(("push")=(INDEX(B1:XFD1,(A2)+(0))),INDEX(B1:XFD1,(A2)+(1)),IF(("load")=(INDEX(B1:XFD1,(A2)+(0))),INDEX(F2:XFD2,INDEX(B1:XFD1,(A2)+(1))),IF(("newheap")=(INDEX(B1:XFD1,(A2)+(0))),(C3)-(2),IF(("getheap")=(INDEX(B1:XFD1,(A2)+(0))),INDEX(C4:C404,(B379)+(1)),IF(("add")=(INDEX(B1:XFD1,(A2)+(0))),(INDEX(B4:B404,(B3)+(1)))+(B379),IF(("equals")=(INDEX(B1:XFD1,(A2)+(0))),(INDEX(B4:B404,(B3)+(1)))=(B379),IF(("leq")=(INDEX(B1:XFD1,(A2)+(0))),(INDEX(B4:B404,(B3)+(1)))&lt;=(B379),IF(("mod")=(INDEX(B1:XFD1,(A2)+(0))),MOD(INDEX(B4:B404,(B3)+(1)),B379),B379)))))))),B379))</f>
        <v>#VALUE!</v>
      </c>
      <c r="C379" t="e">
        <f ca="1">IF((A1)=(2),1,IF(AND((INDEX(B1:XFD1,(A2)+(0)))=("writeheap"),(INDEX(B4:B404,(B3)+(1)))=(375)),INDEX(B4:B404,(B3)+(2)),IF((A1)=(2),1,IF((376)=(C3),C379,C379))))</f>
        <v>#VALUE!</v>
      </c>
      <c r="E379" t="e">
        <f ca="1">IF((A1)=(2),1,IF((376)=(E3),IF(("outputline")=(INDEX(B1:XFD1,(A2)+(0))),B2,E379),E379))</f>
        <v>#VALUE!</v>
      </c>
      <c r="F379" t="e">
        <f ca="1">IF((A1)=(2),1,IF((376)=(F3),IF(IF((INDEX(B1:XFD1,(A2)+(0)))=("store"),(INDEX(B1:XFD1,(A2)+(1)))=("F"),"false"),B2,F379),F379))</f>
        <v>#VALUE!</v>
      </c>
      <c r="G379" t="e">
        <f ca="1">IF((A1)=(2),1,IF((376)=(G3),IF(IF((INDEX(B1:XFD1,(A2)+(0)))=("store"),(INDEX(B1:XFD1,(A2)+(1)))=("G"),"false"),B2,G379),G379))</f>
        <v>#VALUE!</v>
      </c>
      <c r="H379" t="e">
        <f ca="1">IF((A1)=(2),1,IF((376)=(H3),IF(IF((INDEX(B1:XFD1,(A2)+(0)))=("store"),(INDEX(B1:XFD1,(A2)+(1)))=("H"),"false"),B2,H379),H379))</f>
        <v>#VALUE!</v>
      </c>
      <c r="I379" t="e">
        <f ca="1">IF((A1)=(2),1,IF((376)=(I3),IF(IF((INDEX(B1:XFD1,(A2)+(0)))=("store"),(INDEX(B1:XFD1,(A2)+(1)))=("I"),"false"),B2,I379),I379))</f>
        <v>#VALUE!</v>
      </c>
      <c r="J379" t="e">
        <f ca="1">IF((A1)=(2),1,IF((376)=(J3),IF(IF((INDEX(B1:XFD1,(A2)+(0)))=("store"),(INDEX(B1:XFD1,(A2)+(1)))=("J"),"false"),B2,J379),J379))</f>
        <v>#VALUE!</v>
      </c>
      <c r="K379" t="e">
        <f ca="1">IF((A1)=(2),1,IF((376)=(K3),IF(IF((INDEX(B1:XFD1,(A2)+(0)))=("store"),(INDEX(B1:XFD1,(A2)+(1)))=("K"),"false"),B2,K379),K379))</f>
        <v>#VALUE!</v>
      </c>
      <c r="L379" t="e">
        <f ca="1">IF((A1)=(2),1,IF((376)=(L3),IF(IF((INDEX(B1:XFD1,(A2)+(0)))=("store"),(INDEX(B1:XFD1,(A2)+(1)))=("L"),"false"),B2,L379),L379))</f>
        <v>#VALUE!</v>
      </c>
      <c r="M379" t="e">
        <f ca="1">IF((A1)=(2),1,IF((376)=(M3),IF(IF((INDEX(B1:XFD1,(A2)+(0)))=("store"),(INDEX(B1:XFD1,(A2)+(1)))=("M"),"false"),B2,M379),M379))</f>
        <v>#VALUE!</v>
      </c>
      <c r="N379" t="e">
        <f ca="1">IF((A1)=(2),1,IF((376)=(N3),IF(IF((INDEX(B1:XFD1,(A2)+(0)))=("store"),(INDEX(B1:XFD1,(A2)+(1)))=("N"),"false"),B2,N379),N379))</f>
        <v>#VALUE!</v>
      </c>
      <c r="O379" t="e">
        <f ca="1">IF((A1)=(2),1,IF((376)=(O3),IF(IF((INDEX(B1:XFD1,(A2)+(0)))=("store"),(INDEX(B1:XFD1,(A2)+(1)))=("O"),"false"),B2,O379),O379))</f>
        <v>#VALUE!</v>
      </c>
      <c r="P379" t="e">
        <f ca="1">IF((A1)=(2),1,IF((376)=(P3),IF(IF((INDEX(B1:XFD1,(A2)+(0)))=("store"),(INDEX(B1:XFD1,(A2)+(1)))=("P"),"false"),B2,P379),P379))</f>
        <v>#VALUE!</v>
      </c>
      <c r="Q379" t="e">
        <f ca="1">IF((A1)=(2),1,IF((376)=(Q3),IF(IF((INDEX(B1:XFD1,(A2)+(0)))=("store"),(INDEX(B1:XFD1,(A2)+(1)))=("Q"),"false"),B2,Q379),Q379))</f>
        <v>#VALUE!</v>
      </c>
      <c r="R379" t="e">
        <f ca="1">IF((A1)=(2),1,IF((376)=(R3),IF(IF((INDEX(B1:XFD1,(A2)+(0)))=("store"),(INDEX(B1:XFD1,(A2)+(1)))=("R"),"false"),B2,R379),R379))</f>
        <v>#VALUE!</v>
      </c>
      <c r="S379" t="e">
        <f ca="1">IF((A1)=(2),1,IF((376)=(S3),IF(IF((INDEX(B1:XFD1,(A2)+(0)))=("store"),(INDEX(B1:XFD1,(A2)+(1)))=("S"),"false"),B2,S379),S379))</f>
        <v>#VALUE!</v>
      </c>
      <c r="T379" t="e">
        <f ca="1">IF((A1)=(2),1,IF((376)=(T3),IF(IF((INDEX(B1:XFD1,(A2)+(0)))=("store"),(INDEX(B1:XFD1,(A2)+(1)))=("T"),"false"),B2,T379),T379))</f>
        <v>#VALUE!</v>
      </c>
      <c r="U379" t="e">
        <f ca="1">IF((A1)=(2),1,IF((376)=(U3),IF(IF((INDEX(B1:XFD1,(A2)+(0)))=("store"),(INDEX(B1:XFD1,(A2)+(1)))=("U"),"false"),B2,U379),U379))</f>
        <v>#VALUE!</v>
      </c>
      <c r="V379" t="e">
        <f ca="1">IF((A1)=(2),1,IF((376)=(V3),IF(IF((INDEX(B1:XFD1,(A2)+(0)))=("store"),(INDEX(B1:XFD1,(A2)+(1)))=("V"),"false"),B2,V379),V379))</f>
        <v>#VALUE!</v>
      </c>
      <c r="W379" t="e">
        <f ca="1">IF((A1)=(2),1,IF((376)=(W3),IF(IF((INDEX(B1:XFD1,(A2)+(0)))=("store"),(INDEX(B1:XFD1,(A2)+(1)))=("W"),"false"),B2,W379),W379))</f>
        <v>#VALUE!</v>
      </c>
      <c r="X379" t="e">
        <f ca="1">IF((A1)=(2),1,IF((376)=(X3),IF(IF((INDEX(B1:XFD1,(A2)+(0)))=("store"),(INDEX(B1:XFD1,(A2)+(1)))=("X"),"false"),B2,X379),X379))</f>
        <v>#VALUE!</v>
      </c>
      <c r="Y379" t="e">
        <f ca="1">IF((A1)=(2),1,IF((376)=(Y3),IF(IF((INDEX(B1:XFD1,(A2)+(0)))=("store"),(INDEX(B1:XFD1,(A2)+(1)))=("Y"),"false"),B2,Y379),Y379))</f>
        <v>#VALUE!</v>
      </c>
      <c r="Z379" t="e">
        <f ca="1">IF((A1)=(2),1,IF((376)=(Z3),IF(IF((INDEX(B1:XFD1,(A2)+(0)))=("store"),(INDEX(B1:XFD1,(A2)+(1)))=("Z"),"false"),B2,Z379),Z379))</f>
        <v>#VALUE!</v>
      </c>
      <c r="AA379" t="e">
        <f ca="1">IF((A1)=(2),1,IF((376)=(AA3),IF(IF((INDEX(B1:XFD1,(A2)+(0)))=("store"),(INDEX(B1:XFD1,(A2)+(1)))=("AA"),"false"),B2,AA379),AA379))</f>
        <v>#VALUE!</v>
      </c>
      <c r="AB379" t="e">
        <f ca="1">IF((A1)=(2),1,IF((376)=(AB3),IF(IF((INDEX(B1:XFD1,(A2)+(0)))=("store"),(INDEX(B1:XFD1,(A2)+(1)))=("AB"),"false"),B2,AB379),AB379))</f>
        <v>#VALUE!</v>
      </c>
      <c r="AC379" t="e">
        <f ca="1">IF((A1)=(2),1,IF((376)=(AC3),IF(IF((INDEX(B1:XFD1,(A2)+(0)))=("store"),(INDEX(B1:XFD1,(A2)+(1)))=("AC"),"false"),B2,AC379),AC379))</f>
        <v>#VALUE!</v>
      </c>
      <c r="AD379" t="e">
        <f ca="1">IF((A1)=(2),1,IF((376)=(AD3),IF(IF((INDEX(B1:XFD1,(A2)+(0)))=("store"),(INDEX(B1:XFD1,(A2)+(1)))=("AD"),"false"),B2,AD379),AD379))</f>
        <v>#VALUE!</v>
      </c>
    </row>
    <row r="380" spans="1:30" x14ac:dyDescent="0.25">
      <c r="A380" t="e">
        <f ca="1">IF((A1)=(2),1,IF((377)=(A3),IF(("call")=(INDEX(B1:XFD1,(A2)+(0))),((B2)*(2))+(1),IF(("goto")=(INDEX(B1:XFD1,(A2)+(0))),((INDEX(B1:XFD1,(A2)+(1)))*(2))+(1),IF(("gotoiftrue")=(INDEX(B1:XFD1,(A2)+(0))),IF(B2,((INDEX(B1:XFD1,(A2)+(1)))*(2))+(1),(A380)+(2)),(A380)+(2)))),A380))</f>
        <v>#VALUE!</v>
      </c>
      <c r="B380" t="e">
        <f ca="1">IF((A1)=(2),1,IF((377)=(B3),IF(("push")=(INDEX(B1:XFD1,(A2)+(0))),INDEX(B1:XFD1,(A2)+(1)),IF(("load")=(INDEX(B1:XFD1,(A2)+(0))),INDEX(F2:XFD2,INDEX(B1:XFD1,(A2)+(1))),IF(("newheap")=(INDEX(B1:XFD1,(A2)+(0))),(C3)-(2),IF(("getheap")=(INDEX(B1:XFD1,(A2)+(0))),INDEX(C4:C404,(B380)+(1)),IF(("add")=(INDEX(B1:XFD1,(A2)+(0))),(INDEX(B4:B404,(B3)+(1)))+(B380),IF(("equals")=(INDEX(B1:XFD1,(A2)+(0))),(INDEX(B4:B404,(B3)+(1)))=(B380),IF(("leq")=(INDEX(B1:XFD1,(A2)+(0))),(INDEX(B4:B404,(B3)+(1)))&lt;=(B380),IF(("mod")=(INDEX(B1:XFD1,(A2)+(0))),MOD(INDEX(B4:B404,(B3)+(1)),B380),B380)))))))),B380))</f>
        <v>#VALUE!</v>
      </c>
      <c r="C380" t="e">
        <f ca="1">IF((A1)=(2),1,IF(AND((INDEX(B1:XFD1,(A2)+(0)))=("writeheap"),(INDEX(B4:B404,(B3)+(1)))=(376)),INDEX(B4:B404,(B3)+(2)),IF((A1)=(2),1,IF((377)=(C3),C380,C380))))</f>
        <v>#VALUE!</v>
      </c>
      <c r="E380" t="e">
        <f ca="1">IF((A1)=(2),1,IF((377)=(E3),IF(("outputline")=(INDEX(B1:XFD1,(A2)+(0))),B2,E380),E380))</f>
        <v>#VALUE!</v>
      </c>
      <c r="F380" t="e">
        <f ca="1">IF((A1)=(2),1,IF((377)=(F3),IF(IF((INDEX(B1:XFD1,(A2)+(0)))=("store"),(INDEX(B1:XFD1,(A2)+(1)))=("F"),"false"),B2,F380),F380))</f>
        <v>#VALUE!</v>
      </c>
      <c r="G380" t="e">
        <f ca="1">IF((A1)=(2),1,IF((377)=(G3),IF(IF((INDEX(B1:XFD1,(A2)+(0)))=("store"),(INDEX(B1:XFD1,(A2)+(1)))=("G"),"false"),B2,G380),G380))</f>
        <v>#VALUE!</v>
      </c>
      <c r="H380" t="e">
        <f ca="1">IF((A1)=(2),1,IF((377)=(H3),IF(IF((INDEX(B1:XFD1,(A2)+(0)))=("store"),(INDEX(B1:XFD1,(A2)+(1)))=("H"),"false"),B2,H380),H380))</f>
        <v>#VALUE!</v>
      </c>
      <c r="I380" t="e">
        <f ca="1">IF((A1)=(2),1,IF((377)=(I3),IF(IF((INDEX(B1:XFD1,(A2)+(0)))=("store"),(INDEX(B1:XFD1,(A2)+(1)))=("I"),"false"),B2,I380),I380))</f>
        <v>#VALUE!</v>
      </c>
      <c r="J380" t="e">
        <f ca="1">IF((A1)=(2),1,IF((377)=(J3),IF(IF((INDEX(B1:XFD1,(A2)+(0)))=("store"),(INDEX(B1:XFD1,(A2)+(1)))=("J"),"false"),B2,J380),J380))</f>
        <v>#VALUE!</v>
      </c>
      <c r="K380" t="e">
        <f ca="1">IF((A1)=(2),1,IF((377)=(K3),IF(IF((INDEX(B1:XFD1,(A2)+(0)))=("store"),(INDEX(B1:XFD1,(A2)+(1)))=("K"),"false"),B2,K380),K380))</f>
        <v>#VALUE!</v>
      </c>
      <c r="L380" t="e">
        <f ca="1">IF((A1)=(2),1,IF((377)=(L3),IF(IF((INDEX(B1:XFD1,(A2)+(0)))=("store"),(INDEX(B1:XFD1,(A2)+(1)))=("L"),"false"),B2,L380),L380))</f>
        <v>#VALUE!</v>
      </c>
      <c r="M380" t="e">
        <f ca="1">IF((A1)=(2),1,IF((377)=(M3),IF(IF((INDEX(B1:XFD1,(A2)+(0)))=("store"),(INDEX(B1:XFD1,(A2)+(1)))=("M"),"false"),B2,M380),M380))</f>
        <v>#VALUE!</v>
      </c>
      <c r="N380" t="e">
        <f ca="1">IF((A1)=(2),1,IF((377)=(N3),IF(IF((INDEX(B1:XFD1,(A2)+(0)))=("store"),(INDEX(B1:XFD1,(A2)+(1)))=("N"),"false"),B2,N380),N380))</f>
        <v>#VALUE!</v>
      </c>
      <c r="O380" t="e">
        <f ca="1">IF((A1)=(2),1,IF((377)=(O3),IF(IF((INDEX(B1:XFD1,(A2)+(0)))=("store"),(INDEX(B1:XFD1,(A2)+(1)))=("O"),"false"),B2,O380),O380))</f>
        <v>#VALUE!</v>
      </c>
      <c r="P380" t="e">
        <f ca="1">IF((A1)=(2),1,IF((377)=(P3),IF(IF((INDEX(B1:XFD1,(A2)+(0)))=("store"),(INDEX(B1:XFD1,(A2)+(1)))=("P"),"false"),B2,P380),P380))</f>
        <v>#VALUE!</v>
      </c>
      <c r="Q380" t="e">
        <f ca="1">IF((A1)=(2),1,IF((377)=(Q3),IF(IF((INDEX(B1:XFD1,(A2)+(0)))=("store"),(INDEX(B1:XFD1,(A2)+(1)))=("Q"),"false"),B2,Q380),Q380))</f>
        <v>#VALUE!</v>
      </c>
      <c r="R380" t="e">
        <f ca="1">IF((A1)=(2),1,IF((377)=(R3),IF(IF((INDEX(B1:XFD1,(A2)+(0)))=("store"),(INDEX(B1:XFD1,(A2)+(1)))=("R"),"false"),B2,R380),R380))</f>
        <v>#VALUE!</v>
      </c>
      <c r="S380" t="e">
        <f ca="1">IF((A1)=(2),1,IF((377)=(S3),IF(IF((INDEX(B1:XFD1,(A2)+(0)))=("store"),(INDEX(B1:XFD1,(A2)+(1)))=("S"),"false"),B2,S380),S380))</f>
        <v>#VALUE!</v>
      </c>
      <c r="T380" t="e">
        <f ca="1">IF((A1)=(2),1,IF((377)=(T3),IF(IF((INDEX(B1:XFD1,(A2)+(0)))=("store"),(INDEX(B1:XFD1,(A2)+(1)))=("T"),"false"),B2,T380),T380))</f>
        <v>#VALUE!</v>
      </c>
      <c r="U380" t="e">
        <f ca="1">IF((A1)=(2),1,IF((377)=(U3),IF(IF((INDEX(B1:XFD1,(A2)+(0)))=("store"),(INDEX(B1:XFD1,(A2)+(1)))=("U"),"false"),B2,U380),U380))</f>
        <v>#VALUE!</v>
      </c>
      <c r="V380" t="e">
        <f ca="1">IF((A1)=(2),1,IF((377)=(V3),IF(IF((INDEX(B1:XFD1,(A2)+(0)))=("store"),(INDEX(B1:XFD1,(A2)+(1)))=("V"),"false"),B2,V380),V380))</f>
        <v>#VALUE!</v>
      </c>
      <c r="W380" t="e">
        <f ca="1">IF((A1)=(2),1,IF((377)=(W3),IF(IF((INDEX(B1:XFD1,(A2)+(0)))=("store"),(INDEX(B1:XFD1,(A2)+(1)))=("W"),"false"),B2,W380),W380))</f>
        <v>#VALUE!</v>
      </c>
      <c r="X380" t="e">
        <f ca="1">IF((A1)=(2),1,IF((377)=(X3),IF(IF((INDEX(B1:XFD1,(A2)+(0)))=("store"),(INDEX(B1:XFD1,(A2)+(1)))=("X"),"false"),B2,X380),X380))</f>
        <v>#VALUE!</v>
      </c>
      <c r="Y380" t="e">
        <f ca="1">IF((A1)=(2),1,IF((377)=(Y3),IF(IF((INDEX(B1:XFD1,(A2)+(0)))=("store"),(INDEX(B1:XFD1,(A2)+(1)))=("Y"),"false"),B2,Y380),Y380))</f>
        <v>#VALUE!</v>
      </c>
      <c r="Z380" t="e">
        <f ca="1">IF((A1)=(2),1,IF((377)=(Z3),IF(IF((INDEX(B1:XFD1,(A2)+(0)))=("store"),(INDEX(B1:XFD1,(A2)+(1)))=("Z"),"false"),B2,Z380),Z380))</f>
        <v>#VALUE!</v>
      </c>
      <c r="AA380" t="e">
        <f ca="1">IF((A1)=(2),1,IF((377)=(AA3),IF(IF((INDEX(B1:XFD1,(A2)+(0)))=("store"),(INDEX(B1:XFD1,(A2)+(1)))=("AA"),"false"),B2,AA380),AA380))</f>
        <v>#VALUE!</v>
      </c>
      <c r="AB380" t="e">
        <f ca="1">IF((A1)=(2),1,IF((377)=(AB3),IF(IF((INDEX(B1:XFD1,(A2)+(0)))=("store"),(INDEX(B1:XFD1,(A2)+(1)))=("AB"),"false"),B2,AB380),AB380))</f>
        <v>#VALUE!</v>
      </c>
      <c r="AC380" t="e">
        <f ca="1">IF((A1)=(2),1,IF((377)=(AC3),IF(IF((INDEX(B1:XFD1,(A2)+(0)))=("store"),(INDEX(B1:XFD1,(A2)+(1)))=("AC"),"false"),B2,AC380),AC380))</f>
        <v>#VALUE!</v>
      </c>
      <c r="AD380" t="e">
        <f ca="1">IF((A1)=(2),1,IF((377)=(AD3),IF(IF((INDEX(B1:XFD1,(A2)+(0)))=("store"),(INDEX(B1:XFD1,(A2)+(1)))=("AD"),"false"),B2,AD380),AD380))</f>
        <v>#VALUE!</v>
      </c>
    </row>
    <row r="381" spans="1:30" x14ac:dyDescent="0.25">
      <c r="A381" t="e">
        <f ca="1">IF((A1)=(2),1,IF((378)=(A3),IF(("call")=(INDEX(B1:XFD1,(A2)+(0))),((B2)*(2))+(1),IF(("goto")=(INDEX(B1:XFD1,(A2)+(0))),((INDEX(B1:XFD1,(A2)+(1)))*(2))+(1),IF(("gotoiftrue")=(INDEX(B1:XFD1,(A2)+(0))),IF(B2,((INDEX(B1:XFD1,(A2)+(1)))*(2))+(1),(A381)+(2)),(A381)+(2)))),A381))</f>
        <v>#VALUE!</v>
      </c>
      <c r="B381" t="e">
        <f ca="1">IF((A1)=(2),1,IF((378)=(B3),IF(("push")=(INDEX(B1:XFD1,(A2)+(0))),INDEX(B1:XFD1,(A2)+(1)),IF(("load")=(INDEX(B1:XFD1,(A2)+(0))),INDEX(F2:XFD2,INDEX(B1:XFD1,(A2)+(1))),IF(("newheap")=(INDEX(B1:XFD1,(A2)+(0))),(C3)-(2),IF(("getheap")=(INDEX(B1:XFD1,(A2)+(0))),INDEX(C4:C404,(B381)+(1)),IF(("add")=(INDEX(B1:XFD1,(A2)+(0))),(INDEX(B4:B404,(B3)+(1)))+(B381),IF(("equals")=(INDEX(B1:XFD1,(A2)+(0))),(INDEX(B4:B404,(B3)+(1)))=(B381),IF(("leq")=(INDEX(B1:XFD1,(A2)+(0))),(INDEX(B4:B404,(B3)+(1)))&lt;=(B381),IF(("mod")=(INDEX(B1:XFD1,(A2)+(0))),MOD(INDEX(B4:B404,(B3)+(1)),B381),B381)))))))),B381))</f>
        <v>#VALUE!</v>
      </c>
      <c r="C381" t="e">
        <f ca="1">IF((A1)=(2),1,IF(AND((INDEX(B1:XFD1,(A2)+(0)))=("writeheap"),(INDEX(B4:B404,(B3)+(1)))=(377)),INDEX(B4:B404,(B3)+(2)),IF((A1)=(2),1,IF((378)=(C3),C381,C381))))</f>
        <v>#VALUE!</v>
      </c>
      <c r="E381" t="e">
        <f ca="1">IF((A1)=(2),1,IF((378)=(E3),IF(("outputline")=(INDEX(B1:XFD1,(A2)+(0))),B2,E381),E381))</f>
        <v>#VALUE!</v>
      </c>
      <c r="F381" t="e">
        <f ca="1">IF((A1)=(2),1,IF((378)=(F3),IF(IF((INDEX(B1:XFD1,(A2)+(0)))=("store"),(INDEX(B1:XFD1,(A2)+(1)))=("F"),"false"),B2,F381),F381))</f>
        <v>#VALUE!</v>
      </c>
      <c r="G381" t="e">
        <f ca="1">IF((A1)=(2),1,IF((378)=(G3),IF(IF((INDEX(B1:XFD1,(A2)+(0)))=("store"),(INDEX(B1:XFD1,(A2)+(1)))=("G"),"false"),B2,G381),G381))</f>
        <v>#VALUE!</v>
      </c>
      <c r="H381" t="e">
        <f ca="1">IF((A1)=(2),1,IF((378)=(H3),IF(IF((INDEX(B1:XFD1,(A2)+(0)))=("store"),(INDEX(B1:XFD1,(A2)+(1)))=("H"),"false"),B2,H381),H381))</f>
        <v>#VALUE!</v>
      </c>
      <c r="I381" t="e">
        <f ca="1">IF((A1)=(2),1,IF((378)=(I3),IF(IF((INDEX(B1:XFD1,(A2)+(0)))=("store"),(INDEX(B1:XFD1,(A2)+(1)))=("I"),"false"),B2,I381),I381))</f>
        <v>#VALUE!</v>
      </c>
      <c r="J381" t="e">
        <f ca="1">IF((A1)=(2),1,IF((378)=(J3),IF(IF((INDEX(B1:XFD1,(A2)+(0)))=("store"),(INDEX(B1:XFD1,(A2)+(1)))=("J"),"false"),B2,J381),J381))</f>
        <v>#VALUE!</v>
      </c>
      <c r="K381" t="e">
        <f ca="1">IF((A1)=(2),1,IF((378)=(K3),IF(IF((INDEX(B1:XFD1,(A2)+(0)))=("store"),(INDEX(B1:XFD1,(A2)+(1)))=("K"),"false"),B2,K381),K381))</f>
        <v>#VALUE!</v>
      </c>
      <c r="L381" t="e">
        <f ca="1">IF((A1)=(2),1,IF((378)=(L3),IF(IF((INDEX(B1:XFD1,(A2)+(0)))=("store"),(INDEX(B1:XFD1,(A2)+(1)))=("L"),"false"),B2,L381),L381))</f>
        <v>#VALUE!</v>
      </c>
      <c r="M381" t="e">
        <f ca="1">IF((A1)=(2),1,IF((378)=(M3),IF(IF((INDEX(B1:XFD1,(A2)+(0)))=("store"),(INDEX(B1:XFD1,(A2)+(1)))=("M"),"false"),B2,M381),M381))</f>
        <v>#VALUE!</v>
      </c>
      <c r="N381" t="e">
        <f ca="1">IF((A1)=(2),1,IF((378)=(N3),IF(IF((INDEX(B1:XFD1,(A2)+(0)))=("store"),(INDEX(B1:XFD1,(A2)+(1)))=("N"),"false"),B2,N381),N381))</f>
        <v>#VALUE!</v>
      </c>
      <c r="O381" t="e">
        <f ca="1">IF((A1)=(2),1,IF((378)=(O3),IF(IF((INDEX(B1:XFD1,(A2)+(0)))=("store"),(INDEX(B1:XFD1,(A2)+(1)))=("O"),"false"),B2,O381),O381))</f>
        <v>#VALUE!</v>
      </c>
      <c r="P381" t="e">
        <f ca="1">IF((A1)=(2),1,IF((378)=(P3),IF(IF((INDEX(B1:XFD1,(A2)+(0)))=("store"),(INDEX(B1:XFD1,(A2)+(1)))=("P"),"false"),B2,P381),P381))</f>
        <v>#VALUE!</v>
      </c>
      <c r="Q381" t="e">
        <f ca="1">IF((A1)=(2),1,IF((378)=(Q3),IF(IF((INDEX(B1:XFD1,(A2)+(0)))=("store"),(INDEX(B1:XFD1,(A2)+(1)))=("Q"),"false"),B2,Q381),Q381))</f>
        <v>#VALUE!</v>
      </c>
      <c r="R381" t="e">
        <f ca="1">IF((A1)=(2),1,IF((378)=(R3),IF(IF((INDEX(B1:XFD1,(A2)+(0)))=("store"),(INDEX(B1:XFD1,(A2)+(1)))=("R"),"false"),B2,R381),R381))</f>
        <v>#VALUE!</v>
      </c>
      <c r="S381" t="e">
        <f ca="1">IF((A1)=(2),1,IF((378)=(S3),IF(IF((INDEX(B1:XFD1,(A2)+(0)))=("store"),(INDEX(B1:XFD1,(A2)+(1)))=("S"),"false"),B2,S381),S381))</f>
        <v>#VALUE!</v>
      </c>
      <c r="T381" t="e">
        <f ca="1">IF((A1)=(2),1,IF((378)=(T3),IF(IF((INDEX(B1:XFD1,(A2)+(0)))=("store"),(INDEX(B1:XFD1,(A2)+(1)))=("T"),"false"),B2,T381),T381))</f>
        <v>#VALUE!</v>
      </c>
      <c r="U381" t="e">
        <f ca="1">IF((A1)=(2),1,IF((378)=(U3),IF(IF((INDEX(B1:XFD1,(A2)+(0)))=("store"),(INDEX(B1:XFD1,(A2)+(1)))=("U"),"false"),B2,U381),U381))</f>
        <v>#VALUE!</v>
      </c>
      <c r="V381" t="e">
        <f ca="1">IF((A1)=(2),1,IF((378)=(V3),IF(IF((INDEX(B1:XFD1,(A2)+(0)))=("store"),(INDEX(B1:XFD1,(A2)+(1)))=("V"),"false"),B2,V381),V381))</f>
        <v>#VALUE!</v>
      </c>
      <c r="W381" t="e">
        <f ca="1">IF((A1)=(2),1,IF((378)=(W3),IF(IF((INDEX(B1:XFD1,(A2)+(0)))=("store"),(INDEX(B1:XFD1,(A2)+(1)))=("W"),"false"),B2,W381),W381))</f>
        <v>#VALUE!</v>
      </c>
      <c r="X381" t="e">
        <f ca="1">IF((A1)=(2),1,IF((378)=(X3),IF(IF((INDEX(B1:XFD1,(A2)+(0)))=("store"),(INDEX(B1:XFD1,(A2)+(1)))=("X"),"false"),B2,X381),X381))</f>
        <v>#VALUE!</v>
      </c>
      <c r="Y381" t="e">
        <f ca="1">IF((A1)=(2),1,IF((378)=(Y3),IF(IF((INDEX(B1:XFD1,(A2)+(0)))=("store"),(INDEX(B1:XFD1,(A2)+(1)))=("Y"),"false"),B2,Y381),Y381))</f>
        <v>#VALUE!</v>
      </c>
      <c r="Z381" t="e">
        <f ca="1">IF((A1)=(2),1,IF((378)=(Z3),IF(IF((INDEX(B1:XFD1,(A2)+(0)))=("store"),(INDEX(B1:XFD1,(A2)+(1)))=("Z"),"false"),B2,Z381),Z381))</f>
        <v>#VALUE!</v>
      </c>
      <c r="AA381" t="e">
        <f ca="1">IF((A1)=(2),1,IF((378)=(AA3),IF(IF((INDEX(B1:XFD1,(A2)+(0)))=("store"),(INDEX(B1:XFD1,(A2)+(1)))=("AA"),"false"),B2,AA381),AA381))</f>
        <v>#VALUE!</v>
      </c>
      <c r="AB381" t="e">
        <f ca="1">IF((A1)=(2),1,IF((378)=(AB3),IF(IF((INDEX(B1:XFD1,(A2)+(0)))=("store"),(INDEX(B1:XFD1,(A2)+(1)))=("AB"),"false"),B2,AB381),AB381))</f>
        <v>#VALUE!</v>
      </c>
      <c r="AC381" t="e">
        <f ca="1">IF((A1)=(2),1,IF((378)=(AC3),IF(IF((INDEX(B1:XFD1,(A2)+(0)))=("store"),(INDEX(B1:XFD1,(A2)+(1)))=("AC"),"false"),B2,AC381),AC381))</f>
        <v>#VALUE!</v>
      </c>
      <c r="AD381" t="e">
        <f ca="1">IF((A1)=(2),1,IF((378)=(AD3),IF(IF((INDEX(B1:XFD1,(A2)+(0)))=("store"),(INDEX(B1:XFD1,(A2)+(1)))=("AD"),"false"),B2,AD381),AD381))</f>
        <v>#VALUE!</v>
      </c>
    </row>
    <row r="382" spans="1:30" x14ac:dyDescent="0.25">
      <c r="A382" t="e">
        <f ca="1">IF((A1)=(2),1,IF((379)=(A3),IF(("call")=(INDEX(B1:XFD1,(A2)+(0))),((B2)*(2))+(1),IF(("goto")=(INDEX(B1:XFD1,(A2)+(0))),((INDEX(B1:XFD1,(A2)+(1)))*(2))+(1),IF(("gotoiftrue")=(INDEX(B1:XFD1,(A2)+(0))),IF(B2,((INDEX(B1:XFD1,(A2)+(1)))*(2))+(1),(A382)+(2)),(A382)+(2)))),A382))</f>
        <v>#VALUE!</v>
      </c>
      <c r="B382" t="e">
        <f ca="1">IF((A1)=(2),1,IF((379)=(B3),IF(("push")=(INDEX(B1:XFD1,(A2)+(0))),INDEX(B1:XFD1,(A2)+(1)),IF(("load")=(INDEX(B1:XFD1,(A2)+(0))),INDEX(F2:XFD2,INDEX(B1:XFD1,(A2)+(1))),IF(("newheap")=(INDEX(B1:XFD1,(A2)+(0))),(C3)-(2),IF(("getheap")=(INDEX(B1:XFD1,(A2)+(0))),INDEX(C4:C404,(B382)+(1)),IF(("add")=(INDEX(B1:XFD1,(A2)+(0))),(INDEX(B4:B404,(B3)+(1)))+(B382),IF(("equals")=(INDEX(B1:XFD1,(A2)+(0))),(INDEX(B4:B404,(B3)+(1)))=(B382),IF(("leq")=(INDEX(B1:XFD1,(A2)+(0))),(INDEX(B4:B404,(B3)+(1)))&lt;=(B382),IF(("mod")=(INDEX(B1:XFD1,(A2)+(0))),MOD(INDEX(B4:B404,(B3)+(1)),B382),B382)))))))),B382))</f>
        <v>#VALUE!</v>
      </c>
      <c r="C382" t="e">
        <f ca="1">IF((A1)=(2),1,IF(AND((INDEX(B1:XFD1,(A2)+(0)))=("writeheap"),(INDEX(B4:B404,(B3)+(1)))=(378)),INDEX(B4:B404,(B3)+(2)),IF((A1)=(2),1,IF((379)=(C3),C382,C382))))</f>
        <v>#VALUE!</v>
      </c>
      <c r="E382" t="e">
        <f ca="1">IF((A1)=(2),1,IF((379)=(E3),IF(("outputline")=(INDEX(B1:XFD1,(A2)+(0))),B2,E382),E382))</f>
        <v>#VALUE!</v>
      </c>
      <c r="F382" t="e">
        <f ca="1">IF((A1)=(2),1,IF((379)=(F3),IF(IF((INDEX(B1:XFD1,(A2)+(0)))=("store"),(INDEX(B1:XFD1,(A2)+(1)))=("F"),"false"),B2,F382),F382))</f>
        <v>#VALUE!</v>
      </c>
      <c r="G382" t="e">
        <f ca="1">IF((A1)=(2),1,IF((379)=(G3),IF(IF((INDEX(B1:XFD1,(A2)+(0)))=("store"),(INDEX(B1:XFD1,(A2)+(1)))=("G"),"false"),B2,G382),G382))</f>
        <v>#VALUE!</v>
      </c>
      <c r="H382" t="e">
        <f ca="1">IF((A1)=(2),1,IF((379)=(H3),IF(IF((INDEX(B1:XFD1,(A2)+(0)))=("store"),(INDEX(B1:XFD1,(A2)+(1)))=("H"),"false"),B2,H382),H382))</f>
        <v>#VALUE!</v>
      </c>
      <c r="I382" t="e">
        <f ca="1">IF((A1)=(2),1,IF((379)=(I3),IF(IF((INDEX(B1:XFD1,(A2)+(0)))=("store"),(INDEX(B1:XFD1,(A2)+(1)))=("I"),"false"),B2,I382),I382))</f>
        <v>#VALUE!</v>
      </c>
      <c r="J382" t="e">
        <f ca="1">IF((A1)=(2),1,IF((379)=(J3),IF(IF((INDEX(B1:XFD1,(A2)+(0)))=("store"),(INDEX(B1:XFD1,(A2)+(1)))=("J"),"false"),B2,J382),J382))</f>
        <v>#VALUE!</v>
      </c>
      <c r="K382" t="e">
        <f ca="1">IF((A1)=(2),1,IF((379)=(K3),IF(IF((INDEX(B1:XFD1,(A2)+(0)))=("store"),(INDEX(B1:XFD1,(A2)+(1)))=("K"),"false"),B2,K382),K382))</f>
        <v>#VALUE!</v>
      </c>
      <c r="L382" t="e">
        <f ca="1">IF((A1)=(2),1,IF((379)=(L3),IF(IF((INDEX(B1:XFD1,(A2)+(0)))=("store"),(INDEX(B1:XFD1,(A2)+(1)))=("L"),"false"),B2,L382),L382))</f>
        <v>#VALUE!</v>
      </c>
      <c r="M382" t="e">
        <f ca="1">IF((A1)=(2),1,IF((379)=(M3),IF(IF((INDEX(B1:XFD1,(A2)+(0)))=("store"),(INDEX(B1:XFD1,(A2)+(1)))=("M"),"false"),B2,M382),M382))</f>
        <v>#VALUE!</v>
      </c>
      <c r="N382" t="e">
        <f ca="1">IF((A1)=(2),1,IF((379)=(N3),IF(IF((INDEX(B1:XFD1,(A2)+(0)))=("store"),(INDEX(B1:XFD1,(A2)+(1)))=("N"),"false"),B2,N382),N382))</f>
        <v>#VALUE!</v>
      </c>
      <c r="O382" t="e">
        <f ca="1">IF((A1)=(2),1,IF((379)=(O3),IF(IF((INDEX(B1:XFD1,(A2)+(0)))=("store"),(INDEX(B1:XFD1,(A2)+(1)))=("O"),"false"),B2,O382),O382))</f>
        <v>#VALUE!</v>
      </c>
      <c r="P382" t="e">
        <f ca="1">IF((A1)=(2),1,IF((379)=(P3),IF(IF((INDEX(B1:XFD1,(A2)+(0)))=("store"),(INDEX(B1:XFD1,(A2)+(1)))=("P"),"false"),B2,P382),P382))</f>
        <v>#VALUE!</v>
      </c>
      <c r="Q382" t="e">
        <f ca="1">IF((A1)=(2),1,IF((379)=(Q3),IF(IF((INDEX(B1:XFD1,(A2)+(0)))=("store"),(INDEX(B1:XFD1,(A2)+(1)))=("Q"),"false"),B2,Q382),Q382))</f>
        <v>#VALUE!</v>
      </c>
      <c r="R382" t="e">
        <f ca="1">IF((A1)=(2),1,IF((379)=(R3),IF(IF((INDEX(B1:XFD1,(A2)+(0)))=("store"),(INDEX(B1:XFD1,(A2)+(1)))=("R"),"false"),B2,R382),R382))</f>
        <v>#VALUE!</v>
      </c>
      <c r="S382" t="e">
        <f ca="1">IF((A1)=(2),1,IF((379)=(S3),IF(IF((INDEX(B1:XFD1,(A2)+(0)))=("store"),(INDEX(B1:XFD1,(A2)+(1)))=("S"),"false"),B2,S382),S382))</f>
        <v>#VALUE!</v>
      </c>
      <c r="T382" t="e">
        <f ca="1">IF((A1)=(2),1,IF((379)=(T3),IF(IF((INDEX(B1:XFD1,(A2)+(0)))=("store"),(INDEX(B1:XFD1,(A2)+(1)))=("T"),"false"),B2,T382),T382))</f>
        <v>#VALUE!</v>
      </c>
      <c r="U382" t="e">
        <f ca="1">IF((A1)=(2),1,IF((379)=(U3),IF(IF((INDEX(B1:XFD1,(A2)+(0)))=("store"),(INDEX(B1:XFD1,(A2)+(1)))=("U"),"false"),B2,U382),U382))</f>
        <v>#VALUE!</v>
      </c>
      <c r="V382" t="e">
        <f ca="1">IF((A1)=(2),1,IF((379)=(V3),IF(IF((INDEX(B1:XFD1,(A2)+(0)))=("store"),(INDEX(B1:XFD1,(A2)+(1)))=("V"),"false"),B2,V382),V382))</f>
        <v>#VALUE!</v>
      </c>
      <c r="W382" t="e">
        <f ca="1">IF((A1)=(2),1,IF((379)=(W3),IF(IF((INDEX(B1:XFD1,(A2)+(0)))=("store"),(INDEX(B1:XFD1,(A2)+(1)))=("W"),"false"),B2,W382),W382))</f>
        <v>#VALUE!</v>
      </c>
      <c r="X382" t="e">
        <f ca="1">IF((A1)=(2),1,IF((379)=(X3),IF(IF((INDEX(B1:XFD1,(A2)+(0)))=("store"),(INDEX(B1:XFD1,(A2)+(1)))=("X"),"false"),B2,X382),X382))</f>
        <v>#VALUE!</v>
      </c>
      <c r="Y382" t="e">
        <f ca="1">IF((A1)=(2),1,IF((379)=(Y3),IF(IF((INDEX(B1:XFD1,(A2)+(0)))=("store"),(INDEX(B1:XFD1,(A2)+(1)))=("Y"),"false"),B2,Y382),Y382))</f>
        <v>#VALUE!</v>
      </c>
      <c r="Z382" t="e">
        <f ca="1">IF((A1)=(2),1,IF((379)=(Z3),IF(IF((INDEX(B1:XFD1,(A2)+(0)))=("store"),(INDEX(B1:XFD1,(A2)+(1)))=("Z"),"false"),B2,Z382),Z382))</f>
        <v>#VALUE!</v>
      </c>
      <c r="AA382" t="e">
        <f ca="1">IF((A1)=(2),1,IF((379)=(AA3),IF(IF((INDEX(B1:XFD1,(A2)+(0)))=("store"),(INDEX(B1:XFD1,(A2)+(1)))=("AA"),"false"),B2,AA382),AA382))</f>
        <v>#VALUE!</v>
      </c>
      <c r="AB382" t="e">
        <f ca="1">IF((A1)=(2),1,IF((379)=(AB3),IF(IF((INDEX(B1:XFD1,(A2)+(0)))=("store"),(INDEX(B1:XFD1,(A2)+(1)))=("AB"),"false"),B2,AB382),AB382))</f>
        <v>#VALUE!</v>
      </c>
      <c r="AC382" t="e">
        <f ca="1">IF((A1)=(2),1,IF((379)=(AC3),IF(IF((INDEX(B1:XFD1,(A2)+(0)))=("store"),(INDEX(B1:XFD1,(A2)+(1)))=("AC"),"false"),B2,AC382),AC382))</f>
        <v>#VALUE!</v>
      </c>
      <c r="AD382" t="e">
        <f ca="1">IF((A1)=(2),1,IF((379)=(AD3),IF(IF((INDEX(B1:XFD1,(A2)+(0)))=("store"),(INDEX(B1:XFD1,(A2)+(1)))=("AD"),"false"),B2,AD382),AD382))</f>
        <v>#VALUE!</v>
      </c>
    </row>
    <row r="383" spans="1:30" x14ac:dyDescent="0.25">
      <c r="A383" t="e">
        <f ca="1">IF((A1)=(2),1,IF((380)=(A3),IF(("call")=(INDEX(B1:XFD1,(A2)+(0))),((B2)*(2))+(1),IF(("goto")=(INDEX(B1:XFD1,(A2)+(0))),((INDEX(B1:XFD1,(A2)+(1)))*(2))+(1),IF(("gotoiftrue")=(INDEX(B1:XFD1,(A2)+(0))),IF(B2,((INDEX(B1:XFD1,(A2)+(1)))*(2))+(1),(A383)+(2)),(A383)+(2)))),A383))</f>
        <v>#VALUE!</v>
      </c>
      <c r="B383" t="e">
        <f ca="1">IF((A1)=(2),1,IF((380)=(B3),IF(("push")=(INDEX(B1:XFD1,(A2)+(0))),INDEX(B1:XFD1,(A2)+(1)),IF(("load")=(INDEX(B1:XFD1,(A2)+(0))),INDEX(F2:XFD2,INDEX(B1:XFD1,(A2)+(1))),IF(("newheap")=(INDEX(B1:XFD1,(A2)+(0))),(C3)-(2),IF(("getheap")=(INDEX(B1:XFD1,(A2)+(0))),INDEX(C4:C404,(B383)+(1)),IF(("add")=(INDEX(B1:XFD1,(A2)+(0))),(INDEX(B4:B404,(B3)+(1)))+(B383),IF(("equals")=(INDEX(B1:XFD1,(A2)+(0))),(INDEX(B4:B404,(B3)+(1)))=(B383),IF(("leq")=(INDEX(B1:XFD1,(A2)+(0))),(INDEX(B4:B404,(B3)+(1)))&lt;=(B383),IF(("mod")=(INDEX(B1:XFD1,(A2)+(0))),MOD(INDEX(B4:B404,(B3)+(1)),B383),B383)))))))),B383))</f>
        <v>#VALUE!</v>
      </c>
      <c r="C383" t="e">
        <f ca="1">IF((A1)=(2),1,IF(AND((INDEX(B1:XFD1,(A2)+(0)))=("writeheap"),(INDEX(B4:B404,(B3)+(1)))=(379)),INDEX(B4:B404,(B3)+(2)),IF((A1)=(2),1,IF((380)=(C3),C383,C383))))</f>
        <v>#VALUE!</v>
      </c>
      <c r="E383" t="e">
        <f ca="1">IF((A1)=(2),1,IF((380)=(E3),IF(("outputline")=(INDEX(B1:XFD1,(A2)+(0))),B2,E383),E383))</f>
        <v>#VALUE!</v>
      </c>
      <c r="F383" t="e">
        <f ca="1">IF((A1)=(2),1,IF((380)=(F3),IF(IF((INDEX(B1:XFD1,(A2)+(0)))=("store"),(INDEX(B1:XFD1,(A2)+(1)))=("F"),"false"),B2,F383),F383))</f>
        <v>#VALUE!</v>
      </c>
      <c r="G383" t="e">
        <f ca="1">IF((A1)=(2),1,IF((380)=(G3),IF(IF((INDEX(B1:XFD1,(A2)+(0)))=("store"),(INDEX(B1:XFD1,(A2)+(1)))=("G"),"false"),B2,G383),G383))</f>
        <v>#VALUE!</v>
      </c>
      <c r="H383" t="e">
        <f ca="1">IF((A1)=(2),1,IF((380)=(H3),IF(IF((INDEX(B1:XFD1,(A2)+(0)))=("store"),(INDEX(B1:XFD1,(A2)+(1)))=("H"),"false"),B2,H383),H383))</f>
        <v>#VALUE!</v>
      </c>
      <c r="I383" t="e">
        <f ca="1">IF((A1)=(2),1,IF((380)=(I3),IF(IF((INDEX(B1:XFD1,(A2)+(0)))=("store"),(INDEX(B1:XFD1,(A2)+(1)))=("I"),"false"),B2,I383),I383))</f>
        <v>#VALUE!</v>
      </c>
      <c r="J383" t="e">
        <f ca="1">IF((A1)=(2),1,IF((380)=(J3),IF(IF((INDEX(B1:XFD1,(A2)+(0)))=("store"),(INDEX(B1:XFD1,(A2)+(1)))=("J"),"false"),B2,J383),J383))</f>
        <v>#VALUE!</v>
      </c>
      <c r="K383" t="e">
        <f ca="1">IF((A1)=(2),1,IF((380)=(K3),IF(IF((INDEX(B1:XFD1,(A2)+(0)))=("store"),(INDEX(B1:XFD1,(A2)+(1)))=("K"),"false"),B2,K383),K383))</f>
        <v>#VALUE!</v>
      </c>
      <c r="L383" t="e">
        <f ca="1">IF((A1)=(2),1,IF((380)=(L3),IF(IF((INDEX(B1:XFD1,(A2)+(0)))=("store"),(INDEX(B1:XFD1,(A2)+(1)))=("L"),"false"),B2,L383),L383))</f>
        <v>#VALUE!</v>
      </c>
      <c r="M383" t="e">
        <f ca="1">IF((A1)=(2),1,IF((380)=(M3),IF(IF((INDEX(B1:XFD1,(A2)+(0)))=("store"),(INDEX(B1:XFD1,(A2)+(1)))=("M"),"false"),B2,M383),M383))</f>
        <v>#VALUE!</v>
      </c>
      <c r="N383" t="e">
        <f ca="1">IF((A1)=(2),1,IF((380)=(N3),IF(IF((INDEX(B1:XFD1,(A2)+(0)))=("store"),(INDEX(B1:XFD1,(A2)+(1)))=("N"),"false"),B2,N383),N383))</f>
        <v>#VALUE!</v>
      </c>
      <c r="O383" t="e">
        <f ca="1">IF((A1)=(2),1,IF((380)=(O3),IF(IF((INDEX(B1:XFD1,(A2)+(0)))=("store"),(INDEX(B1:XFD1,(A2)+(1)))=("O"),"false"),B2,O383),O383))</f>
        <v>#VALUE!</v>
      </c>
      <c r="P383" t="e">
        <f ca="1">IF((A1)=(2),1,IF((380)=(P3),IF(IF((INDEX(B1:XFD1,(A2)+(0)))=("store"),(INDEX(B1:XFD1,(A2)+(1)))=("P"),"false"),B2,P383),P383))</f>
        <v>#VALUE!</v>
      </c>
      <c r="Q383" t="e">
        <f ca="1">IF((A1)=(2),1,IF((380)=(Q3),IF(IF((INDEX(B1:XFD1,(A2)+(0)))=("store"),(INDEX(B1:XFD1,(A2)+(1)))=("Q"),"false"),B2,Q383),Q383))</f>
        <v>#VALUE!</v>
      </c>
      <c r="R383" t="e">
        <f ca="1">IF((A1)=(2),1,IF((380)=(R3),IF(IF((INDEX(B1:XFD1,(A2)+(0)))=("store"),(INDEX(B1:XFD1,(A2)+(1)))=("R"),"false"),B2,R383),R383))</f>
        <v>#VALUE!</v>
      </c>
      <c r="S383" t="e">
        <f ca="1">IF((A1)=(2),1,IF((380)=(S3),IF(IF((INDEX(B1:XFD1,(A2)+(0)))=("store"),(INDEX(B1:XFD1,(A2)+(1)))=("S"),"false"),B2,S383),S383))</f>
        <v>#VALUE!</v>
      </c>
      <c r="T383" t="e">
        <f ca="1">IF((A1)=(2),1,IF((380)=(T3),IF(IF((INDEX(B1:XFD1,(A2)+(0)))=("store"),(INDEX(B1:XFD1,(A2)+(1)))=("T"),"false"),B2,T383),T383))</f>
        <v>#VALUE!</v>
      </c>
      <c r="U383" t="e">
        <f ca="1">IF((A1)=(2),1,IF((380)=(U3),IF(IF((INDEX(B1:XFD1,(A2)+(0)))=("store"),(INDEX(B1:XFD1,(A2)+(1)))=("U"),"false"),B2,U383),U383))</f>
        <v>#VALUE!</v>
      </c>
      <c r="V383" t="e">
        <f ca="1">IF((A1)=(2),1,IF((380)=(V3),IF(IF((INDEX(B1:XFD1,(A2)+(0)))=("store"),(INDEX(B1:XFD1,(A2)+(1)))=("V"),"false"),B2,V383),V383))</f>
        <v>#VALUE!</v>
      </c>
      <c r="W383" t="e">
        <f ca="1">IF((A1)=(2),1,IF((380)=(W3),IF(IF((INDEX(B1:XFD1,(A2)+(0)))=("store"),(INDEX(B1:XFD1,(A2)+(1)))=("W"),"false"),B2,W383),W383))</f>
        <v>#VALUE!</v>
      </c>
      <c r="X383" t="e">
        <f ca="1">IF((A1)=(2),1,IF((380)=(X3),IF(IF((INDEX(B1:XFD1,(A2)+(0)))=("store"),(INDEX(B1:XFD1,(A2)+(1)))=("X"),"false"),B2,X383),X383))</f>
        <v>#VALUE!</v>
      </c>
      <c r="Y383" t="e">
        <f ca="1">IF((A1)=(2),1,IF((380)=(Y3),IF(IF((INDEX(B1:XFD1,(A2)+(0)))=("store"),(INDEX(B1:XFD1,(A2)+(1)))=("Y"),"false"),B2,Y383),Y383))</f>
        <v>#VALUE!</v>
      </c>
      <c r="Z383" t="e">
        <f ca="1">IF((A1)=(2),1,IF((380)=(Z3),IF(IF((INDEX(B1:XFD1,(A2)+(0)))=("store"),(INDEX(B1:XFD1,(A2)+(1)))=("Z"),"false"),B2,Z383),Z383))</f>
        <v>#VALUE!</v>
      </c>
      <c r="AA383" t="e">
        <f ca="1">IF((A1)=(2),1,IF((380)=(AA3),IF(IF((INDEX(B1:XFD1,(A2)+(0)))=("store"),(INDEX(B1:XFD1,(A2)+(1)))=("AA"),"false"),B2,AA383),AA383))</f>
        <v>#VALUE!</v>
      </c>
      <c r="AB383" t="e">
        <f ca="1">IF((A1)=(2),1,IF((380)=(AB3),IF(IF((INDEX(B1:XFD1,(A2)+(0)))=("store"),(INDEX(B1:XFD1,(A2)+(1)))=("AB"),"false"),B2,AB383),AB383))</f>
        <v>#VALUE!</v>
      </c>
      <c r="AC383" t="e">
        <f ca="1">IF((A1)=(2),1,IF((380)=(AC3),IF(IF((INDEX(B1:XFD1,(A2)+(0)))=("store"),(INDEX(B1:XFD1,(A2)+(1)))=("AC"),"false"),B2,AC383),AC383))</f>
        <v>#VALUE!</v>
      </c>
      <c r="AD383" t="e">
        <f ca="1">IF((A1)=(2),1,IF((380)=(AD3),IF(IF((INDEX(B1:XFD1,(A2)+(0)))=("store"),(INDEX(B1:XFD1,(A2)+(1)))=("AD"),"false"),B2,AD383),AD383))</f>
        <v>#VALUE!</v>
      </c>
    </row>
    <row r="384" spans="1:30" x14ac:dyDescent="0.25">
      <c r="A384" t="e">
        <f ca="1">IF((A1)=(2),1,IF((381)=(A3),IF(("call")=(INDEX(B1:XFD1,(A2)+(0))),((B2)*(2))+(1),IF(("goto")=(INDEX(B1:XFD1,(A2)+(0))),((INDEX(B1:XFD1,(A2)+(1)))*(2))+(1),IF(("gotoiftrue")=(INDEX(B1:XFD1,(A2)+(0))),IF(B2,((INDEX(B1:XFD1,(A2)+(1)))*(2))+(1),(A384)+(2)),(A384)+(2)))),A384))</f>
        <v>#VALUE!</v>
      </c>
      <c r="B384" t="e">
        <f ca="1">IF((A1)=(2),1,IF((381)=(B3),IF(("push")=(INDEX(B1:XFD1,(A2)+(0))),INDEX(B1:XFD1,(A2)+(1)),IF(("load")=(INDEX(B1:XFD1,(A2)+(0))),INDEX(F2:XFD2,INDEX(B1:XFD1,(A2)+(1))),IF(("newheap")=(INDEX(B1:XFD1,(A2)+(0))),(C3)-(2),IF(("getheap")=(INDEX(B1:XFD1,(A2)+(0))),INDEX(C4:C404,(B384)+(1)),IF(("add")=(INDEX(B1:XFD1,(A2)+(0))),(INDEX(B4:B404,(B3)+(1)))+(B384),IF(("equals")=(INDEX(B1:XFD1,(A2)+(0))),(INDEX(B4:B404,(B3)+(1)))=(B384),IF(("leq")=(INDEX(B1:XFD1,(A2)+(0))),(INDEX(B4:B404,(B3)+(1)))&lt;=(B384),IF(("mod")=(INDEX(B1:XFD1,(A2)+(0))),MOD(INDEX(B4:B404,(B3)+(1)),B384),B384)))))))),B384))</f>
        <v>#VALUE!</v>
      </c>
      <c r="C384" t="e">
        <f ca="1">IF((A1)=(2),1,IF(AND((INDEX(B1:XFD1,(A2)+(0)))=("writeheap"),(INDEX(B4:B404,(B3)+(1)))=(380)),INDEX(B4:B404,(B3)+(2)),IF((A1)=(2),1,IF((381)=(C3),C384,C384))))</f>
        <v>#VALUE!</v>
      </c>
      <c r="E384" t="e">
        <f ca="1">IF((A1)=(2),1,IF((381)=(E3),IF(("outputline")=(INDEX(B1:XFD1,(A2)+(0))),B2,E384),E384))</f>
        <v>#VALUE!</v>
      </c>
      <c r="F384" t="e">
        <f ca="1">IF((A1)=(2),1,IF((381)=(F3),IF(IF((INDEX(B1:XFD1,(A2)+(0)))=("store"),(INDEX(B1:XFD1,(A2)+(1)))=("F"),"false"),B2,F384),F384))</f>
        <v>#VALUE!</v>
      </c>
      <c r="G384" t="e">
        <f ca="1">IF((A1)=(2),1,IF((381)=(G3),IF(IF((INDEX(B1:XFD1,(A2)+(0)))=("store"),(INDEX(B1:XFD1,(A2)+(1)))=("G"),"false"),B2,G384),G384))</f>
        <v>#VALUE!</v>
      </c>
      <c r="H384" t="e">
        <f ca="1">IF((A1)=(2),1,IF((381)=(H3),IF(IF((INDEX(B1:XFD1,(A2)+(0)))=("store"),(INDEX(B1:XFD1,(A2)+(1)))=("H"),"false"),B2,H384),H384))</f>
        <v>#VALUE!</v>
      </c>
      <c r="I384" t="e">
        <f ca="1">IF((A1)=(2),1,IF((381)=(I3),IF(IF((INDEX(B1:XFD1,(A2)+(0)))=("store"),(INDEX(B1:XFD1,(A2)+(1)))=("I"),"false"),B2,I384),I384))</f>
        <v>#VALUE!</v>
      </c>
      <c r="J384" t="e">
        <f ca="1">IF((A1)=(2),1,IF((381)=(J3),IF(IF((INDEX(B1:XFD1,(A2)+(0)))=("store"),(INDEX(B1:XFD1,(A2)+(1)))=("J"),"false"),B2,J384),J384))</f>
        <v>#VALUE!</v>
      </c>
      <c r="K384" t="e">
        <f ca="1">IF((A1)=(2),1,IF((381)=(K3),IF(IF((INDEX(B1:XFD1,(A2)+(0)))=("store"),(INDEX(B1:XFD1,(A2)+(1)))=("K"),"false"),B2,K384),K384))</f>
        <v>#VALUE!</v>
      </c>
      <c r="L384" t="e">
        <f ca="1">IF((A1)=(2),1,IF((381)=(L3),IF(IF((INDEX(B1:XFD1,(A2)+(0)))=("store"),(INDEX(B1:XFD1,(A2)+(1)))=("L"),"false"),B2,L384),L384))</f>
        <v>#VALUE!</v>
      </c>
      <c r="M384" t="e">
        <f ca="1">IF((A1)=(2),1,IF((381)=(M3),IF(IF((INDEX(B1:XFD1,(A2)+(0)))=("store"),(INDEX(B1:XFD1,(A2)+(1)))=("M"),"false"),B2,M384),M384))</f>
        <v>#VALUE!</v>
      </c>
      <c r="N384" t="e">
        <f ca="1">IF((A1)=(2),1,IF((381)=(N3),IF(IF((INDEX(B1:XFD1,(A2)+(0)))=("store"),(INDEX(B1:XFD1,(A2)+(1)))=("N"),"false"),B2,N384),N384))</f>
        <v>#VALUE!</v>
      </c>
      <c r="O384" t="e">
        <f ca="1">IF((A1)=(2),1,IF((381)=(O3),IF(IF((INDEX(B1:XFD1,(A2)+(0)))=("store"),(INDEX(B1:XFD1,(A2)+(1)))=("O"),"false"),B2,O384),O384))</f>
        <v>#VALUE!</v>
      </c>
      <c r="P384" t="e">
        <f ca="1">IF((A1)=(2),1,IF((381)=(P3),IF(IF((INDEX(B1:XFD1,(A2)+(0)))=("store"),(INDEX(B1:XFD1,(A2)+(1)))=("P"),"false"),B2,P384),P384))</f>
        <v>#VALUE!</v>
      </c>
      <c r="Q384" t="e">
        <f ca="1">IF((A1)=(2),1,IF((381)=(Q3),IF(IF((INDEX(B1:XFD1,(A2)+(0)))=("store"),(INDEX(B1:XFD1,(A2)+(1)))=("Q"),"false"),B2,Q384),Q384))</f>
        <v>#VALUE!</v>
      </c>
      <c r="R384" t="e">
        <f ca="1">IF((A1)=(2),1,IF((381)=(R3),IF(IF((INDEX(B1:XFD1,(A2)+(0)))=("store"),(INDEX(B1:XFD1,(A2)+(1)))=("R"),"false"),B2,R384),R384))</f>
        <v>#VALUE!</v>
      </c>
      <c r="S384" t="e">
        <f ca="1">IF((A1)=(2),1,IF((381)=(S3),IF(IF((INDEX(B1:XFD1,(A2)+(0)))=("store"),(INDEX(B1:XFD1,(A2)+(1)))=("S"),"false"),B2,S384),S384))</f>
        <v>#VALUE!</v>
      </c>
      <c r="T384" t="e">
        <f ca="1">IF((A1)=(2),1,IF((381)=(T3),IF(IF((INDEX(B1:XFD1,(A2)+(0)))=("store"),(INDEX(B1:XFD1,(A2)+(1)))=("T"),"false"),B2,T384),T384))</f>
        <v>#VALUE!</v>
      </c>
      <c r="U384" t="e">
        <f ca="1">IF((A1)=(2),1,IF((381)=(U3),IF(IF((INDEX(B1:XFD1,(A2)+(0)))=("store"),(INDEX(B1:XFD1,(A2)+(1)))=("U"),"false"),B2,U384),U384))</f>
        <v>#VALUE!</v>
      </c>
      <c r="V384" t="e">
        <f ca="1">IF((A1)=(2),1,IF((381)=(V3),IF(IF((INDEX(B1:XFD1,(A2)+(0)))=("store"),(INDEX(B1:XFD1,(A2)+(1)))=("V"),"false"),B2,V384),V384))</f>
        <v>#VALUE!</v>
      </c>
      <c r="W384" t="e">
        <f ca="1">IF((A1)=(2),1,IF((381)=(W3),IF(IF((INDEX(B1:XFD1,(A2)+(0)))=("store"),(INDEX(B1:XFD1,(A2)+(1)))=("W"),"false"),B2,W384),W384))</f>
        <v>#VALUE!</v>
      </c>
      <c r="X384" t="e">
        <f ca="1">IF((A1)=(2),1,IF((381)=(X3),IF(IF((INDEX(B1:XFD1,(A2)+(0)))=("store"),(INDEX(B1:XFD1,(A2)+(1)))=("X"),"false"),B2,X384),X384))</f>
        <v>#VALUE!</v>
      </c>
      <c r="Y384" t="e">
        <f ca="1">IF((A1)=(2),1,IF((381)=(Y3),IF(IF((INDEX(B1:XFD1,(A2)+(0)))=("store"),(INDEX(B1:XFD1,(A2)+(1)))=("Y"),"false"),B2,Y384),Y384))</f>
        <v>#VALUE!</v>
      </c>
      <c r="Z384" t="e">
        <f ca="1">IF((A1)=(2),1,IF((381)=(Z3),IF(IF((INDEX(B1:XFD1,(A2)+(0)))=("store"),(INDEX(B1:XFD1,(A2)+(1)))=("Z"),"false"),B2,Z384),Z384))</f>
        <v>#VALUE!</v>
      </c>
      <c r="AA384" t="e">
        <f ca="1">IF((A1)=(2),1,IF((381)=(AA3),IF(IF((INDEX(B1:XFD1,(A2)+(0)))=("store"),(INDEX(B1:XFD1,(A2)+(1)))=("AA"),"false"),B2,AA384),AA384))</f>
        <v>#VALUE!</v>
      </c>
      <c r="AB384" t="e">
        <f ca="1">IF((A1)=(2),1,IF((381)=(AB3),IF(IF((INDEX(B1:XFD1,(A2)+(0)))=("store"),(INDEX(B1:XFD1,(A2)+(1)))=("AB"),"false"),B2,AB384),AB384))</f>
        <v>#VALUE!</v>
      </c>
      <c r="AC384" t="e">
        <f ca="1">IF((A1)=(2),1,IF((381)=(AC3),IF(IF((INDEX(B1:XFD1,(A2)+(0)))=("store"),(INDEX(B1:XFD1,(A2)+(1)))=("AC"),"false"),B2,AC384),AC384))</f>
        <v>#VALUE!</v>
      </c>
      <c r="AD384" t="e">
        <f ca="1">IF((A1)=(2),1,IF((381)=(AD3),IF(IF((INDEX(B1:XFD1,(A2)+(0)))=("store"),(INDEX(B1:XFD1,(A2)+(1)))=("AD"),"false"),B2,AD384),AD384))</f>
        <v>#VALUE!</v>
      </c>
    </row>
    <row r="385" spans="1:30" x14ac:dyDescent="0.25">
      <c r="A385" t="e">
        <f ca="1">IF((A1)=(2),1,IF((382)=(A3),IF(("call")=(INDEX(B1:XFD1,(A2)+(0))),((B2)*(2))+(1),IF(("goto")=(INDEX(B1:XFD1,(A2)+(0))),((INDEX(B1:XFD1,(A2)+(1)))*(2))+(1),IF(("gotoiftrue")=(INDEX(B1:XFD1,(A2)+(0))),IF(B2,((INDEX(B1:XFD1,(A2)+(1)))*(2))+(1),(A385)+(2)),(A385)+(2)))),A385))</f>
        <v>#VALUE!</v>
      </c>
      <c r="B385" t="e">
        <f ca="1">IF((A1)=(2),1,IF((382)=(B3),IF(("push")=(INDEX(B1:XFD1,(A2)+(0))),INDEX(B1:XFD1,(A2)+(1)),IF(("load")=(INDEX(B1:XFD1,(A2)+(0))),INDEX(F2:XFD2,INDEX(B1:XFD1,(A2)+(1))),IF(("newheap")=(INDEX(B1:XFD1,(A2)+(0))),(C3)-(2),IF(("getheap")=(INDEX(B1:XFD1,(A2)+(0))),INDEX(C4:C404,(B385)+(1)),IF(("add")=(INDEX(B1:XFD1,(A2)+(0))),(INDEX(B4:B404,(B3)+(1)))+(B385),IF(("equals")=(INDEX(B1:XFD1,(A2)+(0))),(INDEX(B4:B404,(B3)+(1)))=(B385),IF(("leq")=(INDEX(B1:XFD1,(A2)+(0))),(INDEX(B4:B404,(B3)+(1)))&lt;=(B385),IF(("mod")=(INDEX(B1:XFD1,(A2)+(0))),MOD(INDEX(B4:B404,(B3)+(1)),B385),B385)))))))),B385))</f>
        <v>#VALUE!</v>
      </c>
      <c r="C385" t="e">
        <f ca="1">IF((A1)=(2),1,IF(AND((INDEX(B1:XFD1,(A2)+(0)))=("writeheap"),(INDEX(B4:B404,(B3)+(1)))=(381)),INDEX(B4:B404,(B3)+(2)),IF((A1)=(2),1,IF((382)=(C3),C385,C385))))</f>
        <v>#VALUE!</v>
      </c>
      <c r="E385" t="e">
        <f ca="1">IF((A1)=(2),1,IF((382)=(E3),IF(("outputline")=(INDEX(B1:XFD1,(A2)+(0))),B2,E385),E385))</f>
        <v>#VALUE!</v>
      </c>
      <c r="F385" t="e">
        <f ca="1">IF((A1)=(2),1,IF((382)=(F3),IF(IF((INDEX(B1:XFD1,(A2)+(0)))=("store"),(INDEX(B1:XFD1,(A2)+(1)))=("F"),"false"),B2,F385),F385))</f>
        <v>#VALUE!</v>
      </c>
      <c r="G385" t="e">
        <f ca="1">IF((A1)=(2),1,IF((382)=(G3),IF(IF((INDEX(B1:XFD1,(A2)+(0)))=("store"),(INDEX(B1:XFD1,(A2)+(1)))=("G"),"false"),B2,G385),G385))</f>
        <v>#VALUE!</v>
      </c>
      <c r="H385" t="e">
        <f ca="1">IF((A1)=(2),1,IF((382)=(H3),IF(IF((INDEX(B1:XFD1,(A2)+(0)))=("store"),(INDEX(B1:XFD1,(A2)+(1)))=("H"),"false"),B2,H385),H385))</f>
        <v>#VALUE!</v>
      </c>
      <c r="I385" t="e">
        <f ca="1">IF((A1)=(2),1,IF((382)=(I3),IF(IF((INDEX(B1:XFD1,(A2)+(0)))=("store"),(INDEX(B1:XFD1,(A2)+(1)))=("I"),"false"),B2,I385),I385))</f>
        <v>#VALUE!</v>
      </c>
      <c r="J385" t="e">
        <f ca="1">IF((A1)=(2),1,IF((382)=(J3),IF(IF((INDEX(B1:XFD1,(A2)+(0)))=("store"),(INDEX(B1:XFD1,(A2)+(1)))=("J"),"false"),B2,J385),J385))</f>
        <v>#VALUE!</v>
      </c>
      <c r="K385" t="e">
        <f ca="1">IF((A1)=(2),1,IF((382)=(K3),IF(IF((INDEX(B1:XFD1,(A2)+(0)))=("store"),(INDEX(B1:XFD1,(A2)+(1)))=("K"),"false"),B2,K385),K385))</f>
        <v>#VALUE!</v>
      </c>
      <c r="L385" t="e">
        <f ca="1">IF((A1)=(2),1,IF((382)=(L3),IF(IF((INDEX(B1:XFD1,(A2)+(0)))=("store"),(INDEX(B1:XFD1,(A2)+(1)))=("L"),"false"),B2,L385),L385))</f>
        <v>#VALUE!</v>
      </c>
      <c r="M385" t="e">
        <f ca="1">IF((A1)=(2),1,IF((382)=(M3),IF(IF((INDEX(B1:XFD1,(A2)+(0)))=("store"),(INDEX(B1:XFD1,(A2)+(1)))=("M"),"false"),B2,M385),M385))</f>
        <v>#VALUE!</v>
      </c>
      <c r="N385" t="e">
        <f ca="1">IF((A1)=(2),1,IF((382)=(N3),IF(IF((INDEX(B1:XFD1,(A2)+(0)))=("store"),(INDEX(B1:XFD1,(A2)+(1)))=("N"),"false"),B2,N385),N385))</f>
        <v>#VALUE!</v>
      </c>
      <c r="O385" t="e">
        <f ca="1">IF((A1)=(2),1,IF((382)=(O3),IF(IF((INDEX(B1:XFD1,(A2)+(0)))=("store"),(INDEX(B1:XFD1,(A2)+(1)))=("O"),"false"),B2,O385),O385))</f>
        <v>#VALUE!</v>
      </c>
      <c r="P385" t="e">
        <f ca="1">IF((A1)=(2),1,IF((382)=(P3),IF(IF((INDEX(B1:XFD1,(A2)+(0)))=("store"),(INDEX(B1:XFD1,(A2)+(1)))=("P"),"false"),B2,P385),P385))</f>
        <v>#VALUE!</v>
      </c>
      <c r="Q385" t="e">
        <f ca="1">IF((A1)=(2),1,IF((382)=(Q3),IF(IF((INDEX(B1:XFD1,(A2)+(0)))=("store"),(INDEX(B1:XFD1,(A2)+(1)))=("Q"),"false"),B2,Q385),Q385))</f>
        <v>#VALUE!</v>
      </c>
      <c r="R385" t="e">
        <f ca="1">IF((A1)=(2),1,IF((382)=(R3),IF(IF((INDEX(B1:XFD1,(A2)+(0)))=("store"),(INDEX(B1:XFD1,(A2)+(1)))=("R"),"false"),B2,R385),R385))</f>
        <v>#VALUE!</v>
      </c>
      <c r="S385" t="e">
        <f ca="1">IF((A1)=(2),1,IF((382)=(S3),IF(IF((INDEX(B1:XFD1,(A2)+(0)))=("store"),(INDEX(B1:XFD1,(A2)+(1)))=("S"),"false"),B2,S385),S385))</f>
        <v>#VALUE!</v>
      </c>
      <c r="T385" t="e">
        <f ca="1">IF((A1)=(2),1,IF((382)=(T3),IF(IF((INDEX(B1:XFD1,(A2)+(0)))=("store"),(INDEX(B1:XFD1,(A2)+(1)))=("T"),"false"),B2,T385),T385))</f>
        <v>#VALUE!</v>
      </c>
      <c r="U385" t="e">
        <f ca="1">IF((A1)=(2),1,IF((382)=(U3),IF(IF((INDEX(B1:XFD1,(A2)+(0)))=("store"),(INDEX(B1:XFD1,(A2)+(1)))=("U"),"false"),B2,U385),U385))</f>
        <v>#VALUE!</v>
      </c>
      <c r="V385" t="e">
        <f ca="1">IF((A1)=(2),1,IF((382)=(V3),IF(IF((INDEX(B1:XFD1,(A2)+(0)))=("store"),(INDEX(B1:XFD1,(A2)+(1)))=("V"),"false"),B2,V385),V385))</f>
        <v>#VALUE!</v>
      </c>
      <c r="W385" t="e">
        <f ca="1">IF((A1)=(2),1,IF((382)=(W3),IF(IF((INDEX(B1:XFD1,(A2)+(0)))=("store"),(INDEX(B1:XFD1,(A2)+(1)))=("W"),"false"),B2,W385),W385))</f>
        <v>#VALUE!</v>
      </c>
      <c r="X385" t="e">
        <f ca="1">IF((A1)=(2),1,IF((382)=(X3),IF(IF((INDEX(B1:XFD1,(A2)+(0)))=("store"),(INDEX(B1:XFD1,(A2)+(1)))=("X"),"false"),B2,X385),X385))</f>
        <v>#VALUE!</v>
      </c>
      <c r="Y385" t="e">
        <f ca="1">IF((A1)=(2),1,IF((382)=(Y3),IF(IF((INDEX(B1:XFD1,(A2)+(0)))=("store"),(INDEX(B1:XFD1,(A2)+(1)))=("Y"),"false"),B2,Y385),Y385))</f>
        <v>#VALUE!</v>
      </c>
      <c r="Z385" t="e">
        <f ca="1">IF((A1)=(2),1,IF((382)=(Z3),IF(IF((INDEX(B1:XFD1,(A2)+(0)))=("store"),(INDEX(B1:XFD1,(A2)+(1)))=("Z"),"false"),B2,Z385),Z385))</f>
        <v>#VALUE!</v>
      </c>
      <c r="AA385" t="e">
        <f ca="1">IF((A1)=(2),1,IF((382)=(AA3),IF(IF((INDEX(B1:XFD1,(A2)+(0)))=("store"),(INDEX(B1:XFD1,(A2)+(1)))=("AA"),"false"),B2,AA385),AA385))</f>
        <v>#VALUE!</v>
      </c>
      <c r="AB385" t="e">
        <f ca="1">IF((A1)=(2),1,IF((382)=(AB3),IF(IF((INDEX(B1:XFD1,(A2)+(0)))=("store"),(INDEX(B1:XFD1,(A2)+(1)))=("AB"),"false"),B2,AB385),AB385))</f>
        <v>#VALUE!</v>
      </c>
      <c r="AC385" t="e">
        <f ca="1">IF((A1)=(2),1,IF((382)=(AC3),IF(IF((INDEX(B1:XFD1,(A2)+(0)))=("store"),(INDEX(B1:XFD1,(A2)+(1)))=("AC"),"false"),B2,AC385),AC385))</f>
        <v>#VALUE!</v>
      </c>
      <c r="AD385" t="e">
        <f ca="1">IF((A1)=(2),1,IF((382)=(AD3),IF(IF((INDEX(B1:XFD1,(A2)+(0)))=("store"),(INDEX(B1:XFD1,(A2)+(1)))=("AD"),"false"),B2,AD385),AD385))</f>
        <v>#VALUE!</v>
      </c>
    </row>
    <row r="386" spans="1:30" x14ac:dyDescent="0.25">
      <c r="A386" t="e">
        <f ca="1">IF((A1)=(2),1,IF((383)=(A3),IF(("call")=(INDEX(B1:XFD1,(A2)+(0))),((B2)*(2))+(1),IF(("goto")=(INDEX(B1:XFD1,(A2)+(0))),((INDEX(B1:XFD1,(A2)+(1)))*(2))+(1),IF(("gotoiftrue")=(INDEX(B1:XFD1,(A2)+(0))),IF(B2,((INDEX(B1:XFD1,(A2)+(1)))*(2))+(1),(A386)+(2)),(A386)+(2)))),A386))</f>
        <v>#VALUE!</v>
      </c>
      <c r="B386" t="e">
        <f ca="1">IF((A1)=(2),1,IF((383)=(B3),IF(("push")=(INDEX(B1:XFD1,(A2)+(0))),INDEX(B1:XFD1,(A2)+(1)),IF(("load")=(INDEX(B1:XFD1,(A2)+(0))),INDEX(F2:XFD2,INDEX(B1:XFD1,(A2)+(1))),IF(("newheap")=(INDEX(B1:XFD1,(A2)+(0))),(C3)-(2),IF(("getheap")=(INDEX(B1:XFD1,(A2)+(0))),INDEX(C4:C404,(B386)+(1)),IF(("add")=(INDEX(B1:XFD1,(A2)+(0))),(INDEX(B4:B404,(B3)+(1)))+(B386),IF(("equals")=(INDEX(B1:XFD1,(A2)+(0))),(INDEX(B4:B404,(B3)+(1)))=(B386),IF(("leq")=(INDEX(B1:XFD1,(A2)+(0))),(INDEX(B4:B404,(B3)+(1)))&lt;=(B386),IF(("mod")=(INDEX(B1:XFD1,(A2)+(0))),MOD(INDEX(B4:B404,(B3)+(1)),B386),B386)))))))),B386))</f>
        <v>#VALUE!</v>
      </c>
      <c r="C386" t="e">
        <f ca="1">IF((A1)=(2),1,IF(AND((INDEX(B1:XFD1,(A2)+(0)))=("writeheap"),(INDEX(B4:B404,(B3)+(1)))=(382)),INDEX(B4:B404,(B3)+(2)),IF((A1)=(2),1,IF((383)=(C3),C386,C386))))</f>
        <v>#VALUE!</v>
      </c>
      <c r="E386" t="e">
        <f ca="1">IF((A1)=(2),1,IF((383)=(E3),IF(("outputline")=(INDEX(B1:XFD1,(A2)+(0))),B2,E386),E386))</f>
        <v>#VALUE!</v>
      </c>
      <c r="F386" t="e">
        <f ca="1">IF((A1)=(2),1,IF((383)=(F3),IF(IF((INDEX(B1:XFD1,(A2)+(0)))=("store"),(INDEX(B1:XFD1,(A2)+(1)))=("F"),"false"),B2,F386),F386))</f>
        <v>#VALUE!</v>
      </c>
      <c r="G386" t="e">
        <f ca="1">IF((A1)=(2),1,IF((383)=(G3),IF(IF((INDEX(B1:XFD1,(A2)+(0)))=("store"),(INDEX(B1:XFD1,(A2)+(1)))=("G"),"false"),B2,G386),G386))</f>
        <v>#VALUE!</v>
      </c>
      <c r="H386" t="e">
        <f ca="1">IF((A1)=(2),1,IF((383)=(H3),IF(IF((INDEX(B1:XFD1,(A2)+(0)))=("store"),(INDEX(B1:XFD1,(A2)+(1)))=("H"),"false"),B2,H386),H386))</f>
        <v>#VALUE!</v>
      </c>
      <c r="I386" t="e">
        <f ca="1">IF((A1)=(2),1,IF((383)=(I3),IF(IF((INDEX(B1:XFD1,(A2)+(0)))=("store"),(INDEX(B1:XFD1,(A2)+(1)))=("I"),"false"),B2,I386),I386))</f>
        <v>#VALUE!</v>
      </c>
      <c r="J386" t="e">
        <f ca="1">IF((A1)=(2),1,IF((383)=(J3),IF(IF((INDEX(B1:XFD1,(A2)+(0)))=("store"),(INDEX(B1:XFD1,(A2)+(1)))=("J"),"false"),B2,J386),J386))</f>
        <v>#VALUE!</v>
      </c>
      <c r="K386" t="e">
        <f ca="1">IF((A1)=(2),1,IF((383)=(K3),IF(IF((INDEX(B1:XFD1,(A2)+(0)))=("store"),(INDEX(B1:XFD1,(A2)+(1)))=("K"),"false"),B2,K386),K386))</f>
        <v>#VALUE!</v>
      </c>
      <c r="L386" t="e">
        <f ca="1">IF((A1)=(2),1,IF((383)=(L3),IF(IF((INDEX(B1:XFD1,(A2)+(0)))=("store"),(INDEX(B1:XFD1,(A2)+(1)))=("L"),"false"),B2,L386),L386))</f>
        <v>#VALUE!</v>
      </c>
      <c r="M386" t="e">
        <f ca="1">IF((A1)=(2),1,IF((383)=(M3),IF(IF((INDEX(B1:XFD1,(A2)+(0)))=("store"),(INDEX(B1:XFD1,(A2)+(1)))=("M"),"false"),B2,M386),M386))</f>
        <v>#VALUE!</v>
      </c>
      <c r="N386" t="e">
        <f ca="1">IF((A1)=(2),1,IF((383)=(N3),IF(IF((INDEX(B1:XFD1,(A2)+(0)))=("store"),(INDEX(B1:XFD1,(A2)+(1)))=("N"),"false"),B2,N386),N386))</f>
        <v>#VALUE!</v>
      </c>
      <c r="O386" t="e">
        <f ca="1">IF((A1)=(2),1,IF((383)=(O3),IF(IF((INDEX(B1:XFD1,(A2)+(0)))=("store"),(INDEX(B1:XFD1,(A2)+(1)))=("O"),"false"),B2,O386),O386))</f>
        <v>#VALUE!</v>
      </c>
      <c r="P386" t="e">
        <f ca="1">IF((A1)=(2),1,IF((383)=(P3),IF(IF((INDEX(B1:XFD1,(A2)+(0)))=("store"),(INDEX(B1:XFD1,(A2)+(1)))=("P"),"false"),B2,P386),P386))</f>
        <v>#VALUE!</v>
      </c>
      <c r="Q386" t="e">
        <f ca="1">IF((A1)=(2),1,IF((383)=(Q3),IF(IF((INDEX(B1:XFD1,(A2)+(0)))=("store"),(INDEX(B1:XFD1,(A2)+(1)))=("Q"),"false"),B2,Q386),Q386))</f>
        <v>#VALUE!</v>
      </c>
      <c r="R386" t="e">
        <f ca="1">IF((A1)=(2),1,IF((383)=(R3),IF(IF((INDEX(B1:XFD1,(A2)+(0)))=("store"),(INDEX(B1:XFD1,(A2)+(1)))=("R"),"false"),B2,R386),R386))</f>
        <v>#VALUE!</v>
      </c>
      <c r="S386" t="e">
        <f ca="1">IF((A1)=(2),1,IF((383)=(S3),IF(IF((INDEX(B1:XFD1,(A2)+(0)))=("store"),(INDEX(B1:XFD1,(A2)+(1)))=("S"),"false"),B2,S386),S386))</f>
        <v>#VALUE!</v>
      </c>
      <c r="T386" t="e">
        <f ca="1">IF((A1)=(2),1,IF((383)=(T3),IF(IF((INDEX(B1:XFD1,(A2)+(0)))=("store"),(INDEX(B1:XFD1,(A2)+(1)))=("T"),"false"),B2,T386),T386))</f>
        <v>#VALUE!</v>
      </c>
      <c r="U386" t="e">
        <f ca="1">IF((A1)=(2),1,IF((383)=(U3),IF(IF((INDEX(B1:XFD1,(A2)+(0)))=("store"),(INDEX(B1:XFD1,(A2)+(1)))=("U"),"false"),B2,U386),U386))</f>
        <v>#VALUE!</v>
      </c>
      <c r="V386" t="e">
        <f ca="1">IF((A1)=(2),1,IF((383)=(V3),IF(IF((INDEX(B1:XFD1,(A2)+(0)))=("store"),(INDEX(B1:XFD1,(A2)+(1)))=("V"),"false"),B2,V386),V386))</f>
        <v>#VALUE!</v>
      </c>
      <c r="W386" t="e">
        <f ca="1">IF((A1)=(2),1,IF((383)=(W3),IF(IF((INDEX(B1:XFD1,(A2)+(0)))=("store"),(INDEX(B1:XFD1,(A2)+(1)))=("W"),"false"),B2,W386),W386))</f>
        <v>#VALUE!</v>
      </c>
      <c r="X386" t="e">
        <f ca="1">IF((A1)=(2),1,IF((383)=(X3),IF(IF((INDEX(B1:XFD1,(A2)+(0)))=("store"),(INDEX(B1:XFD1,(A2)+(1)))=("X"),"false"),B2,X386),X386))</f>
        <v>#VALUE!</v>
      </c>
      <c r="Y386" t="e">
        <f ca="1">IF((A1)=(2),1,IF((383)=(Y3),IF(IF((INDEX(B1:XFD1,(A2)+(0)))=("store"),(INDEX(B1:XFD1,(A2)+(1)))=("Y"),"false"),B2,Y386),Y386))</f>
        <v>#VALUE!</v>
      </c>
      <c r="Z386" t="e">
        <f ca="1">IF((A1)=(2),1,IF((383)=(Z3),IF(IF((INDEX(B1:XFD1,(A2)+(0)))=("store"),(INDEX(B1:XFD1,(A2)+(1)))=("Z"),"false"),B2,Z386),Z386))</f>
        <v>#VALUE!</v>
      </c>
      <c r="AA386" t="e">
        <f ca="1">IF((A1)=(2),1,IF((383)=(AA3),IF(IF((INDEX(B1:XFD1,(A2)+(0)))=("store"),(INDEX(B1:XFD1,(A2)+(1)))=("AA"),"false"),B2,AA386),AA386))</f>
        <v>#VALUE!</v>
      </c>
      <c r="AB386" t="e">
        <f ca="1">IF((A1)=(2),1,IF((383)=(AB3),IF(IF((INDEX(B1:XFD1,(A2)+(0)))=("store"),(INDEX(B1:XFD1,(A2)+(1)))=("AB"),"false"),B2,AB386),AB386))</f>
        <v>#VALUE!</v>
      </c>
      <c r="AC386" t="e">
        <f ca="1">IF((A1)=(2),1,IF((383)=(AC3),IF(IF((INDEX(B1:XFD1,(A2)+(0)))=("store"),(INDEX(B1:XFD1,(A2)+(1)))=("AC"),"false"),B2,AC386),AC386))</f>
        <v>#VALUE!</v>
      </c>
      <c r="AD386" t="e">
        <f ca="1">IF((A1)=(2),1,IF((383)=(AD3),IF(IF((INDEX(B1:XFD1,(A2)+(0)))=("store"),(INDEX(B1:XFD1,(A2)+(1)))=("AD"),"false"),B2,AD386),AD386))</f>
        <v>#VALUE!</v>
      </c>
    </row>
    <row r="387" spans="1:30" x14ac:dyDescent="0.25">
      <c r="A387" t="e">
        <f ca="1">IF((A1)=(2),1,IF((384)=(A3),IF(("call")=(INDEX(B1:XFD1,(A2)+(0))),((B2)*(2))+(1),IF(("goto")=(INDEX(B1:XFD1,(A2)+(0))),((INDEX(B1:XFD1,(A2)+(1)))*(2))+(1),IF(("gotoiftrue")=(INDEX(B1:XFD1,(A2)+(0))),IF(B2,((INDEX(B1:XFD1,(A2)+(1)))*(2))+(1),(A387)+(2)),(A387)+(2)))),A387))</f>
        <v>#VALUE!</v>
      </c>
      <c r="B387" t="e">
        <f ca="1">IF((A1)=(2),1,IF((384)=(B3),IF(("push")=(INDEX(B1:XFD1,(A2)+(0))),INDEX(B1:XFD1,(A2)+(1)),IF(("load")=(INDEX(B1:XFD1,(A2)+(0))),INDEX(F2:XFD2,INDEX(B1:XFD1,(A2)+(1))),IF(("newheap")=(INDEX(B1:XFD1,(A2)+(0))),(C3)-(2),IF(("getheap")=(INDEX(B1:XFD1,(A2)+(0))),INDEX(C4:C404,(B387)+(1)),IF(("add")=(INDEX(B1:XFD1,(A2)+(0))),(INDEX(B4:B404,(B3)+(1)))+(B387),IF(("equals")=(INDEX(B1:XFD1,(A2)+(0))),(INDEX(B4:B404,(B3)+(1)))=(B387),IF(("leq")=(INDEX(B1:XFD1,(A2)+(0))),(INDEX(B4:B404,(B3)+(1)))&lt;=(B387),IF(("mod")=(INDEX(B1:XFD1,(A2)+(0))),MOD(INDEX(B4:B404,(B3)+(1)),B387),B387)))))))),B387))</f>
        <v>#VALUE!</v>
      </c>
      <c r="C387" t="e">
        <f ca="1">IF((A1)=(2),1,IF(AND((INDEX(B1:XFD1,(A2)+(0)))=("writeheap"),(INDEX(B4:B404,(B3)+(1)))=(383)),INDEX(B4:B404,(B3)+(2)),IF((A1)=(2),1,IF((384)=(C3),C387,C387))))</f>
        <v>#VALUE!</v>
      </c>
      <c r="E387" t="e">
        <f ca="1">IF((A1)=(2),1,IF((384)=(E3),IF(("outputline")=(INDEX(B1:XFD1,(A2)+(0))),B2,E387),E387))</f>
        <v>#VALUE!</v>
      </c>
      <c r="F387" t="e">
        <f ca="1">IF((A1)=(2),1,IF((384)=(F3),IF(IF((INDEX(B1:XFD1,(A2)+(0)))=("store"),(INDEX(B1:XFD1,(A2)+(1)))=("F"),"false"),B2,F387),F387))</f>
        <v>#VALUE!</v>
      </c>
      <c r="G387" t="e">
        <f ca="1">IF((A1)=(2),1,IF((384)=(G3),IF(IF((INDEX(B1:XFD1,(A2)+(0)))=("store"),(INDEX(B1:XFD1,(A2)+(1)))=("G"),"false"),B2,G387),G387))</f>
        <v>#VALUE!</v>
      </c>
      <c r="H387" t="e">
        <f ca="1">IF((A1)=(2),1,IF((384)=(H3),IF(IF((INDEX(B1:XFD1,(A2)+(0)))=("store"),(INDEX(B1:XFD1,(A2)+(1)))=("H"),"false"),B2,H387),H387))</f>
        <v>#VALUE!</v>
      </c>
      <c r="I387" t="e">
        <f ca="1">IF((A1)=(2),1,IF((384)=(I3),IF(IF((INDEX(B1:XFD1,(A2)+(0)))=("store"),(INDEX(B1:XFD1,(A2)+(1)))=("I"),"false"),B2,I387),I387))</f>
        <v>#VALUE!</v>
      </c>
      <c r="J387" t="e">
        <f ca="1">IF((A1)=(2),1,IF((384)=(J3),IF(IF((INDEX(B1:XFD1,(A2)+(0)))=("store"),(INDEX(B1:XFD1,(A2)+(1)))=("J"),"false"),B2,J387),J387))</f>
        <v>#VALUE!</v>
      </c>
      <c r="K387" t="e">
        <f ca="1">IF((A1)=(2),1,IF((384)=(K3),IF(IF((INDEX(B1:XFD1,(A2)+(0)))=("store"),(INDEX(B1:XFD1,(A2)+(1)))=("K"),"false"),B2,K387),K387))</f>
        <v>#VALUE!</v>
      </c>
      <c r="L387" t="e">
        <f ca="1">IF((A1)=(2),1,IF((384)=(L3),IF(IF((INDEX(B1:XFD1,(A2)+(0)))=("store"),(INDEX(B1:XFD1,(A2)+(1)))=("L"),"false"),B2,L387),L387))</f>
        <v>#VALUE!</v>
      </c>
      <c r="M387" t="e">
        <f ca="1">IF((A1)=(2),1,IF((384)=(M3),IF(IF((INDEX(B1:XFD1,(A2)+(0)))=("store"),(INDEX(B1:XFD1,(A2)+(1)))=("M"),"false"),B2,M387),M387))</f>
        <v>#VALUE!</v>
      </c>
      <c r="N387" t="e">
        <f ca="1">IF((A1)=(2),1,IF((384)=(N3),IF(IF((INDEX(B1:XFD1,(A2)+(0)))=("store"),(INDEX(B1:XFD1,(A2)+(1)))=("N"),"false"),B2,N387),N387))</f>
        <v>#VALUE!</v>
      </c>
      <c r="O387" t="e">
        <f ca="1">IF((A1)=(2),1,IF((384)=(O3),IF(IF((INDEX(B1:XFD1,(A2)+(0)))=("store"),(INDEX(B1:XFD1,(A2)+(1)))=("O"),"false"),B2,O387),O387))</f>
        <v>#VALUE!</v>
      </c>
      <c r="P387" t="e">
        <f ca="1">IF((A1)=(2),1,IF((384)=(P3),IF(IF((INDEX(B1:XFD1,(A2)+(0)))=("store"),(INDEX(B1:XFD1,(A2)+(1)))=("P"),"false"),B2,P387),P387))</f>
        <v>#VALUE!</v>
      </c>
      <c r="Q387" t="e">
        <f ca="1">IF((A1)=(2),1,IF((384)=(Q3),IF(IF((INDEX(B1:XFD1,(A2)+(0)))=("store"),(INDEX(B1:XFD1,(A2)+(1)))=("Q"),"false"),B2,Q387),Q387))</f>
        <v>#VALUE!</v>
      </c>
      <c r="R387" t="e">
        <f ca="1">IF((A1)=(2),1,IF((384)=(R3),IF(IF((INDEX(B1:XFD1,(A2)+(0)))=("store"),(INDEX(B1:XFD1,(A2)+(1)))=("R"),"false"),B2,R387),R387))</f>
        <v>#VALUE!</v>
      </c>
      <c r="S387" t="e">
        <f ca="1">IF((A1)=(2),1,IF((384)=(S3),IF(IF((INDEX(B1:XFD1,(A2)+(0)))=("store"),(INDEX(B1:XFD1,(A2)+(1)))=("S"),"false"),B2,S387),S387))</f>
        <v>#VALUE!</v>
      </c>
      <c r="T387" t="e">
        <f ca="1">IF((A1)=(2),1,IF((384)=(T3),IF(IF((INDEX(B1:XFD1,(A2)+(0)))=("store"),(INDEX(B1:XFD1,(A2)+(1)))=("T"),"false"),B2,T387),T387))</f>
        <v>#VALUE!</v>
      </c>
      <c r="U387" t="e">
        <f ca="1">IF((A1)=(2),1,IF((384)=(U3),IF(IF((INDEX(B1:XFD1,(A2)+(0)))=("store"),(INDEX(B1:XFD1,(A2)+(1)))=("U"),"false"),B2,U387),U387))</f>
        <v>#VALUE!</v>
      </c>
      <c r="V387" t="e">
        <f ca="1">IF((A1)=(2),1,IF((384)=(V3),IF(IF((INDEX(B1:XFD1,(A2)+(0)))=("store"),(INDEX(B1:XFD1,(A2)+(1)))=("V"),"false"),B2,V387),V387))</f>
        <v>#VALUE!</v>
      </c>
      <c r="W387" t="e">
        <f ca="1">IF((A1)=(2),1,IF((384)=(W3),IF(IF((INDEX(B1:XFD1,(A2)+(0)))=("store"),(INDEX(B1:XFD1,(A2)+(1)))=("W"),"false"),B2,W387),W387))</f>
        <v>#VALUE!</v>
      </c>
      <c r="X387" t="e">
        <f ca="1">IF((A1)=(2),1,IF((384)=(X3),IF(IF((INDEX(B1:XFD1,(A2)+(0)))=("store"),(INDEX(B1:XFD1,(A2)+(1)))=("X"),"false"),B2,X387),X387))</f>
        <v>#VALUE!</v>
      </c>
      <c r="Y387" t="e">
        <f ca="1">IF((A1)=(2),1,IF((384)=(Y3),IF(IF((INDEX(B1:XFD1,(A2)+(0)))=("store"),(INDEX(B1:XFD1,(A2)+(1)))=("Y"),"false"),B2,Y387),Y387))</f>
        <v>#VALUE!</v>
      </c>
      <c r="Z387" t="e">
        <f ca="1">IF((A1)=(2),1,IF((384)=(Z3),IF(IF((INDEX(B1:XFD1,(A2)+(0)))=("store"),(INDEX(B1:XFD1,(A2)+(1)))=("Z"),"false"),B2,Z387),Z387))</f>
        <v>#VALUE!</v>
      </c>
      <c r="AA387" t="e">
        <f ca="1">IF((A1)=(2),1,IF((384)=(AA3),IF(IF((INDEX(B1:XFD1,(A2)+(0)))=("store"),(INDEX(B1:XFD1,(A2)+(1)))=("AA"),"false"),B2,AA387),AA387))</f>
        <v>#VALUE!</v>
      </c>
      <c r="AB387" t="e">
        <f ca="1">IF((A1)=(2),1,IF((384)=(AB3),IF(IF((INDEX(B1:XFD1,(A2)+(0)))=("store"),(INDEX(B1:XFD1,(A2)+(1)))=("AB"),"false"),B2,AB387),AB387))</f>
        <v>#VALUE!</v>
      </c>
      <c r="AC387" t="e">
        <f ca="1">IF((A1)=(2),1,IF((384)=(AC3),IF(IF((INDEX(B1:XFD1,(A2)+(0)))=("store"),(INDEX(B1:XFD1,(A2)+(1)))=("AC"),"false"),B2,AC387),AC387))</f>
        <v>#VALUE!</v>
      </c>
      <c r="AD387" t="e">
        <f ca="1">IF((A1)=(2),1,IF((384)=(AD3),IF(IF((INDEX(B1:XFD1,(A2)+(0)))=("store"),(INDEX(B1:XFD1,(A2)+(1)))=("AD"),"false"),B2,AD387),AD387))</f>
        <v>#VALUE!</v>
      </c>
    </row>
    <row r="388" spans="1:30" x14ac:dyDescent="0.25">
      <c r="A388" t="e">
        <f ca="1">IF((A1)=(2),1,IF((385)=(A3),IF(("call")=(INDEX(B1:XFD1,(A2)+(0))),((B2)*(2))+(1),IF(("goto")=(INDEX(B1:XFD1,(A2)+(0))),((INDEX(B1:XFD1,(A2)+(1)))*(2))+(1),IF(("gotoiftrue")=(INDEX(B1:XFD1,(A2)+(0))),IF(B2,((INDEX(B1:XFD1,(A2)+(1)))*(2))+(1),(A388)+(2)),(A388)+(2)))),A388))</f>
        <v>#VALUE!</v>
      </c>
      <c r="B388" t="e">
        <f ca="1">IF((A1)=(2),1,IF((385)=(B3),IF(("push")=(INDEX(B1:XFD1,(A2)+(0))),INDEX(B1:XFD1,(A2)+(1)),IF(("load")=(INDEX(B1:XFD1,(A2)+(0))),INDEX(F2:XFD2,INDEX(B1:XFD1,(A2)+(1))),IF(("newheap")=(INDEX(B1:XFD1,(A2)+(0))),(C3)-(2),IF(("getheap")=(INDEX(B1:XFD1,(A2)+(0))),INDEX(C4:C404,(B388)+(1)),IF(("add")=(INDEX(B1:XFD1,(A2)+(0))),(INDEX(B4:B404,(B3)+(1)))+(B388),IF(("equals")=(INDEX(B1:XFD1,(A2)+(0))),(INDEX(B4:B404,(B3)+(1)))=(B388),IF(("leq")=(INDEX(B1:XFD1,(A2)+(0))),(INDEX(B4:B404,(B3)+(1)))&lt;=(B388),IF(("mod")=(INDEX(B1:XFD1,(A2)+(0))),MOD(INDEX(B4:B404,(B3)+(1)),B388),B388)))))))),B388))</f>
        <v>#VALUE!</v>
      </c>
      <c r="C388" t="e">
        <f ca="1">IF((A1)=(2),1,IF(AND((INDEX(B1:XFD1,(A2)+(0)))=("writeheap"),(INDEX(B4:B404,(B3)+(1)))=(384)),INDEX(B4:B404,(B3)+(2)),IF((A1)=(2),1,IF((385)=(C3),C388,C388))))</f>
        <v>#VALUE!</v>
      </c>
      <c r="E388" t="e">
        <f ca="1">IF((A1)=(2),1,IF((385)=(E3),IF(("outputline")=(INDEX(B1:XFD1,(A2)+(0))),B2,E388),E388))</f>
        <v>#VALUE!</v>
      </c>
      <c r="F388" t="e">
        <f ca="1">IF((A1)=(2),1,IF((385)=(F3),IF(IF((INDEX(B1:XFD1,(A2)+(0)))=("store"),(INDEX(B1:XFD1,(A2)+(1)))=("F"),"false"),B2,F388),F388))</f>
        <v>#VALUE!</v>
      </c>
      <c r="G388" t="e">
        <f ca="1">IF((A1)=(2),1,IF((385)=(G3),IF(IF((INDEX(B1:XFD1,(A2)+(0)))=("store"),(INDEX(B1:XFD1,(A2)+(1)))=("G"),"false"),B2,G388),G388))</f>
        <v>#VALUE!</v>
      </c>
      <c r="H388" t="e">
        <f ca="1">IF((A1)=(2),1,IF((385)=(H3),IF(IF((INDEX(B1:XFD1,(A2)+(0)))=("store"),(INDEX(B1:XFD1,(A2)+(1)))=("H"),"false"),B2,H388),H388))</f>
        <v>#VALUE!</v>
      </c>
      <c r="I388" t="e">
        <f ca="1">IF((A1)=(2),1,IF((385)=(I3),IF(IF((INDEX(B1:XFD1,(A2)+(0)))=("store"),(INDEX(B1:XFD1,(A2)+(1)))=("I"),"false"),B2,I388),I388))</f>
        <v>#VALUE!</v>
      </c>
      <c r="J388" t="e">
        <f ca="1">IF((A1)=(2),1,IF((385)=(J3),IF(IF((INDEX(B1:XFD1,(A2)+(0)))=("store"),(INDEX(B1:XFD1,(A2)+(1)))=("J"),"false"),B2,J388),J388))</f>
        <v>#VALUE!</v>
      </c>
      <c r="K388" t="e">
        <f ca="1">IF((A1)=(2),1,IF((385)=(K3),IF(IF((INDEX(B1:XFD1,(A2)+(0)))=("store"),(INDEX(B1:XFD1,(A2)+(1)))=("K"),"false"),B2,K388),K388))</f>
        <v>#VALUE!</v>
      </c>
      <c r="L388" t="e">
        <f ca="1">IF((A1)=(2),1,IF((385)=(L3),IF(IF((INDEX(B1:XFD1,(A2)+(0)))=("store"),(INDEX(B1:XFD1,(A2)+(1)))=("L"),"false"),B2,L388),L388))</f>
        <v>#VALUE!</v>
      </c>
      <c r="M388" t="e">
        <f ca="1">IF((A1)=(2),1,IF((385)=(M3),IF(IF((INDEX(B1:XFD1,(A2)+(0)))=("store"),(INDEX(B1:XFD1,(A2)+(1)))=("M"),"false"),B2,M388),M388))</f>
        <v>#VALUE!</v>
      </c>
      <c r="N388" t="e">
        <f ca="1">IF((A1)=(2),1,IF((385)=(N3),IF(IF((INDEX(B1:XFD1,(A2)+(0)))=("store"),(INDEX(B1:XFD1,(A2)+(1)))=("N"),"false"),B2,N388),N388))</f>
        <v>#VALUE!</v>
      </c>
      <c r="O388" t="e">
        <f ca="1">IF((A1)=(2),1,IF((385)=(O3),IF(IF((INDEX(B1:XFD1,(A2)+(0)))=("store"),(INDEX(B1:XFD1,(A2)+(1)))=("O"),"false"),B2,O388),O388))</f>
        <v>#VALUE!</v>
      </c>
      <c r="P388" t="e">
        <f ca="1">IF((A1)=(2),1,IF((385)=(P3),IF(IF((INDEX(B1:XFD1,(A2)+(0)))=("store"),(INDEX(B1:XFD1,(A2)+(1)))=("P"),"false"),B2,P388),P388))</f>
        <v>#VALUE!</v>
      </c>
      <c r="Q388" t="e">
        <f ca="1">IF((A1)=(2),1,IF((385)=(Q3),IF(IF((INDEX(B1:XFD1,(A2)+(0)))=("store"),(INDEX(B1:XFD1,(A2)+(1)))=("Q"),"false"),B2,Q388),Q388))</f>
        <v>#VALUE!</v>
      </c>
      <c r="R388" t="e">
        <f ca="1">IF((A1)=(2),1,IF((385)=(R3),IF(IF((INDEX(B1:XFD1,(A2)+(0)))=("store"),(INDEX(B1:XFD1,(A2)+(1)))=("R"),"false"),B2,R388),R388))</f>
        <v>#VALUE!</v>
      </c>
      <c r="S388" t="e">
        <f ca="1">IF((A1)=(2),1,IF((385)=(S3),IF(IF((INDEX(B1:XFD1,(A2)+(0)))=("store"),(INDEX(B1:XFD1,(A2)+(1)))=("S"),"false"),B2,S388),S388))</f>
        <v>#VALUE!</v>
      </c>
      <c r="T388" t="e">
        <f ca="1">IF((A1)=(2),1,IF((385)=(T3),IF(IF((INDEX(B1:XFD1,(A2)+(0)))=("store"),(INDEX(B1:XFD1,(A2)+(1)))=("T"),"false"),B2,T388),T388))</f>
        <v>#VALUE!</v>
      </c>
      <c r="U388" t="e">
        <f ca="1">IF((A1)=(2),1,IF((385)=(U3),IF(IF((INDEX(B1:XFD1,(A2)+(0)))=("store"),(INDEX(B1:XFD1,(A2)+(1)))=("U"),"false"),B2,U388),U388))</f>
        <v>#VALUE!</v>
      </c>
      <c r="V388" t="e">
        <f ca="1">IF((A1)=(2),1,IF((385)=(V3),IF(IF((INDEX(B1:XFD1,(A2)+(0)))=("store"),(INDEX(B1:XFD1,(A2)+(1)))=("V"),"false"),B2,V388),V388))</f>
        <v>#VALUE!</v>
      </c>
      <c r="W388" t="e">
        <f ca="1">IF((A1)=(2),1,IF((385)=(W3),IF(IF((INDEX(B1:XFD1,(A2)+(0)))=("store"),(INDEX(B1:XFD1,(A2)+(1)))=("W"),"false"),B2,W388),W388))</f>
        <v>#VALUE!</v>
      </c>
      <c r="X388" t="e">
        <f ca="1">IF((A1)=(2),1,IF((385)=(X3),IF(IF((INDEX(B1:XFD1,(A2)+(0)))=("store"),(INDEX(B1:XFD1,(A2)+(1)))=("X"),"false"),B2,X388),X388))</f>
        <v>#VALUE!</v>
      </c>
      <c r="Y388" t="e">
        <f ca="1">IF((A1)=(2),1,IF((385)=(Y3),IF(IF((INDEX(B1:XFD1,(A2)+(0)))=("store"),(INDEX(B1:XFD1,(A2)+(1)))=("Y"),"false"),B2,Y388),Y388))</f>
        <v>#VALUE!</v>
      </c>
      <c r="Z388" t="e">
        <f ca="1">IF((A1)=(2),1,IF((385)=(Z3),IF(IF((INDEX(B1:XFD1,(A2)+(0)))=("store"),(INDEX(B1:XFD1,(A2)+(1)))=("Z"),"false"),B2,Z388),Z388))</f>
        <v>#VALUE!</v>
      </c>
      <c r="AA388" t="e">
        <f ca="1">IF((A1)=(2),1,IF((385)=(AA3),IF(IF((INDEX(B1:XFD1,(A2)+(0)))=("store"),(INDEX(B1:XFD1,(A2)+(1)))=("AA"),"false"),B2,AA388),AA388))</f>
        <v>#VALUE!</v>
      </c>
      <c r="AB388" t="e">
        <f ca="1">IF((A1)=(2),1,IF((385)=(AB3),IF(IF((INDEX(B1:XFD1,(A2)+(0)))=("store"),(INDEX(B1:XFD1,(A2)+(1)))=("AB"),"false"),B2,AB388),AB388))</f>
        <v>#VALUE!</v>
      </c>
      <c r="AC388" t="e">
        <f ca="1">IF((A1)=(2),1,IF((385)=(AC3),IF(IF((INDEX(B1:XFD1,(A2)+(0)))=("store"),(INDEX(B1:XFD1,(A2)+(1)))=("AC"),"false"),B2,AC388),AC388))</f>
        <v>#VALUE!</v>
      </c>
      <c r="AD388" t="e">
        <f ca="1">IF((A1)=(2),1,IF((385)=(AD3),IF(IF((INDEX(B1:XFD1,(A2)+(0)))=("store"),(INDEX(B1:XFD1,(A2)+(1)))=("AD"),"false"),B2,AD388),AD388))</f>
        <v>#VALUE!</v>
      </c>
    </row>
    <row r="389" spans="1:30" x14ac:dyDescent="0.25">
      <c r="A389" t="e">
        <f ca="1">IF((A1)=(2),1,IF((386)=(A3),IF(("call")=(INDEX(B1:XFD1,(A2)+(0))),((B2)*(2))+(1),IF(("goto")=(INDEX(B1:XFD1,(A2)+(0))),((INDEX(B1:XFD1,(A2)+(1)))*(2))+(1),IF(("gotoiftrue")=(INDEX(B1:XFD1,(A2)+(0))),IF(B2,((INDEX(B1:XFD1,(A2)+(1)))*(2))+(1),(A389)+(2)),(A389)+(2)))),A389))</f>
        <v>#VALUE!</v>
      </c>
      <c r="B389" t="e">
        <f ca="1">IF((A1)=(2),1,IF((386)=(B3),IF(("push")=(INDEX(B1:XFD1,(A2)+(0))),INDEX(B1:XFD1,(A2)+(1)),IF(("load")=(INDEX(B1:XFD1,(A2)+(0))),INDEX(F2:XFD2,INDEX(B1:XFD1,(A2)+(1))),IF(("newheap")=(INDEX(B1:XFD1,(A2)+(0))),(C3)-(2),IF(("getheap")=(INDEX(B1:XFD1,(A2)+(0))),INDEX(C4:C404,(B389)+(1)),IF(("add")=(INDEX(B1:XFD1,(A2)+(0))),(INDEX(B4:B404,(B3)+(1)))+(B389),IF(("equals")=(INDEX(B1:XFD1,(A2)+(0))),(INDEX(B4:B404,(B3)+(1)))=(B389),IF(("leq")=(INDEX(B1:XFD1,(A2)+(0))),(INDEX(B4:B404,(B3)+(1)))&lt;=(B389),IF(("mod")=(INDEX(B1:XFD1,(A2)+(0))),MOD(INDEX(B4:B404,(B3)+(1)),B389),B389)))))))),B389))</f>
        <v>#VALUE!</v>
      </c>
      <c r="C389" t="e">
        <f ca="1">IF((A1)=(2),1,IF(AND((INDEX(B1:XFD1,(A2)+(0)))=("writeheap"),(INDEX(B4:B404,(B3)+(1)))=(385)),INDEX(B4:B404,(B3)+(2)),IF((A1)=(2),1,IF((386)=(C3),C389,C389))))</f>
        <v>#VALUE!</v>
      </c>
      <c r="E389" t="e">
        <f ca="1">IF((A1)=(2),1,IF((386)=(E3),IF(("outputline")=(INDEX(B1:XFD1,(A2)+(0))),B2,E389),E389))</f>
        <v>#VALUE!</v>
      </c>
      <c r="F389" t="e">
        <f ca="1">IF((A1)=(2),1,IF((386)=(F3),IF(IF((INDEX(B1:XFD1,(A2)+(0)))=("store"),(INDEX(B1:XFD1,(A2)+(1)))=("F"),"false"),B2,F389),F389))</f>
        <v>#VALUE!</v>
      </c>
      <c r="G389" t="e">
        <f ca="1">IF((A1)=(2),1,IF((386)=(G3),IF(IF((INDEX(B1:XFD1,(A2)+(0)))=("store"),(INDEX(B1:XFD1,(A2)+(1)))=("G"),"false"),B2,G389),G389))</f>
        <v>#VALUE!</v>
      </c>
      <c r="H389" t="e">
        <f ca="1">IF((A1)=(2),1,IF((386)=(H3),IF(IF((INDEX(B1:XFD1,(A2)+(0)))=("store"),(INDEX(B1:XFD1,(A2)+(1)))=("H"),"false"),B2,H389),H389))</f>
        <v>#VALUE!</v>
      </c>
      <c r="I389" t="e">
        <f ca="1">IF((A1)=(2),1,IF((386)=(I3),IF(IF((INDEX(B1:XFD1,(A2)+(0)))=("store"),(INDEX(B1:XFD1,(A2)+(1)))=("I"),"false"),B2,I389),I389))</f>
        <v>#VALUE!</v>
      </c>
      <c r="J389" t="e">
        <f ca="1">IF((A1)=(2),1,IF((386)=(J3),IF(IF((INDEX(B1:XFD1,(A2)+(0)))=("store"),(INDEX(B1:XFD1,(A2)+(1)))=("J"),"false"),B2,J389),J389))</f>
        <v>#VALUE!</v>
      </c>
      <c r="K389" t="e">
        <f ca="1">IF((A1)=(2),1,IF((386)=(K3),IF(IF((INDEX(B1:XFD1,(A2)+(0)))=("store"),(INDEX(B1:XFD1,(A2)+(1)))=("K"),"false"),B2,K389),K389))</f>
        <v>#VALUE!</v>
      </c>
      <c r="L389" t="e">
        <f ca="1">IF((A1)=(2),1,IF((386)=(L3),IF(IF((INDEX(B1:XFD1,(A2)+(0)))=("store"),(INDEX(B1:XFD1,(A2)+(1)))=("L"),"false"),B2,L389),L389))</f>
        <v>#VALUE!</v>
      </c>
      <c r="M389" t="e">
        <f ca="1">IF((A1)=(2),1,IF((386)=(M3),IF(IF((INDEX(B1:XFD1,(A2)+(0)))=("store"),(INDEX(B1:XFD1,(A2)+(1)))=("M"),"false"),B2,M389),M389))</f>
        <v>#VALUE!</v>
      </c>
      <c r="N389" t="e">
        <f ca="1">IF((A1)=(2),1,IF((386)=(N3),IF(IF((INDEX(B1:XFD1,(A2)+(0)))=("store"),(INDEX(B1:XFD1,(A2)+(1)))=("N"),"false"),B2,N389),N389))</f>
        <v>#VALUE!</v>
      </c>
      <c r="O389" t="e">
        <f ca="1">IF((A1)=(2),1,IF((386)=(O3),IF(IF((INDEX(B1:XFD1,(A2)+(0)))=("store"),(INDEX(B1:XFD1,(A2)+(1)))=("O"),"false"),B2,O389),O389))</f>
        <v>#VALUE!</v>
      </c>
      <c r="P389" t="e">
        <f ca="1">IF((A1)=(2),1,IF((386)=(P3),IF(IF((INDEX(B1:XFD1,(A2)+(0)))=("store"),(INDEX(B1:XFD1,(A2)+(1)))=("P"),"false"),B2,P389),P389))</f>
        <v>#VALUE!</v>
      </c>
      <c r="Q389" t="e">
        <f ca="1">IF((A1)=(2),1,IF((386)=(Q3),IF(IF((INDEX(B1:XFD1,(A2)+(0)))=("store"),(INDEX(B1:XFD1,(A2)+(1)))=("Q"),"false"),B2,Q389),Q389))</f>
        <v>#VALUE!</v>
      </c>
      <c r="R389" t="e">
        <f ca="1">IF((A1)=(2),1,IF((386)=(R3),IF(IF((INDEX(B1:XFD1,(A2)+(0)))=("store"),(INDEX(B1:XFD1,(A2)+(1)))=("R"),"false"),B2,R389),R389))</f>
        <v>#VALUE!</v>
      </c>
      <c r="S389" t="e">
        <f ca="1">IF((A1)=(2),1,IF((386)=(S3),IF(IF((INDEX(B1:XFD1,(A2)+(0)))=("store"),(INDEX(B1:XFD1,(A2)+(1)))=("S"),"false"),B2,S389),S389))</f>
        <v>#VALUE!</v>
      </c>
      <c r="T389" t="e">
        <f ca="1">IF((A1)=(2),1,IF((386)=(T3),IF(IF((INDEX(B1:XFD1,(A2)+(0)))=("store"),(INDEX(B1:XFD1,(A2)+(1)))=("T"),"false"),B2,T389),T389))</f>
        <v>#VALUE!</v>
      </c>
      <c r="U389" t="e">
        <f ca="1">IF((A1)=(2),1,IF((386)=(U3),IF(IF((INDEX(B1:XFD1,(A2)+(0)))=("store"),(INDEX(B1:XFD1,(A2)+(1)))=("U"),"false"),B2,U389),U389))</f>
        <v>#VALUE!</v>
      </c>
      <c r="V389" t="e">
        <f ca="1">IF((A1)=(2),1,IF((386)=(V3),IF(IF((INDEX(B1:XFD1,(A2)+(0)))=("store"),(INDEX(B1:XFD1,(A2)+(1)))=("V"),"false"),B2,V389),V389))</f>
        <v>#VALUE!</v>
      </c>
      <c r="W389" t="e">
        <f ca="1">IF((A1)=(2),1,IF((386)=(W3),IF(IF((INDEX(B1:XFD1,(A2)+(0)))=("store"),(INDEX(B1:XFD1,(A2)+(1)))=("W"),"false"),B2,W389),W389))</f>
        <v>#VALUE!</v>
      </c>
      <c r="X389" t="e">
        <f ca="1">IF((A1)=(2),1,IF((386)=(X3),IF(IF((INDEX(B1:XFD1,(A2)+(0)))=("store"),(INDEX(B1:XFD1,(A2)+(1)))=("X"),"false"),B2,X389),X389))</f>
        <v>#VALUE!</v>
      </c>
      <c r="Y389" t="e">
        <f ca="1">IF((A1)=(2),1,IF((386)=(Y3),IF(IF((INDEX(B1:XFD1,(A2)+(0)))=("store"),(INDEX(B1:XFD1,(A2)+(1)))=("Y"),"false"),B2,Y389),Y389))</f>
        <v>#VALUE!</v>
      </c>
      <c r="Z389" t="e">
        <f ca="1">IF((A1)=(2),1,IF((386)=(Z3),IF(IF((INDEX(B1:XFD1,(A2)+(0)))=("store"),(INDEX(B1:XFD1,(A2)+(1)))=("Z"),"false"),B2,Z389),Z389))</f>
        <v>#VALUE!</v>
      </c>
      <c r="AA389" t="e">
        <f ca="1">IF((A1)=(2),1,IF((386)=(AA3),IF(IF((INDEX(B1:XFD1,(A2)+(0)))=("store"),(INDEX(B1:XFD1,(A2)+(1)))=("AA"),"false"),B2,AA389),AA389))</f>
        <v>#VALUE!</v>
      </c>
      <c r="AB389" t="e">
        <f ca="1">IF((A1)=(2),1,IF((386)=(AB3),IF(IF((INDEX(B1:XFD1,(A2)+(0)))=("store"),(INDEX(B1:XFD1,(A2)+(1)))=("AB"),"false"),B2,AB389),AB389))</f>
        <v>#VALUE!</v>
      </c>
      <c r="AC389" t="e">
        <f ca="1">IF((A1)=(2),1,IF((386)=(AC3),IF(IF((INDEX(B1:XFD1,(A2)+(0)))=("store"),(INDEX(B1:XFD1,(A2)+(1)))=("AC"),"false"),B2,AC389),AC389))</f>
        <v>#VALUE!</v>
      </c>
      <c r="AD389" t="e">
        <f ca="1">IF((A1)=(2),1,IF((386)=(AD3),IF(IF((INDEX(B1:XFD1,(A2)+(0)))=("store"),(INDEX(B1:XFD1,(A2)+(1)))=("AD"),"false"),B2,AD389),AD389))</f>
        <v>#VALUE!</v>
      </c>
    </row>
    <row r="390" spans="1:30" x14ac:dyDescent="0.25">
      <c r="A390" t="e">
        <f ca="1">IF((A1)=(2),1,IF((387)=(A3),IF(("call")=(INDEX(B1:XFD1,(A2)+(0))),((B2)*(2))+(1),IF(("goto")=(INDEX(B1:XFD1,(A2)+(0))),((INDEX(B1:XFD1,(A2)+(1)))*(2))+(1),IF(("gotoiftrue")=(INDEX(B1:XFD1,(A2)+(0))),IF(B2,((INDEX(B1:XFD1,(A2)+(1)))*(2))+(1),(A390)+(2)),(A390)+(2)))),A390))</f>
        <v>#VALUE!</v>
      </c>
      <c r="B390" t="e">
        <f ca="1">IF((A1)=(2),1,IF((387)=(B3),IF(("push")=(INDEX(B1:XFD1,(A2)+(0))),INDEX(B1:XFD1,(A2)+(1)),IF(("load")=(INDEX(B1:XFD1,(A2)+(0))),INDEX(F2:XFD2,INDEX(B1:XFD1,(A2)+(1))),IF(("newheap")=(INDEX(B1:XFD1,(A2)+(0))),(C3)-(2),IF(("getheap")=(INDEX(B1:XFD1,(A2)+(0))),INDEX(C4:C404,(B390)+(1)),IF(("add")=(INDEX(B1:XFD1,(A2)+(0))),(INDEX(B4:B404,(B3)+(1)))+(B390),IF(("equals")=(INDEX(B1:XFD1,(A2)+(0))),(INDEX(B4:B404,(B3)+(1)))=(B390),IF(("leq")=(INDEX(B1:XFD1,(A2)+(0))),(INDEX(B4:B404,(B3)+(1)))&lt;=(B390),IF(("mod")=(INDEX(B1:XFD1,(A2)+(0))),MOD(INDEX(B4:B404,(B3)+(1)),B390),B390)))))))),B390))</f>
        <v>#VALUE!</v>
      </c>
      <c r="C390" t="e">
        <f ca="1">IF((A1)=(2),1,IF(AND((INDEX(B1:XFD1,(A2)+(0)))=("writeheap"),(INDEX(B4:B404,(B3)+(1)))=(386)),INDEX(B4:B404,(B3)+(2)),IF((A1)=(2),1,IF((387)=(C3),C390,C390))))</f>
        <v>#VALUE!</v>
      </c>
      <c r="E390" t="e">
        <f ca="1">IF((A1)=(2),1,IF((387)=(E3),IF(("outputline")=(INDEX(B1:XFD1,(A2)+(0))),B2,E390),E390))</f>
        <v>#VALUE!</v>
      </c>
      <c r="F390" t="e">
        <f ca="1">IF((A1)=(2),1,IF((387)=(F3),IF(IF((INDEX(B1:XFD1,(A2)+(0)))=("store"),(INDEX(B1:XFD1,(A2)+(1)))=("F"),"false"),B2,F390),F390))</f>
        <v>#VALUE!</v>
      </c>
      <c r="G390" t="e">
        <f ca="1">IF((A1)=(2),1,IF((387)=(G3),IF(IF((INDEX(B1:XFD1,(A2)+(0)))=("store"),(INDEX(B1:XFD1,(A2)+(1)))=("G"),"false"),B2,G390),G390))</f>
        <v>#VALUE!</v>
      </c>
      <c r="H390" t="e">
        <f ca="1">IF((A1)=(2),1,IF((387)=(H3),IF(IF((INDEX(B1:XFD1,(A2)+(0)))=("store"),(INDEX(B1:XFD1,(A2)+(1)))=("H"),"false"),B2,H390),H390))</f>
        <v>#VALUE!</v>
      </c>
      <c r="I390" t="e">
        <f ca="1">IF((A1)=(2),1,IF((387)=(I3),IF(IF((INDEX(B1:XFD1,(A2)+(0)))=("store"),(INDEX(B1:XFD1,(A2)+(1)))=("I"),"false"),B2,I390),I390))</f>
        <v>#VALUE!</v>
      </c>
      <c r="J390" t="e">
        <f ca="1">IF((A1)=(2),1,IF((387)=(J3),IF(IF((INDEX(B1:XFD1,(A2)+(0)))=("store"),(INDEX(B1:XFD1,(A2)+(1)))=("J"),"false"),B2,J390),J390))</f>
        <v>#VALUE!</v>
      </c>
      <c r="K390" t="e">
        <f ca="1">IF((A1)=(2),1,IF((387)=(K3),IF(IF((INDEX(B1:XFD1,(A2)+(0)))=("store"),(INDEX(B1:XFD1,(A2)+(1)))=("K"),"false"),B2,K390),K390))</f>
        <v>#VALUE!</v>
      </c>
      <c r="L390" t="e">
        <f ca="1">IF((A1)=(2),1,IF((387)=(L3),IF(IF((INDEX(B1:XFD1,(A2)+(0)))=("store"),(INDEX(B1:XFD1,(A2)+(1)))=("L"),"false"),B2,L390),L390))</f>
        <v>#VALUE!</v>
      </c>
      <c r="M390" t="e">
        <f ca="1">IF((A1)=(2),1,IF((387)=(M3),IF(IF((INDEX(B1:XFD1,(A2)+(0)))=("store"),(INDEX(B1:XFD1,(A2)+(1)))=("M"),"false"),B2,M390),M390))</f>
        <v>#VALUE!</v>
      </c>
      <c r="N390" t="e">
        <f ca="1">IF((A1)=(2),1,IF((387)=(N3),IF(IF((INDEX(B1:XFD1,(A2)+(0)))=("store"),(INDEX(B1:XFD1,(A2)+(1)))=("N"),"false"),B2,N390),N390))</f>
        <v>#VALUE!</v>
      </c>
      <c r="O390" t="e">
        <f ca="1">IF((A1)=(2),1,IF((387)=(O3),IF(IF((INDEX(B1:XFD1,(A2)+(0)))=("store"),(INDEX(B1:XFD1,(A2)+(1)))=("O"),"false"),B2,O390),O390))</f>
        <v>#VALUE!</v>
      </c>
      <c r="P390" t="e">
        <f ca="1">IF((A1)=(2),1,IF((387)=(P3),IF(IF((INDEX(B1:XFD1,(A2)+(0)))=("store"),(INDEX(B1:XFD1,(A2)+(1)))=("P"),"false"),B2,P390),P390))</f>
        <v>#VALUE!</v>
      </c>
      <c r="Q390" t="e">
        <f ca="1">IF((A1)=(2),1,IF((387)=(Q3),IF(IF((INDEX(B1:XFD1,(A2)+(0)))=("store"),(INDEX(B1:XFD1,(A2)+(1)))=("Q"),"false"),B2,Q390),Q390))</f>
        <v>#VALUE!</v>
      </c>
      <c r="R390" t="e">
        <f ca="1">IF((A1)=(2),1,IF((387)=(R3),IF(IF((INDEX(B1:XFD1,(A2)+(0)))=("store"),(INDEX(B1:XFD1,(A2)+(1)))=("R"),"false"),B2,R390),R390))</f>
        <v>#VALUE!</v>
      </c>
      <c r="S390" t="e">
        <f ca="1">IF((A1)=(2),1,IF((387)=(S3),IF(IF((INDEX(B1:XFD1,(A2)+(0)))=("store"),(INDEX(B1:XFD1,(A2)+(1)))=("S"),"false"),B2,S390),S390))</f>
        <v>#VALUE!</v>
      </c>
      <c r="T390" t="e">
        <f ca="1">IF((A1)=(2),1,IF((387)=(T3),IF(IF((INDEX(B1:XFD1,(A2)+(0)))=("store"),(INDEX(B1:XFD1,(A2)+(1)))=("T"),"false"),B2,T390),T390))</f>
        <v>#VALUE!</v>
      </c>
      <c r="U390" t="e">
        <f ca="1">IF((A1)=(2),1,IF((387)=(U3),IF(IF((INDEX(B1:XFD1,(A2)+(0)))=("store"),(INDEX(B1:XFD1,(A2)+(1)))=("U"),"false"),B2,U390),U390))</f>
        <v>#VALUE!</v>
      </c>
      <c r="V390" t="e">
        <f ca="1">IF((A1)=(2),1,IF((387)=(V3),IF(IF((INDEX(B1:XFD1,(A2)+(0)))=("store"),(INDEX(B1:XFD1,(A2)+(1)))=("V"),"false"),B2,V390),V390))</f>
        <v>#VALUE!</v>
      </c>
      <c r="W390" t="e">
        <f ca="1">IF((A1)=(2),1,IF((387)=(W3),IF(IF((INDEX(B1:XFD1,(A2)+(0)))=("store"),(INDEX(B1:XFD1,(A2)+(1)))=("W"),"false"),B2,W390),W390))</f>
        <v>#VALUE!</v>
      </c>
      <c r="X390" t="e">
        <f ca="1">IF((A1)=(2),1,IF((387)=(X3),IF(IF((INDEX(B1:XFD1,(A2)+(0)))=("store"),(INDEX(B1:XFD1,(A2)+(1)))=("X"),"false"),B2,X390),X390))</f>
        <v>#VALUE!</v>
      </c>
      <c r="Y390" t="e">
        <f ca="1">IF((A1)=(2),1,IF((387)=(Y3),IF(IF((INDEX(B1:XFD1,(A2)+(0)))=("store"),(INDEX(B1:XFD1,(A2)+(1)))=("Y"),"false"),B2,Y390),Y390))</f>
        <v>#VALUE!</v>
      </c>
      <c r="Z390" t="e">
        <f ca="1">IF((A1)=(2),1,IF((387)=(Z3),IF(IF((INDEX(B1:XFD1,(A2)+(0)))=("store"),(INDEX(B1:XFD1,(A2)+(1)))=("Z"),"false"),B2,Z390),Z390))</f>
        <v>#VALUE!</v>
      </c>
      <c r="AA390" t="e">
        <f ca="1">IF((A1)=(2),1,IF((387)=(AA3),IF(IF((INDEX(B1:XFD1,(A2)+(0)))=("store"),(INDEX(B1:XFD1,(A2)+(1)))=("AA"),"false"),B2,AA390),AA390))</f>
        <v>#VALUE!</v>
      </c>
      <c r="AB390" t="e">
        <f ca="1">IF((A1)=(2),1,IF((387)=(AB3),IF(IF((INDEX(B1:XFD1,(A2)+(0)))=("store"),(INDEX(B1:XFD1,(A2)+(1)))=("AB"),"false"),B2,AB390),AB390))</f>
        <v>#VALUE!</v>
      </c>
      <c r="AC390" t="e">
        <f ca="1">IF((A1)=(2),1,IF((387)=(AC3),IF(IF((INDEX(B1:XFD1,(A2)+(0)))=("store"),(INDEX(B1:XFD1,(A2)+(1)))=("AC"),"false"),B2,AC390),AC390))</f>
        <v>#VALUE!</v>
      </c>
      <c r="AD390" t="e">
        <f ca="1">IF((A1)=(2),1,IF((387)=(AD3),IF(IF((INDEX(B1:XFD1,(A2)+(0)))=("store"),(INDEX(B1:XFD1,(A2)+(1)))=("AD"),"false"),B2,AD390),AD390))</f>
        <v>#VALUE!</v>
      </c>
    </row>
    <row r="391" spans="1:30" x14ac:dyDescent="0.25">
      <c r="A391" t="e">
        <f ca="1">IF((A1)=(2),1,IF((388)=(A3),IF(("call")=(INDEX(B1:XFD1,(A2)+(0))),((B2)*(2))+(1),IF(("goto")=(INDEX(B1:XFD1,(A2)+(0))),((INDEX(B1:XFD1,(A2)+(1)))*(2))+(1),IF(("gotoiftrue")=(INDEX(B1:XFD1,(A2)+(0))),IF(B2,((INDEX(B1:XFD1,(A2)+(1)))*(2))+(1),(A391)+(2)),(A391)+(2)))),A391))</f>
        <v>#VALUE!</v>
      </c>
      <c r="B391" t="e">
        <f ca="1">IF((A1)=(2),1,IF((388)=(B3),IF(("push")=(INDEX(B1:XFD1,(A2)+(0))),INDEX(B1:XFD1,(A2)+(1)),IF(("load")=(INDEX(B1:XFD1,(A2)+(0))),INDEX(F2:XFD2,INDEX(B1:XFD1,(A2)+(1))),IF(("newheap")=(INDEX(B1:XFD1,(A2)+(0))),(C3)-(2),IF(("getheap")=(INDEX(B1:XFD1,(A2)+(0))),INDEX(C4:C404,(B391)+(1)),IF(("add")=(INDEX(B1:XFD1,(A2)+(0))),(INDEX(B4:B404,(B3)+(1)))+(B391),IF(("equals")=(INDEX(B1:XFD1,(A2)+(0))),(INDEX(B4:B404,(B3)+(1)))=(B391),IF(("leq")=(INDEX(B1:XFD1,(A2)+(0))),(INDEX(B4:B404,(B3)+(1)))&lt;=(B391),IF(("mod")=(INDEX(B1:XFD1,(A2)+(0))),MOD(INDEX(B4:B404,(B3)+(1)),B391),B391)))))))),B391))</f>
        <v>#VALUE!</v>
      </c>
      <c r="C391" t="e">
        <f ca="1">IF((A1)=(2),1,IF(AND((INDEX(B1:XFD1,(A2)+(0)))=("writeheap"),(INDEX(B4:B404,(B3)+(1)))=(387)),INDEX(B4:B404,(B3)+(2)),IF((A1)=(2),1,IF((388)=(C3),C391,C391))))</f>
        <v>#VALUE!</v>
      </c>
      <c r="E391" t="e">
        <f ca="1">IF((A1)=(2),1,IF((388)=(E3),IF(("outputline")=(INDEX(B1:XFD1,(A2)+(0))),B2,E391),E391))</f>
        <v>#VALUE!</v>
      </c>
      <c r="F391" t="e">
        <f ca="1">IF((A1)=(2),1,IF((388)=(F3),IF(IF((INDEX(B1:XFD1,(A2)+(0)))=("store"),(INDEX(B1:XFD1,(A2)+(1)))=("F"),"false"),B2,F391),F391))</f>
        <v>#VALUE!</v>
      </c>
      <c r="G391" t="e">
        <f ca="1">IF((A1)=(2),1,IF((388)=(G3),IF(IF((INDEX(B1:XFD1,(A2)+(0)))=("store"),(INDEX(B1:XFD1,(A2)+(1)))=("G"),"false"),B2,G391),G391))</f>
        <v>#VALUE!</v>
      </c>
      <c r="H391" t="e">
        <f ca="1">IF((A1)=(2),1,IF((388)=(H3),IF(IF((INDEX(B1:XFD1,(A2)+(0)))=("store"),(INDEX(B1:XFD1,(A2)+(1)))=("H"),"false"),B2,H391),H391))</f>
        <v>#VALUE!</v>
      </c>
      <c r="I391" t="e">
        <f ca="1">IF((A1)=(2),1,IF((388)=(I3),IF(IF((INDEX(B1:XFD1,(A2)+(0)))=("store"),(INDEX(B1:XFD1,(A2)+(1)))=("I"),"false"),B2,I391),I391))</f>
        <v>#VALUE!</v>
      </c>
      <c r="J391" t="e">
        <f ca="1">IF((A1)=(2),1,IF((388)=(J3),IF(IF((INDEX(B1:XFD1,(A2)+(0)))=("store"),(INDEX(B1:XFD1,(A2)+(1)))=("J"),"false"),B2,J391),J391))</f>
        <v>#VALUE!</v>
      </c>
      <c r="K391" t="e">
        <f ca="1">IF((A1)=(2),1,IF((388)=(K3),IF(IF((INDEX(B1:XFD1,(A2)+(0)))=("store"),(INDEX(B1:XFD1,(A2)+(1)))=("K"),"false"),B2,K391),K391))</f>
        <v>#VALUE!</v>
      </c>
      <c r="L391" t="e">
        <f ca="1">IF((A1)=(2),1,IF((388)=(L3),IF(IF((INDEX(B1:XFD1,(A2)+(0)))=("store"),(INDEX(B1:XFD1,(A2)+(1)))=("L"),"false"),B2,L391),L391))</f>
        <v>#VALUE!</v>
      </c>
      <c r="M391" t="e">
        <f ca="1">IF((A1)=(2),1,IF((388)=(M3),IF(IF((INDEX(B1:XFD1,(A2)+(0)))=("store"),(INDEX(B1:XFD1,(A2)+(1)))=("M"),"false"),B2,M391),M391))</f>
        <v>#VALUE!</v>
      </c>
      <c r="N391" t="e">
        <f ca="1">IF((A1)=(2),1,IF((388)=(N3),IF(IF((INDEX(B1:XFD1,(A2)+(0)))=("store"),(INDEX(B1:XFD1,(A2)+(1)))=("N"),"false"),B2,N391),N391))</f>
        <v>#VALUE!</v>
      </c>
      <c r="O391" t="e">
        <f ca="1">IF((A1)=(2),1,IF((388)=(O3),IF(IF((INDEX(B1:XFD1,(A2)+(0)))=("store"),(INDEX(B1:XFD1,(A2)+(1)))=("O"),"false"),B2,O391),O391))</f>
        <v>#VALUE!</v>
      </c>
      <c r="P391" t="e">
        <f ca="1">IF((A1)=(2),1,IF((388)=(P3),IF(IF((INDEX(B1:XFD1,(A2)+(0)))=("store"),(INDEX(B1:XFD1,(A2)+(1)))=("P"),"false"),B2,P391),P391))</f>
        <v>#VALUE!</v>
      </c>
      <c r="Q391" t="e">
        <f ca="1">IF((A1)=(2),1,IF((388)=(Q3),IF(IF((INDEX(B1:XFD1,(A2)+(0)))=("store"),(INDEX(B1:XFD1,(A2)+(1)))=("Q"),"false"),B2,Q391),Q391))</f>
        <v>#VALUE!</v>
      </c>
      <c r="R391" t="e">
        <f ca="1">IF((A1)=(2),1,IF((388)=(R3),IF(IF((INDEX(B1:XFD1,(A2)+(0)))=("store"),(INDEX(B1:XFD1,(A2)+(1)))=("R"),"false"),B2,R391),R391))</f>
        <v>#VALUE!</v>
      </c>
      <c r="S391" t="e">
        <f ca="1">IF((A1)=(2),1,IF((388)=(S3),IF(IF((INDEX(B1:XFD1,(A2)+(0)))=("store"),(INDEX(B1:XFD1,(A2)+(1)))=("S"),"false"),B2,S391),S391))</f>
        <v>#VALUE!</v>
      </c>
      <c r="T391" t="e">
        <f ca="1">IF((A1)=(2),1,IF((388)=(T3),IF(IF((INDEX(B1:XFD1,(A2)+(0)))=("store"),(INDEX(B1:XFD1,(A2)+(1)))=("T"),"false"),B2,T391),T391))</f>
        <v>#VALUE!</v>
      </c>
      <c r="U391" t="e">
        <f ca="1">IF((A1)=(2),1,IF((388)=(U3),IF(IF((INDEX(B1:XFD1,(A2)+(0)))=("store"),(INDEX(B1:XFD1,(A2)+(1)))=("U"),"false"),B2,U391),U391))</f>
        <v>#VALUE!</v>
      </c>
      <c r="V391" t="e">
        <f ca="1">IF((A1)=(2),1,IF((388)=(V3),IF(IF((INDEX(B1:XFD1,(A2)+(0)))=("store"),(INDEX(B1:XFD1,(A2)+(1)))=("V"),"false"),B2,V391),V391))</f>
        <v>#VALUE!</v>
      </c>
      <c r="W391" t="e">
        <f ca="1">IF((A1)=(2),1,IF((388)=(W3),IF(IF((INDEX(B1:XFD1,(A2)+(0)))=("store"),(INDEX(B1:XFD1,(A2)+(1)))=("W"),"false"),B2,W391),W391))</f>
        <v>#VALUE!</v>
      </c>
      <c r="X391" t="e">
        <f ca="1">IF((A1)=(2),1,IF((388)=(X3),IF(IF((INDEX(B1:XFD1,(A2)+(0)))=("store"),(INDEX(B1:XFD1,(A2)+(1)))=("X"),"false"),B2,X391),X391))</f>
        <v>#VALUE!</v>
      </c>
      <c r="Y391" t="e">
        <f ca="1">IF((A1)=(2),1,IF((388)=(Y3),IF(IF((INDEX(B1:XFD1,(A2)+(0)))=("store"),(INDEX(B1:XFD1,(A2)+(1)))=("Y"),"false"),B2,Y391),Y391))</f>
        <v>#VALUE!</v>
      </c>
      <c r="Z391" t="e">
        <f ca="1">IF((A1)=(2),1,IF((388)=(Z3),IF(IF((INDEX(B1:XFD1,(A2)+(0)))=("store"),(INDEX(B1:XFD1,(A2)+(1)))=("Z"),"false"),B2,Z391),Z391))</f>
        <v>#VALUE!</v>
      </c>
      <c r="AA391" t="e">
        <f ca="1">IF((A1)=(2),1,IF((388)=(AA3),IF(IF((INDEX(B1:XFD1,(A2)+(0)))=("store"),(INDEX(B1:XFD1,(A2)+(1)))=("AA"),"false"),B2,AA391),AA391))</f>
        <v>#VALUE!</v>
      </c>
      <c r="AB391" t="e">
        <f ca="1">IF((A1)=(2),1,IF((388)=(AB3),IF(IF((INDEX(B1:XFD1,(A2)+(0)))=("store"),(INDEX(B1:XFD1,(A2)+(1)))=("AB"),"false"),B2,AB391),AB391))</f>
        <v>#VALUE!</v>
      </c>
      <c r="AC391" t="e">
        <f ca="1">IF((A1)=(2),1,IF((388)=(AC3),IF(IF((INDEX(B1:XFD1,(A2)+(0)))=("store"),(INDEX(B1:XFD1,(A2)+(1)))=("AC"),"false"),B2,AC391),AC391))</f>
        <v>#VALUE!</v>
      </c>
      <c r="AD391" t="e">
        <f ca="1">IF((A1)=(2),1,IF((388)=(AD3),IF(IF((INDEX(B1:XFD1,(A2)+(0)))=("store"),(INDEX(B1:XFD1,(A2)+(1)))=("AD"),"false"),B2,AD391),AD391))</f>
        <v>#VALUE!</v>
      </c>
    </row>
    <row r="392" spans="1:30" x14ac:dyDescent="0.25">
      <c r="A392" t="e">
        <f ca="1">IF((A1)=(2),1,IF((389)=(A3),IF(("call")=(INDEX(B1:XFD1,(A2)+(0))),((B2)*(2))+(1),IF(("goto")=(INDEX(B1:XFD1,(A2)+(0))),((INDEX(B1:XFD1,(A2)+(1)))*(2))+(1),IF(("gotoiftrue")=(INDEX(B1:XFD1,(A2)+(0))),IF(B2,((INDEX(B1:XFD1,(A2)+(1)))*(2))+(1),(A392)+(2)),(A392)+(2)))),A392))</f>
        <v>#VALUE!</v>
      </c>
      <c r="B392" t="e">
        <f ca="1">IF((A1)=(2),1,IF((389)=(B3),IF(("push")=(INDEX(B1:XFD1,(A2)+(0))),INDEX(B1:XFD1,(A2)+(1)),IF(("load")=(INDEX(B1:XFD1,(A2)+(0))),INDEX(F2:XFD2,INDEX(B1:XFD1,(A2)+(1))),IF(("newheap")=(INDEX(B1:XFD1,(A2)+(0))),(C3)-(2),IF(("getheap")=(INDEX(B1:XFD1,(A2)+(0))),INDEX(C4:C404,(B392)+(1)),IF(("add")=(INDEX(B1:XFD1,(A2)+(0))),(INDEX(B4:B404,(B3)+(1)))+(B392),IF(("equals")=(INDEX(B1:XFD1,(A2)+(0))),(INDEX(B4:B404,(B3)+(1)))=(B392),IF(("leq")=(INDEX(B1:XFD1,(A2)+(0))),(INDEX(B4:B404,(B3)+(1)))&lt;=(B392),IF(("mod")=(INDEX(B1:XFD1,(A2)+(0))),MOD(INDEX(B4:B404,(B3)+(1)),B392),B392)))))))),B392))</f>
        <v>#VALUE!</v>
      </c>
      <c r="C392" t="e">
        <f ca="1">IF((A1)=(2),1,IF(AND((INDEX(B1:XFD1,(A2)+(0)))=("writeheap"),(INDEX(B4:B404,(B3)+(1)))=(388)),INDEX(B4:B404,(B3)+(2)),IF((A1)=(2),1,IF((389)=(C3),C392,C392))))</f>
        <v>#VALUE!</v>
      </c>
      <c r="E392" t="e">
        <f ca="1">IF((A1)=(2),1,IF((389)=(E3),IF(("outputline")=(INDEX(B1:XFD1,(A2)+(0))),B2,E392),E392))</f>
        <v>#VALUE!</v>
      </c>
      <c r="F392" t="e">
        <f ca="1">IF((A1)=(2),1,IF((389)=(F3),IF(IF((INDEX(B1:XFD1,(A2)+(0)))=("store"),(INDEX(B1:XFD1,(A2)+(1)))=("F"),"false"),B2,F392),F392))</f>
        <v>#VALUE!</v>
      </c>
      <c r="G392" t="e">
        <f ca="1">IF((A1)=(2),1,IF((389)=(G3),IF(IF((INDEX(B1:XFD1,(A2)+(0)))=("store"),(INDEX(B1:XFD1,(A2)+(1)))=("G"),"false"),B2,G392),G392))</f>
        <v>#VALUE!</v>
      </c>
      <c r="H392" t="e">
        <f ca="1">IF((A1)=(2),1,IF((389)=(H3),IF(IF((INDEX(B1:XFD1,(A2)+(0)))=("store"),(INDEX(B1:XFD1,(A2)+(1)))=("H"),"false"),B2,H392),H392))</f>
        <v>#VALUE!</v>
      </c>
      <c r="I392" t="e">
        <f ca="1">IF((A1)=(2),1,IF((389)=(I3),IF(IF((INDEX(B1:XFD1,(A2)+(0)))=("store"),(INDEX(B1:XFD1,(A2)+(1)))=("I"),"false"),B2,I392),I392))</f>
        <v>#VALUE!</v>
      </c>
      <c r="J392" t="e">
        <f ca="1">IF((A1)=(2),1,IF((389)=(J3),IF(IF((INDEX(B1:XFD1,(A2)+(0)))=("store"),(INDEX(B1:XFD1,(A2)+(1)))=("J"),"false"),B2,J392),J392))</f>
        <v>#VALUE!</v>
      </c>
      <c r="K392" t="e">
        <f ca="1">IF((A1)=(2),1,IF((389)=(K3),IF(IF((INDEX(B1:XFD1,(A2)+(0)))=("store"),(INDEX(B1:XFD1,(A2)+(1)))=("K"),"false"),B2,K392),K392))</f>
        <v>#VALUE!</v>
      </c>
      <c r="L392" t="e">
        <f ca="1">IF((A1)=(2),1,IF((389)=(L3),IF(IF((INDEX(B1:XFD1,(A2)+(0)))=("store"),(INDEX(B1:XFD1,(A2)+(1)))=("L"),"false"),B2,L392),L392))</f>
        <v>#VALUE!</v>
      </c>
      <c r="M392" t="e">
        <f ca="1">IF((A1)=(2),1,IF((389)=(M3),IF(IF((INDEX(B1:XFD1,(A2)+(0)))=("store"),(INDEX(B1:XFD1,(A2)+(1)))=("M"),"false"),B2,M392),M392))</f>
        <v>#VALUE!</v>
      </c>
      <c r="N392" t="e">
        <f ca="1">IF((A1)=(2),1,IF((389)=(N3),IF(IF((INDEX(B1:XFD1,(A2)+(0)))=("store"),(INDEX(B1:XFD1,(A2)+(1)))=("N"),"false"),B2,N392),N392))</f>
        <v>#VALUE!</v>
      </c>
      <c r="O392" t="e">
        <f ca="1">IF((A1)=(2),1,IF((389)=(O3),IF(IF((INDEX(B1:XFD1,(A2)+(0)))=("store"),(INDEX(B1:XFD1,(A2)+(1)))=("O"),"false"),B2,O392),O392))</f>
        <v>#VALUE!</v>
      </c>
      <c r="P392" t="e">
        <f ca="1">IF((A1)=(2),1,IF((389)=(P3),IF(IF((INDEX(B1:XFD1,(A2)+(0)))=("store"),(INDEX(B1:XFD1,(A2)+(1)))=("P"),"false"),B2,P392),P392))</f>
        <v>#VALUE!</v>
      </c>
      <c r="Q392" t="e">
        <f ca="1">IF((A1)=(2),1,IF((389)=(Q3),IF(IF((INDEX(B1:XFD1,(A2)+(0)))=("store"),(INDEX(B1:XFD1,(A2)+(1)))=("Q"),"false"),B2,Q392),Q392))</f>
        <v>#VALUE!</v>
      </c>
      <c r="R392" t="e">
        <f ca="1">IF((A1)=(2),1,IF((389)=(R3),IF(IF((INDEX(B1:XFD1,(A2)+(0)))=("store"),(INDEX(B1:XFD1,(A2)+(1)))=("R"),"false"),B2,R392),R392))</f>
        <v>#VALUE!</v>
      </c>
      <c r="S392" t="e">
        <f ca="1">IF((A1)=(2),1,IF((389)=(S3),IF(IF((INDEX(B1:XFD1,(A2)+(0)))=("store"),(INDEX(B1:XFD1,(A2)+(1)))=("S"),"false"),B2,S392),S392))</f>
        <v>#VALUE!</v>
      </c>
      <c r="T392" t="e">
        <f ca="1">IF((A1)=(2),1,IF((389)=(T3),IF(IF((INDEX(B1:XFD1,(A2)+(0)))=("store"),(INDEX(B1:XFD1,(A2)+(1)))=("T"),"false"),B2,T392),T392))</f>
        <v>#VALUE!</v>
      </c>
      <c r="U392" t="e">
        <f ca="1">IF((A1)=(2),1,IF((389)=(U3),IF(IF((INDEX(B1:XFD1,(A2)+(0)))=("store"),(INDEX(B1:XFD1,(A2)+(1)))=("U"),"false"),B2,U392),U392))</f>
        <v>#VALUE!</v>
      </c>
      <c r="V392" t="e">
        <f ca="1">IF((A1)=(2),1,IF((389)=(V3),IF(IF((INDEX(B1:XFD1,(A2)+(0)))=("store"),(INDEX(B1:XFD1,(A2)+(1)))=("V"),"false"),B2,V392),V392))</f>
        <v>#VALUE!</v>
      </c>
      <c r="W392" t="e">
        <f ca="1">IF((A1)=(2),1,IF((389)=(W3),IF(IF((INDEX(B1:XFD1,(A2)+(0)))=("store"),(INDEX(B1:XFD1,(A2)+(1)))=("W"),"false"),B2,W392),W392))</f>
        <v>#VALUE!</v>
      </c>
      <c r="X392" t="e">
        <f ca="1">IF((A1)=(2),1,IF((389)=(X3),IF(IF((INDEX(B1:XFD1,(A2)+(0)))=("store"),(INDEX(B1:XFD1,(A2)+(1)))=("X"),"false"),B2,X392),X392))</f>
        <v>#VALUE!</v>
      </c>
      <c r="Y392" t="e">
        <f ca="1">IF((A1)=(2),1,IF((389)=(Y3),IF(IF((INDEX(B1:XFD1,(A2)+(0)))=("store"),(INDEX(B1:XFD1,(A2)+(1)))=("Y"),"false"),B2,Y392),Y392))</f>
        <v>#VALUE!</v>
      </c>
      <c r="Z392" t="e">
        <f ca="1">IF((A1)=(2),1,IF((389)=(Z3),IF(IF((INDEX(B1:XFD1,(A2)+(0)))=("store"),(INDEX(B1:XFD1,(A2)+(1)))=("Z"),"false"),B2,Z392),Z392))</f>
        <v>#VALUE!</v>
      </c>
      <c r="AA392" t="e">
        <f ca="1">IF((A1)=(2),1,IF((389)=(AA3),IF(IF((INDEX(B1:XFD1,(A2)+(0)))=("store"),(INDEX(B1:XFD1,(A2)+(1)))=("AA"),"false"),B2,AA392),AA392))</f>
        <v>#VALUE!</v>
      </c>
      <c r="AB392" t="e">
        <f ca="1">IF((A1)=(2),1,IF((389)=(AB3),IF(IF((INDEX(B1:XFD1,(A2)+(0)))=("store"),(INDEX(B1:XFD1,(A2)+(1)))=("AB"),"false"),B2,AB392),AB392))</f>
        <v>#VALUE!</v>
      </c>
      <c r="AC392" t="e">
        <f ca="1">IF((A1)=(2),1,IF((389)=(AC3),IF(IF((INDEX(B1:XFD1,(A2)+(0)))=("store"),(INDEX(B1:XFD1,(A2)+(1)))=("AC"),"false"),B2,AC392),AC392))</f>
        <v>#VALUE!</v>
      </c>
      <c r="AD392" t="e">
        <f ca="1">IF((A1)=(2),1,IF((389)=(AD3),IF(IF((INDEX(B1:XFD1,(A2)+(0)))=("store"),(INDEX(B1:XFD1,(A2)+(1)))=("AD"),"false"),B2,AD392),AD392))</f>
        <v>#VALUE!</v>
      </c>
    </row>
    <row r="393" spans="1:30" x14ac:dyDescent="0.25">
      <c r="A393" t="e">
        <f ca="1">IF((A1)=(2),1,IF((390)=(A3),IF(("call")=(INDEX(B1:XFD1,(A2)+(0))),((B2)*(2))+(1),IF(("goto")=(INDEX(B1:XFD1,(A2)+(0))),((INDEX(B1:XFD1,(A2)+(1)))*(2))+(1),IF(("gotoiftrue")=(INDEX(B1:XFD1,(A2)+(0))),IF(B2,((INDEX(B1:XFD1,(A2)+(1)))*(2))+(1),(A393)+(2)),(A393)+(2)))),A393))</f>
        <v>#VALUE!</v>
      </c>
      <c r="B393" t="e">
        <f ca="1">IF((A1)=(2),1,IF((390)=(B3),IF(("push")=(INDEX(B1:XFD1,(A2)+(0))),INDEX(B1:XFD1,(A2)+(1)),IF(("load")=(INDEX(B1:XFD1,(A2)+(0))),INDEX(F2:XFD2,INDEX(B1:XFD1,(A2)+(1))),IF(("newheap")=(INDEX(B1:XFD1,(A2)+(0))),(C3)-(2),IF(("getheap")=(INDEX(B1:XFD1,(A2)+(0))),INDEX(C4:C404,(B393)+(1)),IF(("add")=(INDEX(B1:XFD1,(A2)+(0))),(INDEX(B4:B404,(B3)+(1)))+(B393),IF(("equals")=(INDEX(B1:XFD1,(A2)+(0))),(INDEX(B4:B404,(B3)+(1)))=(B393),IF(("leq")=(INDEX(B1:XFD1,(A2)+(0))),(INDEX(B4:B404,(B3)+(1)))&lt;=(B393),IF(("mod")=(INDEX(B1:XFD1,(A2)+(0))),MOD(INDEX(B4:B404,(B3)+(1)),B393),B393)))))))),B393))</f>
        <v>#VALUE!</v>
      </c>
      <c r="C393" t="e">
        <f ca="1">IF((A1)=(2),1,IF(AND((INDEX(B1:XFD1,(A2)+(0)))=("writeheap"),(INDEX(B4:B404,(B3)+(1)))=(389)),INDEX(B4:B404,(B3)+(2)),IF((A1)=(2),1,IF((390)=(C3),C393,C393))))</f>
        <v>#VALUE!</v>
      </c>
      <c r="E393" t="e">
        <f ca="1">IF((A1)=(2),1,IF((390)=(E3),IF(("outputline")=(INDEX(B1:XFD1,(A2)+(0))),B2,E393),E393))</f>
        <v>#VALUE!</v>
      </c>
      <c r="F393" t="e">
        <f ca="1">IF((A1)=(2),1,IF((390)=(F3),IF(IF((INDEX(B1:XFD1,(A2)+(0)))=("store"),(INDEX(B1:XFD1,(A2)+(1)))=("F"),"false"),B2,F393),F393))</f>
        <v>#VALUE!</v>
      </c>
      <c r="G393" t="e">
        <f ca="1">IF((A1)=(2),1,IF((390)=(G3),IF(IF((INDEX(B1:XFD1,(A2)+(0)))=("store"),(INDEX(B1:XFD1,(A2)+(1)))=("G"),"false"),B2,G393),G393))</f>
        <v>#VALUE!</v>
      </c>
      <c r="H393" t="e">
        <f ca="1">IF((A1)=(2),1,IF((390)=(H3),IF(IF((INDEX(B1:XFD1,(A2)+(0)))=("store"),(INDEX(B1:XFD1,(A2)+(1)))=("H"),"false"),B2,H393),H393))</f>
        <v>#VALUE!</v>
      </c>
      <c r="I393" t="e">
        <f ca="1">IF((A1)=(2),1,IF((390)=(I3),IF(IF((INDEX(B1:XFD1,(A2)+(0)))=("store"),(INDEX(B1:XFD1,(A2)+(1)))=("I"),"false"),B2,I393),I393))</f>
        <v>#VALUE!</v>
      </c>
      <c r="J393" t="e">
        <f ca="1">IF((A1)=(2),1,IF((390)=(J3),IF(IF((INDEX(B1:XFD1,(A2)+(0)))=("store"),(INDEX(B1:XFD1,(A2)+(1)))=("J"),"false"),B2,J393),J393))</f>
        <v>#VALUE!</v>
      </c>
      <c r="K393" t="e">
        <f ca="1">IF((A1)=(2),1,IF((390)=(K3),IF(IF((INDEX(B1:XFD1,(A2)+(0)))=("store"),(INDEX(B1:XFD1,(A2)+(1)))=("K"),"false"),B2,K393),K393))</f>
        <v>#VALUE!</v>
      </c>
      <c r="L393" t="e">
        <f ca="1">IF((A1)=(2),1,IF((390)=(L3),IF(IF((INDEX(B1:XFD1,(A2)+(0)))=("store"),(INDEX(B1:XFD1,(A2)+(1)))=("L"),"false"),B2,L393),L393))</f>
        <v>#VALUE!</v>
      </c>
      <c r="M393" t="e">
        <f ca="1">IF((A1)=(2),1,IF((390)=(M3),IF(IF((INDEX(B1:XFD1,(A2)+(0)))=("store"),(INDEX(B1:XFD1,(A2)+(1)))=("M"),"false"),B2,M393),M393))</f>
        <v>#VALUE!</v>
      </c>
      <c r="N393" t="e">
        <f ca="1">IF((A1)=(2),1,IF((390)=(N3),IF(IF((INDEX(B1:XFD1,(A2)+(0)))=("store"),(INDEX(B1:XFD1,(A2)+(1)))=("N"),"false"),B2,N393),N393))</f>
        <v>#VALUE!</v>
      </c>
      <c r="O393" t="e">
        <f ca="1">IF((A1)=(2),1,IF((390)=(O3),IF(IF((INDEX(B1:XFD1,(A2)+(0)))=("store"),(INDEX(B1:XFD1,(A2)+(1)))=("O"),"false"),B2,O393),O393))</f>
        <v>#VALUE!</v>
      </c>
      <c r="P393" t="e">
        <f ca="1">IF((A1)=(2),1,IF((390)=(P3),IF(IF((INDEX(B1:XFD1,(A2)+(0)))=("store"),(INDEX(B1:XFD1,(A2)+(1)))=("P"),"false"),B2,P393),P393))</f>
        <v>#VALUE!</v>
      </c>
      <c r="Q393" t="e">
        <f ca="1">IF((A1)=(2),1,IF((390)=(Q3),IF(IF((INDEX(B1:XFD1,(A2)+(0)))=("store"),(INDEX(B1:XFD1,(A2)+(1)))=("Q"),"false"),B2,Q393),Q393))</f>
        <v>#VALUE!</v>
      </c>
      <c r="R393" t="e">
        <f ca="1">IF((A1)=(2),1,IF((390)=(R3),IF(IF((INDEX(B1:XFD1,(A2)+(0)))=("store"),(INDEX(B1:XFD1,(A2)+(1)))=("R"),"false"),B2,R393),R393))</f>
        <v>#VALUE!</v>
      </c>
      <c r="S393" t="e">
        <f ca="1">IF((A1)=(2),1,IF((390)=(S3),IF(IF((INDEX(B1:XFD1,(A2)+(0)))=("store"),(INDEX(B1:XFD1,(A2)+(1)))=("S"),"false"),B2,S393),S393))</f>
        <v>#VALUE!</v>
      </c>
      <c r="T393" t="e">
        <f ca="1">IF((A1)=(2),1,IF((390)=(T3),IF(IF((INDEX(B1:XFD1,(A2)+(0)))=("store"),(INDEX(B1:XFD1,(A2)+(1)))=("T"),"false"),B2,T393),T393))</f>
        <v>#VALUE!</v>
      </c>
      <c r="U393" t="e">
        <f ca="1">IF((A1)=(2),1,IF((390)=(U3),IF(IF((INDEX(B1:XFD1,(A2)+(0)))=("store"),(INDEX(B1:XFD1,(A2)+(1)))=("U"),"false"),B2,U393),U393))</f>
        <v>#VALUE!</v>
      </c>
      <c r="V393" t="e">
        <f ca="1">IF((A1)=(2),1,IF((390)=(V3),IF(IF((INDEX(B1:XFD1,(A2)+(0)))=("store"),(INDEX(B1:XFD1,(A2)+(1)))=("V"),"false"),B2,V393),V393))</f>
        <v>#VALUE!</v>
      </c>
      <c r="W393" t="e">
        <f ca="1">IF((A1)=(2),1,IF((390)=(W3),IF(IF((INDEX(B1:XFD1,(A2)+(0)))=("store"),(INDEX(B1:XFD1,(A2)+(1)))=("W"),"false"),B2,W393),W393))</f>
        <v>#VALUE!</v>
      </c>
      <c r="X393" t="e">
        <f ca="1">IF((A1)=(2),1,IF((390)=(X3),IF(IF((INDEX(B1:XFD1,(A2)+(0)))=("store"),(INDEX(B1:XFD1,(A2)+(1)))=("X"),"false"),B2,X393),X393))</f>
        <v>#VALUE!</v>
      </c>
      <c r="Y393" t="e">
        <f ca="1">IF((A1)=(2),1,IF((390)=(Y3),IF(IF((INDEX(B1:XFD1,(A2)+(0)))=("store"),(INDEX(B1:XFD1,(A2)+(1)))=("Y"),"false"),B2,Y393),Y393))</f>
        <v>#VALUE!</v>
      </c>
      <c r="Z393" t="e">
        <f ca="1">IF((A1)=(2),1,IF((390)=(Z3),IF(IF((INDEX(B1:XFD1,(A2)+(0)))=("store"),(INDEX(B1:XFD1,(A2)+(1)))=("Z"),"false"),B2,Z393),Z393))</f>
        <v>#VALUE!</v>
      </c>
      <c r="AA393" t="e">
        <f ca="1">IF((A1)=(2),1,IF((390)=(AA3),IF(IF((INDEX(B1:XFD1,(A2)+(0)))=("store"),(INDEX(B1:XFD1,(A2)+(1)))=("AA"),"false"),B2,AA393),AA393))</f>
        <v>#VALUE!</v>
      </c>
      <c r="AB393" t="e">
        <f ca="1">IF((A1)=(2),1,IF((390)=(AB3),IF(IF((INDEX(B1:XFD1,(A2)+(0)))=("store"),(INDEX(B1:XFD1,(A2)+(1)))=("AB"),"false"),B2,AB393),AB393))</f>
        <v>#VALUE!</v>
      </c>
      <c r="AC393" t="e">
        <f ca="1">IF((A1)=(2),1,IF((390)=(AC3),IF(IF((INDEX(B1:XFD1,(A2)+(0)))=("store"),(INDEX(B1:XFD1,(A2)+(1)))=("AC"),"false"),B2,AC393),AC393))</f>
        <v>#VALUE!</v>
      </c>
      <c r="AD393" t="e">
        <f ca="1">IF((A1)=(2),1,IF((390)=(AD3),IF(IF((INDEX(B1:XFD1,(A2)+(0)))=("store"),(INDEX(B1:XFD1,(A2)+(1)))=("AD"),"false"),B2,AD393),AD393))</f>
        <v>#VALUE!</v>
      </c>
    </row>
    <row r="394" spans="1:30" x14ac:dyDescent="0.25">
      <c r="A394" t="e">
        <f ca="1">IF((A1)=(2),1,IF((391)=(A3),IF(("call")=(INDEX(B1:XFD1,(A2)+(0))),((B2)*(2))+(1),IF(("goto")=(INDEX(B1:XFD1,(A2)+(0))),((INDEX(B1:XFD1,(A2)+(1)))*(2))+(1),IF(("gotoiftrue")=(INDEX(B1:XFD1,(A2)+(0))),IF(B2,((INDEX(B1:XFD1,(A2)+(1)))*(2))+(1),(A394)+(2)),(A394)+(2)))),A394))</f>
        <v>#VALUE!</v>
      </c>
      <c r="B394" t="e">
        <f ca="1">IF((A1)=(2),1,IF((391)=(B3),IF(("push")=(INDEX(B1:XFD1,(A2)+(0))),INDEX(B1:XFD1,(A2)+(1)),IF(("load")=(INDEX(B1:XFD1,(A2)+(0))),INDEX(F2:XFD2,INDEX(B1:XFD1,(A2)+(1))),IF(("newheap")=(INDEX(B1:XFD1,(A2)+(0))),(C3)-(2),IF(("getheap")=(INDEX(B1:XFD1,(A2)+(0))),INDEX(C4:C404,(B394)+(1)),IF(("add")=(INDEX(B1:XFD1,(A2)+(0))),(INDEX(B4:B404,(B3)+(1)))+(B394),IF(("equals")=(INDEX(B1:XFD1,(A2)+(0))),(INDEX(B4:B404,(B3)+(1)))=(B394),IF(("leq")=(INDEX(B1:XFD1,(A2)+(0))),(INDEX(B4:B404,(B3)+(1)))&lt;=(B394),IF(("mod")=(INDEX(B1:XFD1,(A2)+(0))),MOD(INDEX(B4:B404,(B3)+(1)),B394),B394)))))))),B394))</f>
        <v>#VALUE!</v>
      </c>
      <c r="C394" t="e">
        <f ca="1">IF((A1)=(2),1,IF(AND((INDEX(B1:XFD1,(A2)+(0)))=("writeheap"),(INDEX(B4:B404,(B3)+(1)))=(390)),INDEX(B4:B404,(B3)+(2)),IF((A1)=(2),1,IF((391)=(C3),C394,C394))))</f>
        <v>#VALUE!</v>
      </c>
      <c r="E394" t="e">
        <f ca="1">IF((A1)=(2),1,IF((391)=(E3),IF(("outputline")=(INDEX(B1:XFD1,(A2)+(0))),B2,E394),E394))</f>
        <v>#VALUE!</v>
      </c>
      <c r="F394" t="e">
        <f ca="1">IF((A1)=(2),1,IF((391)=(F3),IF(IF((INDEX(B1:XFD1,(A2)+(0)))=("store"),(INDEX(B1:XFD1,(A2)+(1)))=("F"),"false"),B2,F394),F394))</f>
        <v>#VALUE!</v>
      </c>
      <c r="G394" t="e">
        <f ca="1">IF((A1)=(2),1,IF((391)=(G3),IF(IF((INDEX(B1:XFD1,(A2)+(0)))=("store"),(INDEX(B1:XFD1,(A2)+(1)))=("G"),"false"),B2,G394),G394))</f>
        <v>#VALUE!</v>
      </c>
      <c r="H394" t="e">
        <f ca="1">IF((A1)=(2),1,IF((391)=(H3),IF(IF((INDEX(B1:XFD1,(A2)+(0)))=("store"),(INDEX(B1:XFD1,(A2)+(1)))=("H"),"false"),B2,H394),H394))</f>
        <v>#VALUE!</v>
      </c>
      <c r="I394" t="e">
        <f ca="1">IF((A1)=(2),1,IF((391)=(I3),IF(IF((INDEX(B1:XFD1,(A2)+(0)))=("store"),(INDEX(B1:XFD1,(A2)+(1)))=("I"),"false"),B2,I394),I394))</f>
        <v>#VALUE!</v>
      </c>
      <c r="J394" t="e">
        <f ca="1">IF((A1)=(2),1,IF((391)=(J3),IF(IF((INDEX(B1:XFD1,(A2)+(0)))=("store"),(INDEX(B1:XFD1,(A2)+(1)))=("J"),"false"),B2,J394),J394))</f>
        <v>#VALUE!</v>
      </c>
      <c r="K394" t="e">
        <f ca="1">IF((A1)=(2),1,IF((391)=(K3),IF(IF((INDEX(B1:XFD1,(A2)+(0)))=("store"),(INDEX(B1:XFD1,(A2)+(1)))=("K"),"false"),B2,K394),K394))</f>
        <v>#VALUE!</v>
      </c>
      <c r="L394" t="e">
        <f ca="1">IF((A1)=(2),1,IF((391)=(L3),IF(IF((INDEX(B1:XFD1,(A2)+(0)))=("store"),(INDEX(B1:XFD1,(A2)+(1)))=("L"),"false"),B2,L394),L394))</f>
        <v>#VALUE!</v>
      </c>
      <c r="M394" t="e">
        <f ca="1">IF((A1)=(2),1,IF((391)=(M3),IF(IF((INDEX(B1:XFD1,(A2)+(0)))=("store"),(INDEX(B1:XFD1,(A2)+(1)))=("M"),"false"),B2,M394),M394))</f>
        <v>#VALUE!</v>
      </c>
      <c r="N394" t="e">
        <f ca="1">IF((A1)=(2),1,IF((391)=(N3),IF(IF((INDEX(B1:XFD1,(A2)+(0)))=("store"),(INDEX(B1:XFD1,(A2)+(1)))=("N"),"false"),B2,N394),N394))</f>
        <v>#VALUE!</v>
      </c>
      <c r="O394" t="e">
        <f ca="1">IF((A1)=(2),1,IF((391)=(O3),IF(IF((INDEX(B1:XFD1,(A2)+(0)))=("store"),(INDEX(B1:XFD1,(A2)+(1)))=("O"),"false"),B2,O394),O394))</f>
        <v>#VALUE!</v>
      </c>
      <c r="P394" t="e">
        <f ca="1">IF((A1)=(2),1,IF((391)=(P3),IF(IF((INDEX(B1:XFD1,(A2)+(0)))=("store"),(INDEX(B1:XFD1,(A2)+(1)))=("P"),"false"),B2,P394),P394))</f>
        <v>#VALUE!</v>
      </c>
      <c r="Q394" t="e">
        <f ca="1">IF((A1)=(2),1,IF((391)=(Q3),IF(IF((INDEX(B1:XFD1,(A2)+(0)))=("store"),(INDEX(B1:XFD1,(A2)+(1)))=("Q"),"false"),B2,Q394),Q394))</f>
        <v>#VALUE!</v>
      </c>
      <c r="R394" t="e">
        <f ca="1">IF((A1)=(2),1,IF((391)=(R3),IF(IF((INDEX(B1:XFD1,(A2)+(0)))=("store"),(INDEX(B1:XFD1,(A2)+(1)))=("R"),"false"),B2,R394),R394))</f>
        <v>#VALUE!</v>
      </c>
      <c r="S394" t="e">
        <f ca="1">IF((A1)=(2),1,IF((391)=(S3),IF(IF((INDEX(B1:XFD1,(A2)+(0)))=("store"),(INDEX(B1:XFD1,(A2)+(1)))=("S"),"false"),B2,S394),S394))</f>
        <v>#VALUE!</v>
      </c>
      <c r="T394" t="e">
        <f ca="1">IF((A1)=(2),1,IF((391)=(T3),IF(IF((INDEX(B1:XFD1,(A2)+(0)))=("store"),(INDEX(B1:XFD1,(A2)+(1)))=("T"),"false"),B2,T394),T394))</f>
        <v>#VALUE!</v>
      </c>
      <c r="U394" t="e">
        <f ca="1">IF((A1)=(2),1,IF((391)=(U3),IF(IF((INDEX(B1:XFD1,(A2)+(0)))=("store"),(INDEX(B1:XFD1,(A2)+(1)))=("U"),"false"),B2,U394),U394))</f>
        <v>#VALUE!</v>
      </c>
      <c r="V394" t="e">
        <f ca="1">IF((A1)=(2),1,IF((391)=(V3),IF(IF((INDEX(B1:XFD1,(A2)+(0)))=("store"),(INDEX(B1:XFD1,(A2)+(1)))=("V"),"false"),B2,V394),V394))</f>
        <v>#VALUE!</v>
      </c>
      <c r="W394" t="e">
        <f ca="1">IF((A1)=(2),1,IF((391)=(W3),IF(IF((INDEX(B1:XFD1,(A2)+(0)))=("store"),(INDEX(B1:XFD1,(A2)+(1)))=("W"),"false"),B2,W394),W394))</f>
        <v>#VALUE!</v>
      </c>
      <c r="X394" t="e">
        <f ca="1">IF((A1)=(2),1,IF((391)=(X3),IF(IF((INDEX(B1:XFD1,(A2)+(0)))=("store"),(INDEX(B1:XFD1,(A2)+(1)))=("X"),"false"),B2,X394),X394))</f>
        <v>#VALUE!</v>
      </c>
      <c r="Y394" t="e">
        <f ca="1">IF((A1)=(2),1,IF((391)=(Y3),IF(IF((INDEX(B1:XFD1,(A2)+(0)))=("store"),(INDEX(B1:XFD1,(A2)+(1)))=("Y"),"false"),B2,Y394),Y394))</f>
        <v>#VALUE!</v>
      </c>
      <c r="Z394" t="e">
        <f ca="1">IF((A1)=(2),1,IF((391)=(Z3),IF(IF((INDEX(B1:XFD1,(A2)+(0)))=("store"),(INDEX(B1:XFD1,(A2)+(1)))=("Z"),"false"),B2,Z394),Z394))</f>
        <v>#VALUE!</v>
      </c>
      <c r="AA394" t="e">
        <f ca="1">IF((A1)=(2),1,IF((391)=(AA3),IF(IF((INDEX(B1:XFD1,(A2)+(0)))=("store"),(INDEX(B1:XFD1,(A2)+(1)))=("AA"),"false"),B2,AA394),AA394))</f>
        <v>#VALUE!</v>
      </c>
      <c r="AB394" t="e">
        <f ca="1">IF((A1)=(2),1,IF((391)=(AB3),IF(IF((INDEX(B1:XFD1,(A2)+(0)))=("store"),(INDEX(B1:XFD1,(A2)+(1)))=("AB"),"false"),B2,AB394),AB394))</f>
        <v>#VALUE!</v>
      </c>
      <c r="AC394" t="e">
        <f ca="1">IF((A1)=(2),1,IF((391)=(AC3),IF(IF((INDEX(B1:XFD1,(A2)+(0)))=("store"),(INDEX(B1:XFD1,(A2)+(1)))=("AC"),"false"),B2,AC394),AC394))</f>
        <v>#VALUE!</v>
      </c>
      <c r="AD394" t="e">
        <f ca="1">IF((A1)=(2),1,IF((391)=(AD3),IF(IF((INDEX(B1:XFD1,(A2)+(0)))=("store"),(INDEX(B1:XFD1,(A2)+(1)))=("AD"),"false"),B2,AD394),AD394))</f>
        <v>#VALUE!</v>
      </c>
    </row>
    <row r="395" spans="1:30" x14ac:dyDescent="0.25">
      <c r="A395" t="e">
        <f ca="1">IF((A1)=(2),1,IF((392)=(A3),IF(("call")=(INDEX(B1:XFD1,(A2)+(0))),((B2)*(2))+(1),IF(("goto")=(INDEX(B1:XFD1,(A2)+(0))),((INDEX(B1:XFD1,(A2)+(1)))*(2))+(1),IF(("gotoiftrue")=(INDEX(B1:XFD1,(A2)+(0))),IF(B2,((INDEX(B1:XFD1,(A2)+(1)))*(2))+(1),(A395)+(2)),(A395)+(2)))),A395))</f>
        <v>#VALUE!</v>
      </c>
      <c r="B395" t="e">
        <f ca="1">IF((A1)=(2),1,IF((392)=(B3),IF(("push")=(INDEX(B1:XFD1,(A2)+(0))),INDEX(B1:XFD1,(A2)+(1)),IF(("load")=(INDEX(B1:XFD1,(A2)+(0))),INDEX(F2:XFD2,INDEX(B1:XFD1,(A2)+(1))),IF(("newheap")=(INDEX(B1:XFD1,(A2)+(0))),(C3)-(2),IF(("getheap")=(INDEX(B1:XFD1,(A2)+(0))),INDEX(C4:C404,(B395)+(1)),IF(("add")=(INDEX(B1:XFD1,(A2)+(0))),(INDEX(B4:B404,(B3)+(1)))+(B395),IF(("equals")=(INDEX(B1:XFD1,(A2)+(0))),(INDEX(B4:B404,(B3)+(1)))=(B395),IF(("leq")=(INDEX(B1:XFD1,(A2)+(0))),(INDEX(B4:B404,(B3)+(1)))&lt;=(B395),IF(("mod")=(INDEX(B1:XFD1,(A2)+(0))),MOD(INDEX(B4:B404,(B3)+(1)),B395),B395)))))))),B395))</f>
        <v>#VALUE!</v>
      </c>
      <c r="C395" t="e">
        <f ca="1">IF((A1)=(2),1,IF(AND((INDEX(B1:XFD1,(A2)+(0)))=("writeheap"),(INDEX(B4:B404,(B3)+(1)))=(391)),INDEX(B4:B404,(B3)+(2)),IF((A1)=(2),1,IF((392)=(C3),C395,C395))))</f>
        <v>#VALUE!</v>
      </c>
      <c r="E395" t="e">
        <f ca="1">IF((A1)=(2),1,IF((392)=(E3),IF(("outputline")=(INDEX(B1:XFD1,(A2)+(0))),B2,E395),E395))</f>
        <v>#VALUE!</v>
      </c>
      <c r="F395" t="e">
        <f ca="1">IF((A1)=(2),1,IF((392)=(F3),IF(IF((INDEX(B1:XFD1,(A2)+(0)))=("store"),(INDEX(B1:XFD1,(A2)+(1)))=("F"),"false"),B2,F395),F395))</f>
        <v>#VALUE!</v>
      </c>
      <c r="G395" t="e">
        <f ca="1">IF((A1)=(2),1,IF((392)=(G3),IF(IF((INDEX(B1:XFD1,(A2)+(0)))=("store"),(INDEX(B1:XFD1,(A2)+(1)))=("G"),"false"),B2,G395),G395))</f>
        <v>#VALUE!</v>
      </c>
      <c r="H395" t="e">
        <f ca="1">IF((A1)=(2),1,IF((392)=(H3),IF(IF((INDEX(B1:XFD1,(A2)+(0)))=("store"),(INDEX(B1:XFD1,(A2)+(1)))=("H"),"false"),B2,H395),H395))</f>
        <v>#VALUE!</v>
      </c>
      <c r="I395" t="e">
        <f ca="1">IF((A1)=(2),1,IF((392)=(I3),IF(IF((INDEX(B1:XFD1,(A2)+(0)))=("store"),(INDEX(B1:XFD1,(A2)+(1)))=("I"),"false"),B2,I395),I395))</f>
        <v>#VALUE!</v>
      </c>
      <c r="J395" t="e">
        <f ca="1">IF((A1)=(2),1,IF((392)=(J3),IF(IF((INDEX(B1:XFD1,(A2)+(0)))=("store"),(INDEX(B1:XFD1,(A2)+(1)))=("J"),"false"),B2,J395),J395))</f>
        <v>#VALUE!</v>
      </c>
      <c r="K395" t="e">
        <f ca="1">IF((A1)=(2),1,IF((392)=(K3),IF(IF((INDEX(B1:XFD1,(A2)+(0)))=("store"),(INDEX(B1:XFD1,(A2)+(1)))=("K"),"false"),B2,K395),K395))</f>
        <v>#VALUE!</v>
      </c>
      <c r="L395" t="e">
        <f ca="1">IF((A1)=(2),1,IF((392)=(L3),IF(IF((INDEX(B1:XFD1,(A2)+(0)))=("store"),(INDEX(B1:XFD1,(A2)+(1)))=("L"),"false"),B2,L395),L395))</f>
        <v>#VALUE!</v>
      </c>
      <c r="M395" t="e">
        <f ca="1">IF((A1)=(2),1,IF((392)=(M3),IF(IF((INDEX(B1:XFD1,(A2)+(0)))=("store"),(INDEX(B1:XFD1,(A2)+(1)))=("M"),"false"),B2,M395),M395))</f>
        <v>#VALUE!</v>
      </c>
      <c r="N395" t="e">
        <f ca="1">IF((A1)=(2),1,IF((392)=(N3),IF(IF((INDEX(B1:XFD1,(A2)+(0)))=("store"),(INDEX(B1:XFD1,(A2)+(1)))=("N"),"false"),B2,N395),N395))</f>
        <v>#VALUE!</v>
      </c>
      <c r="O395" t="e">
        <f ca="1">IF((A1)=(2),1,IF((392)=(O3),IF(IF((INDEX(B1:XFD1,(A2)+(0)))=("store"),(INDEX(B1:XFD1,(A2)+(1)))=("O"),"false"),B2,O395),O395))</f>
        <v>#VALUE!</v>
      </c>
      <c r="P395" t="e">
        <f ca="1">IF((A1)=(2),1,IF((392)=(P3),IF(IF((INDEX(B1:XFD1,(A2)+(0)))=("store"),(INDEX(B1:XFD1,(A2)+(1)))=("P"),"false"),B2,P395),P395))</f>
        <v>#VALUE!</v>
      </c>
      <c r="Q395" t="e">
        <f ca="1">IF((A1)=(2),1,IF((392)=(Q3),IF(IF((INDEX(B1:XFD1,(A2)+(0)))=("store"),(INDEX(B1:XFD1,(A2)+(1)))=("Q"),"false"),B2,Q395),Q395))</f>
        <v>#VALUE!</v>
      </c>
      <c r="R395" t="e">
        <f ca="1">IF((A1)=(2),1,IF((392)=(R3),IF(IF((INDEX(B1:XFD1,(A2)+(0)))=("store"),(INDEX(B1:XFD1,(A2)+(1)))=("R"),"false"),B2,R395),R395))</f>
        <v>#VALUE!</v>
      </c>
      <c r="S395" t="e">
        <f ca="1">IF((A1)=(2),1,IF((392)=(S3),IF(IF((INDEX(B1:XFD1,(A2)+(0)))=("store"),(INDEX(B1:XFD1,(A2)+(1)))=("S"),"false"),B2,S395),S395))</f>
        <v>#VALUE!</v>
      </c>
      <c r="T395" t="e">
        <f ca="1">IF((A1)=(2),1,IF((392)=(T3),IF(IF((INDEX(B1:XFD1,(A2)+(0)))=("store"),(INDEX(B1:XFD1,(A2)+(1)))=("T"),"false"),B2,T395),T395))</f>
        <v>#VALUE!</v>
      </c>
      <c r="U395" t="e">
        <f ca="1">IF((A1)=(2),1,IF((392)=(U3),IF(IF((INDEX(B1:XFD1,(A2)+(0)))=("store"),(INDEX(B1:XFD1,(A2)+(1)))=("U"),"false"),B2,U395),U395))</f>
        <v>#VALUE!</v>
      </c>
      <c r="V395" t="e">
        <f ca="1">IF((A1)=(2),1,IF((392)=(V3),IF(IF((INDEX(B1:XFD1,(A2)+(0)))=("store"),(INDEX(B1:XFD1,(A2)+(1)))=("V"),"false"),B2,V395),V395))</f>
        <v>#VALUE!</v>
      </c>
      <c r="W395" t="e">
        <f ca="1">IF((A1)=(2),1,IF((392)=(W3),IF(IF((INDEX(B1:XFD1,(A2)+(0)))=("store"),(INDEX(B1:XFD1,(A2)+(1)))=("W"),"false"),B2,W395),W395))</f>
        <v>#VALUE!</v>
      </c>
      <c r="X395" t="e">
        <f ca="1">IF((A1)=(2),1,IF((392)=(X3),IF(IF((INDEX(B1:XFD1,(A2)+(0)))=("store"),(INDEX(B1:XFD1,(A2)+(1)))=("X"),"false"),B2,X395),X395))</f>
        <v>#VALUE!</v>
      </c>
      <c r="Y395" t="e">
        <f ca="1">IF((A1)=(2),1,IF((392)=(Y3),IF(IF((INDEX(B1:XFD1,(A2)+(0)))=("store"),(INDEX(B1:XFD1,(A2)+(1)))=("Y"),"false"),B2,Y395),Y395))</f>
        <v>#VALUE!</v>
      </c>
      <c r="Z395" t="e">
        <f ca="1">IF((A1)=(2),1,IF((392)=(Z3),IF(IF((INDEX(B1:XFD1,(A2)+(0)))=("store"),(INDEX(B1:XFD1,(A2)+(1)))=("Z"),"false"),B2,Z395),Z395))</f>
        <v>#VALUE!</v>
      </c>
      <c r="AA395" t="e">
        <f ca="1">IF((A1)=(2),1,IF((392)=(AA3),IF(IF((INDEX(B1:XFD1,(A2)+(0)))=("store"),(INDEX(B1:XFD1,(A2)+(1)))=("AA"),"false"),B2,AA395),AA395))</f>
        <v>#VALUE!</v>
      </c>
      <c r="AB395" t="e">
        <f ca="1">IF((A1)=(2),1,IF((392)=(AB3),IF(IF((INDEX(B1:XFD1,(A2)+(0)))=("store"),(INDEX(B1:XFD1,(A2)+(1)))=("AB"),"false"),B2,AB395),AB395))</f>
        <v>#VALUE!</v>
      </c>
      <c r="AC395" t="e">
        <f ca="1">IF((A1)=(2),1,IF((392)=(AC3),IF(IF((INDEX(B1:XFD1,(A2)+(0)))=("store"),(INDEX(B1:XFD1,(A2)+(1)))=("AC"),"false"),B2,AC395),AC395))</f>
        <v>#VALUE!</v>
      </c>
      <c r="AD395" t="e">
        <f ca="1">IF((A1)=(2),1,IF((392)=(AD3),IF(IF((INDEX(B1:XFD1,(A2)+(0)))=("store"),(INDEX(B1:XFD1,(A2)+(1)))=("AD"),"false"),B2,AD395),AD395))</f>
        <v>#VALUE!</v>
      </c>
    </row>
    <row r="396" spans="1:30" x14ac:dyDescent="0.25">
      <c r="A396" t="e">
        <f ca="1">IF((A1)=(2),1,IF((393)=(A3),IF(("call")=(INDEX(B1:XFD1,(A2)+(0))),((B2)*(2))+(1),IF(("goto")=(INDEX(B1:XFD1,(A2)+(0))),((INDEX(B1:XFD1,(A2)+(1)))*(2))+(1),IF(("gotoiftrue")=(INDEX(B1:XFD1,(A2)+(0))),IF(B2,((INDEX(B1:XFD1,(A2)+(1)))*(2))+(1),(A396)+(2)),(A396)+(2)))),A396))</f>
        <v>#VALUE!</v>
      </c>
      <c r="B396" t="e">
        <f ca="1">IF((A1)=(2),1,IF((393)=(B3),IF(("push")=(INDEX(B1:XFD1,(A2)+(0))),INDEX(B1:XFD1,(A2)+(1)),IF(("load")=(INDEX(B1:XFD1,(A2)+(0))),INDEX(F2:XFD2,INDEX(B1:XFD1,(A2)+(1))),IF(("newheap")=(INDEX(B1:XFD1,(A2)+(0))),(C3)-(2),IF(("getheap")=(INDEX(B1:XFD1,(A2)+(0))),INDEX(C4:C404,(B396)+(1)),IF(("add")=(INDEX(B1:XFD1,(A2)+(0))),(INDEX(B4:B404,(B3)+(1)))+(B396),IF(("equals")=(INDEX(B1:XFD1,(A2)+(0))),(INDEX(B4:B404,(B3)+(1)))=(B396),IF(("leq")=(INDEX(B1:XFD1,(A2)+(0))),(INDEX(B4:B404,(B3)+(1)))&lt;=(B396),IF(("mod")=(INDEX(B1:XFD1,(A2)+(0))),MOD(INDEX(B4:B404,(B3)+(1)),B396),B396)))))))),B396))</f>
        <v>#VALUE!</v>
      </c>
      <c r="C396" t="e">
        <f ca="1">IF((A1)=(2),1,IF(AND((INDEX(B1:XFD1,(A2)+(0)))=("writeheap"),(INDEX(B4:B404,(B3)+(1)))=(392)),INDEX(B4:B404,(B3)+(2)),IF((A1)=(2),1,IF((393)=(C3),C396,C396))))</f>
        <v>#VALUE!</v>
      </c>
      <c r="E396" t="e">
        <f ca="1">IF((A1)=(2),1,IF((393)=(E3),IF(("outputline")=(INDEX(B1:XFD1,(A2)+(0))),B2,E396),E396))</f>
        <v>#VALUE!</v>
      </c>
      <c r="F396" t="e">
        <f ca="1">IF((A1)=(2),1,IF((393)=(F3),IF(IF((INDEX(B1:XFD1,(A2)+(0)))=("store"),(INDEX(B1:XFD1,(A2)+(1)))=("F"),"false"),B2,F396),F396))</f>
        <v>#VALUE!</v>
      </c>
      <c r="G396" t="e">
        <f ca="1">IF((A1)=(2),1,IF((393)=(G3),IF(IF((INDEX(B1:XFD1,(A2)+(0)))=("store"),(INDEX(B1:XFD1,(A2)+(1)))=("G"),"false"),B2,G396),G396))</f>
        <v>#VALUE!</v>
      </c>
      <c r="H396" t="e">
        <f ca="1">IF((A1)=(2),1,IF((393)=(H3),IF(IF((INDEX(B1:XFD1,(A2)+(0)))=("store"),(INDEX(B1:XFD1,(A2)+(1)))=("H"),"false"),B2,H396),H396))</f>
        <v>#VALUE!</v>
      </c>
      <c r="I396" t="e">
        <f ca="1">IF((A1)=(2),1,IF((393)=(I3),IF(IF((INDEX(B1:XFD1,(A2)+(0)))=("store"),(INDEX(B1:XFD1,(A2)+(1)))=("I"),"false"),B2,I396),I396))</f>
        <v>#VALUE!</v>
      </c>
      <c r="J396" t="e">
        <f ca="1">IF((A1)=(2),1,IF((393)=(J3),IF(IF((INDEX(B1:XFD1,(A2)+(0)))=("store"),(INDEX(B1:XFD1,(A2)+(1)))=("J"),"false"),B2,J396),J396))</f>
        <v>#VALUE!</v>
      </c>
      <c r="K396" t="e">
        <f ca="1">IF((A1)=(2),1,IF((393)=(K3),IF(IF((INDEX(B1:XFD1,(A2)+(0)))=("store"),(INDEX(B1:XFD1,(A2)+(1)))=("K"),"false"),B2,K396),K396))</f>
        <v>#VALUE!</v>
      </c>
      <c r="L396" t="e">
        <f ca="1">IF((A1)=(2),1,IF((393)=(L3),IF(IF((INDEX(B1:XFD1,(A2)+(0)))=("store"),(INDEX(B1:XFD1,(A2)+(1)))=("L"),"false"),B2,L396),L396))</f>
        <v>#VALUE!</v>
      </c>
      <c r="M396" t="e">
        <f ca="1">IF((A1)=(2),1,IF((393)=(M3),IF(IF((INDEX(B1:XFD1,(A2)+(0)))=("store"),(INDEX(B1:XFD1,(A2)+(1)))=("M"),"false"),B2,M396),M396))</f>
        <v>#VALUE!</v>
      </c>
      <c r="N396" t="e">
        <f ca="1">IF((A1)=(2),1,IF((393)=(N3),IF(IF((INDEX(B1:XFD1,(A2)+(0)))=("store"),(INDEX(B1:XFD1,(A2)+(1)))=("N"),"false"),B2,N396),N396))</f>
        <v>#VALUE!</v>
      </c>
      <c r="O396" t="e">
        <f ca="1">IF((A1)=(2),1,IF((393)=(O3),IF(IF((INDEX(B1:XFD1,(A2)+(0)))=("store"),(INDEX(B1:XFD1,(A2)+(1)))=("O"),"false"),B2,O396),O396))</f>
        <v>#VALUE!</v>
      </c>
      <c r="P396" t="e">
        <f ca="1">IF((A1)=(2),1,IF((393)=(P3),IF(IF((INDEX(B1:XFD1,(A2)+(0)))=("store"),(INDEX(B1:XFD1,(A2)+(1)))=("P"),"false"),B2,P396),P396))</f>
        <v>#VALUE!</v>
      </c>
      <c r="Q396" t="e">
        <f ca="1">IF((A1)=(2),1,IF((393)=(Q3),IF(IF((INDEX(B1:XFD1,(A2)+(0)))=("store"),(INDEX(B1:XFD1,(A2)+(1)))=("Q"),"false"),B2,Q396),Q396))</f>
        <v>#VALUE!</v>
      </c>
      <c r="R396" t="e">
        <f ca="1">IF((A1)=(2),1,IF((393)=(R3),IF(IF((INDEX(B1:XFD1,(A2)+(0)))=("store"),(INDEX(B1:XFD1,(A2)+(1)))=("R"),"false"),B2,R396),R396))</f>
        <v>#VALUE!</v>
      </c>
      <c r="S396" t="e">
        <f ca="1">IF((A1)=(2),1,IF((393)=(S3),IF(IF((INDEX(B1:XFD1,(A2)+(0)))=("store"),(INDEX(B1:XFD1,(A2)+(1)))=("S"),"false"),B2,S396),S396))</f>
        <v>#VALUE!</v>
      </c>
      <c r="T396" t="e">
        <f ca="1">IF((A1)=(2),1,IF((393)=(T3),IF(IF((INDEX(B1:XFD1,(A2)+(0)))=("store"),(INDEX(B1:XFD1,(A2)+(1)))=("T"),"false"),B2,T396),T396))</f>
        <v>#VALUE!</v>
      </c>
      <c r="U396" t="e">
        <f ca="1">IF((A1)=(2),1,IF((393)=(U3),IF(IF((INDEX(B1:XFD1,(A2)+(0)))=("store"),(INDEX(B1:XFD1,(A2)+(1)))=("U"),"false"),B2,U396),U396))</f>
        <v>#VALUE!</v>
      </c>
      <c r="V396" t="e">
        <f ca="1">IF((A1)=(2),1,IF((393)=(V3),IF(IF((INDEX(B1:XFD1,(A2)+(0)))=("store"),(INDEX(B1:XFD1,(A2)+(1)))=("V"),"false"),B2,V396),V396))</f>
        <v>#VALUE!</v>
      </c>
      <c r="W396" t="e">
        <f ca="1">IF((A1)=(2),1,IF((393)=(W3),IF(IF((INDEX(B1:XFD1,(A2)+(0)))=("store"),(INDEX(B1:XFD1,(A2)+(1)))=("W"),"false"),B2,W396),W396))</f>
        <v>#VALUE!</v>
      </c>
      <c r="X396" t="e">
        <f ca="1">IF((A1)=(2),1,IF((393)=(X3),IF(IF((INDEX(B1:XFD1,(A2)+(0)))=("store"),(INDEX(B1:XFD1,(A2)+(1)))=("X"),"false"),B2,X396),X396))</f>
        <v>#VALUE!</v>
      </c>
      <c r="Y396" t="e">
        <f ca="1">IF((A1)=(2),1,IF((393)=(Y3),IF(IF((INDEX(B1:XFD1,(A2)+(0)))=("store"),(INDEX(B1:XFD1,(A2)+(1)))=("Y"),"false"),B2,Y396),Y396))</f>
        <v>#VALUE!</v>
      </c>
      <c r="Z396" t="e">
        <f ca="1">IF((A1)=(2),1,IF((393)=(Z3),IF(IF((INDEX(B1:XFD1,(A2)+(0)))=("store"),(INDEX(B1:XFD1,(A2)+(1)))=("Z"),"false"),B2,Z396),Z396))</f>
        <v>#VALUE!</v>
      </c>
      <c r="AA396" t="e">
        <f ca="1">IF((A1)=(2),1,IF((393)=(AA3),IF(IF((INDEX(B1:XFD1,(A2)+(0)))=("store"),(INDEX(B1:XFD1,(A2)+(1)))=("AA"),"false"),B2,AA396),AA396))</f>
        <v>#VALUE!</v>
      </c>
      <c r="AB396" t="e">
        <f ca="1">IF((A1)=(2),1,IF((393)=(AB3),IF(IF((INDEX(B1:XFD1,(A2)+(0)))=("store"),(INDEX(B1:XFD1,(A2)+(1)))=("AB"),"false"),B2,AB396),AB396))</f>
        <v>#VALUE!</v>
      </c>
      <c r="AC396" t="e">
        <f ca="1">IF((A1)=(2),1,IF((393)=(AC3),IF(IF((INDEX(B1:XFD1,(A2)+(0)))=("store"),(INDEX(B1:XFD1,(A2)+(1)))=("AC"),"false"),B2,AC396),AC396))</f>
        <v>#VALUE!</v>
      </c>
      <c r="AD396" t="e">
        <f ca="1">IF((A1)=(2),1,IF((393)=(AD3),IF(IF((INDEX(B1:XFD1,(A2)+(0)))=("store"),(INDEX(B1:XFD1,(A2)+(1)))=("AD"),"false"),B2,AD396),AD396))</f>
        <v>#VALUE!</v>
      </c>
    </row>
    <row r="397" spans="1:30" x14ac:dyDescent="0.25">
      <c r="A397" t="e">
        <f ca="1">IF((A1)=(2),1,IF((394)=(A3),IF(("call")=(INDEX(B1:XFD1,(A2)+(0))),((B2)*(2))+(1),IF(("goto")=(INDEX(B1:XFD1,(A2)+(0))),((INDEX(B1:XFD1,(A2)+(1)))*(2))+(1),IF(("gotoiftrue")=(INDEX(B1:XFD1,(A2)+(0))),IF(B2,((INDEX(B1:XFD1,(A2)+(1)))*(2))+(1),(A397)+(2)),(A397)+(2)))),A397))</f>
        <v>#VALUE!</v>
      </c>
      <c r="B397" t="e">
        <f ca="1">IF((A1)=(2),1,IF((394)=(B3),IF(("push")=(INDEX(B1:XFD1,(A2)+(0))),INDEX(B1:XFD1,(A2)+(1)),IF(("load")=(INDEX(B1:XFD1,(A2)+(0))),INDEX(F2:XFD2,INDEX(B1:XFD1,(A2)+(1))),IF(("newheap")=(INDEX(B1:XFD1,(A2)+(0))),(C3)-(2),IF(("getheap")=(INDEX(B1:XFD1,(A2)+(0))),INDEX(C4:C404,(B397)+(1)),IF(("add")=(INDEX(B1:XFD1,(A2)+(0))),(INDEX(B4:B404,(B3)+(1)))+(B397),IF(("equals")=(INDEX(B1:XFD1,(A2)+(0))),(INDEX(B4:B404,(B3)+(1)))=(B397),IF(("leq")=(INDEX(B1:XFD1,(A2)+(0))),(INDEX(B4:B404,(B3)+(1)))&lt;=(B397),IF(("mod")=(INDEX(B1:XFD1,(A2)+(0))),MOD(INDEX(B4:B404,(B3)+(1)),B397),B397)))))))),B397))</f>
        <v>#VALUE!</v>
      </c>
      <c r="C397" t="e">
        <f ca="1">IF((A1)=(2),1,IF(AND((INDEX(B1:XFD1,(A2)+(0)))=("writeheap"),(INDEX(B4:B404,(B3)+(1)))=(393)),INDEX(B4:B404,(B3)+(2)),IF((A1)=(2),1,IF((394)=(C3),C397,C397))))</f>
        <v>#VALUE!</v>
      </c>
      <c r="E397" t="e">
        <f ca="1">IF((A1)=(2),1,IF((394)=(E3),IF(("outputline")=(INDEX(B1:XFD1,(A2)+(0))),B2,E397),E397))</f>
        <v>#VALUE!</v>
      </c>
      <c r="F397" t="e">
        <f ca="1">IF((A1)=(2),1,IF((394)=(F3),IF(IF((INDEX(B1:XFD1,(A2)+(0)))=("store"),(INDEX(B1:XFD1,(A2)+(1)))=("F"),"false"),B2,F397),F397))</f>
        <v>#VALUE!</v>
      </c>
      <c r="G397" t="e">
        <f ca="1">IF((A1)=(2),1,IF((394)=(G3),IF(IF((INDEX(B1:XFD1,(A2)+(0)))=("store"),(INDEX(B1:XFD1,(A2)+(1)))=("G"),"false"),B2,G397),G397))</f>
        <v>#VALUE!</v>
      </c>
      <c r="H397" t="e">
        <f ca="1">IF((A1)=(2),1,IF((394)=(H3),IF(IF((INDEX(B1:XFD1,(A2)+(0)))=("store"),(INDEX(B1:XFD1,(A2)+(1)))=("H"),"false"),B2,H397),H397))</f>
        <v>#VALUE!</v>
      </c>
      <c r="I397" t="e">
        <f ca="1">IF((A1)=(2),1,IF((394)=(I3),IF(IF((INDEX(B1:XFD1,(A2)+(0)))=("store"),(INDEX(B1:XFD1,(A2)+(1)))=("I"),"false"),B2,I397),I397))</f>
        <v>#VALUE!</v>
      </c>
      <c r="J397" t="e">
        <f ca="1">IF((A1)=(2),1,IF((394)=(J3),IF(IF((INDEX(B1:XFD1,(A2)+(0)))=("store"),(INDEX(B1:XFD1,(A2)+(1)))=("J"),"false"),B2,J397),J397))</f>
        <v>#VALUE!</v>
      </c>
      <c r="K397" t="e">
        <f ca="1">IF((A1)=(2),1,IF((394)=(K3),IF(IF((INDEX(B1:XFD1,(A2)+(0)))=("store"),(INDEX(B1:XFD1,(A2)+(1)))=("K"),"false"),B2,K397),K397))</f>
        <v>#VALUE!</v>
      </c>
      <c r="L397" t="e">
        <f ca="1">IF((A1)=(2),1,IF((394)=(L3),IF(IF((INDEX(B1:XFD1,(A2)+(0)))=("store"),(INDEX(B1:XFD1,(A2)+(1)))=("L"),"false"),B2,L397),L397))</f>
        <v>#VALUE!</v>
      </c>
      <c r="M397" t="e">
        <f ca="1">IF((A1)=(2),1,IF((394)=(M3),IF(IF((INDEX(B1:XFD1,(A2)+(0)))=("store"),(INDEX(B1:XFD1,(A2)+(1)))=("M"),"false"),B2,M397),M397))</f>
        <v>#VALUE!</v>
      </c>
      <c r="N397" t="e">
        <f ca="1">IF((A1)=(2),1,IF((394)=(N3),IF(IF((INDEX(B1:XFD1,(A2)+(0)))=("store"),(INDEX(B1:XFD1,(A2)+(1)))=("N"),"false"),B2,N397),N397))</f>
        <v>#VALUE!</v>
      </c>
      <c r="O397" t="e">
        <f ca="1">IF((A1)=(2),1,IF((394)=(O3),IF(IF((INDEX(B1:XFD1,(A2)+(0)))=("store"),(INDEX(B1:XFD1,(A2)+(1)))=("O"),"false"),B2,O397),O397))</f>
        <v>#VALUE!</v>
      </c>
      <c r="P397" t="e">
        <f ca="1">IF((A1)=(2),1,IF((394)=(P3),IF(IF((INDEX(B1:XFD1,(A2)+(0)))=("store"),(INDEX(B1:XFD1,(A2)+(1)))=("P"),"false"),B2,P397),P397))</f>
        <v>#VALUE!</v>
      </c>
      <c r="Q397" t="e">
        <f ca="1">IF((A1)=(2),1,IF((394)=(Q3),IF(IF((INDEX(B1:XFD1,(A2)+(0)))=("store"),(INDEX(B1:XFD1,(A2)+(1)))=("Q"),"false"),B2,Q397),Q397))</f>
        <v>#VALUE!</v>
      </c>
      <c r="R397" t="e">
        <f ca="1">IF((A1)=(2),1,IF((394)=(R3),IF(IF((INDEX(B1:XFD1,(A2)+(0)))=("store"),(INDEX(B1:XFD1,(A2)+(1)))=("R"),"false"),B2,R397),R397))</f>
        <v>#VALUE!</v>
      </c>
      <c r="S397" t="e">
        <f ca="1">IF((A1)=(2),1,IF((394)=(S3),IF(IF((INDEX(B1:XFD1,(A2)+(0)))=("store"),(INDEX(B1:XFD1,(A2)+(1)))=("S"),"false"),B2,S397),S397))</f>
        <v>#VALUE!</v>
      </c>
      <c r="T397" t="e">
        <f ca="1">IF((A1)=(2),1,IF((394)=(T3),IF(IF((INDEX(B1:XFD1,(A2)+(0)))=("store"),(INDEX(B1:XFD1,(A2)+(1)))=("T"),"false"),B2,T397),T397))</f>
        <v>#VALUE!</v>
      </c>
      <c r="U397" t="e">
        <f ca="1">IF((A1)=(2),1,IF((394)=(U3),IF(IF((INDEX(B1:XFD1,(A2)+(0)))=("store"),(INDEX(B1:XFD1,(A2)+(1)))=("U"),"false"),B2,U397),U397))</f>
        <v>#VALUE!</v>
      </c>
      <c r="V397" t="e">
        <f ca="1">IF((A1)=(2),1,IF((394)=(V3),IF(IF((INDEX(B1:XFD1,(A2)+(0)))=("store"),(INDEX(B1:XFD1,(A2)+(1)))=("V"),"false"),B2,V397),V397))</f>
        <v>#VALUE!</v>
      </c>
      <c r="W397" t="e">
        <f ca="1">IF((A1)=(2),1,IF((394)=(W3),IF(IF((INDEX(B1:XFD1,(A2)+(0)))=("store"),(INDEX(B1:XFD1,(A2)+(1)))=("W"),"false"),B2,W397),W397))</f>
        <v>#VALUE!</v>
      </c>
      <c r="X397" t="e">
        <f ca="1">IF((A1)=(2),1,IF((394)=(X3),IF(IF((INDEX(B1:XFD1,(A2)+(0)))=("store"),(INDEX(B1:XFD1,(A2)+(1)))=("X"),"false"),B2,X397),X397))</f>
        <v>#VALUE!</v>
      </c>
      <c r="Y397" t="e">
        <f ca="1">IF((A1)=(2),1,IF((394)=(Y3),IF(IF((INDEX(B1:XFD1,(A2)+(0)))=("store"),(INDEX(B1:XFD1,(A2)+(1)))=("Y"),"false"),B2,Y397),Y397))</f>
        <v>#VALUE!</v>
      </c>
      <c r="Z397" t="e">
        <f ca="1">IF((A1)=(2),1,IF((394)=(Z3),IF(IF((INDEX(B1:XFD1,(A2)+(0)))=("store"),(INDEX(B1:XFD1,(A2)+(1)))=("Z"),"false"),B2,Z397),Z397))</f>
        <v>#VALUE!</v>
      </c>
      <c r="AA397" t="e">
        <f ca="1">IF((A1)=(2),1,IF((394)=(AA3),IF(IF((INDEX(B1:XFD1,(A2)+(0)))=("store"),(INDEX(B1:XFD1,(A2)+(1)))=("AA"),"false"),B2,AA397),AA397))</f>
        <v>#VALUE!</v>
      </c>
      <c r="AB397" t="e">
        <f ca="1">IF((A1)=(2),1,IF((394)=(AB3),IF(IF((INDEX(B1:XFD1,(A2)+(0)))=("store"),(INDEX(B1:XFD1,(A2)+(1)))=("AB"),"false"),B2,AB397),AB397))</f>
        <v>#VALUE!</v>
      </c>
      <c r="AC397" t="e">
        <f ca="1">IF((A1)=(2),1,IF((394)=(AC3),IF(IF((INDEX(B1:XFD1,(A2)+(0)))=("store"),(INDEX(B1:XFD1,(A2)+(1)))=("AC"),"false"),B2,AC397),AC397))</f>
        <v>#VALUE!</v>
      </c>
      <c r="AD397" t="e">
        <f ca="1">IF((A1)=(2),1,IF((394)=(AD3),IF(IF((INDEX(B1:XFD1,(A2)+(0)))=("store"),(INDEX(B1:XFD1,(A2)+(1)))=("AD"),"false"),B2,AD397),AD397))</f>
        <v>#VALUE!</v>
      </c>
    </row>
    <row r="398" spans="1:30" x14ac:dyDescent="0.25">
      <c r="A398" t="e">
        <f ca="1">IF((A1)=(2),1,IF((395)=(A3),IF(("call")=(INDEX(B1:XFD1,(A2)+(0))),((B2)*(2))+(1),IF(("goto")=(INDEX(B1:XFD1,(A2)+(0))),((INDEX(B1:XFD1,(A2)+(1)))*(2))+(1),IF(("gotoiftrue")=(INDEX(B1:XFD1,(A2)+(0))),IF(B2,((INDEX(B1:XFD1,(A2)+(1)))*(2))+(1),(A398)+(2)),(A398)+(2)))),A398))</f>
        <v>#VALUE!</v>
      </c>
      <c r="B398" t="e">
        <f ca="1">IF((A1)=(2),1,IF((395)=(B3),IF(("push")=(INDEX(B1:XFD1,(A2)+(0))),INDEX(B1:XFD1,(A2)+(1)),IF(("load")=(INDEX(B1:XFD1,(A2)+(0))),INDEX(F2:XFD2,INDEX(B1:XFD1,(A2)+(1))),IF(("newheap")=(INDEX(B1:XFD1,(A2)+(0))),(C3)-(2),IF(("getheap")=(INDEX(B1:XFD1,(A2)+(0))),INDEX(C4:C404,(B398)+(1)),IF(("add")=(INDEX(B1:XFD1,(A2)+(0))),(INDEX(B4:B404,(B3)+(1)))+(B398),IF(("equals")=(INDEX(B1:XFD1,(A2)+(0))),(INDEX(B4:B404,(B3)+(1)))=(B398),IF(("leq")=(INDEX(B1:XFD1,(A2)+(0))),(INDEX(B4:B404,(B3)+(1)))&lt;=(B398),IF(("mod")=(INDEX(B1:XFD1,(A2)+(0))),MOD(INDEX(B4:B404,(B3)+(1)),B398),B398)))))))),B398))</f>
        <v>#VALUE!</v>
      </c>
      <c r="C398" t="e">
        <f ca="1">IF((A1)=(2),1,IF(AND((INDEX(B1:XFD1,(A2)+(0)))=("writeheap"),(INDEX(B4:B404,(B3)+(1)))=(394)),INDEX(B4:B404,(B3)+(2)),IF((A1)=(2),1,IF((395)=(C3),C398,C398))))</f>
        <v>#VALUE!</v>
      </c>
      <c r="E398" t="e">
        <f ca="1">IF((A1)=(2),1,IF((395)=(E3),IF(("outputline")=(INDEX(B1:XFD1,(A2)+(0))),B2,E398),E398))</f>
        <v>#VALUE!</v>
      </c>
      <c r="F398" t="e">
        <f ca="1">IF((A1)=(2),1,IF((395)=(F3),IF(IF((INDEX(B1:XFD1,(A2)+(0)))=("store"),(INDEX(B1:XFD1,(A2)+(1)))=("F"),"false"),B2,F398),F398))</f>
        <v>#VALUE!</v>
      </c>
      <c r="G398" t="e">
        <f ca="1">IF((A1)=(2),1,IF((395)=(G3),IF(IF((INDEX(B1:XFD1,(A2)+(0)))=("store"),(INDEX(B1:XFD1,(A2)+(1)))=("G"),"false"),B2,G398),G398))</f>
        <v>#VALUE!</v>
      </c>
      <c r="H398" t="e">
        <f ca="1">IF((A1)=(2),1,IF((395)=(H3),IF(IF((INDEX(B1:XFD1,(A2)+(0)))=("store"),(INDEX(B1:XFD1,(A2)+(1)))=("H"),"false"),B2,H398),H398))</f>
        <v>#VALUE!</v>
      </c>
      <c r="I398" t="e">
        <f ca="1">IF((A1)=(2),1,IF((395)=(I3),IF(IF((INDEX(B1:XFD1,(A2)+(0)))=("store"),(INDEX(B1:XFD1,(A2)+(1)))=("I"),"false"),B2,I398),I398))</f>
        <v>#VALUE!</v>
      </c>
      <c r="J398" t="e">
        <f ca="1">IF((A1)=(2),1,IF((395)=(J3),IF(IF((INDEX(B1:XFD1,(A2)+(0)))=("store"),(INDEX(B1:XFD1,(A2)+(1)))=("J"),"false"),B2,J398),J398))</f>
        <v>#VALUE!</v>
      </c>
      <c r="K398" t="e">
        <f ca="1">IF((A1)=(2),1,IF((395)=(K3),IF(IF((INDEX(B1:XFD1,(A2)+(0)))=("store"),(INDEX(B1:XFD1,(A2)+(1)))=("K"),"false"),B2,K398),K398))</f>
        <v>#VALUE!</v>
      </c>
      <c r="L398" t="e">
        <f ca="1">IF((A1)=(2),1,IF((395)=(L3),IF(IF((INDEX(B1:XFD1,(A2)+(0)))=("store"),(INDEX(B1:XFD1,(A2)+(1)))=("L"),"false"),B2,L398),L398))</f>
        <v>#VALUE!</v>
      </c>
      <c r="M398" t="e">
        <f ca="1">IF((A1)=(2),1,IF((395)=(M3),IF(IF((INDEX(B1:XFD1,(A2)+(0)))=("store"),(INDEX(B1:XFD1,(A2)+(1)))=("M"),"false"),B2,M398),M398))</f>
        <v>#VALUE!</v>
      </c>
      <c r="N398" t="e">
        <f ca="1">IF((A1)=(2),1,IF((395)=(N3),IF(IF((INDEX(B1:XFD1,(A2)+(0)))=("store"),(INDEX(B1:XFD1,(A2)+(1)))=("N"),"false"),B2,N398),N398))</f>
        <v>#VALUE!</v>
      </c>
      <c r="O398" t="e">
        <f ca="1">IF((A1)=(2),1,IF((395)=(O3),IF(IF((INDEX(B1:XFD1,(A2)+(0)))=("store"),(INDEX(B1:XFD1,(A2)+(1)))=("O"),"false"),B2,O398),O398))</f>
        <v>#VALUE!</v>
      </c>
      <c r="P398" t="e">
        <f ca="1">IF((A1)=(2),1,IF((395)=(P3),IF(IF((INDEX(B1:XFD1,(A2)+(0)))=("store"),(INDEX(B1:XFD1,(A2)+(1)))=("P"),"false"),B2,P398),P398))</f>
        <v>#VALUE!</v>
      </c>
      <c r="Q398" t="e">
        <f ca="1">IF((A1)=(2),1,IF((395)=(Q3),IF(IF((INDEX(B1:XFD1,(A2)+(0)))=("store"),(INDEX(B1:XFD1,(A2)+(1)))=("Q"),"false"),B2,Q398),Q398))</f>
        <v>#VALUE!</v>
      </c>
      <c r="R398" t="e">
        <f ca="1">IF((A1)=(2),1,IF((395)=(R3),IF(IF((INDEX(B1:XFD1,(A2)+(0)))=("store"),(INDEX(B1:XFD1,(A2)+(1)))=("R"),"false"),B2,R398),R398))</f>
        <v>#VALUE!</v>
      </c>
      <c r="S398" t="e">
        <f ca="1">IF((A1)=(2),1,IF((395)=(S3),IF(IF((INDEX(B1:XFD1,(A2)+(0)))=("store"),(INDEX(B1:XFD1,(A2)+(1)))=("S"),"false"),B2,S398),S398))</f>
        <v>#VALUE!</v>
      </c>
      <c r="T398" t="e">
        <f ca="1">IF((A1)=(2),1,IF((395)=(T3),IF(IF((INDEX(B1:XFD1,(A2)+(0)))=("store"),(INDEX(B1:XFD1,(A2)+(1)))=("T"),"false"),B2,T398),T398))</f>
        <v>#VALUE!</v>
      </c>
      <c r="U398" t="e">
        <f ca="1">IF((A1)=(2),1,IF((395)=(U3),IF(IF((INDEX(B1:XFD1,(A2)+(0)))=("store"),(INDEX(B1:XFD1,(A2)+(1)))=("U"),"false"),B2,U398),U398))</f>
        <v>#VALUE!</v>
      </c>
      <c r="V398" t="e">
        <f ca="1">IF((A1)=(2),1,IF((395)=(V3),IF(IF((INDEX(B1:XFD1,(A2)+(0)))=("store"),(INDEX(B1:XFD1,(A2)+(1)))=("V"),"false"),B2,V398),V398))</f>
        <v>#VALUE!</v>
      </c>
      <c r="W398" t="e">
        <f ca="1">IF((A1)=(2),1,IF((395)=(W3),IF(IF((INDEX(B1:XFD1,(A2)+(0)))=("store"),(INDEX(B1:XFD1,(A2)+(1)))=("W"),"false"),B2,W398),W398))</f>
        <v>#VALUE!</v>
      </c>
      <c r="X398" t="e">
        <f ca="1">IF((A1)=(2),1,IF((395)=(X3),IF(IF((INDEX(B1:XFD1,(A2)+(0)))=("store"),(INDEX(B1:XFD1,(A2)+(1)))=("X"),"false"),B2,X398),X398))</f>
        <v>#VALUE!</v>
      </c>
      <c r="Y398" t="e">
        <f ca="1">IF((A1)=(2),1,IF((395)=(Y3),IF(IF((INDEX(B1:XFD1,(A2)+(0)))=("store"),(INDEX(B1:XFD1,(A2)+(1)))=("Y"),"false"),B2,Y398),Y398))</f>
        <v>#VALUE!</v>
      </c>
      <c r="Z398" t="e">
        <f ca="1">IF((A1)=(2),1,IF((395)=(Z3),IF(IF((INDEX(B1:XFD1,(A2)+(0)))=("store"),(INDEX(B1:XFD1,(A2)+(1)))=("Z"),"false"),B2,Z398),Z398))</f>
        <v>#VALUE!</v>
      </c>
      <c r="AA398" t="e">
        <f ca="1">IF((A1)=(2),1,IF((395)=(AA3),IF(IF((INDEX(B1:XFD1,(A2)+(0)))=("store"),(INDEX(B1:XFD1,(A2)+(1)))=("AA"),"false"),B2,AA398),AA398))</f>
        <v>#VALUE!</v>
      </c>
      <c r="AB398" t="e">
        <f ca="1">IF((A1)=(2),1,IF((395)=(AB3),IF(IF((INDEX(B1:XFD1,(A2)+(0)))=("store"),(INDEX(B1:XFD1,(A2)+(1)))=("AB"),"false"),B2,AB398),AB398))</f>
        <v>#VALUE!</v>
      </c>
      <c r="AC398" t="e">
        <f ca="1">IF((A1)=(2),1,IF((395)=(AC3),IF(IF((INDEX(B1:XFD1,(A2)+(0)))=("store"),(INDEX(B1:XFD1,(A2)+(1)))=("AC"),"false"),B2,AC398),AC398))</f>
        <v>#VALUE!</v>
      </c>
      <c r="AD398" t="e">
        <f ca="1">IF((A1)=(2),1,IF((395)=(AD3),IF(IF((INDEX(B1:XFD1,(A2)+(0)))=("store"),(INDEX(B1:XFD1,(A2)+(1)))=("AD"),"false"),B2,AD398),AD398))</f>
        <v>#VALUE!</v>
      </c>
    </row>
    <row r="399" spans="1:30" x14ac:dyDescent="0.25">
      <c r="A399" t="e">
        <f ca="1">IF((A1)=(2),1,IF((396)=(A3),IF(("call")=(INDEX(B1:XFD1,(A2)+(0))),((B2)*(2))+(1),IF(("goto")=(INDEX(B1:XFD1,(A2)+(0))),((INDEX(B1:XFD1,(A2)+(1)))*(2))+(1),IF(("gotoiftrue")=(INDEX(B1:XFD1,(A2)+(0))),IF(B2,((INDEX(B1:XFD1,(A2)+(1)))*(2))+(1),(A399)+(2)),(A399)+(2)))),A399))</f>
        <v>#VALUE!</v>
      </c>
      <c r="B399" t="e">
        <f ca="1">IF((A1)=(2),1,IF((396)=(B3),IF(("push")=(INDEX(B1:XFD1,(A2)+(0))),INDEX(B1:XFD1,(A2)+(1)),IF(("load")=(INDEX(B1:XFD1,(A2)+(0))),INDEX(F2:XFD2,INDEX(B1:XFD1,(A2)+(1))),IF(("newheap")=(INDEX(B1:XFD1,(A2)+(0))),(C3)-(2),IF(("getheap")=(INDEX(B1:XFD1,(A2)+(0))),INDEX(C4:C404,(B399)+(1)),IF(("add")=(INDEX(B1:XFD1,(A2)+(0))),(INDEX(B4:B404,(B3)+(1)))+(B399),IF(("equals")=(INDEX(B1:XFD1,(A2)+(0))),(INDEX(B4:B404,(B3)+(1)))=(B399),IF(("leq")=(INDEX(B1:XFD1,(A2)+(0))),(INDEX(B4:B404,(B3)+(1)))&lt;=(B399),IF(("mod")=(INDEX(B1:XFD1,(A2)+(0))),MOD(INDEX(B4:B404,(B3)+(1)),B399),B399)))))))),B399))</f>
        <v>#VALUE!</v>
      </c>
      <c r="C399" t="e">
        <f ca="1">IF((A1)=(2),1,IF(AND((INDEX(B1:XFD1,(A2)+(0)))=("writeheap"),(INDEX(B4:B404,(B3)+(1)))=(395)),INDEX(B4:B404,(B3)+(2)),IF((A1)=(2),1,IF((396)=(C3),C399,C399))))</f>
        <v>#VALUE!</v>
      </c>
      <c r="E399" t="e">
        <f ca="1">IF((A1)=(2),1,IF((396)=(E3),IF(("outputline")=(INDEX(B1:XFD1,(A2)+(0))),B2,E399),E399))</f>
        <v>#VALUE!</v>
      </c>
      <c r="F399" t="e">
        <f ca="1">IF((A1)=(2),1,IF((396)=(F3),IF(IF((INDEX(B1:XFD1,(A2)+(0)))=("store"),(INDEX(B1:XFD1,(A2)+(1)))=("F"),"false"),B2,F399),F399))</f>
        <v>#VALUE!</v>
      </c>
      <c r="G399" t="e">
        <f ca="1">IF((A1)=(2),1,IF((396)=(G3),IF(IF((INDEX(B1:XFD1,(A2)+(0)))=("store"),(INDEX(B1:XFD1,(A2)+(1)))=("G"),"false"),B2,G399),G399))</f>
        <v>#VALUE!</v>
      </c>
      <c r="H399" t="e">
        <f ca="1">IF((A1)=(2),1,IF((396)=(H3),IF(IF((INDEX(B1:XFD1,(A2)+(0)))=("store"),(INDEX(B1:XFD1,(A2)+(1)))=("H"),"false"),B2,H399),H399))</f>
        <v>#VALUE!</v>
      </c>
      <c r="I399" t="e">
        <f ca="1">IF((A1)=(2),1,IF((396)=(I3),IF(IF((INDEX(B1:XFD1,(A2)+(0)))=("store"),(INDEX(B1:XFD1,(A2)+(1)))=("I"),"false"),B2,I399),I399))</f>
        <v>#VALUE!</v>
      </c>
      <c r="J399" t="e">
        <f ca="1">IF((A1)=(2),1,IF((396)=(J3),IF(IF((INDEX(B1:XFD1,(A2)+(0)))=("store"),(INDEX(B1:XFD1,(A2)+(1)))=("J"),"false"),B2,J399),J399))</f>
        <v>#VALUE!</v>
      </c>
      <c r="K399" t="e">
        <f ca="1">IF((A1)=(2),1,IF((396)=(K3),IF(IF((INDEX(B1:XFD1,(A2)+(0)))=("store"),(INDEX(B1:XFD1,(A2)+(1)))=("K"),"false"),B2,K399),K399))</f>
        <v>#VALUE!</v>
      </c>
      <c r="L399" t="e">
        <f ca="1">IF((A1)=(2),1,IF((396)=(L3),IF(IF((INDEX(B1:XFD1,(A2)+(0)))=("store"),(INDEX(B1:XFD1,(A2)+(1)))=("L"),"false"),B2,L399),L399))</f>
        <v>#VALUE!</v>
      </c>
      <c r="M399" t="e">
        <f ca="1">IF((A1)=(2),1,IF((396)=(M3),IF(IF((INDEX(B1:XFD1,(A2)+(0)))=("store"),(INDEX(B1:XFD1,(A2)+(1)))=("M"),"false"),B2,M399),M399))</f>
        <v>#VALUE!</v>
      </c>
      <c r="N399" t="e">
        <f ca="1">IF((A1)=(2),1,IF((396)=(N3),IF(IF((INDEX(B1:XFD1,(A2)+(0)))=("store"),(INDEX(B1:XFD1,(A2)+(1)))=("N"),"false"),B2,N399),N399))</f>
        <v>#VALUE!</v>
      </c>
      <c r="O399" t="e">
        <f ca="1">IF((A1)=(2),1,IF((396)=(O3),IF(IF((INDEX(B1:XFD1,(A2)+(0)))=("store"),(INDEX(B1:XFD1,(A2)+(1)))=("O"),"false"),B2,O399),O399))</f>
        <v>#VALUE!</v>
      </c>
      <c r="P399" t="e">
        <f ca="1">IF((A1)=(2),1,IF((396)=(P3),IF(IF((INDEX(B1:XFD1,(A2)+(0)))=("store"),(INDEX(B1:XFD1,(A2)+(1)))=("P"),"false"),B2,P399),P399))</f>
        <v>#VALUE!</v>
      </c>
      <c r="Q399" t="e">
        <f ca="1">IF((A1)=(2),1,IF((396)=(Q3),IF(IF((INDEX(B1:XFD1,(A2)+(0)))=("store"),(INDEX(B1:XFD1,(A2)+(1)))=("Q"),"false"),B2,Q399),Q399))</f>
        <v>#VALUE!</v>
      </c>
      <c r="R399" t="e">
        <f ca="1">IF((A1)=(2),1,IF((396)=(R3),IF(IF((INDEX(B1:XFD1,(A2)+(0)))=("store"),(INDEX(B1:XFD1,(A2)+(1)))=("R"),"false"),B2,R399),R399))</f>
        <v>#VALUE!</v>
      </c>
      <c r="S399" t="e">
        <f ca="1">IF((A1)=(2),1,IF((396)=(S3),IF(IF((INDEX(B1:XFD1,(A2)+(0)))=("store"),(INDEX(B1:XFD1,(A2)+(1)))=("S"),"false"),B2,S399),S399))</f>
        <v>#VALUE!</v>
      </c>
      <c r="T399" t="e">
        <f ca="1">IF((A1)=(2),1,IF((396)=(T3),IF(IF((INDEX(B1:XFD1,(A2)+(0)))=("store"),(INDEX(B1:XFD1,(A2)+(1)))=("T"),"false"),B2,T399),T399))</f>
        <v>#VALUE!</v>
      </c>
      <c r="U399" t="e">
        <f ca="1">IF((A1)=(2),1,IF((396)=(U3),IF(IF((INDEX(B1:XFD1,(A2)+(0)))=("store"),(INDEX(B1:XFD1,(A2)+(1)))=("U"),"false"),B2,U399),U399))</f>
        <v>#VALUE!</v>
      </c>
      <c r="V399" t="e">
        <f ca="1">IF((A1)=(2),1,IF((396)=(V3),IF(IF((INDEX(B1:XFD1,(A2)+(0)))=("store"),(INDEX(B1:XFD1,(A2)+(1)))=("V"),"false"),B2,V399),V399))</f>
        <v>#VALUE!</v>
      </c>
      <c r="W399" t="e">
        <f ca="1">IF((A1)=(2),1,IF((396)=(W3),IF(IF((INDEX(B1:XFD1,(A2)+(0)))=("store"),(INDEX(B1:XFD1,(A2)+(1)))=("W"),"false"),B2,W399),W399))</f>
        <v>#VALUE!</v>
      </c>
      <c r="X399" t="e">
        <f ca="1">IF((A1)=(2),1,IF((396)=(X3),IF(IF((INDEX(B1:XFD1,(A2)+(0)))=("store"),(INDEX(B1:XFD1,(A2)+(1)))=("X"),"false"),B2,X399),X399))</f>
        <v>#VALUE!</v>
      </c>
      <c r="Y399" t="e">
        <f ca="1">IF((A1)=(2),1,IF((396)=(Y3),IF(IF((INDEX(B1:XFD1,(A2)+(0)))=("store"),(INDEX(B1:XFD1,(A2)+(1)))=("Y"),"false"),B2,Y399),Y399))</f>
        <v>#VALUE!</v>
      </c>
      <c r="Z399" t="e">
        <f ca="1">IF((A1)=(2),1,IF((396)=(Z3),IF(IF((INDEX(B1:XFD1,(A2)+(0)))=("store"),(INDEX(B1:XFD1,(A2)+(1)))=("Z"),"false"),B2,Z399),Z399))</f>
        <v>#VALUE!</v>
      </c>
      <c r="AA399" t="e">
        <f ca="1">IF((A1)=(2),1,IF((396)=(AA3),IF(IF((INDEX(B1:XFD1,(A2)+(0)))=("store"),(INDEX(B1:XFD1,(A2)+(1)))=("AA"),"false"),B2,AA399),AA399))</f>
        <v>#VALUE!</v>
      </c>
      <c r="AB399" t="e">
        <f ca="1">IF((A1)=(2),1,IF((396)=(AB3),IF(IF((INDEX(B1:XFD1,(A2)+(0)))=("store"),(INDEX(B1:XFD1,(A2)+(1)))=("AB"),"false"),B2,AB399),AB399))</f>
        <v>#VALUE!</v>
      </c>
      <c r="AC399" t="e">
        <f ca="1">IF((A1)=(2),1,IF((396)=(AC3),IF(IF((INDEX(B1:XFD1,(A2)+(0)))=("store"),(INDEX(B1:XFD1,(A2)+(1)))=("AC"),"false"),B2,AC399),AC399))</f>
        <v>#VALUE!</v>
      </c>
      <c r="AD399" t="e">
        <f ca="1">IF((A1)=(2),1,IF((396)=(AD3),IF(IF((INDEX(B1:XFD1,(A2)+(0)))=("store"),(INDEX(B1:XFD1,(A2)+(1)))=("AD"),"false"),B2,AD399),AD399))</f>
        <v>#VALUE!</v>
      </c>
    </row>
    <row r="400" spans="1:30" x14ac:dyDescent="0.25">
      <c r="A400" t="e">
        <f ca="1">IF((A1)=(2),1,IF((397)=(A3),IF(("call")=(INDEX(B1:XFD1,(A2)+(0))),((B2)*(2))+(1),IF(("goto")=(INDEX(B1:XFD1,(A2)+(0))),((INDEX(B1:XFD1,(A2)+(1)))*(2))+(1),IF(("gotoiftrue")=(INDEX(B1:XFD1,(A2)+(0))),IF(B2,((INDEX(B1:XFD1,(A2)+(1)))*(2))+(1),(A400)+(2)),(A400)+(2)))),A400))</f>
        <v>#VALUE!</v>
      </c>
      <c r="B400" t="e">
        <f ca="1">IF((A1)=(2),1,IF((397)=(B3),IF(("push")=(INDEX(B1:XFD1,(A2)+(0))),INDEX(B1:XFD1,(A2)+(1)),IF(("load")=(INDEX(B1:XFD1,(A2)+(0))),INDEX(F2:XFD2,INDEX(B1:XFD1,(A2)+(1))),IF(("newheap")=(INDEX(B1:XFD1,(A2)+(0))),(C3)-(2),IF(("getheap")=(INDEX(B1:XFD1,(A2)+(0))),INDEX(C4:C404,(B400)+(1)),IF(("add")=(INDEX(B1:XFD1,(A2)+(0))),(INDEX(B4:B404,(B3)+(1)))+(B400),IF(("equals")=(INDEX(B1:XFD1,(A2)+(0))),(INDEX(B4:B404,(B3)+(1)))=(B400),IF(("leq")=(INDEX(B1:XFD1,(A2)+(0))),(INDEX(B4:B404,(B3)+(1)))&lt;=(B400),IF(("mod")=(INDEX(B1:XFD1,(A2)+(0))),MOD(INDEX(B4:B404,(B3)+(1)),B400),B400)))))))),B400))</f>
        <v>#VALUE!</v>
      </c>
      <c r="C400" t="e">
        <f ca="1">IF((A1)=(2),1,IF(AND((INDEX(B1:XFD1,(A2)+(0)))=("writeheap"),(INDEX(B4:B404,(B3)+(1)))=(396)),INDEX(B4:B404,(B3)+(2)),IF((A1)=(2),1,IF((397)=(C3),C400,C400))))</f>
        <v>#VALUE!</v>
      </c>
      <c r="E400" t="e">
        <f ca="1">IF((A1)=(2),1,IF((397)=(E3),IF(("outputline")=(INDEX(B1:XFD1,(A2)+(0))),B2,E400),E400))</f>
        <v>#VALUE!</v>
      </c>
      <c r="F400" t="e">
        <f ca="1">IF((A1)=(2),1,IF((397)=(F3),IF(IF((INDEX(B1:XFD1,(A2)+(0)))=("store"),(INDEX(B1:XFD1,(A2)+(1)))=("F"),"false"),B2,F400),F400))</f>
        <v>#VALUE!</v>
      </c>
      <c r="G400" t="e">
        <f ca="1">IF((A1)=(2),1,IF((397)=(G3),IF(IF((INDEX(B1:XFD1,(A2)+(0)))=("store"),(INDEX(B1:XFD1,(A2)+(1)))=("G"),"false"),B2,G400),G400))</f>
        <v>#VALUE!</v>
      </c>
      <c r="H400" t="e">
        <f ca="1">IF((A1)=(2),1,IF((397)=(H3),IF(IF((INDEX(B1:XFD1,(A2)+(0)))=("store"),(INDEX(B1:XFD1,(A2)+(1)))=("H"),"false"),B2,H400),H400))</f>
        <v>#VALUE!</v>
      </c>
      <c r="I400" t="e">
        <f ca="1">IF((A1)=(2),1,IF((397)=(I3),IF(IF((INDEX(B1:XFD1,(A2)+(0)))=("store"),(INDEX(B1:XFD1,(A2)+(1)))=("I"),"false"),B2,I400),I400))</f>
        <v>#VALUE!</v>
      </c>
      <c r="J400" t="e">
        <f ca="1">IF((A1)=(2),1,IF((397)=(J3),IF(IF((INDEX(B1:XFD1,(A2)+(0)))=("store"),(INDEX(B1:XFD1,(A2)+(1)))=("J"),"false"),B2,J400),J400))</f>
        <v>#VALUE!</v>
      </c>
      <c r="K400" t="e">
        <f ca="1">IF((A1)=(2),1,IF((397)=(K3),IF(IF((INDEX(B1:XFD1,(A2)+(0)))=("store"),(INDEX(B1:XFD1,(A2)+(1)))=("K"),"false"),B2,K400),K400))</f>
        <v>#VALUE!</v>
      </c>
      <c r="L400" t="e">
        <f ca="1">IF((A1)=(2),1,IF((397)=(L3),IF(IF((INDEX(B1:XFD1,(A2)+(0)))=("store"),(INDEX(B1:XFD1,(A2)+(1)))=("L"),"false"),B2,L400),L400))</f>
        <v>#VALUE!</v>
      </c>
      <c r="M400" t="e">
        <f ca="1">IF((A1)=(2),1,IF((397)=(M3),IF(IF((INDEX(B1:XFD1,(A2)+(0)))=("store"),(INDEX(B1:XFD1,(A2)+(1)))=("M"),"false"),B2,M400),M400))</f>
        <v>#VALUE!</v>
      </c>
      <c r="N400" t="e">
        <f ca="1">IF((A1)=(2),1,IF((397)=(N3),IF(IF((INDEX(B1:XFD1,(A2)+(0)))=("store"),(INDEX(B1:XFD1,(A2)+(1)))=("N"),"false"),B2,N400),N400))</f>
        <v>#VALUE!</v>
      </c>
      <c r="O400" t="e">
        <f ca="1">IF((A1)=(2),1,IF((397)=(O3),IF(IF((INDEX(B1:XFD1,(A2)+(0)))=("store"),(INDEX(B1:XFD1,(A2)+(1)))=("O"),"false"),B2,O400),O400))</f>
        <v>#VALUE!</v>
      </c>
      <c r="P400" t="e">
        <f ca="1">IF((A1)=(2),1,IF((397)=(P3),IF(IF((INDEX(B1:XFD1,(A2)+(0)))=("store"),(INDEX(B1:XFD1,(A2)+(1)))=("P"),"false"),B2,P400),P400))</f>
        <v>#VALUE!</v>
      </c>
      <c r="Q400" t="e">
        <f ca="1">IF((A1)=(2),1,IF((397)=(Q3),IF(IF((INDEX(B1:XFD1,(A2)+(0)))=("store"),(INDEX(B1:XFD1,(A2)+(1)))=("Q"),"false"),B2,Q400),Q400))</f>
        <v>#VALUE!</v>
      </c>
      <c r="R400" t="e">
        <f ca="1">IF((A1)=(2),1,IF((397)=(R3),IF(IF((INDEX(B1:XFD1,(A2)+(0)))=("store"),(INDEX(B1:XFD1,(A2)+(1)))=("R"),"false"),B2,R400),R400))</f>
        <v>#VALUE!</v>
      </c>
      <c r="S400" t="e">
        <f ca="1">IF((A1)=(2),1,IF((397)=(S3),IF(IF((INDEX(B1:XFD1,(A2)+(0)))=("store"),(INDEX(B1:XFD1,(A2)+(1)))=("S"),"false"),B2,S400),S400))</f>
        <v>#VALUE!</v>
      </c>
      <c r="T400" t="e">
        <f ca="1">IF((A1)=(2),1,IF((397)=(T3),IF(IF((INDEX(B1:XFD1,(A2)+(0)))=("store"),(INDEX(B1:XFD1,(A2)+(1)))=("T"),"false"),B2,T400),T400))</f>
        <v>#VALUE!</v>
      </c>
      <c r="U400" t="e">
        <f ca="1">IF((A1)=(2),1,IF((397)=(U3),IF(IF((INDEX(B1:XFD1,(A2)+(0)))=("store"),(INDEX(B1:XFD1,(A2)+(1)))=("U"),"false"),B2,U400),U400))</f>
        <v>#VALUE!</v>
      </c>
      <c r="V400" t="e">
        <f ca="1">IF((A1)=(2),1,IF((397)=(V3),IF(IF((INDEX(B1:XFD1,(A2)+(0)))=("store"),(INDEX(B1:XFD1,(A2)+(1)))=("V"),"false"),B2,V400),V400))</f>
        <v>#VALUE!</v>
      </c>
      <c r="W400" t="e">
        <f ca="1">IF((A1)=(2),1,IF((397)=(W3),IF(IF((INDEX(B1:XFD1,(A2)+(0)))=("store"),(INDEX(B1:XFD1,(A2)+(1)))=("W"),"false"),B2,W400),W400))</f>
        <v>#VALUE!</v>
      </c>
      <c r="X400" t="e">
        <f ca="1">IF((A1)=(2),1,IF((397)=(X3),IF(IF((INDEX(B1:XFD1,(A2)+(0)))=("store"),(INDEX(B1:XFD1,(A2)+(1)))=("X"),"false"),B2,X400),X400))</f>
        <v>#VALUE!</v>
      </c>
      <c r="Y400" t="e">
        <f ca="1">IF((A1)=(2),1,IF((397)=(Y3),IF(IF((INDEX(B1:XFD1,(A2)+(0)))=("store"),(INDEX(B1:XFD1,(A2)+(1)))=("Y"),"false"),B2,Y400),Y400))</f>
        <v>#VALUE!</v>
      </c>
      <c r="Z400" t="e">
        <f ca="1">IF((A1)=(2),1,IF((397)=(Z3),IF(IF((INDEX(B1:XFD1,(A2)+(0)))=("store"),(INDEX(B1:XFD1,(A2)+(1)))=("Z"),"false"),B2,Z400),Z400))</f>
        <v>#VALUE!</v>
      </c>
      <c r="AA400" t="e">
        <f ca="1">IF((A1)=(2),1,IF((397)=(AA3),IF(IF((INDEX(B1:XFD1,(A2)+(0)))=("store"),(INDEX(B1:XFD1,(A2)+(1)))=("AA"),"false"),B2,AA400),AA400))</f>
        <v>#VALUE!</v>
      </c>
      <c r="AB400" t="e">
        <f ca="1">IF((A1)=(2),1,IF((397)=(AB3),IF(IF((INDEX(B1:XFD1,(A2)+(0)))=("store"),(INDEX(B1:XFD1,(A2)+(1)))=("AB"),"false"),B2,AB400),AB400))</f>
        <v>#VALUE!</v>
      </c>
      <c r="AC400" t="e">
        <f ca="1">IF((A1)=(2),1,IF((397)=(AC3),IF(IF((INDEX(B1:XFD1,(A2)+(0)))=("store"),(INDEX(B1:XFD1,(A2)+(1)))=("AC"),"false"),B2,AC400),AC400))</f>
        <v>#VALUE!</v>
      </c>
      <c r="AD400" t="e">
        <f ca="1">IF((A1)=(2),1,IF((397)=(AD3),IF(IF((INDEX(B1:XFD1,(A2)+(0)))=("store"),(INDEX(B1:XFD1,(A2)+(1)))=("AD"),"false"),B2,AD400),AD400))</f>
        <v>#VALUE!</v>
      </c>
    </row>
    <row r="401" spans="1:30" x14ac:dyDescent="0.25">
      <c r="A401" t="e">
        <f ca="1">IF((A1)=(2),1,IF((398)=(A3),IF(("call")=(INDEX(B1:XFD1,(A2)+(0))),((B2)*(2))+(1),IF(("goto")=(INDEX(B1:XFD1,(A2)+(0))),((INDEX(B1:XFD1,(A2)+(1)))*(2))+(1),IF(("gotoiftrue")=(INDEX(B1:XFD1,(A2)+(0))),IF(B2,((INDEX(B1:XFD1,(A2)+(1)))*(2))+(1),(A401)+(2)),(A401)+(2)))),A401))</f>
        <v>#VALUE!</v>
      </c>
      <c r="B401" t="e">
        <f ca="1">IF((A1)=(2),1,IF((398)=(B3),IF(("push")=(INDEX(B1:XFD1,(A2)+(0))),INDEX(B1:XFD1,(A2)+(1)),IF(("load")=(INDEX(B1:XFD1,(A2)+(0))),INDEX(F2:XFD2,INDEX(B1:XFD1,(A2)+(1))),IF(("newheap")=(INDEX(B1:XFD1,(A2)+(0))),(C3)-(2),IF(("getheap")=(INDEX(B1:XFD1,(A2)+(0))),INDEX(C4:C404,(B401)+(1)),IF(("add")=(INDEX(B1:XFD1,(A2)+(0))),(INDEX(B4:B404,(B3)+(1)))+(B401),IF(("equals")=(INDEX(B1:XFD1,(A2)+(0))),(INDEX(B4:B404,(B3)+(1)))=(B401),IF(("leq")=(INDEX(B1:XFD1,(A2)+(0))),(INDEX(B4:B404,(B3)+(1)))&lt;=(B401),IF(("mod")=(INDEX(B1:XFD1,(A2)+(0))),MOD(INDEX(B4:B404,(B3)+(1)),B401),B401)))))))),B401))</f>
        <v>#VALUE!</v>
      </c>
      <c r="C401" t="e">
        <f ca="1">IF((A1)=(2),1,IF(AND((INDEX(B1:XFD1,(A2)+(0)))=("writeheap"),(INDEX(B4:B404,(B3)+(1)))=(397)),INDEX(B4:B404,(B3)+(2)),IF((A1)=(2),1,IF((398)=(C3),C401,C401))))</f>
        <v>#VALUE!</v>
      </c>
      <c r="E401" t="e">
        <f ca="1">IF((A1)=(2),1,IF((398)=(E3),IF(("outputline")=(INDEX(B1:XFD1,(A2)+(0))),B2,E401),E401))</f>
        <v>#VALUE!</v>
      </c>
      <c r="F401" t="e">
        <f ca="1">IF((A1)=(2),1,IF((398)=(F3),IF(IF((INDEX(B1:XFD1,(A2)+(0)))=("store"),(INDEX(B1:XFD1,(A2)+(1)))=("F"),"false"),B2,F401),F401))</f>
        <v>#VALUE!</v>
      </c>
      <c r="G401" t="e">
        <f ca="1">IF((A1)=(2),1,IF((398)=(G3),IF(IF((INDEX(B1:XFD1,(A2)+(0)))=("store"),(INDEX(B1:XFD1,(A2)+(1)))=("G"),"false"),B2,G401),G401))</f>
        <v>#VALUE!</v>
      </c>
      <c r="H401" t="e">
        <f ca="1">IF((A1)=(2),1,IF((398)=(H3),IF(IF((INDEX(B1:XFD1,(A2)+(0)))=("store"),(INDEX(B1:XFD1,(A2)+(1)))=("H"),"false"),B2,H401),H401))</f>
        <v>#VALUE!</v>
      </c>
      <c r="I401" t="e">
        <f ca="1">IF((A1)=(2),1,IF((398)=(I3),IF(IF((INDEX(B1:XFD1,(A2)+(0)))=("store"),(INDEX(B1:XFD1,(A2)+(1)))=("I"),"false"),B2,I401),I401))</f>
        <v>#VALUE!</v>
      </c>
      <c r="J401" t="e">
        <f ca="1">IF((A1)=(2),1,IF((398)=(J3),IF(IF((INDEX(B1:XFD1,(A2)+(0)))=("store"),(INDEX(B1:XFD1,(A2)+(1)))=("J"),"false"),B2,J401),J401))</f>
        <v>#VALUE!</v>
      </c>
      <c r="K401" t="e">
        <f ca="1">IF((A1)=(2),1,IF((398)=(K3),IF(IF((INDEX(B1:XFD1,(A2)+(0)))=("store"),(INDEX(B1:XFD1,(A2)+(1)))=("K"),"false"),B2,K401),K401))</f>
        <v>#VALUE!</v>
      </c>
      <c r="L401" t="e">
        <f ca="1">IF((A1)=(2),1,IF((398)=(L3),IF(IF((INDEX(B1:XFD1,(A2)+(0)))=("store"),(INDEX(B1:XFD1,(A2)+(1)))=("L"),"false"),B2,L401),L401))</f>
        <v>#VALUE!</v>
      </c>
      <c r="M401" t="e">
        <f ca="1">IF((A1)=(2),1,IF((398)=(M3),IF(IF((INDEX(B1:XFD1,(A2)+(0)))=("store"),(INDEX(B1:XFD1,(A2)+(1)))=("M"),"false"),B2,M401),M401))</f>
        <v>#VALUE!</v>
      </c>
      <c r="N401" t="e">
        <f ca="1">IF((A1)=(2),1,IF((398)=(N3),IF(IF((INDEX(B1:XFD1,(A2)+(0)))=("store"),(INDEX(B1:XFD1,(A2)+(1)))=("N"),"false"),B2,N401),N401))</f>
        <v>#VALUE!</v>
      </c>
      <c r="O401" t="e">
        <f ca="1">IF((A1)=(2),1,IF((398)=(O3),IF(IF((INDEX(B1:XFD1,(A2)+(0)))=("store"),(INDEX(B1:XFD1,(A2)+(1)))=("O"),"false"),B2,O401),O401))</f>
        <v>#VALUE!</v>
      </c>
      <c r="P401" t="e">
        <f ca="1">IF((A1)=(2),1,IF((398)=(P3),IF(IF((INDEX(B1:XFD1,(A2)+(0)))=("store"),(INDEX(B1:XFD1,(A2)+(1)))=("P"),"false"),B2,P401),P401))</f>
        <v>#VALUE!</v>
      </c>
      <c r="Q401" t="e">
        <f ca="1">IF((A1)=(2),1,IF((398)=(Q3),IF(IF((INDEX(B1:XFD1,(A2)+(0)))=("store"),(INDEX(B1:XFD1,(A2)+(1)))=("Q"),"false"),B2,Q401),Q401))</f>
        <v>#VALUE!</v>
      </c>
      <c r="R401" t="e">
        <f ca="1">IF((A1)=(2),1,IF((398)=(R3),IF(IF((INDEX(B1:XFD1,(A2)+(0)))=("store"),(INDEX(B1:XFD1,(A2)+(1)))=("R"),"false"),B2,R401),R401))</f>
        <v>#VALUE!</v>
      </c>
      <c r="S401" t="e">
        <f ca="1">IF((A1)=(2),1,IF((398)=(S3),IF(IF((INDEX(B1:XFD1,(A2)+(0)))=("store"),(INDEX(B1:XFD1,(A2)+(1)))=("S"),"false"),B2,S401),S401))</f>
        <v>#VALUE!</v>
      </c>
      <c r="T401" t="e">
        <f ca="1">IF((A1)=(2),1,IF((398)=(T3),IF(IF((INDEX(B1:XFD1,(A2)+(0)))=("store"),(INDEX(B1:XFD1,(A2)+(1)))=("T"),"false"),B2,T401),T401))</f>
        <v>#VALUE!</v>
      </c>
      <c r="U401" t="e">
        <f ca="1">IF((A1)=(2),1,IF((398)=(U3),IF(IF((INDEX(B1:XFD1,(A2)+(0)))=("store"),(INDEX(B1:XFD1,(A2)+(1)))=("U"),"false"),B2,U401),U401))</f>
        <v>#VALUE!</v>
      </c>
      <c r="V401" t="e">
        <f ca="1">IF((A1)=(2),1,IF((398)=(V3),IF(IF((INDEX(B1:XFD1,(A2)+(0)))=("store"),(INDEX(B1:XFD1,(A2)+(1)))=("V"),"false"),B2,V401),V401))</f>
        <v>#VALUE!</v>
      </c>
      <c r="W401" t="e">
        <f ca="1">IF((A1)=(2),1,IF((398)=(W3),IF(IF((INDEX(B1:XFD1,(A2)+(0)))=("store"),(INDEX(B1:XFD1,(A2)+(1)))=("W"),"false"),B2,W401),W401))</f>
        <v>#VALUE!</v>
      </c>
      <c r="X401" t="e">
        <f ca="1">IF((A1)=(2),1,IF((398)=(X3),IF(IF((INDEX(B1:XFD1,(A2)+(0)))=("store"),(INDEX(B1:XFD1,(A2)+(1)))=("X"),"false"),B2,X401),X401))</f>
        <v>#VALUE!</v>
      </c>
      <c r="Y401" t="e">
        <f ca="1">IF((A1)=(2),1,IF((398)=(Y3),IF(IF((INDEX(B1:XFD1,(A2)+(0)))=("store"),(INDEX(B1:XFD1,(A2)+(1)))=("Y"),"false"),B2,Y401),Y401))</f>
        <v>#VALUE!</v>
      </c>
      <c r="Z401" t="e">
        <f ca="1">IF((A1)=(2),1,IF((398)=(Z3),IF(IF((INDEX(B1:XFD1,(A2)+(0)))=("store"),(INDEX(B1:XFD1,(A2)+(1)))=("Z"),"false"),B2,Z401),Z401))</f>
        <v>#VALUE!</v>
      </c>
      <c r="AA401" t="e">
        <f ca="1">IF((A1)=(2),1,IF((398)=(AA3),IF(IF((INDEX(B1:XFD1,(A2)+(0)))=("store"),(INDEX(B1:XFD1,(A2)+(1)))=("AA"),"false"),B2,AA401),AA401))</f>
        <v>#VALUE!</v>
      </c>
      <c r="AB401" t="e">
        <f ca="1">IF((A1)=(2),1,IF((398)=(AB3),IF(IF((INDEX(B1:XFD1,(A2)+(0)))=("store"),(INDEX(B1:XFD1,(A2)+(1)))=("AB"),"false"),B2,AB401),AB401))</f>
        <v>#VALUE!</v>
      </c>
      <c r="AC401" t="e">
        <f ca="1">IF((A1)=(2),1,IF((398)=(AC3),IF(IF((INDEX(B1:XFD1,(A2)+(0)))=("store"),(INDEX(B1:XFD1,(A2)+(1)))=("AC"),"false"),B2,AC401),AC401))</f>
        <v>#VALUE!</v>
      </c>
      <c r="AD401" t="e">
        <f ca="1">IF((A1)=(2),1,IF((398)=(AD3),IF(IF((INDEX(B1:XFD1,(A2)+(0)))=("store"),(INDEX(B1:XFD1,(A2)+(1)))=("AD"),"false"),B2,AD401),AD401))</f>
        <v>#VALUE!</v>
      </c>
    </row>
    <row r="402" spans="1:30" x14ac:dyDescent="0.25">
      <c r="A402" t="e">
        <f ca="1">IF((A1)=(2),1,IF((399)=(A3),IF(("call")=(INDEX(B1:XFD1,(A2)+(0))),((B2)*(2))+(1),IF(("goto")=(INDEX(B1:XFD1,(A2)+(0))),((INDEX(B1:XFD1,(A2)+(1)))*(2))+(1),IF(("gotoiftrue")=(INDEX(B1:XFD1,(A2)+(0))),IF(B2,((INDEX(B1:XFD1,(A2)+(1)))*(2))+(1),(A402)+(2)),(A402)+(2)))),A402))</f>
        <v>#VALUE!</v>
      </c>
      <c r="B402" t="e">
        <f ca="1">IF((A1)=(2),1,IF((399)=(B3),IF(("push")=(INDEX(B1:XFD1,(A2)+(0))),INDEX(B1:XFD1,(A2)+(1)),IF(("load")=(INDEX(B1:XFD1,(A2)+(0))),INDEX(F2:XFD2,INDEX(B1:XFD1,(A2)+(1))),IF(("newheap")=(INDEX(B1:XFD1,(A2)+(0))),(C3)-(2),IF(("getheap")=(INDEX(B1:XFD1,(A2)+(0))),INDEX(C4:C404,(B402)+(1)),IF(("add")=(INDEX(B1:XFD1,(A2)+(0))),(INDEX(B4:B404,(B3)+(1)))+(B402),IF(("equals")=(INDEX(B1:XFD1,(A2)+(0))),(INDEX(B4:B404,(B3)+(1)))=(B402),IF(("leq")=(INDEX(B1:XFD1,(A2)+(0))),(INDEX(B4:B404,(B3)+(1)))&lt;=(B402),IF(("mod")=(INDEX(B1:XFD1,(A2)+(0))),MOD(INDEX(B4:B404,(B3)+(1)),B402),B402)))))))),B402))</f>
        <v>#VALUE!</v>
      </c>
      <c r="C402" t="e">
        <f ca="1">IF((A1)=(2),1,IF(AND((INDEX(B1:XFD1,(A2)+(0)))=("writeheap"),(INDEX(B4:B404,(B3)+(1)))=(398)),INDEX(B4:B404,(B3)+(2)),IF((A1)=(2),1,IF((399)=(C3),C402,C402))))</f>
        <v>#VALUE!</v>
      </c>
      <c r="E402" t="e">
        <f ca="1">IF((A1)=(2),1,IF((399)=(E3),IF(("outputline")=(INDEX(B1:XFD1,(A2)+(0))),B2,E402),E402))</f>
        <v>#VALUE!</v>
      </c>
      <c r="F402" t="e">
        <f ca="1">IF((A1)=(2),1,IF((399)=(F3),IF(IF((INDEX(B1:XFD1,(A2)+(0)))=("store"),(INDEX(B1:XFD1,(A2)+(1)))=("F"),"false"),B2,F402),F402))</f>
        <v>#VALUE!</v>
      </c>
      <c r="G402" t="e">
        <f ca="1">IF((A1)=(2),1,IF((399)=(G3),IF(IF((INDEX(B1:XFD1,(A2)+(0)))=("store"),(INDEX(B1:XFD1,(A2)+(1)))=("G"),"false"),B2,G402),G402))</f>
        <v>#VALUE!</v>
      </c>
      <c r="H402" t="e">
        <f ca="1">IF((A1)=(2),1,IF((399)=(H3),IF(IF((INDEX(B1:XFD1,(A2)+(0)))=("store"),(INDEX(B1:XFD1,(A2)+(1)))=("H"),"false"),B2,H402),H402))</f>
        <v>#VALUE!</v>
      </c>
      <c r="I402" t="e">
        <f ca="1">IF((A1)=(2),1,IF((399)=(I3),IF(IF((INDEX(B1:XFD1,(A2)+(0)))=("store"),(INDEX(B1:XFD1,(A2)+(1)))=("I"),"false"),B2,I402),I402))</f>
        <v>#VALUE!</v>
      </c>
      <c r="J402" t="e">
        <f ca="1">IF((A1)=(2),1,IF((399)=(J3),IF(IF((INDEX(B1:XFD1,(A2)+(0)))=("store"),(INDEX(B1:XFD1,(A2)+(1)))=("J"),"false"),B2,J402),J402))</f>
        <v>#VALUE!</v>
      </c>
      <c r="K402" t="e">
        <f ca="1">IF((A1)=(2),1,IF((399)=(K3),IF(IF((INDEX(B1:XFD1,(A2)+(0)))=("store"),(INDEX(B1:XFD1,(A2)+(1)))=("K"),"false"),B2,K402),K402))</f>
        <v>#VALUE!</v>
      </c>
      <c r="L402" t="e">
        <f ca="1">IF((A1)=(2),1,IF((399)=(L3),IF(IF((INDEX(B1:XFD1,(A2)+(0)))=("store"),(INDEX(B1:XFD1,(A2)+(1)))=("L"),"false"),B2,L402),L402))</f>
        <v>#VALUE!</v>
      </c>
      <c r="M402" t="e">
        <f ca="1">IF((A1)=(2),1,IF((399)=(M3),IF(IF((INDEX(B1:XFD1,(A2)+(0)))=("store"),(INDEX(B1:XFD1,(A2)+(1)))=("M"),"false"),B2,M402),M402))</f>
        <v>#VALUE!</v>
      </c>
      <c r="N402" t="e">
        <f ca="1">IF((A1)=(2),1,IF((399)=(N3),IF(IF((INDEX(B1:XFD1,(A2)+(0)))=("store"),(INDEX(B1:XFD1,(A2)+(1)))=("N"),"false"),B2,N402),N402))</f>
        <v>#VALUE!</v>
      </c>
      <c r="O402" t="e">
        <f ca="1">IF((A1)=(2),1,IF((399)=(O3),IF(IF((INDEX(B1:XFD1,(A2)+(0)))=("store"),(INDEX(B1:XFD1,(A2)+(1)))=("O"),"false"),B2,O402),O402))</f>
        <v>#VALUE!</v>
      </c>
      <c r="P402" t="e">
        <f ca="1">IF((A1)=(2),1,IF((399)=(P3),IF(IF((INDEX(B1:XFD1,(A2)+(0)))=("store"),(INDEX(B1:XFD1,(A2)+(1)))=("P"),"false"),B2,P402),P402))</f>
        <v>#VALUE!</v>
      </c>
      <c r="Q402" t="e">
        <f ca="1">IF((A1)=(2),1,IF((399)=(Q3),IF(IF((INDEX(B1:XFD1,(A2)+(0)))=("store"),(INDEX(B1:XFD1,(A2)+(1)))=("Q"),"false"),B2,Q402),Q402))</f>
        <v>#VALUE!</v>
      </c>
      <c r="R402" t="e">
        <f ca="1">IF((A1)=(2),1,IF((399)=(R3),IF(IF((INDEX(B1:XFD1,(A2)+(0)))=("store"),(INDEX(B1:XFD1,(A2)+(1)))=("R"),"false"),B2,R402),R402))</f>
        <v>#VALUE!</v>
      </c>
      <c r="S402" t="e">
        <f ca="1">IF((A1)=(2),1,IF((399)=(S3),IF(IF((INDEX(B1:XFD1,(A2)+(0)))=("store"),(INDEX(B1:XFD1,(A2)+(1)))=("S"),"false"),B2,S402),S402))</f>
        <v>#VALUE!</v>
      </c>
      <c r="T402" t="e">
        <f ca="1">IF((A1)=(2),1,IF((399)=(T3),IF(IF((INDEX(B1:XFD1,(A2)+(0)))=("store"),(INDEX(B1:XFD1,(A2)+(1)))=("T"),"false"),B2,T402),T402))</f>
        <v>#VALUE!</v>
      </c>
      <c r="U402" t="e">
        <f ca="1">IF((A1)=(2),1,IF((399)=(U3),IF(IF((INDEX(B1:XFD1,(A2)+(0)))=("store"),(INDEX(B1:XFD1,(A2)+(1)))=("U"),"false"),B2,U402),U402))</f>
        <v>#VALUE!</v>
      </c>
      <c r="V402" t="e">
        <f ca="1">IF((A1)=(2),1,IF((399)=(V3),IF(IF((INDEX(B1:XFD1,(A2)+(0)))=("store"),(INDEX(B1:XFD1,(A2)+(1)))=("V"),"false"),B2,V402),V402))</f>
        <v>#VALUE!</v>
      </c>
      <c r="W402" t="e">
        <f ca="1">IF((A1)=(2),1,IF((399)=(W3),IF(IF((INDEX(B1:XFD1,(A2)+(0)))=("store"),(INDEX(B1:XFD1,(A2)+(1)))=("W"),"false"),B2,W402),W402))</f>
        <v>#VALUE!</v>
      </c>
      <c r="X402" t="e">
        <f ca="1">IF((A1)=(2),1,IF((399)=(X3),IF(IF((INDEX(B1:XFD1,(A2)+(0)))=("store"),(INDEX(B1:XFD1,(A2)+(1)))=("X"),"false"),B2,X402),X402))</f>
        <v>#VALUE!</v>
      </c>
      <c r="Y402" t="e">
        <f ca="1">IF((A1)=(2),1,IF((399)=(Y3),IF(IF((INDEX(B1:XFD1,(A2)+(0)))=("store"),(INDEX(B1:XFD1,(A2)+(1)))=("Y"),"false"),B2,Y402),Y402))</f>
        <v>#VALUE!</v>
      </c>
      <c r="Z402" t="e">
        <f ca="1">IF((A1)=(2),1,IF((399)=(Z3),IF(IF((INDEX(B1:XFD1,(A2)+(0)))=("store"),(INDEX(B1:XFD1,(A2)+(1)))=("Z"),"false"),B2,Z402),Z402))</f>
        <v>#VALUE!</v>
      </c>
      <c r="AA402" t="e">
        <f ca="1">IF((A1)=(2),1,IF((399)=(AA3),IF(IF((INDEX(B1:XFD1,(A2)+(0)))=("store"),(INDEX(B1:XFD1,(A2)+(1)))=("AA"),"false"),B2,AA402),AA402))</f>
        <v>#VALUE!</v>
      </c>
      <c r="AB402" t="e">
        <f ca="1">IF((A1)=(2),1,IF((399)=(AB3),IF(IF((INDEX(B1:XFD1,(A2)+(0)))=("store"),(INDEX(B1:XFD1,(A2)+(1)))=("AB"),"false"),B2,AB402),AB402))</f>
        <v>#VALUE!</v>
      </c>
      <c r="AC402" t="e">
        <f ca="1">IF((A1)=(2),1,IF((399)=(AC3),IF(IF((INDEX(B1:XFD1,(A2)+(0)))=("store"),(INDEX(B1:XFD1,(A2)+(1)))=("AC"),"false"),B2,AC402),AC402))</f>
        <v>#VALUE!</v>
      </c>
      <c r="AD402" t="e">
        <f ca="1">IF((A1)=(2),1,IF((399)=(AD3),IF(IF((INDEX(B1:XFD1,(A2)+(0)))=("store"),(INDEX(B1:XFD1,(A2)+(1)))=("AD"),"false"),B2,AD402),AD402))</f>
        <v>#VALUE!</v>
      </c>
    </row>
    <row r="403" spans="1:30" x14ac:dyDescent="0.25">
      <c r="A403" t="e">
        <f ca="1">IF((A1)=(2),1,IF((400)=(A3),IF(("call")=(INDEX(B1:XFD1,(A2)+(0))),((B2)*(2))+(1),IF(("goto")=(INDEX(B1:XFD1,(A2)+(0))),((INDEX(B1:XFD1,(A2)+(1)))*(2))+(1),IF(("gotoiftrue")=(INDEX(B1:XFD1,(A2)+(0))),IF(B2,((INDEX(B1:XFD1,(A2)+(1)))*(2))+(1),(A403)+(2)),(A403)+(2)))),A403))</f>
        <v>#VALUE!</v>
      </c>
      <c r="B403" t="e">
        <f ca="1">IF((A1)=(2),1,IF((400)=(B3),IF(("push")=(INDEX(B1:XFD1,(A2)+(0))),INDEX(B1:XFD1,(A2)+(1)),IF(("load")=(INDEX(B1:XFD1,(A2)+(0))),INDEX(F2:XFD2,INDEX(B1:XFD1,(A2)+(1))),IF(("newheap")=(INDEX(B1:XFD1,(A2)+(0))),(C3)-(2),IF(("getheap")=(INDEX(B1:XFD1,(A2)+(0))),INDEX(C4:C404,(B403)+(1)),IF(("add")=(INDEX(B1:XFD1,(A2)+(0))),(INDEX(B4:B404,(B3)+(1)))+(B403),IF(("equals")=(INDEX(B1:XFD1,(A2)+(0))),(INDEX(B4:B404,(B3)+(1)))=(B403),IF(("leq")=(INDEX(B1:XFD1,(A2)+(0))),(INDEX(B4:B404,(B3)+(1)))&lt;=(B403),IF(("mod")=(INDEX(B1:XFD1,(A2)+(0))),MOD(INDEX(B4:B404,(B3)+(1)),B403),B403)))))))),B403))</f>
        <v>#VALUE!</v>
      </c>
      <c r="C403" t="e">
        <f ca="1">IF((A1)=(2),1,IF(AND((INDEX(B1:XFD1,(A2)+(0)))=("writeheap"),(INDEX(B4:B404,(B3)+(1)))=(399)),INDEX(B4:B404,(B3)+(2)),IF((A1)=(2),1,IF((400)=(C3),C403,C403))))</f>
        <v>#VALUE!</v>
      </c>
      <c r="E403" t="e">
        <f ca="1">IF((A1)=(2),1,IF((400)=(E3),IF(("outputline")=(INDEX(B1:XFD1,(A2)+(0))),B2,E403),E403))</f>
        <v>#VALUE!</v>
      </c>
      <c r="F403" t="e">
        <f ca="1">IF((A1)=(2),1,IF((400)=(F3),IF(IF((INDEX(B1:XFD1,(A2)+(0)))=("store"),(INDEX(B1:XFD1,(A2)+(1)))=("F"),"false"),B2,F403),F403))</f>
        <v>#VALUE!</v>
      </c>
      <c r="G403" t="e">
        <f ca="1">IF((A1)=(2),1,IF((400)=(G3),IF(IF((INDEX(B1:XFD1,(A2)+(0)))=("store"),(INDEX(B1:XFD1,(A2)+(1)))=("G"),"false"),B2,G403),G403))</f>
        <v>#VALUE!</v>
      </c>
      <c r="H403" t="e">
        <f ca="1">IF((A1)=(2),1,IF((400)=(H3),IF(IF((INDEX(B1:XFD1,(A2)+(0)))=("store"),(INDEX(B1:XFD1,(A2)+(1)))=("H"),"false"),B2,H403),H403))</f>
        <v>#VALUE!</v>
      </c>
      <c r="I403" t="e">
        <f ca="1">IF((A1)=(2),1,IF((400)=(I3),IF(IF((INDEX(B1:XFD1,(A2)+(0)))=("store"),(INDEX(B1:XFD1,(A2)+(1)))=("I"),"false"),B2,I403),I403))</f>
        <v>#VALUE!</v>
      </c>
      <c r="J403" t="e">
        <f ca="1">IF((A1)=(2),1,IF((400)=(J3),IF(IF((INDEX(B1:XFD1,(A2)+(0)))=("store"),(INDEX(B1:XFD1,(A2)+(1)))=("J"),"false"),B2,J403),J403))</f>
        <v>#VALUE!</v>
      </c>
      <c r="K403" t="e">
        <f ca="1">IF((A1)=(2),1,IF((400)=(K3),IF(IF((INDEX(B1:XFD1,(A2)+(0)))=("store"),(INDEX(B1:XFD1,(A2)+(1)))=("K"),"false"),B2,K403),K403))</f>
        <v>#VALUE!</v>
      </c>
      <c r="L403" t="e">
        <f ca="1">IF((A1)=(2),1,IF((400)=(L3),IF(IF((INDEX(B1:XFD1,(A2)+(0)))=("store"),(INDEX(B1:XFD1,(A2)+(1)))=("L"),"false"),B2,L403),L403))</f>
        <v>#VALUE!</v>
      </c>
      <c r="M403" t="e">
        <f ca="1">IF((A1)=(2),1,IF((400)=(M3),IF(IF((INDEX(B1:XFD1,(A2)+(0)))=("store"),(INDEX(B1:XFD1,(A2)+(1)))=("M"),"false"),B2,M403),M403))</f>
        <v>#VALUE!</v>
      </c>
      <c r="N403" t="e">
        <f ca="1">IF((A1)=(2),1,IF((400)=(N3),IF(IF((INDEX(B1:XFD1,(A2)+(0)))=("store"),(INDEX(B1:XFD1,(A2)+(1)))=("N"),"false"),B2,N403),N403))</f>
        <v>#VALUE!</v>
      </c>
      <c r="O403" t="e">
        <f ca="1">IF((A1)=(2),1,IF((400)=(O3),IF(IF((INDEX(B1:XFD1,(A2)+(0)))=("store"),(INDEX(B1:XFD1,(A2)+(1)))=("O"),"false"),B2,O403),O403))</f>
        <v>#VALUE!</v>
      </c>
      <c r="P403" t="e">
        <f ca="1">IF((A1)=(2),1,IF((400)=(P3),IF(IF((INDEX(B1:XFD1,(A2)+(0)))=("store"),(INDEX(B1:XFD1,(A2)+(1)))=("P"),"false"),B2,P403),P403))</f>
        <v>#VALUE!</v>
      </c>
      <c r="Q403" t="e">
        <f ca="1">IF((A1)=(2),1,IF((400)=(Q3),IF(IF((INDEX(B1:XFD1,(A2)+(0)))=("store"),(INDEX(B1:XFD1,(A2)+(1)))=("Q"),"false"),B2,Q403),Q403))</f>
        <v>#VALUE!</v>
      </c>
      <c r="R403" t="e">
        <f ca="1">IF((A1)=(2),1,IF((400)=(R3),IF(IF((INDEX(B1:XFD1,(A2)+(0)))=("store"),(INDEX(B1:XFD1,(A2)+(1)))=("R"),"false"),B2,R403),R403))</f>
        <v>#VALUE!</v>
      </c>
      <c r="S403" t="e">
        <f ca="1">IF((A1)=(2),1,IF((400)=(S3),IF(IF((INDEX(B1:XFD1,(A2)+(0)))=("store"),(INDEX(B1:XFD1,(A2)+(1)))=("S"),"false"),B2,S403),S403))</f>
        <v>#VALUE!</v>
      </c>
      <c r="T403" t="e">
        <f ca="1">IF((A1)=(2),1,IF((400)=(T3),IF(IF((INDEX(B1:XFD1,(A2)+(0)))=("store"),(INDEX(B1:XFD1,(A2)+(1)))=("T"),"false"),B2,T403),T403))</f>
        <v>#VALUE!</v>
      </c>
      <c r="U403" t="e">
        <f ca="1">IF((A1)=(2),1,IF((400)=(U3),IF(IF((INDEX(B1:XFD1,(A2)+(0)))=("store"),(INDEX(B1:XFD1,(A2)+(1)))=("U"),"false"),B2,U403),U403))</f>
        <v>#VALUE!</v>
      </c>
      <c r="V403" t="e">
        <f ca="1">IF((A1)=(2),1,IF((400)=(V3),IF(IF((INDEX(B1:XFD1,(A2)+(0)))=("store"),(INDEX(B1:XFD1,(A2)+(1)))=("V"),"false"),B2,V403),V403))</f>
        <v>#VALUE!</v>
      </c>
      <c r="W403" t="e">
        <f ca="1">IF((A1)=(2),1,IF((400)=(W3),IF(IF((INDEX(B1:XFD1,(A2)+(0)))=("store"),(INDEX(B1:XFD1,(A2)+(1)))=("W"),"false"),B2,W403),W403))</f>
        <v>#VALUE!</v>
      </c>
      <c r="X403" t="e">
        <f ca="1">IF((A1)=(2),1,IF((400)=(X3),IF(IF((INDEX(B1:XFD1,(A2)+(0)))=("store"),(INDEX(B1:XFD1,(A2)+(1)))=("X"),"false"),B2,X403),X403))</f>
        <v>#VALUE!</v>
      </c>
      <c r="Y403" t="e">
        <f ca="1">IF((A1)=(2),1,IF((400)=(Y3),IF(IF((INDEX(B1:XFD1,(A2)+(0)))=("store"),(INDEX(B1:XFD1,(A2)+(1)))=("Y"),"false"),B2,Y403),Y403))</f>
        <v>#VALUE!</v>
      </c>
      <c r="Z403" t="e">
        <f ca="1">IF((A1)=(2),1,IF((400)=(Z3),IF(IF((INDEX(B1:XFD1,(A2)+(0)))=("store"),(INDEX(B1:XFD1,(A2)+(1)))=("Z"),"false"),B2,Z403),Z403))</f>
        <v>#VALUE!</v>
      </c>
      <c r="AA403" t="e">
        <f ca="1">IF((A1)=(2),1,IF((400)=(AA3),IF(IF((INDEX(B1:XFD1,(A2)+(0)))=("store"),(INDEX(B1:XFD1,(A2)+(1)))=("AA"),"false"),B2,AA403),AA403))</f>
        <v>#VALUE!</v>
      </c>
      <c r="AB403" t="e">
        <f ca="1">IF((A1)=(2),1,IF((400)=(AB3),IF(IF((INDEX(B1:XFD1,(A2)+(0)))=("store"),(INDEX(B1:XFD1,(A2)+(1)))=("AB"),"false"),B2,AB403),AB403))</f>
        <v>#VALUE!</v>
      </c>
      <c r="AC403" t="e">
        <f ca="1">IF((A1)=(2),1,IF((400)=(AC3),IF(IF((INDEX(B1:XFD1,(A2)+(0)))=("store"),(INDEX(B1:XFD1,(A2)+(1)))=("AC"),"false"),B2,AC403),AC403))</f>
        <v>#VALUE!</v>
      </c>
      <c r="AD403" t="e">
        <f ca="1">IF((A1)=(2),1,IF((400)=(AD3),IF(IF((INDEX(B1:XFD1,(A2)+(0)))=("store"),(INDEX(B1:XFD1,(A2)+(1)))=("AD"),"false"),B2,AD403),AD403))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2017-02-16T03:40:08Z</dcterms:created>
  <dcterms:modified xsi:type="dcterms:W3CDTF">2017-02-17T04:31:35Z</dcterms:modified>
</cp:coreProperties>
</file>