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efak\documents\visual studio 2013\Projects\Excel VM\Excel VM\test cases - compiler AST\"/>
    </mc:Choice>
  </mc:AlternateContent>
  <bookViews>
    <workbookView xWindow="0" yWindow="0" windowWidth="15345" windowHeight="6555"/>
  </bookViews>
  <sheets>
    <sheet name="Sheet1" sheetId="1" r:id="rId1"/>
  </sheets>
  <calcPr calcId="152511" calcMode="manual" iterate="1" iterateDelta="0" calcCompleted="0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03" i="1" l="1"/>
  <c r="I203" i="1"/>
  <c r="H203" i="1"/>
  <c r="G203" i="1"/>
  <c r="F203" i="1"/>
  <c r="E203" i="1"/>
  <c r="C203" i="1"/>
  <c r="B203" i="1"/>
  <c r="A203" i="1"/>
  <c r="J202" i="1"/>
  <c r="I202" i="1"/>
  <c r="H202" i="1"/>
  <c r="G202" i="1"/>
  <c r="F202" i="1"/>
  <c r="E202" i="1"/>
  <c r="C202" i="1"/>
  <c r="B202" i="1"/>
  <c r="A202" i="1"/>
  <c r="J201" i="1"/>
  <c r="I201" i="1"/>
  <c r="H201" i="1"/>
  <c r="G201" i="1"/>
  <c r="F201" i="1"/>
  <c r="E201" i="1"/>
  <c r="C201" i="1"/>
  <c r="B201" i="1"/>
  <c r="A201" i="1"/>
  <c r="J200" i="1"/>
  <c r="I200" i="1"/>
  <c r="H200" i="1"/>
  <c r="G200" i="1"/>
  <c r="F200" i="1"/>
  <c r="E200" i="1"/>
  <c r="C200" i="1"/>
  <c r="B200" i="1"/>
  <c r="A200" i="1"/>
  <c r="J199" i="1"/>
  <c r="I199" i="1"/>
  <c r="H199" i="1"/>
  <c r="G199" i="1"/>
  <c r="F199" i="1"/>
  <c r="E199" i="1"/>
  <c r="C199" i="1"/>
  <c r="B199" i="1"/>
  <c r="A199" i="1"/>
  <c r="J198" i="1"/>
  <c r="I198" i="1"/>
  <c r="H198" i="1"/>
  <c r="G198" i="1"/>
  <c r="F198" i="1"/>
  <c r="E198" i="1"/>
  <c r="C198" i="1"/>
  <c r="B198" i="1"/>
  <c r="A198" i="1"/>
  <c r="J197" i="1"/>
  <c r="I197" i="1"/>
  <c r="H197" i="1"/>
  <c r="G197" i="1"/>
  <c r="F197" i="1"/>
  <c r="E197" i="1"/>
  <c r="C197" i="1"/>
  <c r="B197" i="1"/>
  <c r="A197" i="1"/>
  <c r="J196" i="1"/>
  <c r="I196" i="1"/>
  <c r="H196" i="1"/>
  <c r="G196" i="1"/>
  <c r="F196" i="1"/>
  <c r="E196" i="1"/>
  <c r="C196" i="1"/>
  <c r="B196" i="1"/>
  <c r="A196" i="1"/>
  <c r="J195" i="1"/>
  <c r="I195" i="1"/>
  <c r="H195" i="1"/>
  <c r="G195" i="1"/>
  <c r="F195" i="1"/>
  <c r="E195" i="1"/>
  <c r="C195" i="1"/>
  <c r="B195" i="1"/>
  <c r="A195" i="1"/>
  <c r="J194" i="1"/>
  <c r="I194" i="1"/>
  <c r="H194" i="1"/>
  <c r="G194" i="1"/>
  <c r="F194" i="1"/>
  <c r="E194" i="1"/>
  <c r="C194" i="1"/>
  <c r="B194" i="1"/>
  <c r="A194" i="1"/>
  <c r="J193" i="1"/>
  <c r="I193" i="1"/>
  <c r="H193" i="1"/>
  <c r="G193" i="1"/>
  <c r="F193" i="1"/>
  <c r="E193" i="1"/>
  <c r="C193" i="1"/>
  <c r="B193" i="1"/>
  <c r="A193" i="1"/>
  <c r="J192" i="1"/>
  <c r="I192" i="1"/>
  <c r="H192" i="1"/>
  <c r="G192" i="1"/>
  <c r="F192" i="1"/>
  <c r="E192" i="1"/>
  <c r="C192" i="1"/>
  <c r="B192" i="1"/>
  <c r="A192" i="1"/>
  <c r="J191" i="1"/>
  <c r="I191" i="1"/>
  <c r="H191" i="1"/>
  <c r="G191" i="1"/>
  <c r="F191" i="1"/>
  <c r="E191" i="1"/>
  <c r="C191" i="1"/>
  <c r="B191" i="1"/>
  <c r="A191" i="1"/>
  <c r="J190" i="1"/>
  <c r="I190" i="1"/>
  <c r="H190" i="1"/>
  <c r="G190" i="1"/>
  <c r="F190" i="1"/>
  <c r="E190" i="1"/>
  <c r="C190" i="1"/>
  <c r="B190" i="1"/>
  <c r="A190" i="1"/>
  <c r="J189" i="1"/>
  <c r="I189" i="1"/>
  <c r="H189" i="1"/>
  <c r="G189" i="1"/>
  <c r="F189" i="1"/>
  <c r="E189" i="1"/>
  <c r="C189" i="1"/>
  <c r="B189" i="1"/>
  <c r="A189" i="1"/>
  <c r="J188" i="1"/>
  <c r="I188" i="1"/>
  <c r="H188" i="1"/>
  <c r="G188" i="1"/>
  <c r="F188" i="1"/>
  <c r="E188" i="1"/>
  <c r="C188" i="1"/>
  <c r="B188" i="1"/>
  <c r="A188" i="1"/>
  <c r="J187" i="1"/>
  <c r="I187" i="1"/>
  <c r="H187" i="1"/>
  <c r="G187" i="1"/>
  <c r="F187" i="1"/>
  <c r="E187" i="1"/>
  <c r="C187" i="1"/>
  <c r="B187" i="1"/>
  <c r="A187" i="1"/>
  <c r="J186" i="1"/>
  <c r="I186" i="1"/>
  <c r="H186" i="1"/>
  <c r="G186" i="1"/>
  <c r="F186" i="1"/>
  <c r="E186" i="1"/>
  <c r="C186" i="1"/>
  <c r="B186" i="1"/>
  <c r="A186" i="1"/>
  <c r="J185" i="1"/>
  <c r="I185" i="1"/>
  <c r="H185" i="1"/>
  <c r="G185" i="1"/>
  <c r="F185" i="1"/>
  <c r="E185" i="1"/>
  <c r="C185" i="1"/>
  <c r="B185" i="1"/>
  <c r="A185" i="1"/>
  <c r="J184" i="1"/>
  <c r="I184" i="1"/>
  <c r="H184" i="1"/>
  <c r="G184" i="1"/>
  <c r="F184" i="1"/>
  <c r="E184" i="1"/>
  <c r="C184" i="1"/>
  <c r="B184" i="1"/>
  <c r="A184" i="1"/>
  <c r="J183" i="1"/>
  <c r="I183" i="1"/>
  <c r="H183" i="1"/>
  <c r="G183" i="1"/>
  <c r="F183" i="1"/>
  <c r="E183" i="1"/>
  <c r="C183" i="1"/>
  <c r="B183" i="1"/>
  <c r="A183" i="1"/>
  <c r="J182" i="1"/>
  <c r="I182" i="1"/>
  <c r="H182" i="1"/>
  <c r="G182" i="1"/>
  <c r="F182" i="1"/>
  <c r="E182" i="1"/>
  <c r="C182" i="1"/>
  <c r="B182" i="1"/>
  <c r="A182" i="1"/>
  <c r="J181" i="1"/>
  <c r="I181" i="1"/>
  <c r="H181" i="1"/>
  <c r="G181" i="1"/>
  <c r="F181" i="1"/>
  <c r="E181" i="1"/>
  <c r="C181" i="1"/>
  <c r="B181" i="1"/>
  <c r="A181" i="1"/>
  <c r="J180" i="1"/>
  <c r="I180" i="1"/>
  <c r="H180" i="1"/>
  <c r="G180" i="1"/>
  <c r="F180" i="1"/>
  <c r="E180" i="1"/>
  <c r="C180" i="1"/>
  <c r="B180" i="1"/>
  <c r="A180" i="1"/>
  <c r="J179" i="1"/>
  <c r="I179" i="1"/>
  <c r="H179" i="1"/>
  <c r="G179" i="1"/>
  <c r="F179" i="1"/>
  <c r="E179" i="1"/>
  <c r="C179" i="1"/>
  <c r="B179" i="1"/>
  <c r="A179" i="1"/>
  <c r="J178" i="1"/>
  <c r="I178" i="1"/>
  <c r="H178" i="1"/>
  <c r="G178" i="1"/>
  <c r="F178" i="1"/>
  <c r="E178" i="1"/>
  <c r="C178" i="1"/>
  <c r="B178" i="1"/>
  <c r="A178" i="1"/>
  <c r="J177" i="1"/>
  <c r="I177" i="1"/>
  <c r="H177" i="1"/>
  <c r="G177" i="1"/>
  <c r="F177" i="1"/>
  <c r="E177" i="1"/>
  <c r="C177" i="1"/>
  <c r="B177" i="1"/>
  <c r="A177" i="1"/>
  <c r="J176" i="1"/>
  <c r="I176" i="1"/>
  <c r="H176" i="1"/>
  <c r="G176" i="1"/>
  <c r="F176" i="1"/>
  <c r="E176" i="1"/>
  <c r="C176" i="1"/>
  <c r="B176" i="1"/>
  <c r="A176" i="1"/>
  <c r="J175" i="1"/>
  <c r="I175" i="1"/>
  <c r="H175" i="1"/>
  <c r="G175" i="1"/>
  <c r="F175" i="1"/>
  <c r="E175" i="1"/>
  <c r="C175" i="1"/>
  <c r="B175" i="1"/>
  <c r="A175" i="1"/>
  <c r="J174" i="1"/>
  <c r="I174" i="1"/>
  <c r="H174" i="1"/>
  <c r="G174" i="1"/>
  <c r="F174" i="1"/>
  <c r="E174" i="1"/>
  <c r="C174" i="1"/>
  <c r="B174" i="1"/>
  <c r="A174" i="1"/>
  <c r="J173" i="1"/>
  <c r="I173" i="1"/>
  <c r="H173" i="1"/>
  <c r="G173" i="1"/>
  <c r="F173" i="1"/>
  <c r="E173" i="1"/>
  <c r="C173" i="1"/>
  <c r="B173" i="1"/>
  <c r="A173" i="1"/>
  <c r="J172" i="1"/>
  <c r="I172" i="1"/>
  <c r="H172" i="1"/>
  <c r="G172" i="1"/>
  <c r="F172" i="1"/>
  <c r="E172" i="1"/>
  <c r="C172" i="1"/>
  <c r="B172" i="1"/>
  <c r="A172" i="1"/>
  <c r="J171" i="1"/>
  <c r="I171" i="1"/>
  <c r="H171" i="1"/>
  <c r="G171" i="1"/>
  <c r="F171" i="1"/>
  <c r="E171" i="1"/>
  <c r="C171" i="1"/>
  <c r="B171" i="1"/>
  <c r="A171" i="1"/>
  <c r="J170" i="1"/>
  <c r="I170" i="1"/>
  <c r="H170" i="1"/>
  <c r="G170" i="1"/>
  <c r="F170" i="1"/>
  <c r="E170" i="1"/>
  <c r="C170" i="1"/>
  <c r="B170" i="1"/>
  <c r="A170" i="1"/>
  <c r="J169" i="1"/>
  <c r="I169" i="1"/>
  <c r="H169" i="1"/>
  <c r="G169" i="1"/>
  <c r="F169" i="1"/>
  <c r="E169" i="1"/>
  <c r="C169" i="1"/>
  <c r="B169" i="1"/>
  <c r="A169" i="1"/>
  <c r="J168" i="1"/>
  <c r="I168" i="1"/>
  <c r="H168" i="1"/>
  <c r="G168" i="1"/>
  <c r="F168" i="1"/>
  <c r="E168" i="1"/>
  <c r="C168" i="1"/>
  <c r="B168" i="1"/>
  <c r="A168" i="1"/>
  <c r="J167" i="1"/>
  <c r="I167" i="1"/>
  <c r="H167" i="1"/>
  <c r="G167" i="1"/>
  <c r="F167" i="1"/>
  <c r="E167" i="1"/>
  <c r="C167" i="1"/>
  <c r="B167" i="1"/>
  <c r="A167" i="1"/>
  <c r="J166" i="1"/>
  <c r="I166" i="1"/>
  <c r="H166" i="1"/>
  <c r="G166" i="1"/>
  <c r="F166" i="1"/>
  <c r="E166" i="1"/>
  <c r="C166" i="1"/>
  <c r="B166" i="1"/>
  <c r="A166" i="1"/>
  <c r="J165" i="1"/>
  <c r="I165" i="1"/>
  <c r="H165" i="1"/>
  <c r="G165" i="1"/>
  <c r="F165" i="1"/>
  <c r="E165" i="1"/>
  <c r="C165" i="1"/>
  <c r="B165" i="1"/>
  <c r="A165" i="1"/>
  <c r="J164" i="1"/>
  <c r="I164" i="1"/>
  <c r="H164" i="1"/>
  <c r="G164" i="1"/>
  <c r="F164" i="1"/>
  <c r="E164" i="1"/>
  <c r="C164" i="1"/>
  <c r="B164" i="1"/>
  <c r="A164" i="1"/>
  <c r="J163" i="1"/>
  <c r="I163" i="1"/>
  <c r="H163" i="1"/>
  <c r="G163" i="1"/>
  <c r="F163" i="1"/>
  <c r="E163" i="1"/>
  <c r="C163" i="1"/>
  <c r="B163" i="1"/>
  <c r="A163" i="1"/>
  <c r="J162" i="1"/>
  <c r="I162" i="1"/>
  <c r="H162" i="1"/>
  <c r="G162" i="1"/>
  <c r="F162" i="1"/>
  <c r="E162" i="1"/>
  <c r="C162" i="1"/>
  <c r="B162" i="1"/>
  <c r="A162" i="1"/>
  <c r="J161" i="1"/>
  <c r="I161" i="1"/>
  <c r="H161" i="1"/>
  <c r="G161" i="1"/>
  <c r="F161" i="1"/>
  <c r="E161" i="1"/>
  <c r="C161" i="1"/>
  <c r="B161" i="1"/>
  <c r="A161" i="1"/>
  <c r="J160" i="1"/>
  <c r="I160" i="1"/>
  <c r="H160" i="1"/>
  <c r="G160" i="1"/>
  <c r="F160" i="1"/>
  <c r="E160" i="1"/>
  <c r="C160" i="1"/>
  <c r="B160" i="1"/>
  <c r="A160" i="1"/>
  <c r="J159" i="1"/>
  <c r="I159" i="1"/>
  <c r="H159" i="1"/>
  <c r="G159" i="1"/>
  <c r="F159" i="1"/>
  <c r="E159" i="1"/>
  <c r="C159" i="1"/>
  <c r="B159" i="1"/>
  <c r="A159" i="1"/>
  <c r="J158" i="1"/>
  <c r="I158" i="1"/>
  <c r="H158" i="1"/>
  <c r="G158" i="1"/>
  <c r="F158" i="1"/>
  <c r="E158" i="1"/>
  <c r="C158" i="1"/>
  <c r="B158" i="1"/>
  <c r="A158" i="1"/>
  <c r="J157" i="1"/>
  <c r="I157" i="1"/>
  <c r="H157" i="1"/>
  <c r="G157" i="1"/>
  <c r="F157" i="1"/>
  <c r="E157" i="1"/>
  <c r="C157" i="1"/>
  <c r="B157" i="1"/>
  <c r="A157" i="1"/>
  <c r="J156" i="1"/>
  <c r="I156" i="1"/>
  <c r="H156" i="1"/>
  <c r="G156" i="1"/>
  <c r="F156" i="1"/>
  <c r="E156" i="1"/>
  <c r="C156" i="1"/>
  <c r="B156" i="1"/>
  <c r="A156" i="1"/>
  <c r="J155" i="1"/>
  <c r="I155" i="1"/>
  <c r="H155" i="1"/>
  <c r="G155" i="1"/>
  <c r="F155" i="1"/>
  <c r="E155" i="1"/>
  <c r="C155" i="1"/>
  <c r="B155" i="1"/>
  <c r="A155" i="1"/>
  <c r="J154" i="1"/>
  <c r="I154" i="1"/>
  <c r="H154" i="1"/>
  <c r="G154" i="1"/>
  <c r="F154" i="1"/>
  <c r="E154" i="1"/>
  <c r="C154" i="1"/>
  <c r="B154" i="1"/>
  <c r="A154" i="1"/>
  <c r="J153" i="1"/>
  <c r="I153" i="1"/>
  <c r="H153" i="1"/>
  <c r="G153" i="1"/>
  <c r="F153" i="1"/>
  <c r="E153" i="1"/>
  <c r="C153" i="1"/>
  <c r="B153" i="1"/>
  <c r="A153" i="1"/>
  <c r="J152" i="1"/>
  <c r="I152" i="1"/>
  <c r="H152" i="1"/>
  <c r="G152" i="1"/>
  <c r="F152" i="1"/>
  <c r="E152" i="1"/>
  <c r="C152" i="1"/>
  <c r="B152" i="1"/>
  <c r="A152" i="1"/>
  <c r="J151" i="1"/>
  <c r="I151" i="1"/>
  <c r="H151" i="1"/>
  <c r="G151" i="1"/>
  <c r="F151" i="1"/>
  <c r="E151" i="1"/>
  <c r="C151" i="1"/>
  <c r="B151" i="1"/>
  <c r="A151" i="1"/>
  <c r="J150" i="1"/>
  <c r="I150" i="1"/>
  <c r="H150" i="1"/>
  <c r="G150" i="1"/>
  <c r="F150" i="1"/>
  <c r="E150" i="1"/>
  <c r="C150" i="1"/>
  <c r="B150" i="1"/>
  <c r="A150" i="1"/>
  <c r="J149" i="1"/>
  <c r="I149" i="1"/>
  <c r="H149" i="1"/>
  <c r="G149" i="1"/>
  <c r="F149" i="1"/>
  <c r="E149" i="1"/>
  <c r="C149" i="1"/>
  <c r="B149" i="1"/>
  <c r="A149" i="1"/>
  <c r="J148" i="1"/>
  <c r="I148" i="1"/>
  <c r="H148" i="1"/>
  <c r="G148" i="1"/>
  <c r="F148" i="1"/>
  <c r="E148" i="1"/>
  <c r="C148" i="1"/>
  <c r="B148" i="1"/>
  <c r="A148" i="1"/>
  <c r="J147" i="1"/>
  <c r="I147" i="1"/>
  <c r="H147" i="1"/>
  <c r="G147" i="1"/>
  <c r="F147" i="1"/>
  <c r="E147" i="1"/>
  <c r="C147" i="1"/>
  <c r="B147" i="1"/>
  <c r="A147" i="1"/>
  <c r="J146" i="1"/>
  <c r="I146" i="1"/>
  <c r="H146" i="1"/>
  <c r="G146" i="1"/>
  <c r="F146" i="1"/>
  <c r="E146" i="1"/>
  <c r="C146" i="1"/>
  <c r="B146" i="1"/>
  <c r="A146" i="1"/>
  <c r="J145" i="1"/>
  <c r="I145" i="1"/>
  <c r="H145" i="1"/>
  <c r="G145" i="1"/>
  <c r="F145" i="1"/>
  <c r="E145" i="1"/>
  <c r="C145" i="1"/>
  <c r="B145" i="1"/>
  <c r="A145" i="1"/>
  <c r="J144" i="1"/>
  <c r="I144" i="1"/>
  <c r="H144" i="1"/>
  <c r="G144" i="1"/>
  <c r="F144" i="1"/>
  <c r="E144" i="1"/>
  <c r="C144" i="1"/>
  <c r="B144" i="1"/>
  <c r="A144" i="1"/>
  <c r="J143" i="1"/>
  <c r="I143" i="1"/>
  <c r="H143" i="1"/>
  <c r="G143" i="1"/>
  <c r="F143" i="1"/>
  <c r="E143" i="1"/>
  <c r="C143" i="1"/>
  <c r="B143" i="1"/>
  <c r="A143" i="1"/>
  <c r="J142" i="1"/>
  <c r="I142" i="1"/>
  <c r="H142" i="1"/>
  <c r="G142" i="1"/>
  <c r="F142" i="1"/>
  <c r="E142" i="1"/>
  <c r="C142" i="1"/>
  <c r="B142" i="1"/>
  <c r="A142" i="1"/>
  <c r="J141" i="1"/>
  <c r="I141" i="1"/>
  <c r="H141" i="1"/>
  <c r="G141" i="1"/>
  <c r="F141" i="1"/>
  <c r="E141" i="1"/>
  <c r="C141" i="1"/>
  <c r="B141" i="1"/>
  <c r="A141" i="1"/>
  <c r="J140" i="1"/>
  <c r="I140" i="1"/>
  <c r="H140" i="1"/>
  <c r="G140" i="1"/>
  <c r="F140" i="1"/>
  <c r="E140" i="1"/>
  <c r="C140" i="1"/>
  <c r="B140" i="1"/>
  <c r="A140" i="1"/>
  <c r="J139" i="1"/>
  <c r="I139" i="1"/>
  <c r="H139" i="1"/>
  <c r="G139" i="1"/>
  <c r="F139" i="1"/>
  <c r="E139" i="1"/>
  <c r="C139" i="1"/>
  <c r="B139" i="1"/>
  <c r="A139" i="1"/>
  <c r="J138" i="1"/>
  <c r="I138" i="1"/>
  <c r="H138" i="1"/>
  <c r="G138" i="1"/>
  <c r="F138" i="1"/>
  <c r="E138" i="1"/>
  <c r="C138" i="1"/>
  <c r="B138" i="1"/>
  <c r="A138" i="1"/>
  <c r="J137" i="1"/>
  <c r="I137" i="1"/>
  <c r="H137" i="1"/>
  <c r="G137" i="1"/>
  <c r="F137" i="1"/>
  <c r="E137" i="1"/>
  <c r="C137" i="1"/>
  <c r="B137" i="1"/>
  <c r="A137" i="1"/>
  <c r="J136" i="1"/>
  <c r="I136" i="1"/>
  <c r="H136" i="1"/>
  <c r="G136" i="1"/>
  <c r="F136" i="1"/>
  <c r="E136" i="1"/>
  <c r="C136" i="1"/>
  <c r="B136" i="1"/>
  <c r="A136" i="1"/>
  <c r="J135" i="1"/>
  <c r="I135" i="1"/>
  <c r="H135" i="1"/>
  <c r="G135" i="1"/>
  <c r="F135" i="1"/>
  <c r="E135" i="1"/>
  <c r="C135" i="1"/>
  <c r="B135" i="1"/>
  <c r="A135" i="1"/>
  <c r="J134" i="1"/>
  <c r="I134" i="1"/>
  <c r="H134" i="1"/>
  <c r="G134" i="1"/>
  <c r="F134" i="1"/>
  <c r="E134" i="1"/>
  <c r="C134" i="1"/>
  <c r="B134" i="1"/>
  <c r="A134" i="1"/>
  <c r="J133" i="1"/>
  <c r="I133" i="1"/>
  <c r="H133" i="1"/>
  <c r="G133" i="1"/>
  <c r="F133" i="1"/>
  <c r="E133" i="1"/>
  <c r="C133" i="1"/>
  <c r="B133" i="1"/>
  <c r="A133" i="1"/>
  <c r="J132" i="1"/>
  <c r="I132" i="1"/>
  <c r="H132" i="1"/>
  <c r="G132" i="1"/>
  <c r="F132" i="1"/>
  <c r="E132" i="1"/>
  <c r="C132" i="1"/>
  <c r="B132" i="1"/>
  <c r="A132" i="1"/>
  <c r="J131" i="1"/>
  <c r="I131" i="1"/>
  <c r="H131" i="1"/>
  <c r="G131" i="1"/>
  <c r="F131" i="1"/>
  <c r="E131" i="1"/>
  <c r="C131" i="1"/>
  <c r="B131" i="1"/>
  <c r="A131" i="1"/>
  <c r="J130" i="1"/>
  <c r="I130" i="1"/>
  <c r="H130" i="1"/>
  <c r="G130" i="1"/>
  <c r="F130" i="1"/>
  <c r="E130" i="1"/>
  <c r="C130" i="1"/>
  <c r="B130" i="1"/>
  <c r="A130" i="1"/>
  <c r="J129" i="1"/>
  <c r="I129" i="1"/>
  <c r="H129" i="1"/>
  <c r="G129" i="1"/>
  <c r="F129" i="1"/>
  <c r="E129" i="1"/>
  <c r="C129" i="1"/>
  <c r="B129" i="1"/>
  <c r="A129" i="1"/>
  <c r="J128" i="1"/>
  <c r="I128" i="1"/>
  <c r="H128" i="1"/>
  <c r="G128" i="1"/>
  <c r="F128" i="1"/>
  <c r="E128" i="1"/>
  <c r="C128" i="1"/>
  <c r="B128" i="1"/>
  <c r="A128" i="1"/>
  <c r="J127" i="1"/>
  <c r="I127" i="1"/>
  <c r="H127" i="1"/>
  <c r="G127" i="1"/>
  <c r="F127" i="1"/>
  <c r="E127" i="1"/>
  <c r="C127" i="1"/>
  <c r="B127" i="1"/>
  <c r="A127" i="1"/>
  <c r="J126" i="1"/>
  <c r="I126" i="1"/>
  <c r="H126" i="1"/>
  <c r="G126" i="1"/>
  <c r="F126" i="1"/>
  <c r="E126" i="1"/>
  <c r="C126" i="1"/>
  <c r="B126" i="1"/>
  <c r="A126" i="1"/>
  <c r="J125" i="1"/>
  <c r="I125" i="1"/>
  <c r="H125" i="1"/>
  <c r="G125" i="1"/>
  <c r="F125" i="1"/>
  <c r="E125" i="1"/>
  <c r="C125" i="1"/>
  <c r="B125" i="1"/>
  <c r="A125" i="1"/>
  <c r="J124" i="1"/>
  <c r="I124" i="1"/>
  <c r="H124" i="1"/>
  <c r="G124" i="1"/>
  <c r="F124" i="1"/>
  <c r="E124" i="1"/>
  <c r="C124" i="1"/>
  <c r="B124" i="1"/>
  <c r="A124" i="1"/>
  <c r="J123" i="1"/>
  <c r="I123" i="1"/>
  <c r="H123" i="1"/>
  <c r="G123" i="1"/>
  <c r="F123" i="1"/>
  <c r="E123" i="1"/>
  <c r="C123" i="1"/>
  <c r="B123" i="1"/>
  <c r="A123" i="1"/>
  <c r="J122" i="1"/>
  <c r="I122" i="1"/>
  <c r="H122" i="1"/>
  <c r="G122" i="1"/>
  <c r="F122" i="1"/>
  <c r="E122" i="1"/>
  <c r="C122" i="1"/>
  <c r="B122" i="1"/>
  <c r="A122" i="1"/>
  <c r="J121" i="1"/>
  <c r="I121" i="1"/>
  <c r="H121" i="1"/>
  <c r="G121" i="1"/>
  <c r="F121" i="1"/>
  <c r="E121" i="1"/>
  <c r="C121" i="1"/>
  <c r="B121" i="1"/>
  <c r="A121" i="1"/>
  <c r="J120" i="1"/>
  <c r="I120" i="1"/>
  <c r="H120" i="1"/>
  <c r="G120" i="1"/>
  <c r="F120" i="1"/>
  <c r="E120" i="1"/>
  <c r="C120" i="1"/>
  <c r="B120" i="1"/>
  <c r="A120" i="1"/>
  <c r="J119" i="1"/>
  <c r="I119" i="1"/>
  <c r="H119" i="1"/>
  <c r="G119" i="1"/>
  <c r="F119" i="1"/>
  <c r="E119" i="1"/>
  <c r="C119" i="1"/>
  <c r="B119" i="1"/>
  <c r="A119" i="1"/>
  <c r="J118" i="1"/>
  <c r="I118" i="1"/>
  <c r="H118" i="1"/>
  <c r="G118" i="1"/>
  <c r="F118" i="1"/>
  <c r="E118" i="1"/>
  <c r="C118" i="1"/>
  <c r="B118" i="1"/>
  <c r="A118" i="1"/>
  <c r="J117" i="1"/>
  <c r="I117" i="1"/>
  <c r="H117" i="1"/>
  <c r="G117" i="1"/>
  <c r="F117" i="1"/>
  <c r="E117" i="1"/>
  <c r="C117" i="1"/>
  <c r="B117" i="1"/>
  <c r="A117" i="1"/>
  <c r="J116" i="1"/>
  <c r="I116" i="1"/>
  <c r="H116" i="1"/>
  <c r="G116" i="1"/>
  <c r="F116" i="1"/>
  <c r="E116" i="1"/>
  <c r="C116" i="1"/>
  <c r="B116" i="1"/>
  <c r="A116" i="1"/>
  <c r="J115" i="1"/>
  <c r="I115" i="1"/>
  <c r="H115" i="1"/>
  <c r="G115" i="1"/>
  <c r="F115" i="1"/>
  <c r="E115" i="1"/>
  <c r="C115" i="1"/>
  <c r="B115" i="1"/>
  <c r="A115" i="1"/>
  <c r="J114" i="1"/>
  <c r="I114" i="1"/>
  <c r="H114" i="1"/>
  <c r="G114" i="1"/>
  <c r="F114" i="1"/>
  <c r="E114" i="1"/>
  <c r="C114" i="1"/>
  <c r="B114" i="1"/>
  <c r="A114" i="1"/>
  <c r="J113" i="1"/>
  <c r="I113" i="1"/>
  <c r="H113" i="1"/>
  <c r="G113" i="1"/>
  <c r="F113" i="1"/>
  <c r="E113" i="1"/>
  <c r="C113" i="1"/>
  <c r="B113" i="1"/>
  <c r="A113" i="1"/>
  <c r="J112" i="1"/>
  <c r="I112" i="1"/>
  <c r="H112" i="1"/>
  <c r="G112" i="1"/>
  <c r="F112" i="1"/>
  <c r="E112" i="1"/>
  <c r="C112" i="1"/>
  <c r="B112" i="1"/>
  <c r="A112" i="1"/>
  <c r="J111" i="1"/>
  <c r="I111" i="1"/>
  <c r="H111" i="1"/>
  <c r="G111" i="1"/>
  <c r="F111" i="1"/>
  <c r="E111" i="1"/>
  <c r="C111" i="1"/>
  <c r="B111" i="1"/>
  <c r="A111" i="1"/>
  <c r="J110" i="1"/>
  <c r="I110" i="1"/>
  <c r="H110" i="1"/>
  <c r="G110" i="1"/>
  <c r="F110" i="1"/>
  <c r="E110" i="1"/>
  <c r="C110" i="1"/>
  <c r="B110" i="1"/>
  <c r="A110" i="1"/>
  <c r="J109" i="1"/>
  <c r="I109" i="1"/>
  <c r="H109" i="1"/>
  <c r="G109" i="1"/>
  <c r="F109" i="1"/>
  <c r="E109" i="1"/>
  <c r="C109" i="1"/>
  <c r="B109" i="1"/>
  <c r="A109" i="1"/>
  <c r="J108" i="1"/>
  <c r="I108" i="1"/>
  <c r="H108" i="1"/>
  <c r="G108" i="1"/>
  <c r="F108" i="1"/>
  <c r="E108" i="1"/>
  <c r="C108" i="1"/>
  <c r="B108" i="1"/>
  <c r="A108" i="1"/>
  <c r="J107" i="1"/>
  <c r="I107" i="1"/>
  <c r="H107" i="1"/>
  <c r="G107" i="1"/>
  <c r="F107" i="1"/>
  <c r="E107" i="1"/>
  <c r="C107" i="1"/>
  <c r="B107" i="1"/>
  <c r="A107" i="1"/>
  <c r="J106" i="1"/>
  <c r="I106" i="1"/>
  <c r="H106" i="1"/>
  <c r="G106" i="1"/>
  <c r="F106" i="1"/>
  <c r="E106" i="1"/>
  <c r="C106" i="1"/>
  <c r="B106" i="1"/>
  <c r="A106" i="1"/>
  <c r="J105" i="1"/>
  <c r="I105" i="1"/>
  <c r="H105" i="1"/>
  <c r="G105" i="1"/>
  <c r="F105" i="1"/>
  <c r="E105" i="1"/>
  <c r="C105" i="1"/>
  <c r="B105" i="1"/>
  <c r="A105" i="1"/>
  <c r="J104" i="1"/>
  <c r="I104" i="1"/>
  <c r="H104" i="1"/>
  <c r="G104" i="1"/>
  <c r="F104" i="1"/>
  <c r="E104" i="1"/>
  <c r="C104" i="1"/>
  <c r="B104" i="1"/>
  <c r="A104" i="1"/>
  <c r="J103" i="1"/>
  <c r="I103" i="1"/>
  <c r="H103" i="1"/>
  <c r="G103" i="1"/>
  <c r="F103" i="1"/>
  <c r="E103" i="1"/>
  <c r="C103" i="1"/>
  <c r="B103" i="1"/>
  <c r="A103" i="1"/>
  <c r="J102" i="1"/>
  <c r="I102" i="1"/>
  <c r="H102" i="1"/>
  <c r="G102" i="1"/>
  <c r="F102" i="1"/>
  <c r="E102" i="1"/>
  <c r="C102" i="1"/>
  <c r="B102" i="1"/>
  <c r="A102" i="1"/>
  <c r="J101" i="1"/>
  <c r="I101" i="1"/>
  <c r="H101" i="1"/>
  <c r="G101" i="1"/>
  <c r="F101" i="1"/>
  <c r="E101" i="1"/>
  <c r="C101" i="1"/>
  <c r="B101" i="1"/>
  <c r="A101" i="1"/>
  <c r="J100" i="1"/>
  <c r="I100" i="1"/>
  <c r="H100" i="1"/>
  <c r="G100" i="1"/>
  <c r="F100" i="1"/>
  <c r="E100" i="1"/>
  <c r="C100" i="1"/>
  <c r="B100" i="1"/>
  <c r="A100" i="1"/>
  <c r="J99" i="1"/>
  <c r="I99" i="1"/>
  <c r="H99" i="1"/>
  <c r="G99" i="1"/>
  <c r="F99" i="1"/>
  <c r="E99" i="1"/>
  <c r="C99" i="1"/>
  <c r="B99" i="1"/>
  <c r="A99" i="1"/>
  <c r="J98" i="1"/>
  <c r="I98" i="1"/>
  <c r="H98" i="1"/>
  <c r="G98" i="1"/>
  <c r="F98" i="1"/>
  <c r="E98" i="1"/>
  <c r="C98" i="1"/>
  <c r="B98" i="1"/>
  <c r="A98" i="1"/>
  <c r="J97" i="1"/>
  <c r="I97" i="1"/>
  <c r="H97" i="1"/>
  <c r="G97" i="1"/>
  <c r="F97" i="1"/>
  <c r="E97" i="1"/>
  <c r="C97" i="1"/>
  <c r="B97" i="1"/>
  <c r="A97" i="1"/>
  <c r="J96" i="1"/>
  <c r="I96" i="1"/>
  <c r="H96" i="1"/>
  <c r="G96" i="1"/>
  <c r="F96" i="1"/>
  <c r="E96" i="1"/>
  <c r="C96" i="1"/>
  <c r="B96" i="1"/>
  <c r="A96" i="1"/>
  <c r="J95" i="1"/>
  <c r="I95" i="1"/>
  <c r="H95" i="1"/>
  <c r="G95" i="1"/>
  <c r="F95" i="1"/>
  <c r="E95" i="1"/>
  <c r="C95" i="1"/>
  <c r="B95" i="1"/>
  <c r="A95" i="1"/>
  <c r="J94" i="1"/>
  <c r="I94" i="1"/>
  <c r="H94" i="1"/>
  <c r="G94" i="1"/>
  <c r="F94" i="1"/>
  <c r="E94" i="1"/>
  <c r="C94" i="1"/>
  <c r="B94" i="1"/>
  <c r="A94" i="1"/>
  <c r="J93" i="1"/>
  <c r="I93" i="1"/>
  <c r="H93" i="1"/>
  <c r="G93" i="1"/>
  <c r="F93" i="1"/>
  <c r="E93" i="1"/>
  <c r="C93" i="1"/>
  <c r="B93" i="1"/>
  <c r="A93" i="1"/>
  <c r="J92" i="1"/>
  <c r="I92" i="1"/>
  <c r="H92" i="1"/>
  <c r="G92" i="1"/>
  <c r="F92" i="1"/>
  <c r="E92" i="1"/>
  <c r="C92" i="1"/>
  <c r="B92" i="1"/>
  <c r="A92" i="1"/>
  <c r="J91" i="1"/>
  <c r="I91" i="1"/>
  <c r="H91" i="1"/>
  <c r="G91" i="1"/>
  <c r="F91" i="1"/>
  <c r="E91" i="1"/>
  <c r="C91" i="1"/>
  <c r="B91" i="1"/>
  <c r="A91" i="1"/>
  <c r="J90" i="1"/>
  <c r="I90" i="1"/>
  <c r="H90" i="1"/>
  <c r="G90" i="1"/>
  <c r="F90" i="1"/>
  <c r="E90" i="1"/>
  <c r="C90" i="1"/>
  <c r="B90" i="1"/>
  <c r="A90" i="1"/>
  <c r="J89" i="1"/>
  <c r="I89" i="1"/>
  <c r="H89" i="1"/>
  <c r="G89" i="1"/>
  <c r="F89" i="1"/>
  <c r="E89" i="1"/>
  <c r="C89" i="1"/>
  <c r="B89" i="1"/>
  <c r="A89" i="1"/>
  <c r="J88" i="1"/>
  <c r="I88" i="1"/>
  <c r="H88" i="1"/>
  <c r="G88" i="1"/>
  <c r="F88" i="1"/>
  <c r="E88" i="1"/>
  <c r="C88" i="1"/>
  <c r="B88" i="1"/>
  <c r="A88" i="1"/>
  <c r="J87" i="1"/>
  <c r="I87" i="1"/>
  <c r="H87" i="1"/>
  <c r="G87" i="1"/>
  <c r="F87" i="1"/>
  <c r="E87" i="1"/>
  <c r="C87" i="1"/>
  <c r="B87" i="1"/>
  <c r="A87" i="1"/>
  <c r="J86" i="1"/>
  <c r="I86" i="1"/>
  <c r="H86" i="1"/>
  <c r="G86" i="1"/>
  <c r="F86" i="1"/>
  <c r="E86" i="1"/>
  <c r="C86" i="1"/>
  <c r="B86" i="1"/>
  <c r="A86" i="1"/>
  <c r="J85" i="1"/>
  <c r="I85" i="1"/>
  <c r="H85" i="1"/>
  <c r="G85" i="1"/>
  <c r="F85" i="1"/>
  <c r="E85" i="1"/>
  <c r="C85" i="1"/>
  <c r="B85" i="1"/>
  <c r="A85" i="1"/>
  <c r="J84" i="1"/>
  <c r="I84" i="1"/>
  <c r="H84" i="1"/>
  <c r="G84" i="1"/>
  <c r="F84" i="1"/>
  <c r="E84" i="1"/>
  <c r="C84" i="1"/>
  <c r="B84" i="1"/>
  <c r="A84" i="1"/>
  <c r="J83" i="1"/>
  <c r="I83" i="1"/>
  <c r="H83" i="1"/>
  <c r="G83" i="1"/>
  <c r="F83" i="1"/>
  <c r="E83" i="1"/>
  <c r="C83" i="1"/>
  <c r="B83" i="1"/>
  <c r="A83" i="1"/>
  <c r="J82" i="1"/>
  <c r="I82" i="1"/>
  <c r="H82" i="1"/>
  <c r="G82" i="1"/>
  <c r="F82" i="1"/>
  <c r="E82" i="1"/>
  <c r="C82" i="1"/>
  <c r="B82" i="1"/>
  <c r="A82" i="1"/>
  <c r="J81" i="1"/>
  <c r="I81" i="1"/>
  <c r="H81" i="1"/>
  <c r="G81" i="1"/>
  <c r="F81" i="1"/>
  <c r="E81" i="1"/>
  <c r="C81" i="1"/>
  <c r="B81" i="1"/>
  <c r="A81" i="1"/>
  <c r="J80" i="1"/>
  <c r="I80" i="1"/>
  <c r="H80" i="1"/>
  <c r="G80" i="1"/>
  <c r="F80" i="1"/>
  <c r="E80" i="1"/>
  <c r="C80" i="1"/>
  <c r="B80" i="1"/>
  <c r="A80" i="1"/>
  <c r="J79" i="1"/>
  <c r="I79" i="1"/>
  <c r="H79" i="1"/>
  <c r="G79" i="1"/>
  <c r="F79" i="1"/>
  <c r="E79" i="1"/>
  <c r="C79" i="1"/>
  <c r="B79" i="1"/>
  <c r="A79" i="1"/>
  <c r="J78" i="1"/>
  <c r="I78" i="1"/>
  <c r="H78" i="1"/>
  <c r="G78" i="1"/>
  <c r="F78" i="1"/>
  <c r="E78" i="1"/>
  <c r="C78" i="1"/>
  <c r="B78" i="1"/>
  <c r="A78" i="1"/>
  <c r="J77" i="1"/>
  <c r="I77" i="1"/>
  <c r="H77" i="1"/>
  <c r="G77" i="1"/>
  <c r="F77" i="1"/>
  <c r="E77" i="1"/>
  <c r="C77" i="1"/>
  <c r="B77" i="1"/>
  <c r="A77" i="1"/>
  <c r="J76" i="1"/>
  <c r="I76" i="1"/>
  <c r="H76" i="1"/>
  <c r="G76" i="1"/>
  <c r="F76" i="1"/>
  <c r="E76" i="1"/>
  <c r="C76" i="1"/>
  <c r="B76" i="1"/>
  <c r="A76" i="1"/>
  <c r="J75" i="1"/>
  <c r="I75" i="1"/>
  <c r="H75" i="1"/>
  <c r="G75" i="1"/>
  <c r="F75" i="1"/>
  <c r="E75" i="1"/>
  <c r="C75" i="1"/>
  <c r="B75" i="1"/>
  <c r="A75" i="1"/>
  <c r="J74" i="1"/>
  <c r="I74" i="1"/>
  <c r="H74" i="1"/>
  <c r="G74" i="1"/>
  <c r="F74" i="1"/>
  <c r="E74" i="1"/>
  <c r="C74" i="1"/>
  <c r="B74" i="1"/>
  <c r="A74" i="1"/>
  <c r="J73" i="1"/>
  <c r="I73" i="1"/>
  <c r="H73" i="1"/>
  <c r="G73" i="1"/>
  <c r="F73" i="1"/>
  <c r="E73" i="1"/>
  <c r="C73" i="1"/>
  <c r="B73" i="1"/>
  <c r="A73" i="1"/>
  <c r="J72" i="1"/>
  <c r="I72" i="1"/>
  <c r="H72" i="1"/>
  <c r="G72" i="1"/>
  <c r="F72" i="1"/>
  <c r="E72" i="1"/>
  <c r="C72" i="1"/>
  <c r="B72" i="1"/>
  <c r="A72" i="1"/>
  <c r="J71" i="1"/>
  <c r="I71" i="1"/>
  <c r="H71" i="1"/>
  <c r="G71" i="1"/>
  <c r="F71" i="1"/>
  <c r="E71" i="1"/>
  <c r="C71" i="1"/>
  <c r="B71" i="1"/>
  <c r="A71" i="1"/>
  <c r="J70" i="1"/>
  <c r="I70" i="1"/>
  <c r="H70" i="1"/>
  <c r="G70" i="1"/>
  <c r="F70" i="1"/>
  <c r="E70" i="1"/>
  <c r="C70" i="1"/>
  <c r="B70" i="1"/>
  <c r="A70" i="1"/>
  <c r="J69" i="1"/>
  <c r="I69" i="1"/>
  <c r="H69" i="1"/>
  <c r="G69" i="1"/>
  <c r="F69" i="1"/>
  <c r="E69" i="1"/>
  <c r="C69" i="1"/>
  <c r="B69" i="1"/>
  <c r="A69" i="1"/>
  <c r="J68" i="1"/>
  <c r="I68" i="1"/>
  <c r="H68" i="1"/>
  <c r="G68" i="1"/>
  <c r="F68" i="1"/>
  <c r="E68" i="1"/>
  <c r="C68" i="1"/>
  <c r="B68" i="1"/>
  <c r="A68" i="1"/>
  <c r="J67" i="1"/>
  <c r="I67" i="1"/>
  <c r="H67" i="1"/>
  <c r="G67" i="1"/>
  <c r="F67" i="1"/>
  <c r="E67" i="1"/>
  <c r="C67" i="1"/>
  <c r="B67" i="1"/>
  <c r="A67" i="1"/>
  <c r="J66" i="1"/>
  <c r="I66" i="1"/>
  <c r="H66" i="1"/>
  <c r="G66" i="1"/>
  <c r="F66" i="1"/>
  <c r="E66" i="1"/>
  <c r="C66" i="1"/>
  <c r="B66" i="1"/>
  <c r="A66" i="1"/>
  <c r="J65" i="1"/>
  <c r="I65" i="1"/>
  <c r="H65" i="1"/>
  <c r="G65" i="1"/>
  <c r="F65" i="1"/>
  <c r="E65" i="1"/>
  <c r="C65" i="1"/>
  <c r="B65" i="1"/>
  <c r="A65" i="1"/>
  <c r="J64" i="1"/>
  <c r="I64" i="1"/>
  <c r="H64" i="1"/>
  <c r="G64" i="1"/>
  <c r="F64" i="1"/>
  <c r="E64" i="1"/>
  <c r="C64" i="1"/>
  <c r="B64" i="1"/>
  <c r="A64" i="1"/>
  <c r="J63" i="1"/>
  <c r="I63" i="1"/>
  <c r="H63" i="1"/>
  <c r="G63" i="1"/>
  <c r="F63" i="1"/>
  <c r="E63" i="1"/>
  <c r="C63" i="1"/>
  <c r="B63" i="1"/>
  <c r="A63" i="1"/>
  <c r="J62" i="1"/>
  <c r="I62" i="1"/>
  <c r="H62" i="1"/>
  <c r="G62" i="1"/>
  <c r="F62" i="1"/>
  <c r="E62" i="1"/>
  <c r="C62" i="1"/>
  <c r="B62" i="1"/>
  <c r="A62" i="1"/>
  <c r="J61" i="1"/>
  <c r="I61" i="1"/>
  <c r="H61" i="1"/>
  <c r="G61" i="1"/>
  <c r="F61" i="1"/>
  <c r="E61" i="1"/>
  <c r="C61" i="1"/>
  <c r="B61" i="1"/>
  <c r="A61" i="1"/>
  <c r="J60" i="1"/>
  <c r="I60" i="1"/>
  <c r="H60" i="1"/>
  <c r="G60" i="1"/>
  <c r="F60" i="1"/>
  <c r="E60" i="1"/>
  <c r="C60" i="1"/>
  <c r="B60" i="1"/>
  <c r="A60" i="1"/>
  <c r="J59" i="1"/>
  <c r="I59" i="1"/>
  <c r="H59" i="1"/>
  <c r="G59" i="1"/>
  <c r="F59" i="1"/>
  <c r="E59" i="1"/>
  <c r="C59" i="1"/>
  <c r="B59" i="1"/>
  <c r="A59" i="1"/>
  <c r="J58" i="1"/>
  <c r="I58" i="1"/>
  <c r="H58" i="1"/>
  <c r="G58" i="1"/>
  <c r="F58" i="1"/>
  <c r="E58" i="1"/>
  <c r="C58" i="1"/>
  <c r="B58" i="1"/>
  <c r="A58" i="1"/>
  <c r="J57" i="1"/>
  <c r="I57" i="1"/>
  <c r="H57" i="1"/>
  <c r="G57" i="1"/>
  <c r="F57" i="1"/>
  <c r="E57" i="1"/>
  <c r="C57" i="1"/>
  <c r="B57" i="1"/>
  <c r="A57" i="1"/>
  <c r="J56" i="1"/>
  <c r="I56" i="1"/>
  <c r="H56" i="1"/>
  <c r="G56" i="1"/>
  <c r="F56" i="1"/>
  <c r="E56" i="1"/>
  <c r="C56" i="1"/>
  <c r="B56" i="1"/>
  <c r="A56" i="1"/>
  <c r="J55" i="1"/>
  <c r="I55" i="1"/>
  <c r="H55" i="1"/>
  <c r="G55" i="1"/>
  <c r="F55" i="1"/>
  <c r="E55" i="1"/>
  <c r="C55" i="1"/>
  <c r="B55" i="1"/>
  <c r="A55" i="1"/>
  <c r="J54" i="1"/>
  <c r="I54" i="1"/>
  <c r="H54" i="1"/>
  <c r="G54" i="1"/>
  <c r="F54" i="1"/>
  <c r="E54" i="1"/>
  <c r="C54" i="1"/>
  <c r="B54" i="1"/>
  <c r="A54" i="1"/>
  <c r="J53" i="1"/>
  <c r="I53" i="1"/>
  <c r="H53" i="1"/>
  <c r="G53" i="1"/>
  <c r="F53" i="1"/>
  <c r="E53" i="1"/>
  <c r="C53" i="1"/>
  <c r="B53" i="1"/>
  <c r="A53" i="1"/>
  <c r="J52" i="1"/>
  <c r="I52" i="1"/>
  <c r="H52" i="1"/>
  <c r="G52" i="1"/>
  <c r="F52" i="1"/>
  <c r="E52" i="1"/>
  <c r="C52" i="1"/>
  <c r="B52" i="1"/>
  <c r="A52" i="1"/>
  <c r="J51" i="1"/>
  <c r="I51" i="1"/>
  <c r="H51" i="1"/>
  <c r="G51" i="1"/>
  <c r="F51" i="1"/>
  <c r="E51" i="1"/>
  <c r="C51" i="1"/>
  <c r="B51" i="1"/>
  <c r="A51" i="1"/>
  <c r="J50" i="1"/>
  <c r="I50" i="1"/>
  <c r="H50" i="1"/>
  <c r="G50" i="1"/>
  <c r="F50" i="1"/>
  <c r="E50" i="1"/>
  <c r="C50" i="1"/>
  <c r="B50" i="1"/>
  <c r="A50" i="1"/>
  <c r="J49" i="1"/>
  <c r="I49" i="1"/>
  <c r="H49" i="1"/>
  <c r="G49" i="1"/>
  <c r="F49" i="1"/>
  <c r="E49" i="1"/>
  <c r="C49" i="1"/>
  <c r="B49" i="1"/>
  <c r="A49" i="1"/>
  <c r="J48" i="1"/>
  <c r="I48" i="1"/>
  <c r="H48" i="1"/>
  <c r="G48" i="1"/>
  <c r="F48" i="1"/>
  <c r="E48" i="1"/>
  <c r="C48" i="1"/>
  <c r="B48" i="1"/>
  <c r="A48" i="1"/>
  <c r="J47" i="1"/>
  <c r="I47" i="1"/>
  <c r="H47" i="1"/>
  <c r="G47" i="1"/>
  <c r="F47" i="1"/>
  <c r="E47" i="1"/>
  <c r="C47" i="1"/>
  <c r="B47" i="1"/>
  <c r="A47" i="1"/>
  <c r="J46" i="1"/>
  <c r="I46" i="1"/>
  <c r="H46" i="1"/>
  <c r="G46" i="1"/>
  <c r="F46" i="1"/>
  <c r="E46" i="1"/>
  <c r="C46" i="1"/>
  <c r="B46" i="1"/>
  <c r="A46" i="1"/>
  <c r="J45" i="1"/>
  <c r="I45" i="1"/>
  <c r="H45" i="1"/>
  <c r="G45" i="1"/>
  <c r="F45" i="1"/>
  <c r="E45" i="1"/>
  <c r="C45" i="1"/>
  <c r="B45" i="1"/>
  <c r="A45" i="1"/>
  <c r="J44" i="1"/>
  <c r="I44" i="1"/>
  <c r="H44" i="1"/>
  <c r="G44" i="1"/>
  <c r="F44" i="1"/>
  <c r="E44" i="1"/>
  <c r="C44" i="1"/>
  <c r="B44" i="1"/>
  <c r="A44" i="1"/>
  <c r="J43" i="1"/>
  <c r="I43" i="1"/>
  <c r="H43" i="1"/>
  <c r="G43" i="1"/>
  <c r="F43" i="1"/>
  <c r="E43" i="1"/>
  <c r="C43" i="1"/>
  <c r="B43" i="1"/>
  <c r="A43" i="1"/>
  <c r="J42" i="1"/>
  <c r="I42" i="1"/>
  <c r="H42" i="1"/>
  <c r="G42" i="1"/>
  <c r="F42" i="1"/>
  <c r="E42" i="1"/>
  <c r="C42" i="1"/>
  <c r="B42" i="1"/>
  <c r="A42" i="1"/>
  <c r="J41" i="1"/>
  <c r="I41" i="1"/>
  <c r="H41" i="1"/>
  <c r="G41" i="1"/>
  <c r="F41" i="1"/>
  <c r="E41" i="1"/>
  <c r="C41" i="1"/>
  <c r="B41" i="1"/>
  <c r="A41" i="1"/>
  <c r="J40" i="1"/>
  <c r="I40" i="1"/>
  <c r="H40" i="1"/>
  <c r="G40" i="1"/>
  <c r="F40" i="1"/>
  <c r="E40" i="1"/>
  <c r="C40" i="1"/>
  <c r="B40" i="1"/>
  <c r="A40" i="1"/>
  <c r="J39" i="1"/>
  <c r="I39" i="1"/>
  <c r="H39" i="1"/>
  <c r="G39" i="1"/>
  <c r="F39" i="1"/>
  <c r="E39" i="1"/>
  <c r="C39" i="1"/>
  <c r="B39" i="1"/>
  <c r="A39" i="1"/>
  <c r="J38" i="1"/>
  <c r="I38" i="1"/>
  <c r="H38" i="1"/>
  <c r="G38" i="1"/>
  <c r="F38" i="1"/>
  <c r="E38" i="1"/>
  <c r="C38" i="1"/>
  <c r="B38" i="1"/>
  <c r="A38" i="1"/>
  <c r="J37" i="1"/>
  <c r="I37" i="1"/>
  <c r="H37" i="1"/>
  <c r="G37" i="1"/>
  <c r="F37" i="1"/>
  <c r="E37" i="1"/>
  <c r="C37" i="1"/>
  <c r="B37" i="1"/>
  <c r="A37" i="1"/>
  <c r="J36" i="1"/>
  <c r="I36" i="1"/>
  <c r="H36" i="1"/>
  <c r="G36" i="1"/>
  <c r="F36" i="1"/>
  <c r="E36" i="1"/>
  <c r="C36" i="1"/>
  <c r="B36" i="1"/>
  <c r="A36" i="1"/>
  <c r="J35" i="1"/>
  <c r="I35" i="1"/>
  <c r="H35" i="1"/>
  <c r="G35" i="1"/>
  <c r="F35" i="1"/>
  <c r="E35" i="1"/>
  <c r="C35" i="1"/>
  <c r="B35" i="1"/>
  <c r="A35" i="1"/>
  <c r="J34" i="1"/>
  <c r="I34" i="1"/>
  <c r="H34" i="1"/>
  <c r="G34" i="1"/>
  <c r="F34" i="1"/>
  <c r="E34" i="1"/>
  <c r="C34" i="1"/>
  <c r="B34" i="1"/>
  <c r="A34" i="1"/>
  <c r="J33" i="1"/>
  <c r="I33" i="1"/>
  <c r="H33" i="1"/>
  <c r="G33" i="1"/>
  <c r="F33" i="1"/>
  <c r="E33" i="1"/>
  <c r="C33" i="1"/>
  <c r="B33" i="1"/>
  <c r="A33" i="1"/>
  <c r="J32" i="1"/>
  <c r="I32" i="1"/>
  <c r="H32" i="1"/>
  <c r="G32" i="1"/>
  <c r="F32" i="1"/>
  <c r="E32" i="1"/>
  <c r="C32" i="1"/>
  <c r="B32" i="1"/>
  <c r="A32" i="1"/>
  <c r="J31" i="1"/>
  <c r="I31" i="1"/>
  <c r="H31" i="1"/>
  <c r="G31" i="1"/>
  <c r="F31" i="1"/>
  <c r="E31" i="1"/>
  <c r="C31" i="1"/>
  <c r="B31" i="1"/>
  <c r="A31" i="1"/>
  <c r="J30" i="1"/>
  <c r="I30" i="1"/>
  <c r="H30" i="1"/>
  <c r="G30" i="1"/>
  <c r="F30" i="1"/>
  <c r="E30" i="1"/>
  <c r="C30" i="1"/>
  <c r="B30" i="1"/>
  <c r="A30" i="1"/>
  <c r="J29" i="1"/>
  <c r="I29" i="1"/>
  <c r="H29" i="1"/>
  <c r="G29" i="1"/>
  <c r="F29" i="1"/>
  <c r="E29" i="1"/>
  <c r="C29" i="1"/>
  <c r="B29" i="1"/>
  <c r="A29" i="1"/>
  <c r="J28" i="1"/>
  <c r="I28" i="1"/>
  <c r="H28" i="1"/>
  <c r="G28" i="1"/>
  <c r="F28" i="1"/>
  <c r="E28" i="1"/>
  <c r="C28" i="1"/>
  <c r="B28" i="1"/>
  <c r="A28" i="1"/>
  <c r="J27" i="1"/>
  <c r="I27" i="1"/>
  <c r="H27" i="1"/>
  <c r="G27" i="1"/>
  <c r="F27" i="1"/>
  <c r="E27" i="1"/>
  <c r="C27" i="1"/>
  <c r="B27" i="1"/>
  <c r="A27" i="1"/>
  <c r="J26" i="1"/>
  <c r="I26" i="1"/>
  <c r="H26" i="1"/>
  <c r="G26" i="1"/>
  <c r="F26" i="1"/>
  <c r="E26" i="1"/>
  <c r="C26" i="1"/>
  <c r="B26" i="1"/>
  <c r="A26" i="1"/>
  <c r="J25" i="1"/>
  <c r="I25" i="1"/>
  <c r="H25" i="1"/>
  <c r="G25" i="1"/>
  <c r="F25" i="1"/>
  <c r="E25" i="1"/>
  <c r="C25" i="1"/>
  <c r="B25" i="1"/>
  <c r="A25" i="1"/>
  <c r="J24" i="1"/>
  <c r="I24" i="1"/>
  <c r="H24" i="1"/>
  <c r="G24" i="1"/>
  <c r="F24" i="1"/>
  <c r="E24" i="1"/>
  <c r="C24" i="1"/>
  <c r="B24" i="1"/>
  <c r="A24" i="1"/>
  <c r="J23" i="1"/>
  <c r="I23" i="1"/>
  <c r="H23" i="1"/>
  <c r="G23" i="1"/>
  <c r="F23" i="1"/>
  <c r="E23" i="1"/>
  <c r="C23" i="1"/>
  <c r="B23" i="1"/>
  <c r="A23" i="1"/>
  <c r="J22" i="1"/>
  <c r="I22" i="1"/>
  <c r="H22" i="1"/>
  <c r="G22" i="1"/>
  <c r="F22" i="1"/>
  <c r="E22" i="1"/>
  <c r="C22" i="1"/>
  <c r="B22" i="1"/>
  <c r="A22" i="1"/>
  <c r="J21" i="1"/>
  <c r="I21" i="1"/>
  <c r="H21" i="1"/>
  <c r="G21" i="1"/>
  <c r="F21" i="1"/>
  <c r="E21" i="1"/>
  <c r="C21" i="1"/>
  <c r="B21" i="1"/>
  <c r="A21" i="1"/>
  <c r="J20" i="1"/>
  <c r="I20" i="1"/>
  <c r="H20" i="1"/>
  <c r="G20" i="1"/>
  <c r="F20" i="1"/>
  <c r="E20" i="1"/>
  <c r="C20" i="1"/>
  <c r="B20" i="1"/>
  <c r="A20" i="1"/>
  <c r="J19" i="1"/>
  <c r="I19" i="1"/>
  <c r="H19" i="1"/>
  <c r="G19" i="1"/>
  <c r="F19" i="1"/>
  <c r="E19" i="1"/>
  <c r="C19" i="1"/>
  <c r="B19" i="1"/>
  <c r="A19" i="1"/>
  <c r="J18" i="1"/>
  <c r="I18" i="1"/>
  <c r="H18" i="1"/>
  <c r="G18" i="1"/>
  <c r="F18" i="1"/>
  <c r="E18" i="1"/>
  <c r="D18" i="1"/>
  <c r="C18" i="1"/>
  <c r="B18" i="1"/>
  <c r="A18" i="1"/>
  <c r="J17" i="1"/>
  <c r="I17" i="1"/>
  <c r="H17" i="1"/>
  <c r="G17" i="1"/>
  <c r="F17" i="1"/>
  <c r="E17" i="1"/>
  <c r="D17" i="1"/>
  <c r="C17" i="1"/>
  <c r="B17" i="1"/>
  <c r="A17" i="1"/>
  <c r="J16" i="1"/>
  <c r="I16" i="1"/>
  <c r="H16" i="1"/>
  <c r="G16" i="1"/>
  <c r="F16" i="1"/>
  <c r="E16" i="1"/>
  <c r="D16" i="1"/>
  <c r="C16" i="1"/>
  <c r="B16" i="1"/>
  <c r="A16" i="1"/>
  <c r="J15" i="1"/>
  <c r="I15" i="1"/>
  <c r="H15" i="1"/>
  <c r="G15" i="1"/>
  <c r="F15" i="1"/>
  <c r="E15" i="1"/>
  <c r="D15" i="1"/>
  <c r="C15" i="1"/>
  <c r="B15" i="1"/>
  <c r="A15" i="1"/>
  <c r="J14" i="1"/>
  <c r="I14" i="1"/>
  <c r="H14" i="1"/>
  <c r="G14" i="1"/>
  <c r="F14" i="1"/>
  <c r="E14" i="1"/>
  <c r="D14" i="1"/>
  <c r="C14" i="1"/>
  <c r="B14" i="1"/>
  <c r="A14" i="1"/>
  <c r="J13" i="1"/>
  <c r="I13" i="1"/>
  <c r="H13" i="1"/>
  <c r="G13" i="1"/>
  <c r="F13" i="1"/>
  <c r="E13" i="1"/>
  <c r="D13" i="1"/>
  <c r="C13" i="1"/>
  <c r="B13" i="1"/>
  <c r="A13" i="1"/>
  <c r="J12" i="1"/>
  <c r="I12" i="1"/>
  <c r="H12" i="1"/>
  <c r="G12" i="1"/>
  <c r="F12" i="1"/>
  <c r="E12" i="1"/>
  <c r="D12" i="1"/>
  <c r="C12" i="1"/>
  <c r="B12" i="1"/>
  <c r="A12" i="1"/>
  <c r="J11" i="1"/>
  <c r="I11" i="1"/>
  <c r="H11" i="1"/>
  <c r="G11" i="1"/>
  <c r="F11" i="1"/>
  <c r="E11" i="1"/>
  <c r="D11" i="1"/>
  <c r="C11" i="1"/>
  <c r="B11" i="1"/>
  <c r="A11" i="1"/>
  <c r="J10" i="1"/>
  <c r="I10" i="1"/>
  <c r="H10" i="1"/>
  <c r="G10" i="1"/>
  <c r="F10" i="1"/>
  <c r="E10" i="1"/>
  <c r="D10" i="1"/>
  <c r="C10" i="1"/>
  <c r="B10" i="1"/>
  <c r="A10" i="1"/>
  <c r="J9" i="1"/>
  <c r="I9" i="1"/>
  <c r="H9" i="1"/>
  <c r="G9" i="1"/>
  <c r="F9" i="1"/>
  <c r="E9" i="1"/>
  <c r="D9" i="1"/>
  <c r="C9" i="1"/>
  <c r="B9" i="1"/>
  <c r="A9" i="1"/>
  <c r="J8" i="1"/>
  <c r="I8" i="1"/>
  <c r="H8" i="1"/>
  <c r="G8" i="1"/>
  <c r="F8" i="1"/>
  <c r="E8" i="1"/>
  <c r="D8" i="1"/>
  <c r="C8" i="1"/>
  <c r="B8" i="1"/>
  <c r="A8" i="1"/>
  <c r="J7" i="1"/>
  <c r="I7" i="1"/>
  <c r="H7" i="1"/>
  <c r="G7" i="1"/>
  <c r="F7" i="1"/>
  <c r="E7" i="1"/>
  <c r="D7" i="1"/>
  <c r="C7" i="1"/>
  <c r="B7" i="1"/>
  <c r="A7" i="1"/>
  <c r="J6" i="1"/>
  <c r="I6" i="1"/>
  <c r="H6" i="1"/>
  <c r="G6" i="1"/>
  <c r="F6" i="1"/>
  <c r="E6" i="1"/>
  <c r="D6" i="1"/>
  <c r="C6" i="1"/>
  <c r="B6" i="1"/>
  <c r="A6" i="1"/>
  <c r="J5" i="1"/>
  <c r="I5" i="1"/>
  <c r="H5" i="1"/>
  <c r="G5" i="1"/>
  <c r="F5" i="1"/>
  <c r="E5" i="1"/>
  <c r="D5" i="1"/>
  <c r="C5" i="1"/>
  <c r="B5" i="1"/>
  <c r="A5" i="1"/>
  <c r="J4" i="1"/>
  <c r="I4" i="1"/>
  <c r="H4" i="1"/>
  <c r="G4" i="1"/>
  <c r="F4" i="1"/>
  <c r="E4" i="1"/>
  <c r="D4" i="1"/>
  <c r="C4" i="1"/>
  <c r="B4" i="1"/>
  <c r="A4" i="1"/>
  <c r="J3" i="1"/>
  <c r="I3" i="1"/>
  <c r="H3" i="1"/>
  <c r="G3" i="1"/>
  <c r="F3" i="1"/>
  <c r="E3" i="1"/>
  <c r="D3" i="1"/>
  <c r="C3" i="1"/>
  <c r="B3" i="1"/>
  <c r="A3" i="1"/>
  <c r="J2" i="1"/>
  <c r="I2" i="1"/>
  <c r="H2" i="1"/>
  <c r="G2" i="1"/>
  <c r="F2" i="1"/>
  <c r="E2" i="1"/>
  <c r="D2" i="1"/>
  <c r="C2" i="1"/>
  <c r="B2" i="1"/>
  <c r="A2" i="1"/>
  <c r="AII1" i="1"/>
  <c r="AIH1" i="1"/>
  <c r="AIG1" i="1"/>
  <c r="AIF1" i="1"/>
  <c r="AIE1" i="1"/>
  <c r="AID1" i="1"/>
  <c r="AIC1" i="1"/>
  <c r="AIB1" i="1"/>
  <c r="AIA1" i="1"/>
  <c r="AHZ1" i="1"/>
  <c r="AHY1" i="1"/>
  <c r="AHX1" i="1"/>
  <c r="AHW1" i="1"/>
  <c r="AHV1" i="1"/>
  <c r="AHU1" i="1"/>
  <c r="AHT1" i="1"/>
  <c r="AHS1" i="1"/>
  <c r="AHR1" i="1"/>
  <c r="AHQ1" i="1"/>
  <c r="AHP1" i="1"/>
  <c r="AHO1" i="1"/>
  <c r="AHN1" i="1"/>
  <c r="AHM1" i="1"/>
  <c r="AHL1" i="1"/>
  <c r="AHK1" i="1"/>
  <c r="AHJ1" i="1"/>
  <c r="AHI1" i="1"/>
  <c r="AHH1" i="1"/>
  <c r="AHG1" i="1"/>
  <c r="AHF1" i="1"/>
  <c r="AHE1" i="1"/>
  <c r="AHD1" i="1"/>
  <c r="AHC1" i="1"/>
  <c r="AHB1" i="1"/>
  <c r="AHA1" i="1"/>
  <c r="AGZ1" i="1"/>
  <c r="AGY1" i="1"/>
  <c r="AGX1" i="1"/>
  <c r="AGW1" i="1"/>
  <c r="AGV1" i="1"/>
  <c r="AGU1" i="1"/>
  <c r="AGT1" i="1"/>
  <c r="AGS1" i="1"/>
  <c r="AGR1" i="1"/>
  <c r="AGQ1" i="1"/>
  <c r="AGP1" i="1"/>
  <c r="AGO1" i="1"/>
  <c r="AGN1" i="1"/>
  <c r="AGM1" i="1"/>
  <c r="AGL1" i="1"/>
  <c r="AGK1" i="1"/>
  <c r="AGJ1" i="1"/>
  <c r="AGI1" i="1"/>
  <c r="AGH1" i="1"/>
  <c r="AGG1" i="1"/>
  <c r="AGF1" i="1"/>
  <c r="AGE1" i="1"/>
  <c r="AGD1" i="1"/>
  <c r="AGC1" i="1"/>
  <c r="AGB1" i="1"/>
  <c r="AGA1" i="1"/>
  <c r="AFZ1" i="1"/>
  <c r="AFY1" i="1"/>
  <c r="AFX1" i="1"/>
  <c r="AFW1" i="1"/>
  <c r="AFV1" i="1"/>
  <c r="AFU1" i="1"/>
  <c r="AFT1" i="1"/>
  <c r="AFS1" i="1"/>
  <c r="AFR1" i="1"/>
  <c r="AFQ1" i="1"/>
  <c r="AFP1" i="1"/>
  <c r="AFO1" i="1"/>
  <c r="AFN1" i="1"/>
  <c r="AFM1" i="1"/>
  <c r="AFL1" i="1"/>
  <c r="AFK1" i="1"/>
  <c r="AFJ1" i="1"/>
  <c r="AFI1" i="1"/>
  <c r="AFH1" i="1"/>
  <c r="AFG1" i="1"/>
  <c r="AFF1" i="1"/>
  <c r="AFE1" i="1"/>
  <c r="AFD1" i="1"/>
  <c r="AFC1" i="1"/>
  <c r="AFB1" i="1"/>
  <c r="AFA1" i="1"/>
  <c r="AEZ1" i="1"/>
  <c r="AEY1" i="1"/>
  <c r="AEX1" i="1"/>
  <c r="AEW1" i="1"/>
  <c r="AEV1" i="1"/>
  <c r="AEU1" i="1"/>
  <c r="AET1" i="1"/>
  <c r="AES1" i="1"/>
  <c r="AER1" i="1"/>
  <c r="AEQ1" i="1"/>
  <c r="AEP1" i="1"/>
  <c r="AEO1" i="1"/>
  <c r="AEN1" i="1"/>
  <c r="AEM1" i="1"/>
  <c r="AEL1" i="1"/>
  <c r="AEK1" i="1"/>
  <c r="AEJ1" i="1"/>
  <c r="AEI1" i="1"/>
  <c r="AEH1" i="1"/>
  <c r="AEG1" i="1"/>
  <c r="AEF1" i="1"/>
  <c r="AEE1" i="1"/>
  <c r="AED1" i="1"/>
  <c r="AEC1" i="1"/>
  <c r="AEB1" i="1"/>
  <c r="AEA1" i="1"/>
  <c r="ADZ1" i="1"/>
  <c r="ADY1" i="1"/>
  <c r="ADX1" i="1"/>
  <c r="ADW1" i="1"/>
  <c r="ADV1" i="1"/>
  <c r="ADU1" i="1"/>
  <c r="ADT1" i="1"/>
  <c r="ADS1" i="1"/>
  <c r="ADR1" i="1"/>
  <c r="ADQ1" i="1"/>
  <c r="ADP1" i="1"/>
  <c r="ADO1" i="1"/>
  <c r="ADN1" i="1"/>
  <c r="ADM1" i="1"/>
  <c r="ADL1" i="1"/>
  <c r="ADK1" i="1"/>
  <c r="ADJ1" i="1"/>
  <c r="ADI1" i="1"/>
  <c r="ADH1" i="1"/>
  <c r="ADG1" i="1"/>
  <c r="ADF1" i="1"/>
  <c r="ADE1" i="1"/>
  <c r="ADD1" i="1"/>
  <c r="ADC1" i="1"/>
  <c r="ADB1" i="1"/>
  <c r="ADA1" i="1"/>
  <c r="ACZ1" i="1"/>
  <c r="ACY1" i="1"/>
  <c r="ACX1" i="1"/>
  <c r="ACW1" i="1"/>
  <c r="ACV1" i="1"/>
  <c r="ACU1" i="1"/>
  <c r="ACT1" i="1"/>
  <c r="ACS1" i="1"/>
  <c r="ACR1" i="1"/>
  <c r="ACQ1" i="1"/>
  <c r="ACP1" i="1"/>
  <c r="ACO1" i="1"/>
  <c r="ACN1" i="1"/>
  <c r="ACM1" i="1"/>
  <c r="ACL1" i="1"/>
  <c r="ACK1" i="1"/>
  <c r="ACJ1" i="1"/>
  <c r="ACI1" i="1"/>
  <c r="ACH1" i="1"/>
  <c r="ACG1" i="1"/>
  <c r="ACF1" i="1"/>
  <c r="ACE1" i="1"/>
  <c r="ACD1" i="1"/>
  <c r="ACC1" i="1"/>
  <c r="ACB1" i="1"/>
  <c r="ACA1" i="1"/>
  <c r="ABZ1" i="1"/>
  <c r="ABY1" i="1"/>
  <c r="ABX1" i="1"/>
  <c r="ABW1" i="1"/>
  <c r="ABV1" i="1"/>
  <c r="ABU1" i="1"/>
  <c r="ABT1" i="1"/>
  <c r="ABS1" i="1"/>
  <c r="ABR1" i="1"/>
  <c r="ABQ1" i="1"/>
  <c r="ABP1" i="1"/>
  <c r="ABO1" i="1"/>
  <c r="ABN1" i="1"/>
  <c r="ABM1" i="1"/>
  <c r="ABL1" i="1"/>
  <c r="ABK1" i="1"/>
  <c r="ABJ1" i="1"/>
  <c r="ABI1" i="1"/>
  <c r="ABH1" i="1"/>
  <c r="ABG1" i="1"/>
  <c r="ABF1" i="1"/>
  <c r="ABE1" i="1"/>
  <c r="ABD1" i="1"/>
  <c r="ABC1" i="1"/>
  <c r="ABB1" i="1"/>
  <c r="ABA1" i="1"/>
  <c r="AAZ1" i="1"/>
  <c r="AAY1" i="1"/>
  <c r="AAX1" i="1"/>
  <c r="AAW1" i="1"/>
  <c r="AAV1" i="1"/>
  <c r="AAU1" i="1"/>
  <c r="AAT1" i="1"/>
  <c r="AAS1" i="1"/>
  <c r="AAR1" i="1"/>
  <c r="AAQ1" i="1"/>
  <c r="AAP1" i="1"/>
  <c r="AAO1" i="1"/>
  <c r="AAN1" i="1"/>
  <c r="AAM1" i="1"/>
  <c r="AAL1" i="1"/>
  <c r="AAK1" i="1"/>
  <c r="AAJ1" i="1"/>
  <c r="AAI1" i="1"/>
  <c r="AAH1" i="1"/>
  <c r="AAG1" i="1"/>
  <c r="AAF1" i="1"/>
  <c r="AAE1" i="1"/>
  <c r="AAD1" i="1"/>
  <c r="AAC1" i="1"/>
  <c r="AAB1" i="1"/>
  <c r="AAA1" i="1"/>
  <c r="ZZ1" i="1"/>
  <c r="ZY1" i="1"/>
  <c r="ZX1" i="1"/>
  <c r="ZW1" i="1"/>
  <c r="ZV1" i="1"/>
  <c r="ZU1" i="1"/>
  <c r="ZT1" i="1"/>
  <c r="ZS1" i="1"/>
  <c r="ZR1" i="1"/>
  <c r="ZQ1" i="1"/>
  <c r="ZP1" i="1"/>
  <c r="ZO1" i="1"/>
  <c r="ZN1" i="1"/>
  <c r="ZM1" i="1"/>
  <c r="ZL1" i="1"/>
  <c r="ZK1" i="1"/>
  <c r="ZJ1" i="1"/>
  <c r="ZI1" i="1"/>
  <c r="ZH1" i="1"/>
  <c r="ZG1" i="1"/>
  <c r="ZF1" i="1"/>
  <c r="ZE1" i="1"/>
  <c r="ZD1" i="1"/>
  <c r="ZC1" i="1"/>
  <c r="ZB1" i="1"/>
  <c r="ZA1" i="1"/>
  <c r="YZ1" i="1"/>
  <c r="YY1" i="1"/>
  <c r="YX1" i="1"/>
  <c r="YW1" i="1"/>
  <c r="YV1" i="1"/>
  <c r="YU1" i="1"/>
  <c r="YT1" i="1"/>
  <c r="YS1" i="1"/>
  <c r="YR1" i="1"/>
  <c r="YQ1" i="1"/>
  <c r="YP1" i="1"/>
  <c r="YO1" i="1"/>
  <c r="YN1" i="1"/>
  <c r="YM1" i="1"/>
  <c r="YL1" i="1"/>
  <c r="YK1" i="1"/>
  <c r="YJ1" i="1"/>
  <c r="YI1" i="1"/>
  <c r="YH1" i="1"/>
  <c r="YG1" i="1"/>
  <c r="YF1" i="1"/>
  <c r="YE1" i="1"/>
  <c r="YD1" i="1"/>
  <c r="YC1" i="1"/>
  <c r="YB1" i="1"/>
  <c r="YA1" i="1"/>
  <c r="XZ1" i="1"/>
  <c r="XY1" i="1"/>
  <c r="XX1" i="1"/>
  <c r="XW1" i="1"/>
  <c r="XV1" i="1"/>
  <c r="XU1" i="1"/>
  <c r="XT1" i="1"/>
  <c r="XS1" i="1"/>
  <c r="XR1" i="1"/>
  <c r="XQ1" i="1"/>
  <c r="XP1" i="1"/>
  <c r="XO1" i="1"/>
  <c r="XN1" i="1"/>
  <c r="XM1" i="1"/>
  <c r="XL1" i="1"/>
  <c r="XK1" i="1"/>
  <c r="XJ1" i="1"/>
  <c r="XI1" i="1"/>
  <c r="XH1" i="1"/>
  <c r="XG1" i="1"/>
  <c r="XF1" i="1"/>
  <c r="XE1" i="1"/>
  <c r="XD1" i="1"/>
  <c r="XC1" i="1"/>
  <c r="XB1" i="1"/>
  <c r="XA1" i="1"/>
  <c r="WZ1" i="1"/>
  <c r="WY1" i="1"/>
  <c r="WX1" i="1"/>
  <c r="WW1" i="1"/>
  <c r="WV1" i="1"/>
  <c r="WU1" i="1"/>
  <c r="WT1" i="1"/>
  <c r="WS1" i="1"/>
  <c r="WR1" i="1"/>
  <c r="WQ1" i="1"/>
  <c r="WP1" i="1"/>
  <c r="WO1" i="1"/>
  <c r="WN1" i="1"/>
  <c r="WM1" i="1"/>
  <c r="WL1" i="1"/>
  <c r="WK1" i="1"/>
  <c r="WJ1" i="1"/>
  <c r="WI1" i="1"/>
  <c r="WH1" i="1"/>
  <c r="WG1" i="1"/>
  <c r="WF1" i="1"/>
  <c r="WE1" i="1"/>
  <c r="WD1" i="1"/>
  <c r="WC1" i="1"/>
  <c r="WB1" i="1"/>
  <c r="WA1" i="1"/>
  <c r="VZ1" i="1"/>
  <c r="VY1" i="1"/>
  <c r="VX1" i="1"/>
  <c r="VW1" i="1"/>
  <c r="VV1" i="1"/>
  <c r="VU1" i="1"/>
  <c r="VT1" i="1"/>
  <c r="VS1" i="1"/>
  <c r="VR1" i="1"/>
  <c r="VQ1" i="1"/>
  <c r="VP1" i="1"/>
  <c r="VO1" i="1"/>
  <c r="VN1" i="1"/>
  <c r="VM1" i="1"/>
  <c r="VL1" i="1"/>
  <c r="VK1" i="1"/>
  <c r="VJ1" i="1"/>
  <c r="VI1" i="1"/>
  <c r="VH1" i="1"/>
  <c r="VG1" i="1"/>
  <c r="VF1" i="1"/>
  <c r="VE1" i="1"/>
  <c r="VD1" i="1"/>
  <c r="VC1" i="1"/>
  <c r="VB1" i="1"/>
  <c r="VA1" i="1"/>
  <c r="UZ1" i="1"/>
  <c r="UY1" i="1"/>
  <c r="UX1" i="1"/>
  <c r="UW1" i="1"/>
  <c r="UV1" i="1"/>
  <c r="UU1" i="1"/>
  <c r="UT1" i="1"/>
  <c r="US1" i="1"/>
  <c r="UR1" i="1"/>
  <c r="UQ1" i="1"/>
  <c r="UP1" i="1"/>
  <c r="UO1" i="1"/>
  <c r="UN1" i="1"/>
  <c r="UM1" i="1"/>
  <c r="UL1" i="1"/>
  <c r="UK1" i="1"/>
  <c r="UJ1" i="1"/>
  <c r="UI1" i="1"/>
  <c r="UH1" i="1"/>
  <c r="UG1" i="1"/>
  <c r="UF1" i="1"/>
  <c r="UE1" i="1"/>
  <c r="UD1" i="1"/>
  <c r="UC1" i="1"/>
  <c r="UB1" i="1"/>
  <c r="UA1" i="1"/>
  <c r="TZ1" i="1"/>
  <c r="TY1" i="1"/>
  <c r="TX1" i="1"/>
  <c r="TW1" i="1"/>
  <c r="TV1" i="1"/>
  <c r="TU1" i="1"/>
  <c r="TT1" i="1"/>
  <c r="TS1" i="1"/>
  <c r="TR1" i="1"/>
  <c r="TQ1" i="1"/>
  <c r="TP1" i="1"/>
  <c r="TO1" i="1"/>
  <c r="TN1" i="1"/>
  <c r="TM1" i="1"/>
  <c r="TL1" i="1"/>
  <c r="TK1" i="1"/>
  <c r="TJ1" i="1"/>
  <c r="TI1" i="1"/>
  <c r="TH1" i="1"/>
  <c r="TG1" i="1"/>
  <c r="TF1" i="1"/>
  <c r="TE1" i="1"/>
  <c r="TD1" i="1"/>
  <c r="TC1" i="1"/>
  <c r="TB1" i="1"/>
  <c r="TA1" i="1"/>
  <c r="SZ1" i="1"/>
  <c r="SY1" i="1"/>
  <c r="SX1" i="1"/>
  <c r="SW1" i="1"/>
  <c r="SV1" i="1"/>
  <c r="SU1" i="1"/>
  <c r="ST1" i="1"/>
  <c r="SS1" i="1"/>
  <c r="SR1" i="1"/>
  <c r="SQ1" i="1"/>
  <c r="SP1" i="1"/>
  <c r="SO1" i="1"/>
  <c r="SN1" i="1"/>
  <c r="SM1" i="1"/>
  <c r="SL1" i="1"/>
  <c r="SK1" i="1"/>
  <c r="SJ1" i="1"/>
  <c r="SI1" i="1"/>
  <c r="SH1" i="1"/>
  <c r="SG1" i="1"/>
  <c r="SF1" i="1"/>
  <c r="SE1" i="1"/>
  <c r="SD1" i="1"/>
  <c r="SC1" i="1"/>
  <c r="SB1" i="1"/>
  <c r="SA1" i="1"/>
  <c r="RZ1" i="1"/>
  <c r="RY1" i="1"/>
  <c r="RX1" i="1"/>
  <c r="RW1" i="1"/>
  <c r="RV1" i="1"/>
  <c r="RU1" i="1"/>
  <c r="RT1" i="1"/>
  <c r="RS1" i="1"/>
  <c r="RR1" i="1"/>
  <c r="RQ1" i="1"/>
  <c r="RP1" i="1"/>
  <c r="RO1" i="1"/>
  <c r="RN1" i="1"/>
  <c r="RM1" i="1"/>
  <c r="RL1" i="1"/>
  <c r="RK1" i="1"/>
  <c r="RJ1" i="1"/>
  <c r="RI1" i="1"/>
  <c r="RH1" i="1"/>
  <c r="RG1" i="1"/>
  <c r="RF1" i="1"/>
  <c r="RE1" i="1"/>
  <c r="RD1" i="1"/>
  <c r="RC1" i="1"/>
  <c r="RB1" i="1"/>
  <c r="RA1" i="1"/>
  <c r="QZ1" i="1"/>
  <c r="QY1" i="1"/>
  <c r="QX1" i="1"/>
  <c r="QW1" i="1"/>
  <c r="QV1" i="1"/>
  <c r="QU1" i="1"/>
  <c r="QT1" i="1"/>
  <c r="QS1" i="1"/>
  <c r="QR1" i="1"/>
  <c r="QQ1" i="1"/>
  <c r="QP1" i="1"/>
  <c r="QO1" i="1"/>
  <c r="QN1" i="1"/>
  <c r="QM1" i="1"/>
  <c r="QL1" i="1"/>
  <c r="QK1" i="1"/>
  <c r="QJ1" i="1"/>
  <c r="QI1" i="1"/>
  <c r="QH1" i="1"/>
  <c r="QG1" i="1"/>
  <c r="QF1" i="1"/>
  <c r="QE1" i="1"/>
  <c r="QD1" i="1"/>
  <c r="QC1" i="1"/>
  <c r="QB1" i="1"/>
  <c r="QA1" i="1"/>
  <c r="PZ1" i="1"/>
  <c r="PY1" i="1"/>
  <c r="PX1" i="1"/>
  <c r="PW1" i="1"/>
  <c r="PV1" i="1"/>
  <c r="PU1" i="1"/>
  <c r="PT1" i="1"/>
  <c r="PS1" i="1"/>
  <c r="PR1" i="1"/>
  <c r="PQ1" i="1"/>
  <c r="PP1" i="1"/>
  <c r="PO1" i="1"/>
  <c r="PN1" i="1"/>
  <c r="PM1" i="1"/>
  <c r="PL1" i="1"/>
  <c r="PK1" i="1"/>
  <c r="PJ1" i="1"/>
  <c r="PI1" i="1"/>
  <c r="PH1" i="1"/>
  <c r="PG1" i="1"/>
  <c r="PF1" i="1"/>
  <c r="PE1" i="1"/>
  <c r="PD1" i="1"/>
  <c r="PC1" i="1"/>
  <c r="PB1" i="1"/>
  <c r="PA1" i="1"/>
  <c r="OZ1" i="1"/>
  <c r="OY1" i="1"/>
  <c r="OX1" i="1"/>
  <c r="OW1" i="1"/>
  <c r="OV1" i="1"/>
  <c r="OU1" i="1"/>
  <c r="OT1" i="1"/>
  <c r="OS1" i="1"/>
  <c r="OR1" i="1"/>
  <c r="OQ1" i="1"/>
  <c r="OP1" i="1"/>
  <c r="OO1" i="1"/>
  <c r="ON1" i="1"/>
  <c r="OM1" i="1"/>
  <c r="OL1" i="1"/>
  <c r="OK1" i="1"/>
  <c r="OJ1" i="1"/>
  <c r="OI1" i="1"/>
  <c r="OH1" i="1"/>
  <c r="OG1" i="1"/>
  <c r="OF1" i="1"/>
  <c r="OE1" i="1"/>
  <c r="OD1" i="1"/>
  <c r="OC1" i="1"/>
  <c r="OB1" i="1"/>
  <c r="OA1" i="1"/>
  <c r="NZ1" i="1"/>
  <c r="NY1" i="1"/>
  <c r="NX1" i="1"/>
  <c r="NW1" i="1"/>
  <c r="NV1" i="1"/>
  <c r="NU1" i="1"/>
  <c r="NT1" i="1"/>
  <c r="NS1" i="1"/>
  <c r="NR1" i="1"/>
  <c r="NQ1" i="1"/>
  <c r="NP1" i="1"/>
  <c r="NO1" i="1"/>
  <c r="NN1" i="1"/>
  <c r="NM1" i="1"/>
  <c r="NL1" i="1"/>
  <c r="NK1" i="1"/>
  <c r="NJ1" i="1"/>
  <c r="NI1" i="1"/>
  <c r="NH1" i="1"/>
  <c r="NG1" i="1"/>
  <c r="NF1" i="1"/>
  <c r="NE1" i="1"/>
  <c r="ND1" i="1"/>
  <c r="NC1" i="1"/>
  <c r="NB1" i="1"/>
  <c r="NA1" i="1"/>
  <c r="MZ1" i="1"/>
  <c r="MY1" i="1"/>
  <c r="MX1" i="1"/>
  <c r="MW1" i="1"/>
  <c r="MV1" i="1"/>
  <c r="MU1" i="1"/>
  <c r="MT1" i="1"/>
  <c r="MS1" i="1"/>
  <c r="MR1" i="1"/>
  <c r="MQ1" i="1"/>
  <c r="MP1" i="1"/>
  <c r="MO1" i="1"/>
  <c r="MN1" i="1"/>
  <c r="MM1" i="1"/>
  <c r="ML1" i="1"/>
  <c r="MK1" i="1"/>
  <c r="MJ1" i="1"/>
  <c r="MI1" i="1"/>
  <c r="MH1" i="1"/>
  <c r="MG1" i="1"/>
  <c r="MF1" i="1"/>
  <c r="ME1" i="1"/>
  <c r="MD1" i="1"/>
  <c r="MC1" i="1"/>
  <c r="MB1" i="1"/>
  <c r="MA1" i="1"/>
  <c r="LZ1" i="1"/>
  <c r="LY1" i="1"/>
  <c r="LX1" i="1"/>
  <c r="LW1" i="1"/>
  <c r="LV1" i="1"/>
  <c r="LU1" i="1"/>
  <c r="LT1" i="1"/>
  <c r="LS1" i="1"/>
  <c r="LR1" i="1"/>
  <c r="LQ1" i="1"/>
  <c r="LP1" i="1"/>
  <c r="LO1" i="1"/>
  <c r="LN1" i="1"/>
  <c r="LM1" i="1"/>
  <c r="LL1" i="1"/>
  <c r="LK1" i="1"/>
  <c r="LJ1" i="1"/>
  <c r="LI1" i="1"/>
  <c r="LH1" i="1"/>
  <c r="LG1" i="1"/>
  <c r="LF1" i="1"/>
  <c r="LE1" i="1"/>
  <c r="LD1" i="1"/>
  <c r="LC1" i="1"/>
  <c r="LB1" i="1"/>
  <c r="LA1" i="1"/>
  <c r="KZ1" i="1"/>
  <c r="KY1" i="1"/>
  <c r="KX1" i="1"/>
  <c r="KW1" i="1"/>
  <c r="KV1" i="1"/>
  <c r="KU1" i="1"/>
  <c r="KT1" i="1"/>
  <c r="KS1" i="1"/>
  <c r="KR1" i="1"/>
  <c r="KQ1" i="1"/>
  <c r="KP1" i="1"/>
  <c r="KO1" i="1"/>
  <c r="KN1" i="1"/>
  <c r="KM1" i="1"/>
  <c r="KL1" i="1"/>
  <c r="KK1" i="1"/>
  <c r="KJ1" i="1"/>
  <c r="KI1" i="1"/>
  <c r="KH1" i="1"/>
  <c r="KG1" i="1"/>
  <c r="KF1" i="1"/>
  <c r="KE1" i="1"/>
  <c r="KD1" i="1"/>
  <c r="KC1" i="1"/>
  <c r="KB1" i="1"/>
  <c r="KA1" i="1"/>
  <c r="JZ1" i="1"/>
  <c r="JY1" i="1"/>
  <c r="JX1" i="1"/>
  <c r="JW1" i="1"/>
  <c r="JV1" i="1"/>
  <c r="JU1" i="1"/>
  <c r="JT1" i="1"/>
  <c r="JS1" i="1"/>
  <c r="JR1" i="1"/>
  <c r="JQ1" i="1"/>
  <c r="JP1" i="1"/>
  <c r="JO1" i="1"/>
  <c r="JN1" i="1"/>
  <c r="JM1" i="1"/>
  <c r="JL1" i="1"/>
  <c r="JK1" i="1"/>
  <c r="JJ1" i="1"/>
  <c r="JI1" i="1"/>
  <c r="JH1" i="1"/>
  <c r="JG1" i="1"/>
  <c r="JF1" i="1"/>
  <c r="JE1" i="1"/>
  <c r="JD1" i="1"/>
  <c r="JC1" i="1"/>
  <c r="JB1" i="1"/>
  <c r="JA1" i="1"/>
  <c r="IZ1" i="1"/>
  <c r="IY1" i="1"/>
  <c r="IX1" i="1"/>
  <c r="IW1" i="1"/>
  <c r="IV1" i="1"/>
  <c r="IU1" i="1"/>
  <c r="IT1" i="1"/>
  <c r="IS1" i="1"/>
  <c r="IR1" i="1"/>
  <c r="IQ1" i="1"/>
  <c r="IP1" i="1"/>
  <c r="IO1" i="1"/>
  <c r="IN1" i="1"/>
  <c r="IM1" i="1"/>
  <c r="IL1" i="1"/>
  <c r="IK1" i="1"/>
  <c r="IJ1" i="1"/>
  <c r="II1" i="1"/>
  <c r="IH1" i="1"/>
  <c r="IG1" i="1"/>
  <c r="IF1" i="1"/>
  <c r="IE1" i="1"/>
  <c r="ID1" i="1"/>
  <c r="IC1" i="1"/>
  <c r="IB1" i="1"/>
  <c r="IA1" i="1"/>
  <c r="HZ1" i="1"/>
  <c r="HY1" i="1"/>
  <c r="HX1" i="1"/>
  <c r="HW1" i="1"/>
  <c r="HV1" i="1"/>
  <c r="HU1" i="1"/>
  <c r="HT1" i="1"/>
  <c r="HS1" i="1"/>
  <c r="HR1" i="1"/>
  <c r="HQ1" i="1"/>
  <c r="HP1" i="1"/>
  <c r="HO1" i="1"/>
  <c r="HN1" i="1"/>
  <c r="HM1" i="1"/>
  <c r="HL1" i="1"/>
  <c r="HK1" i="1"/>
  <c r="HJ1" i="1"/>
  <c r="HI1" i="1"/>
  <c r="HH1" i="1"/>
  <c r="HG1" i="1"/>
  <c r="HF1" i="1"/>
  <c r="HE1" i="1"/>
  <c r="HD1" i="1"/>
  <c r="HC1" i="1"/>
  <c r="HB1" i="1"/>
  <c r="HA1" i="1"/>
  <c r="GZ1" i="1"/>
  <c r="GY1" i="1"/>
  <c r="GX1" i="1"/>
  <c r="GW1" i="1"/>
  <c r="GV1" i="1"/>
  <c r="GU1" i="1"/>
  <c r="GT1" i="1"/>
  <c r="GS1" i="1"/>
  <c r="GR1" i="1"/>
  <c r="GQ1" i="1"/>
  <c r="GP1" i="1"/>
  <c r="GO1" i="1"/>
  <c r="GN1" i="1"/>
  <c r="GM1" i="1"/>
  <c r="GL1" i="1"/>
  <c r="GK1" i="1"/>
  <c r="GJ1" i="1"/>
  <c r="GI1" i="1"/>
  <c r="GH1" i="1"/>
  <c r="GG1" i="1"/>
  <c r="GF1" i="1"/>
  <c r="GE1" i="1"/>
  <c r="GD1" i="1"/>
  <c r="GC1" i="1"/>
  <c r="GB1" i="1"/>
  <c r="GA1" i="1"/>
  <c r="FZ1" i="1"/>
  <c r="FY1" i="1"/>
  <c r="FX1" i="1"/>
  <c r="FW1" i="1"/>
  <c r="FV1" i="1"/>
  <c r="FU1" i="1"/>
  <c r="FT1" i="1"/>
  <c r="FS1" i="1"/>
  <c r="FR1" i="1"/>
  <c r="FQ1" i="1"/>
  <c r="FP1" i="1"/>
  <c r="FO1" i="1"/>
  <c r="FN1" i="1"/>
  <c r="FM1" i="1"/>
  <c r="FL1" i="1"/>
  <c r="FK1" i="1"/>
  <c r="FJ1" i="1"/>
  <c r="FI1" i="1"/>
  <c r="FH1" i="1"/>
  <c r="FG1" i="1"/>
  <c r="FF1" i="1"/>
  <c r="FE1" i="1"/>
  <c r="FD1" i="1"/>
  <c r="FC1" i="1"/>
  <c r="FB1" i="1"/>
  <c r="FA1" i="1"/>
  <c r="EZ1" i="1"/>
  <c r="EY1" i="1"/>
  <c r="EX1" i="1"/>
  <c r="EW1" i="1"/>
  <c r="EV1" i="1"/>
  <c r="EU1" i="1"/>
  <c r="ET1" i="1"/>
  <c r="ES1" i="1"/>
  <c r="ER1" i="1"/>
  <c r="EQ1" i="1"/>
  <c r="EP1" i="1"/>
  <c r="EO1" i="1"/>
  <c r="EN1" i="1"/>
  <c r="EM1" i="1"/>
  <c r="EL1" i="1"/>
  <c r="EK1" i="1"/>
  <c r="EJ1" i="1"/>
  <c r="EI1" i="1"/>
  <c r="EH1" i="1"/>
  <c r="EG1" i="1"/>
  <c r="EF1" i="1"/>
  <c r="EE1" i="1"/>
  <c r="ED1" i="1"/>
  <c r="EC1" i="1"/>
  <c r="EB1" i="1"/>
  <c r="EA1" i="1"/>
  <c r="DZ1" i="1"/>
  <c r="DY1" i="1"/>
  <c r="DX1" i="1"/>
  <c r="DW1" i="1"/>
  <c r="DV1" i="1"/>
  <c r="DU1" i="1"/>
  <c r="DT1" i="1"/>
  <c r="DS1" i="1"/>
  <c r="DR1" i="1"/>
  <c r="DQ1" i="1"/>
  <c r="DP1" i="1"/>
  <c r="DO1" i="1"/>
  <c r="DN1" i="1"/>
  <c r="DM1" i="1"/>
  <c r="DL1" i="1"/>
  <c r="DK1" i="1"/>
  <c r="DJ1" i="1"/>
  <c r="DI1" i="1"/>
  <c r="DH1" i="1"/>
  <c r="DG1" i="1"/>
  <c r="DF1" i="1"/>
  <c r="DE1" i="1"/>
  <c r="DD1" i="1"/>
  <c r="DC1" i="1"/>
  <c r="DB1" i="1"/>
  <c r="DA1" i="1"/>
  <c r="CZ1" i="1"/>
  <c r="CY1" i="1"/>
  <c r="CX1" i="1"/>
  <c r="CW1" i="1"/>
  <c r="CV1" i="1"/>
  <c r="CU1" i="1"/>
  <c r="CT1" i="1"/>
  <c r="CS1" i="1"/>
  <c r="CR1" i="1"/>
  <c r="CQ1" i="1"/>
  <c r="CP1" i="1"/>
  <c r="CO1" i="1"/>
  <c r="CN1" i="1"/>
  <c r="CM1" i="1"/>
  <c r="CL1" i="1"/>
  <c r="CK1" i="1"/>
  <c r="CJ1" i="1"/>
  <c r="CI1" i="1"/>
  <c r="CH1" i="1"/>
  <c r="CG1" i="1"/>
  <c r="CF1" i="1"/>
  <c r="CE1" i="1"/>
  <c r="CD1" i="1"/>
  <c r="CC1" i="1"/>
  <c r="CB1" i="1"/>
  <c r="CA1" i="1"/>
  <c r="BZ1" i="1"/>
  <c r="BY1" i="1"/>
  <c r="BX1" i="1"/>
  <c r="BW1" i="1"/>
  <c r="BV1" i="1"/>
  <c r="BU1" i="1"/>
  <c r="BT1" i="1"/>
  <c r="BS1" i="1"/>
  <c r="BR1" i="1"/>
  <c r="BQ1" i="1"/>
  <c r="BP1" i="1"/>
  <c r="BO1" i="1"/>
  <c r="BN1" i="1"/>
  <c r="BM1" i="1"/>
  <c r="BL1" i="1"/>
  <c r="BK1" i="1"/>
  <c r="BJ1" i="1"/>
  <c r="BI1" i="1"/>
  <c r="BH1" i="1"/>
  <c r="BG1" i="1"/>
  <c r="BF1" i="1"/>
  <c r="BE1" i="1"/>
  <c r="BD1" i="1"/>
  <c r="BC1" i="1"/>
  <c r="BB1" i="1"/>
  <c r="BA1" i="1"/>
  <c r="AZ1" i="1"/>
  <c r="AY1" i="1"/>
  <c r="AX1" i="1"/>
  <c r="AW1" i="1"/>
  <c r="AV1" i="1"/>
  <c r="AU1" i="1"/>
  <c r="AT1" i="1"/>
  <c r="AS1" i="1"/>
  <c r="AR1" i="1"/>
  <c r="AQ1" i="1"/>
  <c r="AP1" i="1"/>
  <c r="AO1" i="1"/>
  <c r="AN1" i="1"/>
  <c r="AM1" i="1"/>
  <c r="AL1" i="1"/>
  <c r="AK1" i="1"/>
  <c r="AJ1" i="1"/>
  <c r="AI1" i="1"/>
  <c r="AH1" i="1"/>
  <c r="AG1" i="1"/>
  <c r="AF1" i="1"/>
  <c r="AE1" i="1"/>
  <c r="AD1" i="1"/>
  <c r="AC1" i="1"/>
  <c r="AB1" i="1"/>
  <c r="AA1" i="1"/>
  <c r="Z1" i="1"/>
  <c r="Y1" i="1"/>
  <c r="X1" i="1"/>
  <c r="W1" i="1"/>
  <c r="V1" i="1"/>
  <c r="U1" i="1"/>
  <c r="T1" i="1"/>
  <c r="S1" i="1"/>
  <c r="R1" i="1"/>
  <c r="Q1" i="1"/>
  <c r="P1" i="1"/>
  <c r="O1" i="1"/>
  <c r="N1" i="1"/>
  <c r="M1" i="1"/>
  <c r="L1" i="1"/>
  <c r="K1" i="1"/>
  <c r="J1" i="1"/>
  <c r="I1" i="1"/>
  <c r="H1" i="1"/>
  <c r="G1" i="1"/>
  <c r="F1" i="1"/>
  <c r="E1" i="1"/>
  <c r="D1" i="1"/>
  <c r="C1" i="1"/>
  <c r="B1" i="1"/>
  <c r="A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I203"/>
  <sheetViews>
    <sheetView tabSelected="1" workbookViewId="0"/>
  </sheetViews>
  <sheetFormatPr defaultRowHeight="15" x14ac:dyDescent="0.25"/>
  <sheetData>
    <row r="1" spans="1:919" x14ac:dyDescent="0.25">
      <c r="A1">
        <f ca="1">(A1)+(1)</f>
        <v>1</v>
      </c>
      <c r="B1" t="str">
        <f ca="1">"goto"</f>
        <v>goto</v>
      </c>
      <c r="C1">
        <f ca="1">58</f>
        <v>58</v>
      </c>
      <c r="D1" t="str">
        <f ca="1">"add"</f>
        <v>add</v>
      </c>
      <c r="E1" t="str">
        <f ca="1">""</f>
        <v/>
      </c>
      <c r="F1" t="str">
        <f ca="1">"return"</f>
        <v>return</v>
      </c>
      <c r="G1" t="str">
        <f ca="1">""</f>
        <v/>
      </c>
      <c r="H1" t="str">
        <f ca="1">"store"</f>
        <v>store</v>
      </c>
      <c r="I1" t="str">
        <f ca="1">"H"</f>
        <v>H</v>
      </c>
      <c r="J1" t="str">
        <f ca="1">"newheap"</f>
        <v>newheap</v>
      </c>
      <c r="K1" t="str">
        <f ca="1">""</f>
        <v/>
      </c>
      <c r="L1" t="str">
        <f ca="1">"store"</f>
        <v>store</v>
      </c>
      <c r="M1" t="str">
        <f ca="1">"H"</f>
        <v>H</v>
      </c>
      <c r="N1" t="str">
        <f ca="1">"load"</f>
        <v>load</v>
      </c>
      <c r="O1">
        <f ca="1">3</f>
        <v>3</v>
      </c>
      <c r="P1" t="str">
        <f ca="1">"push"</f>
        <v>push</v>
      </c>
      <c r="Q1">
        <f ca="1">1</f>
        <v>1</v>
      </c>
      <c r="R1" t="str">
        <f ca="1">"writeheap"</f>
        <v>writeheap</v>
      </c>
      <c r="S1" t="str">
        <f ca="1">""</f>
        <v/>
      </c>
      <c r="T1" t="str">
        <f ca="1">"load"</f>
        <v>load</v>
      </c>
      <c r="U1">
        <f ca="1">3</f>
        <v>3</v>
      </c>
      <c r="V1" t="str">
        <f ca="1">"popv"</f>
        <v>popv</v>
      </c>
      <c r="W1" t="str">
        <f ca="1">"H"</f>
        <v>H</v>
      </c>
      <c r="X1" t="str">
        <f ca="1">"newheap"</f>
        <v>newheap</v>
      </c>
      <c r="Y1" t="str">
        <f ca="1">""</f>
        <v/>
      </c>
      <c r="Z1" t="str">
        <f ca="1">"load"</f>
        <v>load</v>
      </c>
      <c r="AA1">
        <f ca="1">3</f>
        <v>3</v>
      </c>
      <c r="AB1" t="str">
        <f ca="1">"writeheap"</f>
        <v>writeheap</v>
      </c>
      <c r="AC1" t="str">
        <f ca="1">""</f>
        <v/>
      </c>
      <c r="AD1" t="str">
        <f ca="1">"popv"</f>
        <v>popv</v>
      </c>
      <c r="AE1" t="str">
        <f ca="1">"H"</f>
        <v>H</v>
      </c>
      <c r="AF1" t="str">
        <f ca="1">"newheap"</f>
        <v>newheap</v>
      </c>
      <c r="AG1" t="str">
        <f ca="1">""</f>
        <v/>
      </c>
      <c r="AH1" t="str">
        <f ca="1">"push"</f>
        <v>push</v>
      </c>
      <c r="AI1" t="str">
        <f ca="1">"endArr"</f>
        <v>endArr</v>
      </c>
      <c r="AJ1" t="str">
        <f ca="1">"writeheap"</f>
        <v>writeheap</v>
      </c>
      <c r="AK1" t="str">
        <f ca="1">""</f>
        <v/>
      </c>
      <c r="AL1" t="str">
        <f ca="1">"return"</f>
        <v>return</v>
      </c>
      <c r="AM1" t="str">
        <f ca="1">""</f>
        <v/>
      </c>
      <c r="AN1" t="str">
        <f ca="1">"outputline"</f>
        <v>outputline</v>
      </c>
      <c r="AO1" t="str">
        <f ca="1">""</f>
        <v/>
      </c>
      <c r="AP1" t="str">
        <f ca="1">"push"</f>
        <v>push</v>
      </c>
      <c r="AQ1" t="str">
        <f ca="1">"()"</f>
        <v>()</v>
      </c>
      <c r="AR1" t="str">
        <f ca="1">"return"</f>
        <v>return</v>
      </c>
      <c r="AS1" t="str">
        <f ca="1">""</f>
        <v/>
      </c>
      <c r="AT1" t="str">
        <f ca="1">"equals"</f>
        <v>equals</v>
      </c>
      <c r="AU1" t="str">
        <f ca="1">""</f>
        <v/>
      </c>
      <c r="AV1" t="str">
        <f ca="1">"return"</f>
        <v>return</v>
      </c>
      <c r="AW1" t="str">
        <f ca="1">""</f>
        <v/>
      </c>
      <c r="AX1" t="str">
        <f ca="1">"store"</f>
        <v>store</v>
      </c>
      <c r="AY1" t="str">
        <f ca="1">"H"</f>
        <v>H</v>
      </c>
      <c r="AZ1" t="str">
        <f ca="1">"newheap"</f>
        <v>newheap</v>
      </c>
      <c r="BA1" t="str">
        <f ca="1">""</f>
        <v/>
      </c>
      <c r="BB1" t="str">
        <f ca="1">"store"</f>
        <v>store</v>
      </c>
      <c r="BC1" t="str">
        <f ca="1">"H"</f>
        <v>H</v>
      </c>
      <c r="BD1" t="str">
        <f ca="1">"load"</f>
        <v>load</v>
      </c>
      <c r="BE1">
        <f ca="1">3</f>
        <v>3</v>
      </c>
      <c r="BF1" t="str">
        <f ca="1">"push"</f>
        <v>push</v>
      </c>
      <c r="BG1">
        <f ca="1">22</f>
        <v>22</v>
      </c>
      <c r="BH1" t="str">
        <f ca="1">"writeheap"</f>
        <v>writeheap</v>
      </c>
      <c r="BI1" t="str">
        <f ca="1">""</f>
        <v/>
      </c>
      <c r="BJ1" t="str">
        <f ca="1">"load"</f>
        <v>load</v>
      </c>
      <c r="BK1">
        <f ca="1">3</f>
        <v>3</v>
      </c>
      <c r="BL1" t="str">
        <f ca="1">"popv"</f>
        <v>popv</v>
      </c>
      <c r="BM1" t="str">
        <f ca="1">"H"</f>
        <v>H</v>
      </c>
      <c r="BN1" t="str">
        <f ca="1">"newheap"</f>
        <v>newheap</v>
      </c>
      <c r="BO1" t="str">
        <f ca="1">""</f>
        <v/>
      </c>
      <c r="BP1" t="str">
        <f ca="1">"load"</f>
        <v>load</v>
      </c>
      <c r="BQ1">
        <f ca="1">3</f>
        <v>3</v>
      </c>
      <c r="BR1" t="str">
        <f ca="1">"writeheap"</f>
        <v>writeheap</v>
      </c>
      <c r="BS1" t="str">
        <f ca="1">""</f>
        <v/>
      </c>
      <c r="BT1" t="str">
        <f ca="1">"popv"</f>
        <v>popv</v>
      </c>
      <c r="BU1" t="str">
        <f ca="1">"H"</f>
        <v>H</v>
      </c>
      <c r="BV1" t="str">
        <f ca="1">"newheap"</f>
        <v>newheap</v>
      </c>
      <c r="BW1" t="str">
        <f ca="1">""</f>
        <v/>
      </c>
      <c r="BX1" t="str">
        <f ca="1">"push"</f>
        <v>push</v>
      </c>
      <c r="BY1" t="str">
        <f ca="1">"endArr"</f>
        <v>endArr</v>
      </c>
      <c r="BZ1" t="str">
        <f ca="1">"writeheap"</f>
        <v>writeheap</v>
      </c>
      <c r="CA1" t="str">
        <f ca="1">""</f>
        <v/>
      </c>
      <c r="CB1" t="str">
        <f ca="1">"return"</f>
        <v>return</v>
      </c>
      <c r="CC1" t="str">
        <f ca="1">""</f>
        <v/>
      </c>
      <c r="CD1" t="str">
        <f ca="1">"leq"</f>
        <v>leq</v>
      </c>
      <c r="CE1" t="str">
        <f ca="1">""</f>
        <v/>
      </c>
      <c r="CF1" t="str">
        <f ca="1">"return"</f>
        <v>return</v>
      </c>
      <c r="CG1" t="str">
        <f ca="1">""</f>
        <v/>
      </c>
      <c r="CH1" t="str">
        <f ca="1">"store"</f>
        <v>store</v>
      </c>
      <c r="CI1" t="str">
        <f ca="1">"H"</f>
        <v>H</v>
      </c>
      <c r="CJ1" t="str">
        <f ca="1">"newheap"</f>
        <v>newheap</v>
      </c>
      <c r="CK1" t="str">
        <f ca="1">""</f>
        <v/>
      </c>
      <c r="CL1" t="str">
        <f ca="1">"store"</f>
        <v>store</v>
      </c>
      <c r="CM1" t="str">
        <f ca="1">"H"</f>
        <v>H</v>
      </c>
      <c r="CN1" t="str">
        <f ca="1">"load"</f>
        <v>load</v>
      </c>
      <c r="CO1">
        <f ca="1">3</f>
        <v>3</v>
      </c>
      <c r="CP1" t="str">
        <f ca="1">"push"</f>
        <v>push</v>
      </c>
      <c r="CQ1">
        <f ca="1">40</f>
        <v>40</v>
      </c>
      <c r="CR1" t="str">
        <f ca="1">"writeheap"</f>
        <v>writeheap</v>
      </c>
      <c r="CS1" t="str">
        <f ca="1">""</f>
        <v/>
      </c>
      <c r="CT1" t="str">
        <f ca="1">"load"</f>
        <v>load</v>
      </c>
      <c r="CU1">
        <f ca="1">3</f>
        <v>3</v>
      </c>
      <c r="CV1" t="str">
        <f ca="1">"popv"</f>
        <v>popv</v>
      </c>
      <c r="CW1" t="str">
        <f ca="1">"H"</f>
        <v>H</v>
      </c>
      <c r="CX1" t="str">
        <f ca="1">"newheap"</f>
        <v>newheap</v>
      </c>
      <c r="CY1" t="str">
        <f ca="1">""</f>
        <v/>
      </c>
      <c r="CZ1" t="str">
        <f ca="1">"load"</f>
        <v>load</v>
      </c>
      <c r="DA1">
        <f ca="1">3</f>
        <v>3</v>
      </c>
      <c r="DB1" t="str">
        <f ca="1">"writeheap"</f>
        <v>writeheap</v>
      </c>
      <c r="DC1" t="str">
        <f ca="1">""</f>
        <v/>
      </c>
      <c r="DD1" t="str">
        <f ca="1">"popv"</f>
        <v>popv</v>
      </c>
      <c r="DE1" t="str">
        <f ca="1">"H"</f>
        <v>H</v>
      </c>
      <c r="DF1" t="str">
        <f ca="1">"newheap"</f>
        <v>newheap</v>
      </c>
      <c r="DG1" t="str">
        <f ca="1">""</f>
        <v/>
      </c>
      <c r="DH1" t="str">
        <f ca="1">"push"</f>
        <v>push</v>
      </c>
      <c r="DI1" t="str">
        <f ca="1">"endArr"</f>
        <v>endArr</v>
      </c>
      <c r="DJ1" t="str">
        <f ca="1">"writeheap"</f>
        <v>writeheap</v>
      </c>
      <c r="DK1" t="str">
        <f ca="1">""</f>
        <v/>
      </c>
      <c r="DL1" t="str">
        <f ca="1">"return"</f>
        <v>return</v>
      </c>
      <c r="DM1" t="str">
        <f ca="1">""</f>
        <v/>
      </c>
      <c r="DN1" t="str">
        <f ca="1">"goto"</f>
        <v>goto</v>
      </c>
      <c r="DO1">
        <f ca="1">423</f>
        <v>423</v>
      </c>
      <c r="DP1" t="str">
        <f ca="1">"store"</f>
        <v>store</v>
      </c>
      <c r="DQ1" t="str">
        <f ca="1">"I"</f>
        <v>I</v>
      </c>
      <c r="DR1" t="str">
        <f ca="1">"push"</f>
        <v>push</v>
      </c>
      <c r="DS1">
        <f ca="1">7</f>
        <v>7</v>
      </c>
      <c r="DT1" t="str">
        <f ca="1">"load"</f>
        <v>load</v>
      </c>
      <c r="DU1">
        <f ca="1">4</f>
        <v>4</v>
      </c>
      <c r="DV1" t="str">
        <f ca="1">"newheap"</f>
        <v>newheap</v>
      </c>
      <c r="DW1" t="str">
        <f ca="1">""</f>
        <v/>
      </c>
      <c r="DX1" t="str">
        <f ca="1">"store"</f>
        <v>store</v>
      </c>
      <c r="DY1" t="str">
        <f ca="1">"H"</f>
        <v>H</v>
      </c>
      <c r="DZ1" t="str">
        <f ca="1">"load"</f>
        <v>load</v>
      </c>
      <c r="EA1">
        <f ca="1">3</f>
        <v>3</v>
      </c>
      <c r="EB1" t="str">
        <f ca="1">"push"</f>
        <v>push</v>
      </c>
      <c r="EC1">
        <f ca="1">42</f>
        <v>42</v>
      </c>
      <c r="ED1" t="str">
        <f ca="1">"writeheap"</f>
        <v>writeheap</v>
      </c>
      <c r="EE1" t="str">
        <f ca="1">""</f>
        <v/>
      </c>
      <c r="EF1" t="str">
        <f ca="1">"newheap"</f>
        <v>newheap</v>
      </c>
      <c r="EG1" t="str">
        <f ca="1">""</f>
        <v/>
      </c>
      <c r="EH1" t="str">
        <f ca="1">"push"</f>
        <v>push</v>
      </c>
      <c r="EI1" t="str">
        <f ca="1">"endArr"</f>
        <v>endArr</v>
      </c>
      <c r="EJ1" t="str">
        <f ca="1">"writeheap"</f>
        <v>writeheap</v>
      </c>
      <c r="EK1" t="str">
        <f ca="1">""</f>
        <v/>
      </c>
      <c r="EL1" t="str">
        <f ca="1">"load"</f>
        <v>load</v>
      </c>
      <c r="EM1">
        <f ca="1">3</f>
        <v>3</v>
      </c>
      <c r="EN1" t="str">
        <f ca="1">"popv"</f>
        <v>popv</v>
      </c>
      <c r="EO1" t="str">
        <f ca="1">"H"</f>
        <v>H</v>
      </c>
      <c r="EP1" t="str">
        <f ca="1">"store"</f>
        <v>store</v>
      </c>
      <c r="EQ1" t="str">
        <f ca="1">"H"</f>
        <v>H</v>
      </c>
      <c r="ER1" t="str">
        <f ca="1">"load"</f>
        <v>load</v>
      </c>
      <c r="ES1">
        <f ca="1">3</f>
        <v>3</v>
      </c>
      <c r="ET1" t="str">
        <f ca="1">"push"</f>
        <v>push</v>
      </c>
      <c r="EU1">
        <f ca="1">1</f>
        <v>1</v>
      </c>
      <c r="EV1" t="str">
        <f ca="1">"add"</f>
        <v>add</v>
      </c>
      <c r="EW1" t="str">
        <f ca="1">""</f>
        <v/>
      </c>
      <c r="EX1" t="str">
        <f ca="1">"store"</f>
        <v>store</v>
      </c>
      <c r="EY1" t="str">
        <f ca="1">"H"</f>
        <v>H</v>
      </c>
      <c r="EZ1" t="str">
        <f ca="1">"load"</f>
        <v>load</v>
      </c>
      <c r="FA1">
        <f ca="1">3</f>
        <v>3</v>
      </c>
      <c r="FB1" t="str">
        <f ca="1">"getheap"</f>
        <v>getheap</v>
      </c>
      <c r="FC1" t="str">
        <f ca="1">""</f>
        <v/>
      </c>
      <c r="FD1" t="str">
        <f ca="1">"push"</f>
        <v>push</v>
      </c>
      <c r="FE1" t="str">
        <f ca="1">"endArr"</f>
        <v>endArr</v>
      </c>
      <c r="FF1" t="str">
        <f ca="1">"equals"</f>
        <v>equals</v>
      </c>
      <c r="FG1" t="str">
        <f ca="1">""</f>
        <v/>
      </c>
      <c r="FH1" t="str">
        <f ca="1">"gotoiftrue"</f>
        <v>gotoiftrue</v>
      </c>
      <c r="FI1">
        <f ca="1">90</f>
        <v>90</v>
      </c>
      <c r="FJ1" t="str">
        <f ca="1">"load"</f>
        <v>load</v>
      </c>
      <c r="FK1">
        <f ca="1">3</f>
        <v>3</v>
      </c>
      <c r="FL1" t="str">
        <f ca="1">"getheap"</f>
        <v>getheap</v>
      </c>
      <c r="FM1" t="str">
        <f ca="1">""</f>
        <v/>
      </c>
      <c r="FN1" t="str">
        <f ca="1">"load"</f>
        <v>load</v>
      </c>
      <c r="FO1">
        <f ca="1">3</f>
        <v>3</v>
      </c>
      <c r="FP1" t="str">
        <f ca="1">"push"</f>
        <v>push</v>
      </c>
      <c r="FQ1">
        <f ca="1">1</f>
        <v>1</v>
      </c>
      <c r="FR1" t="str">
        <f ca="1">"add"</f>
        <v>add</v>
      </c>
      <c r="FS1" t="str">
        <f ca="1">""</f>
        <v/>
      </c>
      <c r="FT1" t="str">
        <f ca="1">"popv"</f>
        <v>popv</v>
      </c>
      <c r="FU1" t="str">
        <f ca="1">"H"</f>
        <v>H</v>
      </c>
      <c r="FV1" t="str">
        <f ca="1">"store"</f>
        <v>store</v>
      </c>
      <c r="FW1" t="str">
        <f ca="1">"H"</f>
        <v>H</v>
      </c>
      <c r="FX1" t="str">
        <f ca="1">"goto"</f>
        <v>goto</v>
      </c>
      <c r="FY1">
        <f ca="1">77</f>
        <v>77</v>
      </c>
      <c r="FZ1" t="str">
        <f ca="1">"popv"</f>
        <v>popv</v>
      </c>
      <c r="GA1" t="str">
        <f ca="1">"H"</f>
        <v>H</v>
      </c>
      <c r="GB1" t="str">
        <f ca="1">"load"</f>
        <v>load</v>
      </c>
      <c r="GC1">
        <f ca="1">3</f>
        <v>3</v>
      </c>
      <c r="GD1" t="str">
        <f ca="1">"getheap"</f>
        <v>getheap</v>
      </c>
      <c r="GE1" t="str">
        <f ca="1">""</f>
        <v/>
      </c>
      <c r="GF1" t="str">
        <f ca="1">"call"</f>
        <v>call</v>
      </c>
      <c r="GG1" t="str">
        <f ca="1">""</f>
        <v/>
      </c>
      <c r="GH1" t="str">
        <f ca="1">"popv"</f>
        <v>popv</v>
      </c>
      <c r="GI1" t="str">
        <f ca="1">"H"</f>
        <v>H</v>
      </c>
      <c r="GJ1" t="str">
        <f ca="1">"store"</f>
        <v>store</v>
      </c>
      <c r="GK1" t="str">
        <f ca="1">"H"</f>
        <v>H</v>
      </c>
      <c r="GL1" t="str">
        <f ca="1">"load"</f>
        <v>load</v>
      </c>
      <c r="GM1">
        <f ca="1">3</f>
        <v>3</v>
      </c>
      <c r="GN1" t="str">
        <f ca="1">"push"</f>
        <v>push</v>
      </c>
      <c r="GO1">
        <f ca="1">1</f>
        <v>1</v>
      </c>
      <c r="GP1" t="str">
        <f ca="1">"add"</f>
        <v>add</v>
      </c>
      <c r="GQ1" t="str">
        <f ca="1">""</f>
        <v/>
      </c>
      <c r="GR1" t="str">
        <f ca="1">"store"</f>
        <v>store</v>
      </c>
      <c r="GS1" t="str">
        <f ca="1">"H"</f>
        <v>H</v>
      </c>
      <c r="GT1" t="str">
        <f ca="1">"load"</f>
        <v>load</v>
      </c>
      <c r="GU1">
        <f ca="1">3</f>
        <v>3</v>
      </c>
      <c r="GV1" t="str">
        <f ca="1">"getheap"</f>
        <v>getheap</v>
      </c>
      <c r="GW1" t="str">
        <f ca="1">""</f>
        <v/>
      </c>
      <c r="GX1" t="str">
        <f ca="1">"push"</f>
        <v>push</v>
      </c>
      <c r="GY1" t="str">
        <f ca="1">"endArr"</f>
        <v>endArr</v>
      </c>
      <c r="GZ1" t="str">
        <f ca="1">"equals"</f>
        <v>equals</v>
      </c>
      <c r="HA1" t="str">
        <f ca="1">""</f>
        <v/>
      </c>
      <c r="HB1" t="str">
        <f ca="1">"gotoiftrue"</f>
        <v>gotoiftrue</v>
      </c>
      <c r="HC1">
        <f ca="1">113</f>
        <v>113</v>
      </c>
      <c r="HD1" t="str">
        <f ca="1">"load"</f>
        <v>load</v>
      </c>
      <c r="HE1">
        <f ca="1">3</f>
        <v>3</v>
      </c>
      <c r="HF1" t="str">
        <f ca="1">"getheap"</f>
        <v>getheap</v>
      </c>
      <c r="HG1" t="str">
        <f ca="1">""</f>
        <v/>
      </c>
      <c r="HH1" t="str">
        <f ca="1">"load"</f>
        <v>load</v>
      </c>
      <c r="HI1">
        <f ca="1">3</f>
        <v>3</v>
      </c>
      <c r="HJ1" t="str">
        <f ca="1">"push"</f>
        <v>push</v>
      </c>
      <c r="HK1">
        <f ca="1">1</f>
        <v>1</v>
      </c>
      <c r="HL1" t="str">
        <f ca="1">"add"</f>
        <v>add</v>
      </c>
      <c r="HM1" t="str">
        <f ca="1">""</f>
        <v/>
      </c>
      <c r="HN1" t="str">
        <f ca="1">"popv"</f>
        <v>popv</v>
      </c>
      <c r="HO1" t="str">
        <f ca="1">"H"</f>
        <v>H</v>
      </c>
      <c r="HP1" t="str">
        <f ca="1">"store"</f>
        <v>store</v>
      </c>
      <c r="HQ1" t="str">
        <f ca="1">"H"</f>
        <v>H</v>
      </c>
      <c r="HR1" t="str">
        <f ca="1">"goto"</f>
        <v>goto</v>
      </c>
      <c r="HS1">
        <f ca="1">100</f>
        <v>100</v>
      </c>
      <c r="HT1" t="str">
        <f ca="1">"popv"</f>
        <v>popv</v>
      </c>
      <c r="HU1" t="str">
        <f ca="1">"H"</f>
        <v>H</v>
      </c>
      <c r="HV1" t="str">
        <f ca="1">"load"</f>
        <v>load</v>
      </c>
      <c r="HW1">
        <f ca="1">3</f>
        <v>3</v>
      </c>
      <c r="HX1" t="str">
        <f ca="1">"getheap"</f>
        <v>getheap</v>
      </c>
      <c r="HY1" t="str">
        <f ca="1">""</f>
        <v/>
      </c>
      <c r="HZ1" t="str">
        <f ca="1">"call"</f>
        <v>call</v>
      </c>
      <c r="IA1" t="str">
        <f ca="1">""</f>
        <v/>
      </c>
      <c r="IB1" t="str">
        <f ca="1">"popv"</f>
        <v>popv</v>
      </c>
      <c r="IC1" t="str">
        <f ca="1">"H"</f>
        <v>H</v>
      </c>
      <c r="ID1" t="str">
        <f ca="1">"gotoiftrue"</f>
        <v>gotoiftrue</v>
      </c>
      <c r="IE1">
        <f ca="1">121</f>
        <v>121</v>
      </c>
      <c r="IF1" t="str">
        <f ca="1">"push"</f>
        <v>push</v>
      </c>
      <c r="IG1" t="str">
        <f ca="1">"()"</f>
        <v>()</v>
      </c>
      <c r="IH1" t="str">
        <f ca="1">"goto"</f>
        <v>goto</v>
      </c>
      <c r="II1">
        <f ca="1">421</f>
        <v>421</v>
      </c>
      <c r="IJ1" t="str">
        <f ca="1">"goto"</f>
        <v>goto</v>
      </c>
      <c r="IK1">
        <f ca="1">303</f>
        <v>303</v>
      </c>
      <c r="IL1" t="str">
        <f ca="1">"store"</f>
        <v>store</v>
      </c>
      <c r="IM1" t="str">
        <f ca="1">"J"</f>
        <v>J</v>
      </c>
      <c r="IN1" t="str">
        <f ca="1">"push"</f>
        <v>push</v>
      </c>
      <c r="IO1">
        <f ca="1">8</f>
        <v>8</v>
      </c>
      <c r="IP1" t="str">
        <f ca="1">"load"</f>
        <v>load</v>
      </c>
      <c r="IQ1">
        <f ca="1">5</f>
        <v>5</v>
      </c>
      <c r="IR1" t="str">
        <f ca="1">"newheap"</f>
        <v>newheap</v>
      </c>
      <c r="IS1" t="str">
        <f ca="1">""</f>
        <v/>
      </c>
      <c r="IT1" t="str">
        <f ca="1">"store"</f>
        <v>store</v>
      </c>
      <c r="IU1" t="str">
        <f ca="1">"H"</f>
        <v>H</v>
      </c>
      <c r="IV1" t="str">
        <f ca="1">"load"</f>
        <v>load</v>
      </c>
      <c r="IW1">
        <f ca="1">3</f>
        <v>3</v>
      </c>
      <c r="IX1" t="str">
        <f ca="1">"push"</f>
        <v>push</v>
      </c>
      <c r="IY1">
        <f ca="1">42</f>
        <v>42</v>
      </c>
      <c r="IZ1" t="str">
        <f ca="1">"writeheap"</f>
        <v>writeheap</v>
      </c>
      <c r="JA1" t="str">
        <f ca="1">""</f>
        <v/>
      </c>
      <c r="JB1" t="str">
        <f ca="1">"newheap"</f>
        <v>newheap</v>
      </c>
      <c r="JC1" t="str">
        <f ca="1">""</f>
        <v/>
      </c>
      <c r="JD1" t="str">
        <f ca="1">"push"</f>
        <v>push</v>
      </c>
      <c r="JE1" t="str">
        <f ca="1">"endArr"</f>
        <v>endArr</v>
      </c>
      <c r="JF1" t="str">
        <f ca="1">"writeheap"</f>
        <v>writeheap</v>
      </c>
      <c r="JG1" t="str">
        <f ca="1">""</f>
        <v/>
      </c>
      <c r="JH1" t="str">
        <f ca="1">"load"</f>
        <v>load</v>
      </c>
      <c r="JI1">
        <f ca="1">3</f>
        <v>3</v>
      </c>
      <c r="JJ1" t="str">
        <f ca="1">"popv"</f>
        <v>popv</v>
      </c>
      <c r="JK1" t="str">
        <f ca="1">"H"</f>
        <v>H</v>
      </c>
      <c r="JL1" t="str">
        <f ca="1">"store"</f>
        <v>store</v>
      </c>
      <c r="JM1" t="str">
        <f ca="1">"H"</f>
        <v>H</v>
      </c>
      <c r="JN1" t="str">
        <f ca="1">"load"</f>
        <v>load</v>
      </c>
      <c r="JO1">
        <f ca="1">3</f>
        <v>3</v>
      </c>
      <c r="JP1" t="str">
        <f ca="1">"push"</f>
        <v>push</v>
      </c>
      <c r="JQ1">
        <f ca="1">1</f>
        <v>1</v>
      </c>
      <c r="JR1" t="str">
        <f ca="1">"add"</f>
        <v>add</v>
      </c>
      <c r="JS1" t="str">
        <f ca="1">""</f>
        <v/>
      </c>
      <c r="JT1" t="str">
        <f ca="1">"store"</f>
        <v>store</v>
      </c>
      <c r="JU1" t="str">
        <f ca="1">"H"</f>
        <v>H</v>
      </c>
      <c r="JV1" t="str">
        <f ca="1">"load"</f>
        <v>load</v>
      </c>
      <c r="JW1">
        <f ca="1">3</f>
        <v>3</v>
      </c>
      <c r="JX1" t="str">
        <f ca="1">"getheap"</f>
        <v>getheap</v>
      </c>
      <c r="JY1" t="str">
        <f ca="1">""</f>
        <v/>
      </c>
      <c r="JZ1" t="str">
        <f ca="1">"push"</f>
        <v>push</v>
      </c>
      <c r="KA1" t="str">
        <f ca="1">"endArr"</f>
        <v>endArr</v>
      </c>
      <c r="KB1" t="str">
        <f ca="1">"equals"</f>
        <v>equals</v>
      </c>
      <c r="KC1" t="str">
        <f ca="1">""</f>
        <v/>
      </c>
      <c r="KD1" t="str">
        <f ca="1">"gotoiftrue"</f>
        <v>gotoiftrue</v>
      </c>
      <c r="KE1">
        <f ca="1">153</f>
        <v>153</v>
      </c>
      <c r="KF1" t="str">
        <f ca="1">"load"</f>
        <v>load</v>
      </c>
      <c r="KG1">
        <f ca="1">3</f>
        <v>3</v>
      </c>
      <c r="KH1" t="str">
        <f ca="1">"getheap"</f>
        <v>getheap</v>
      </c>
      <c r="KI1" t="str">
        <f ca="1">""</f>
        <v/>
      </c>
      <c r="KJ1" t="str">
        <f ca="1">"load"</f>
        <v>load</v>
      </c>
      <c r="KK1">
        <f ca="1">3</f>
        <v>3</v>
      </c>
      <c r="KL1" t="str">
        <f ca="1">"push"</f>
        <v>push</v>
      </c>
      <c r="KM1">
        <f ca="1">1</f>
        <v>1</v>
      </c>
      <c r="KN1" t="str">
        <f ca="1">"add"</f>
        <v>add</v>
      </c>
      <c r="KO1" t="str">
        <f ca="1">""</f>
        <v/>
      </c>
      <c r="KP1" t="str">
        <f ca="1">"popv"</f>
        <v>popv</v>
      </c>
      <c r="KQ1" t="str">
        <f ca="1">"H"</f>
        <v>H</v>
      </c>
      <c r="KR1" t="str">
        <f ca="1">"store"</f>
        <v>store</v>
      </c>
      <c r="KS1" t="str">
        <f ca="1">"H"</f>
        <v>H</v>
      </c>
      <c r="KT1" t="str">
        <f ca="1">"goto"</f>
        <v>goto</v>
      </c>
      <c r="KU1">
        <f ca="1">140</f>
        <v>140</v>
      </c>
      <c r="KV1" t="str">
        <f ca="1">"popv"</f>
        <v>popv</v>
      </c>
      <c r="KW1" t="str">
        <f ca="1">"H"</f>
        <v>H</v>
      </c>
      <c r="KX1" t="str">
        <f ca="1">"load"</f>
        <v>load</v>
      </c>
      <c r="KY1">
        <f ca="1">3</f>
        <v>3</v>
      </c>
      <c r="KZ1" t="str">
        <f ca="1">"getheap"</f>
        <v>getheap</v>
      </c>
      <c r="LA1" t="str">
        <f ca="1">""</f>
        <v/>
      </c>
      <c r="LB1" t="str">
        <f ca="1">"call"</f>
        <v>call</v>
      </c>
      <c r="LC1" t="str">
        <f ca="1">""</f>
        <v/>
      </c>
      <c r="LD1" t="str">
        <f ca="1">"popv"</f>
        <v>popv</v>
      </c>
      <c r="LE1" t="str">
        <f ca="1">"H"</f>
        <v>H</v>
      </c>
      <c r="LF1" t="str">
        <f ca="1">"store"</f>
        <v>store</v>
      </c>
      <c r="LG1" t="str">
        <f ca="1">"H"</f>
        <v>H</v>
      </c>
      <c r="LH1" t="str">
        <f ca="1">"load"</f>
        <v>load</v>
      </c>
      <c r="LI1">
        <f ca="1">3</f>
        <v>3</v>
      </c>
      <c r="LJ1" t="str">
        <f ca="1">"push"</f>
        <v>push</v>
      </c>
      <c r="LK1">
        <f ca="1">1</f>
        <v>1</v>
      </c>
      <c r="LL1" t="str">
        <f ca="1">"add"</f>
        <v>add</v>
      </c>
      <c r="LM1" t="str">
        <f ca="1">""</f>
        <v/>
      </c>
      <c r="LN1" t="str">
        <f ca="1">"store"</f>
        <v>store</v>
      </c>
      <c r="LO1" t="str">
        <f ca="1">"H"</f>
        <v>H</v>
      </c>
      <c r="LP1" t="str">
        <f ca="1">"load"</f>
        <v>load</v>
      </c>
      <c r="LQ1">
        <f ca="1">3</f>
        <v>3</v>
      </c>
      <c r="LR1" t="str">
        <f ca="1">"getheap"</f>
        <v>getheap</v>
      </c>
      <c r="LS1" t="str">
        <f ca="1">""</f>
        <v/>
      </c>
      <c r="LT1" t="str">
        <f ca="1">"push"</f>
        <v>push</v>
      </c>
      <c r="LU1" t="str">
        <f ca="1">"endArr"</f>
        <v>endArr</v>
      </c>
      <c r="LV1" t="str">
        <f ca="1">"equals"</f>
        <v>equals</v>
      </c>
      <c r="LW1" t="str">
        <f ca="1">""</f>
        <v/>
      </c>
      <c r="LX1" t="str">
        <f ca="1">"gotoiftrue"</f>
        <v>gotoiftrue</v>
      </c>
      <c r="LY1">
        <f ca="1">176</f>
        <v>176</v>
      </c>
      <c r="LZ1" t="str">
        <f ca="1">"load"</f>
        <v>load</v>
      </c>
      <c r="MA1">
        <f ca="1">3</f>
        <v>3</v>
      </c>
      <c r="MB1" t="str">
        <f ca="1">"getheap"</f>
        <v>getheap</v>
      </c>
      <c r="MC1" t="str">
        <f ca="1">""</f>
        <v/>
      </c>
      <c r="MD1" t="str">
        <f ca="1">"load"</f>
        <v>load</v>
      </c>
      <c r="ME1">
        <f ca="1">3</f>
        <v>3</v>
      </c>
      <c r="MF1" t="str">
        <f ca="1">"push"</f>
        <v>push</v>
      </c>
      <c r="MG1">
        <f ca="1">1</f>
        <v>1</v>
      </c>
      <c r="MH1" t="str">
        <f ca="1">"add"</f>
        <v>add</v>
      </c>
      <c r="MI1" t="str">
        <f ca="1">""</f>
        <v/>
      </c>
      <c r="MJ1" t="str">
        <f ca="1">"popv"</f>
        <v>popv</v>
      </c>
      <c r="MK1" t="str">
        <f ca="1">"H"</f>
        <v>H</v>
      </c>
      <c r="ML1" t="str">
        <f ca="1">"store"</f>
        <v>store</v>
      </c>
      <c r="MM1" t="str">
        <f ca="1">"H"</f>
        <v>H</v>
      </c>
      <c r="MN1" t="str">
        <f ca="1">"goto"</f>
        <v>goto</v>
      </c>
      <c r="MO1">
        <f ca="1">163</f>
        <v>163</v>
      </c>
      <c r="MP1" t="str">
        <f ca="1">"popv"</f>
        <v>popv</v>
      </c>
      <c r="MQ1" t="str">
        <f ca="1">"H"</f>
        <v>H</v>
      </c>
      <c r="MR1" t="str">
        <f ca="1">"load"</f>
        <v>load</v>
      </c>
      <c r="MS1">
        <f ca="1">3</f>
        <v>3</v>
      </c>
      <c r="MT1" t="str">
        <f ca="1">"getheap"</f>
        <v>getheap</v>
      </c>
      <c r="MU1" t="str">
        <f ca="1">""</f>
        <v/>
      </c>
      <c r="MV1" t="str">
        <f ca="1">"call"</f>
        <v>call</v>
      </c>
      <c r="MW1" t="str">
        <f ca="1">""</f>
        <v/>
      </c>
      <c r="MX1" t="str">
        <f ca="1">"popv"</f>
        <v>popv</v>
      </c>
      <c r="MY1" t="str">
        <f ca="1">"H"</f>
        <v>H</v>
      </c>
      <c r="MZ1" t="str">
        <f ca="1">"gotoiftrue"</f>
        <v>gotoiftrue</v>
      </c>
      <c r="NA1">
        <f ca="1">184</f>
        <v>184</v>
      </c>
      <c r="NB1" t="str">
        <f ca="1">"push"</f>
        <v>push</v>
      </c>
      <c r="NC1" t="str">
        <f ca="1">"()"</f>
        <v>()</v>
      </c>
      <c r="ND1" t="str">
        <f ca="1">"goto"</f>
        <v>goto</v>
      </c>
      <c r="NE1">
        <f ca="1">301</f>
        <v>301</v>
      </c>
      <c r="NF1" t="str">
        <f ca="1">"load"</f>
        <v>load</v>
      </c>
      <c r="NG1">
        <f ca="1">5</f>
        <v>5</v>
      </c>
      <c r="NH1" t="str">
        <f ca="1">"newheap"</f>
        <v>newheap</v>
      </c>
      <c r="NI1" t="str">
        <f ca="1">""</f>
        <v/>
      </c>
      <c r="NJ1" t="str">
        <f ca="1">"store"</f>
        <v>store</v>
      </c>
      <c r="NK1" t="str">
        <f ca="1">"H"</f>
        <v>H</v>
      </c>
      <c r="NL1" t="str">
        <f ca="1">"load"</f>
        <v>load</v>
      </c>
      <c r="NM1">
        <f ca="1">3</f>
        <v>3</v>
      </c>
      <c r="NN1" t="str">
        <f ca="1">"push"</f>
        <v>push</v>
      </c>
      <c r="NO1">
        <f ca="1">19</f>
        <v>19</v>
      </c>
      <c r="NP1" t="str">
        <f ca="1">"writeheap"</f>
        <v>writeheap</v>
      </c>
      <c r="NQ1" t="str">
        <f ca="1">""</f>
        <v/>
      </c>
      <c r="NR1" t="str">
        <f ca="1">"newheap"</f>
        <v>newheap</v>
      </c>
      <c r="NS1" t="str">
        <f ca="1">""</f>
        <v/>
      </c>
      <c r="NT1" t="str">
        <f ca="1">"push"</f>
        <v>push</v>
      </c>
      <c r="NU1" t="str">
        <f ca="1">"endArr"</f>
        <v>endArr</v>
      </c>
      <c r="NV1" t="str">
        <f ca="1">"writeheap"</f>
        <v>writeheap</v>
      </c>
      <c r="NW1" t="str">
        <f ca="1">""</f>
        <v/>
      </c>
      <c r="NX1" t="str">
        <f ca="1">"load"</f>
        <v>load</v>
      </c>
      <c r="NY1">
        <f ca="1">3</f>
        <v>3</v>
      </c>
      <c r="NZ1" t="str">
        <f ca="1">"popv"</f>
        <v>popv</v>
      </c>
      <c r="OA1" t="str">
        <f ca="1">"H"</f>
        <v>H</v>
      </c>
      <c r="OB1" t="str">
        <f ca="1">"store"</f>
        <v>store</v>
      </c>
      <c r="OC1" t="str">
        <f ca="1">"H"</f>
        <v>H</v>
      </c>
      <c r="OD1" t="str">
        <f ca="1">"load"</f>
        <v>load</v>
      </c>
      <c r="OE1">
        <f ca="1">3</f>
        <v>3</v>
      </c>
      <c r="OF1" t="str">
        <f ca="1">"push"</f>
        <v>push</v>
      </c>
      <c r="OG1">
        <f ca="1">1</f>
        <v>1</v>
      </c>
      <c r="OH1" t="str">
        <f ca="1">"add"</f>
        <v>add</v>
      </c>
      <c r="OI1" t="str">
        <f ca="1">""</f>
        <v/>
      </c>
      <c r="OJ1" t="str">
        <f ca="1">"store"</f>
        <v>store</v>
      </c>
      <c r="OK1" t="str">
        <f ca="1">"H"</f>
        <v>H</v>
      </c>
      <c r="OL1" t="str">
        <f ca="1">"load"</f>
        <v>load</v>
      </c>
      <c r="OM1">
        <f ca="1">3</f>
        <v>3</v>
      </c>
      <c r="ON1" t="str">
        <f ca="1">"getheap"</f>
        <v>getheap</v>
      </c>
      <c r="OO1" t="str">
        <f ca="1">""</f>
        <v/>
      </c>
      <c r="OP1" t="str">
        <f ca="1">"push"</f>
        <v>push</v>
      </c>
      <c r="OQ1" t="str">
        <f ca="1">"endArr"</f>
        <v>endArr</v>
      </c>
      <c r="OR1" t="str">
        <f ca="1">"equals"</f>
        <v>equals</v>
      </c>
      <c r="OS1" t="str">
        <f ca="1">""</f>
        <v/>
      </c>
      <c r="OT1" t="str">
        <f ca="1">"gotoiftrue"</f>
        <v>gotoiftrue</v>
      </c>
      <c r="OU1">
        <f ca="1">213</f>
        <v>213</v>
      </c>
      <c r="OV1" t="str">
        <f ca="1">"load"</f>
        <v>load</v>
      </c>
      <c r="OW1">
        <f ca="1">3</f>
        <v>3</v>
      </c>
      <c r="OX1" t="str">
        <f ca="1">"getheap"</f>
        <v>getheap</v>
      </c>
      <c r="OY1" t="str">
        <f ca="1">""</f>
        <v/>
      </c>
      <c r="OZ1" t="str">
        <f ca="1">"load"</f>
        <v>load</v>
      </c>
      <c r="PA1">
        <f ca="1">3</f>
        <v>3</v>
      </c>
      <c r="PB1" t="str">
        <f ca="1">"push"</f>
        <v>push</v>
      </c>
      <c r="PC1">
        <f ca="1">1</f>
        <v>1</v>
      </c>
      <c r="PD1" t="str">
        <f ca="1">"add"</f>
        <v>add</v>
      </c>
      <c r="PE1" t="str">
        <f ca="1">""</f>
        <v/>
      </c>
      <c r="PF1" t="str">
        <f ca="1">"popv"</f>
        <v>popv</v>
      </c>
      <c r="PG1" t="str">
        <f ca="1">"H"</f>
        <v>H</v>
      </c>
      <c r="PH1" t="str">
        <f ca="1">"store"</f>
        <v>store</v>
      </c>
      <c r="PI1" t="str">
        <f ca="1">"H"</f>
        <v>H</v>
      </c>
      <c r="PJ1" t="str">
        <f ca="1">"goto"</f>
        <v>goto</v>
      </c>
      <c r="PK1">
        <f ca="1">200</f>
        <v>200</v>
      </c>
      <c r="PL1" t="str">
        <f ca="1">"popv"</f>
        <v>popv</v>
      </c>
      <c r="PM1" t="str">
        <f ca="1">"H"</f>
        <v>H</v>
      </c>
      <c r="PN1" t="str">
        <f ca="1">"load"</f>
        <v>load</v>
      </c>
      <c r="PO1">
        <f ca="1">3</f>
        <v>3</v>
      </c>
      <c r="PP1" t="str">
        <f ca="1">"getheap"</f>
        <v>getheap</v>
      </c>
      <c r="PQ1" t="str">
        <f ca="1">""</f>
        <v/>
      </c>
      <c r="PR1" t="str">
        <f ca="1">"call"</f>
        <v>call</v>
      </c>
      <c r="PS1" t="str">
        <f ca="1">""</f>
        <v/>
      </c>
      <c r="PT1" t="str">
        <f ca="1">"popv"</f>
        <v>popv</v>
      </c>
      <c r="PU1" t="str">
        <f ca="1">"H"</f>
        <v>H</v>
      </c>
      <c r="PV1" t="str">
        <f ca="1">"pop"</f>
        <v>pop</v>
      </c>
      <c r="PW1" t="str">
        <f ca="1">""</f>
        <v/>
      </c>
      <c r="PX1" t="str">
        <f ca="1">"push"</f>
        <v>push</v>
      </c>
      <c r="PY1">
        <f ca="1">1</f>
        <v>1</v>
      </c>
      <c r="PZ1" t="str">
        <f ca="1">"load"</f>
        <v>load</v>
      </c>
      <c r="QA1">
        <f ca="1">5</f>
        <v>5</v>
      </c>
      <c r="QB1" t="str">
        <f ca="1">"newheap"</f>
        <v>newheap</v>
      </c>
      <c r="QC1" t="str">
        <f ca="1">""</f>
        <v/>
      </c>
      <c r="QD1" t="str">
        <f ca="1">"store"</f>
        <v>store</v>
      </c>
      <c r="QE1" t="str">
        <f ca="1">"H"</f>
        <v>H</v>
      </c>
      <c r="QF1" t="str">
        <f ca="1">"load"</f>
        <v>load</v>
      </c>
      <c r="QG1">
        <f ca="1">3</f>
        <v>3</v>
      </c>
      <c r="QH1" t="str">
        <f ca="1">"push"</f>
        <v>push</v>
      </c>
      <c r="QI1">
        <f ca="1">3</f>
        <v>3</v>
      </c>
      <c r="QJ1" t="str">
        <f ca="1">"writeheap"</f>
        <v>writeheap</v>
      </c>
      <c r="QK1" t="str">
        <f ca="1">""</f>
        <v/>
      </c>
      <c r="QL1" t="str">
        <f ca="1">"newheap"</f>
        <v>newheap</v>
      </c>
      <c r="QM1" t="str">
        <f ca="1">""</f>
        <v/>
      </c>
      <c r="QN1" t="str">
        <f ca="1">"push"</f>
        <v>push</v>
      </c>
      <c r="QO1" t="str">
        <f ca="1">"endArr"</f>
        <v>endArr</v>
      </c>
      <c r="QP1" t="str">
        <f ca="1">"writeheap"</f>
        <v>writeheap</v>
      </c>
      <c r="QQ1" t="str">
        <f ca="1">""</f>
        <v/>
      </c>
      <c r="QR1" t="str">
        <f ca="1">"load"</f>
        <v>load</v>
      </c>
      <c r="QS1">
        <f ca="1">3</f>
        <v>3</v>
      </c>
      <c r="QT1" t="str">
        <f ca="1">"popv"</f>
        <v>popv</v>
      </c>
      <c r="QU1" t="str">
        <f ca="1">"H"</f>
        <v>H</v>
      </c>
      <c r="QV1" t="str">
        <f ca="1">"store"</f>
        <v>store</v>
      </c>
      <c r="QW1" t="str">
        <f ca="1">"H"</f>
        <v>H</v>
      </c>
      <c r="QX1" t="str">
        <f ca="1">"load"</f>
        <v>load</v>
      </c>
      <c r="QY1">
        <f ca="1">3</f>
        <v>3</v>
      </c>
      <c r="QZ1" t="str">
        <f ca="1">"push"</f>
        <v>push</v>
      </c>
      <c r="RA1">
        <f ca="1">1</f>
        <v>1</v>
      </c>
      <c r="RB1" t="str">
        <f ca="1">"add"</f>
        <v>add</v>
      </c>
      <c r="RC1" t="str">
        <f ca="1">""</f>
        <v/>
      </c>
      <c r="RD1" t="str">
        <f ca="1">"store"</f>
        <v>store</v>
      </c>
      <c r="RE1" t="str">
        <f ca="1">"H"</f>
        <v>H</v>
      </c>
      <c r="RF1" t="str">
        <f ca="1">"load"</f>
        <v>load</v>
      </c>
      <c r="RG1">
        <f ca="1">3</f>
        <v>3</v>
      </c>
      <c r="RH1" t="str">
        <f ca="1">"getheap"</f>
        <v>getheap</v>
      </c>
      <c r="RI1" t="str">
        <f ca="1">""</f>
        <v/>
      </c>
      <c r="RJ1" t="str">
        <f ca="1">"push"</f>
        <v>push</v>
      </c>
      <c r="RK1" t="str">
        <f ca="1">"endArr"</f>
        <v>endArr</v>
      </c>
      <c r="RL1" t="str">
        <f ca="1">"equals"</f>
        <v>equals</v>
      </c>
      <c r="RM1" t="str">
        <f ca="1">""</f>
        <v/>
      </c>
      <c r="RN1" t="str">
        <f ca="1">"gotoiftrue"</f>
        <v>gotoiftrue</v>
      </c>
      <c r="RO1">
        <f ca="1">249</f>
        <v>249</v>
      </c>
      <c r="RP1" t="str">
        <f ca="1">"load"</f>
        <v>load</v>
      </c>
      <c r="RQ1">
        <f ca="1">3</f>
        <v>3</v>
      </c>
      <c r="RR1" t="str">
        <f ca="1">"getheap"</f>
        <v>getheap</v>
      </c>
      <c r="RS1" t="str">
        <f ca="1">""</f>
        <v/>
      </c>
      <c r="RT1" t="str">
        <f ca="1">"load"</f>
        <v>load</v>
      </c>
      <c r="RU1">
        <f ca="1">3</f>
        <v>3</v>
      </c>
      <c r="RV1" t="str">
        <f ca="1">"push"</f>
        <v>push</v>
      </c>
      <c r="RW1">
        <f ca="1">1</f>
        <v>1</v>
      </c>
      <c r="RX1" t="str">
        <f ca="1">"add"</f>
        <v>add</v>
      </c>
      <c r="RY1" t="str">
        <f ca="1">""</f>
        <v/>
      </c>
      <c r="RZ1" t="str">
        <f ca="1">"popv"</f>
        <v>popv</v>
      </c>
      <c r="SA1" t="str">
        <f ca="1">"H"</f>
        <v>H</v>
      </c>
      <c r="SB1" t="str">
        <f ca="1">"store"</f>
        <v>store</v>
      </c>
      <c r="SC1" t="str">
        <f ca="1">"H"</f>
        <v>H</v>
      </c>
      <c r="SD1" t="str">
        <f ca="1">"goto"</f>
        <v>goto</v>
      </c>
      <c r="SE1">
        <f ca="1">236</f>
        <v>236</v>
      </c>
      <c r="SF1" t="str">
        <f ca="1">"popv"</f>
        <v>popv</v>
      </c>
      <c r="SG1" t="str">
        <f ca="1">"H"</f>
        <v>H</v>
      </c>
      <c r="SH1" t="str">
        <f ca="1">"load"</f>
        <v>load</v>
      </c>
      <c r="SI1">
        <f ca="1">3</f>
        <v>3</v>
      </c>
      <c r="SJ1" t="str">
        <f ca="1">"getheap"</f>
        <v>getheap</v>
      </c>
      <c r="SK1" t="str">
        <f ca="1">""</f>
        <v/>
      </c>
      <c r="SL1" t="str">
        <f ca="1">"call"</f>
        <v>call</v>
      </c>
      <c r="SM1" t="str">
        <f ca="1">""</f>
        <v/>
      </c>
      <c r="SN1" t="str">
        <f ca="1">"popv"</f>
        <v>popv</v>
      </c>
      <c r="SO1" t="str">
        <f ca="1">"H"</f>
        <v>H</v>
      </c>
      <c r="SP1" t="str">
        <f ca="1">"store"</f>
        <v>store</v>
      </c>
      <c r="SQ1" t="str">
        <f ca="1">"H"</f>
        <v>H</v>
      </c>
      <c r="SR1" t="str">
        <f ca="1">"load"</f>
        <v>load</v>
      </c>
      <c r="SS1">
        <f ca="1">3</f>
        <v>3</v>
      </c>
      <c r="ST1" t="str">
        <f ca="1">"push"</f>
        <v>push</v>
      </c>
      <c r="SU1">
        <f ca="1">1</f>
        <v>1</v>
      </c>
      <c r="SV1" t="str">
        <f ca="1">"add"</f>
        <v>add</v>
      </c>
      <c r="SW1" t="str">
        <f ca="1">""</f>
        <v/>
      </c>
      <c r="SX1" t="str">
        <f ca="1">"store"</f>
        <v>store</v>
      </c>
      <c r="SY1" t="str">
        <f ca="1">"H"</f>
        <v>H</v>
      </c>
      <c r="SZ1" t="str">
        <f ca="1">"load"</f>
        <v>load</v>
      </c>
      <c r="TA1">
        <f ca="1">3</f>
        <v>3</v>
      </c>
      <c r="TB1" t="str">
        <f ca="1">"getheap"</f>
        <v>getheap</v>
      </c>
      <c r="TC1" t="str">
        <f ca="1">""</f>
        <v/>
      </c>
      <c r="TD1" t="str">
        <f ca="1">"push"</f>
        <v>push</v>
      </c>
      <c r="TE1" t="str">
        <f ca="1">"endArr"</f>
        <v>endArr</v>
      </c>
      <c r="TF1" t="str">
        <f ca="1">"equals"</f>
        <v>equals</v>
      </c>
      <c r="TG1" t="str">
        <f ca="1">""</f>
        <v/>
      </c>
      <c r="TH1" t="str">
        <f ca="1">"gotoiftrue"</f>
        <v>gotoiftrue</v>
      </c>
      <c r="TI1">
        <f ca="1">272</f>
        <v>272</v>
      </c>
      <c r="TJ1" t="str">
        <f ca="1">"load"</f>
        <v>load</v>
      </c>
      <c r="TK1">
        <f ca="1">3</f>
        <v>3</v>
      </c>
      <c r="TL1" t="str">
        <f ca="1">"getheap"</f>
        <v>getheap</v>
      </c>
      <c r="TM1" t="str">
        <f ca="1">""</f>
        <v/>
      </c>
      <c r="TN1" t="str">
        <f ca="1">"load"</f>
        <v>load</v>
      </c>
      <c r="TO1">
        <f ca="1">3</f>
        <v>3</v>
      </c>
      <c r="TP1" t="str">
        <f ca="1">"push"</f>
        <v>push</v>
      </c>
      <c r="TQ1">
        <f ca="1">1</f>
        <v>1</v>
      </c>
      <c r="TR1" t="str">
        <f ca="1">"add"</f>
        <v>add</v>
      </c>
      <c r="TS1" t="str">
        <f ca="1">""</f>
        <v/>
      </c>
      <c r="TT1" t="str">
        <f ca="1">"popv"</f>
        <v>popv</v>
      </c>
      <c r="TU1" t="str">
        <f ca="1">"H"</f>
        <v>H</v>
      </c>
      <c r="TV1" t="str">
        <f ca="1">"store"</f>
        <v>store</v>
      </c>
      <c r="TW1" t="str">
        <f ca="1">"H"</f>
        <v>H</v>
      </c>
      <c r="TX1" t="str">
        <f ca="1">"goto"</f>
        <v>goto</v>
      </c>
      <c r="TY1">
        <f ca="1">259</f>
        <v>259</v>
      </c>
      <c r="TZ1" t="str">
        <f ca="1">"popv"</f>
        <v>popv</v>
      </c>
      <c r="UA1" t="str">
        <f ca="1">"H"</f>
        <v>H</v>
      </c>
      <c r="UB1" t="str">
        <f ca="1">"load"</f>
        <v>load</v>
      </c>
      <c r="UC1">
        <f ca="1">3</f>
        <v>3</v>
      </c>
      <c r="UD1" t="str">
        <f ca="1">"getheap"</f>
        <v>getheap</v>
      </c>
      <c r="UE1" t="str">
        <f ca="1">""</f>
        <v/>
      </c>
      <c r="UF1" t="str">
        <f ca="1">"call"</f>
        <v>call</v>
      </c>
      <c r="UG1" t="str">
        <f ca="1">""</f>
        <v/>
      </c>
      <c r="UH1" t="str">
        <f ca="1">"popv"</f>
        <v>popv</v>
      </c>
      <c r="UI1" t="str">
        <f ca="1">"H"</f>
        <v>H</v>
      </c>
      <c r="UJ1" t="str">
        <f ca="1">"load"</f>
        <v>load</v>
      </c>
      <c r="UK1">
        <f ca="1">2</f>
        <v>2</v>
      </c>
      <c r="UL1" t="str">
        <f ca="1">"store"</f>
        <v>store</v>
      </c>
      <c r="UM1" t="str">
        <f ca="1">"H"</f>
        <v>H</v>
      </c>
      <c r="UN1" t="str">
        <f ca="1">"load"</f>
        <v>load</v>
      </c>
      <c r="UO1">
        <f ca="1">3</f>
        <v>3</v>
      </c>
      <c r="UP1" t="str">
        <f ca="1">"push"</f>
        <v>push</v>
      </c>
      <c r="UQ1">
        <f ca="1">1</f>
        <v>1</v>
      </c>
      <c r="UR1" t="str">
        <f ca="1">"add"</f>
        <v>add</v>
      </c>
      <c r="US1" t="str">
        <f ca="1">""</f>
        <v/>
      </c>
      <c r="UT1" t="str">
        <f ca="1">"store"</f>
        <v>store</v>
      </c>
      <c r="UU1" t="str">
        <f ca="1">"H"</f>
        <v>H</v>
      </c>
      <c r="UV1" t="str">
        <f ca="1">"load"</f>
        <v>load</v>
      </c>
      <c r="UW1">
        <f ca="1">3</f>
        <v>3</v>
      </c>
      <c r="UX1" t="str">
        <f ca="1">"getheap"</f>
        <v>getheap</v>
      </c>
      <c r="UY1" t="str">
        <f ca="1">""</f>
        <v/>
      </c>
      <c r="UZ1" t="str">
        <f ca="1">"push"</f>
        <v>push</v>
      </c>
      <c r="VA1" t="str">
        <f ca="1">"endArr"</f>
        <v>endArr</v>
      </c>
      <c r="VB1" t="str">
        <f ca="1">"equals"</f>
        <v>equals</v>
      </c>
      <c r="VC1" t="str">
        <f ca="1">""</f>
        <v/>
      </c>
      <c r="VD1" t="str">
        <f ca="1">"gotoiftrue"</f>
        <v>gotoiftrue</v>
      </c>
      <c r="VE1">
        <f ca="1">296</f>
        <v>296</v>
      </c>
      <c r="VF1" t="str">
        <f ca="1">"load"</f>
        <v>load</v>
      </c>
      <c r="VG1">
        <f ca="1">3</f>
        <v>3</v>
      </c>
      <c r="VH1" t="str">
        <f ca="1">"getheap"</f>
        <v>getheap</v>
      </c>
      <c r="VI1" t="str">
        <f ca="1">""</f>
        <v/>
      </c>
      <c r="VJ1" t="str">
        <f ca="1">"load"</f>
        <v>load</v>
      </c>
      <c r="VK1">
        <f ca="1">3</f>
        <v>3</v>
      </c>
      <c r="VL1" t="str">
        <f ca="1">"push"</f>
        <v>push</v>
      </c>
      <c r="VM1">
        <f ca="1">1</f>
        <v>1</v>
      </c>
      <c r="VN1" t="str">
        <f ca="1">"add"</f>
        <v>add</v>
      </c>
      <c r="VO1" t="str">
        <f ca="1">""</f>
        <v/>
      </c>
      <c r="VP1" t="str">
        <f ca="1">"popv"</f>
        <v>popv</v>
      </c>
      <c r="VQ1" t="str">
        <f ca="1">"H"</f>
        <v>H</v>
      </c>
      <c r="VR1" t="str">
        <f ca="1">"store"</f>
        <v>store</v>
      </c>
      <c r="VS1" t="str">
        <f ca="1">"H"</f>
        <v>H</v>
      </c>
      <c r="VT1" t="str">
        <f ca="1">"goto"</f>
        <v>goto</v>
      </c>
      <c r="VU1">
        <f ca="1">283</f>
        <v>283</v>
      </c>
      <c r="VV1" t="str">
        <f ca="1">"popv"</f>
        <v>popv</v>
      </c>
      <c r="VW1" t="str">
        <f ca="1">"H"</f>
        <v>H</v>
      </c>
      <c r="VX1" t="str">
        <f ca="1">"load"</f>
        <v>load</v>
      </c>
      <c r="VY1">
        <f ca="1">3</f>
        <v>3</v>
      </c>
      <c r="VZ1" t="str">
        <f ca="1">"getheap"</f>
        <v>getheap</v>
      </c>
      <c r="WA1" t="str">
        <f ca="1">""</f>
        <v/>
      </c>
      <c r="WB1" t="str">
        <f ca="1">"call"</f>
        <v>call</v>
      </c>
      <c r="WC1" t="str">
        <f ca="1">""</f>
        <v/>
      </c>
      <c r="WD1" t="str">
        <f ca="1">"popv"</f>
        <v>popv</v>
      </c>
      <c r="WE1" t="str">
        <f ca="1">"H"</f>
        <v>H</v>
      </c>
      <c r="WF1" t="str">
        <f ca="1">"popv"</f>
        <v>popv</v>
      </c>
      <c r="WG1" t="str">
        <f ca="1">"J"</f>
        <v>J</v>
      </c>
      <c r="WH1" t="str">
        <f ca="1">"return"</f>
        <v>return</v>
      </c>
      <c r="WI1" t="str">
        <f ca="1">""</f>
        <v/>
      </c>
      <c r="WJ1" t="str">
        <f ca="1">"newheap"</f>
        <v>newheap</v>
      </c>
      <c r="WK1" t="str">
        <f ca="1">""</f>
        <v/>
      </c>
      <c r="WL1" t="str">
        <f ca="1">"store"</f>
        <v>store</v>
      </c>
      <c r="WM1" t="str">
        <f ca="1">"G"</f>
        <v>G</v>
      </c>
      <c r="WN1" t="str">
        <f ca="1">"load"</f>
        <v>load</v>
      </c>
      <c r="WO1">
        <f ca="1">2</f>
        <v>2</v>
      </c>
      <c r="WP1" t="str">
        <f ca="1">"push"</f>
        <v>push</v>
      </c>
      <c r="WQ1">
        <f ca="1">122</f>
        <v>122</v>
      </c>
      <c r="WR1" t="str">
        <f ca="1">"writeheap"</f>
        <v>writeheap</v>
      </c>
      <c r="WS1" t="str">
        <f ca="1">""</f>
        <v/>
      </c>
      <c r="WT1" t="str">
        <f ca="1">"load"</f>
        <v>load</v>
      </c>
      <c r="WU1">
        <f ca="1">2</f>
        <v>2</v>
      </c>
      <c r="WV1" t="str">
        <f ca="1">"newheap"</f>
        <v>newheap</v>
      </c>
      <c r="WW1" t="str">
        <f ca="1">""</f>
        <v/>
      </c>
      <c r="WX1" t="str">
        <f ca="1">"push"</f>
        <v>push</v>
      </c>
      <c r="WY1" t="str">
        <f ca="1">"endArr"</f>
        <v>endArr</v>
      </c>
      <c r="WZ1" t="str">
        <f ca="1">"writeheap"</f>
        <v>writeheap</v>
      </c>
      <c r="XA1" t="str">
        <f ca="1">""</f>
        <v/>
      </c>
      <c r="XB1" t="str">
        <f ca="1">"pop"</f>
        <v>pop</v>
      </c>
      <c r="XC1" t="str">
        <f ca="1">""</f>
        <v/>
      </c>
      <c r="XD1" t="str">
        <f ca="1">"load"</f>
        <v>load</v>
      </c>
      <c r="XE1">
        <f ca="1">4</f>
        <v>4</v>
      </c>
      <c r="XF1" t="str">
        <f ca="1">"load"</f>
        <v>load</v>
      </c>
      <c r="XG1">
        <f ca="1">2</f>
        <v>2</v>
      </c>
      <c r="XH1" t="str">
        <f ca="1">"store"</f>
        <v>store</v>
      </c>
      <c r="XI1" t="str">
        <f ca="1">"H"</f>
        <v>H</v>
      </c>
      <c r="XJ1" t="str">
        <f ca="1">"load"</f>
        <v>load</v>
      </c>
      <c r="XK1">
        <f ca="1">3</f>
        <v>3</v>
      </c>
      <c r="XL1" t="str">
        <f ca="1">"push"</f>
        <v>push</v>
      </c>
      <c r="XM1">
        <f ca="1">1</f>
        <v>1</v>
      </c>
      <c r="XN1" t="str">
        <f ca="1">"add"</f>
        <v>add</v>
      </c>
      <c r="XO1" t="str">
        <f ca="1">""</f>
        <v/>
      </c>
      <c r="XP1" t="str">
        <f ca="1">"store"</f>
        <v>store</v>
      </c>
      <c r="XQ1" t="str">
        <f ca="1">"H"</f>
        <v>H</v>
      </c>
      <c r="XR1" t="str">
        <f ca="1">"load"</f>
        <v>load</v>
      </c>
      <c r="XS1">
        <f ca="1">3</f>
        <v>3</v>
      </c>
      <c r="XT1" t="str">
        <f ca="1">"getheap"</f>
        <v>getheap</v>
      </c>
      <c r="XU1" t="str">
        <f ca="1">""</f>
        <v/>
      </c>
      <c r="XV1" t="str">
        <f ca="1">"push"</f>
        <v>push</v>
      </c>
      <c r="XW1" t="str">
        <f ca="1">"endArr"</f>
        <v>endArr</v>
      </c>
      <c r="XX1" t="str">
        <f ca="1">"equals"</f>
        <v>equals</v>
      </c>
      <c r="XY1" t="str">
        <f ca="1">""</f>
        <v/>
      </c>
      <c r="XZ1" t="str">
        <f ca="1">"gotoiftrue"</f>
        <v>gotoiftrue</v>
      </c>
      <c r="YA1">
        <f ca="1">333</f>
        <v>333</v>
      </c>
      <c r="YB1" t="str">
        <f ca="1">"load"</f>
        <v>load</v>
      </c>
      <c r="YC1">
        <f ca="1">3</f>
        <v>3</v>
      </c>
      <c r="YD1" t="str">
        <f ca="1">"getheap"</f>
        <v>getheap</v>
      </c>
      <c r="YE1" t="str">
        <f ca="1">""</f>
        <v/>
      </c>
      <c r="YF1" t="str">
        <f ca="1">"load"</f>
        <v>load</v>
      </c>
      <c r="YG1">
        <f ca="1">3</f>
        <v>3</v>
      </c>
      <c r="YH1" t="str">
        <f ca="1">"push"</f>
        <v>push</v>
      </c>
      <c r="YI1">
        <f ca="1">1</f>
        <v>1</v>
      </c>
      <c r="YJ1" t="str">
        <f ca="1">"add"</f>
        <v>add</v>
      </c>
      <c r="YK1" t="str">
        <f ca="1">""</f>
        <v/>
      </c>
      <c r="YL1" t="str">
        <f ca="1">"popv"</f>
        <v>popv</v>
      </c>
      <c r="YM1" t="str">
        <f ca="1">"H"</f>
        <v>H</v>
      </c>
      <c r="YN1" t="str">
        <f ca="1">"store"</f>
        <v>store</v>
      </c>
      <c r="YO1" t="str">
        <f ca="1">"H"</f>
        <v>H</v>
      </c>
      <c r="YP1" t="str">
        <f ca="1">"goto"</f>
        <v>goto</v>
      </c>
      <c r="YQ1">
        <f ca="1">320</f>
        <v>320</v>
      </c>
      <c r="YR1" t="str">
        <f ca="1">"popv"</f>
        <v>popv</v>
      </c>
      <c r="YS1" t="str">
        <f ca="1">"H"</f>
        <v>H</v>
      </c>
      <c r="YT1" t="str">
        <f ca="1">"load"</f>
        <v>load</v>
      </c>
      <c r="YU1">
        <f ca="1">3</f>
        <v>3</v>
      </c>
      <c r="YV1" t="str">
        <f ca="1">"getheap"</f>
        <v>getheap</v>
      </c>
      <c r="YW1" t="str">
        <f ca="1">""</f>
        <v/>
      </c>
      <c r="YX1" t="str">
        <f ca="1">"call"</f>
        <v>call</v>
      </c>
      <c r="YY1" t="str">
        <f ca="1">""</f>
        <v/>
      </c>
      <c r="YZ1" t="str">
        <f ca="1">"popv"</f>
        <v>popv</v>
      </c>
      <c r="ZA1" t="str">
        <f ca="1">"H"</f>
        <v>H</v>
      </c>
      <c r="ZB1" t="str">
        <f ca="1">"pop"</f>
        <v>pop</v>
      </c>
      <c r="ZC1" t="str">
        <f ca="1">""</f>
        <v/>
      </c>
      <c r="ZD1" t="str">
        <f ca="1">"push"</f>
        <v>push</v>
      </c>
      <c r="ZE1">
        <f ca="1">1</f>
        <v>1</v>
      </c>
      <c r="ZF1" t="str">
        <f ca="1">"load"</f>
        <v>load</v>
      </c>
      <c r="ZG1">
        <f ca="1">4</f>
        <v>4</v>
      </c>
      <c r="ZH1" t="str">
        <f ca="1">"newheap"</f>
        <v>newheap</v>
      </c>
      <c r="ZI1" t="str">
        <f ca="1">""</f>
        <v/>
      </c>
      <c r="ZJ1" t="str">
        <f ca="1">"store"</f>
        <v>store</v>
      </c>
      <c r="ZK1" t="str">
        <f ca="1">"H"</f>
        <v>H</v>
      </c>
      <c r="ZL1" t="str">
        <f ca="1">"load"</f>
        <v>load</v>
      </c>
      <c r="ZM1">
        <f ca="1">3</f>
        <v>3</v>
      </c>
      <c r="ZN1" t="str">
        <f ca="1">"push"</f>
        <v>push</v>
      </c>
      <c r="ZO1">
        <f ca="1">3</f>
        <v>3</v>
      </c>
      <c r="ZP1" t="str">
        <f ca="1">"writeheap"</f>
        <v>writeheap</v>
      </c>
      <c r="ZQ1" t="str">
        <f ca="1">""</f>
        <v/>
      </c>
      <c r="ZR1" t="str">
        <f ca="1">"newheap"</f>
        <v>newheap</v>
      </c>
      <c r="ZS1" t="str">
        <f ca="1">""</f>
        <v/>
      </c>
      <c r="ZT1" t="str">
        <f ca="1">"push"</f>
        <v>push</v>
      </c>
      <c r="ZU1" t="str">
        <f ca="1">"endArr"</f>
        <v>endArr</v>
      </c>
      <c r="ZV1" t="str">
        <f ca="1">"writeheap"</f>
        <v>writeheap</v>
      </c>
      <c r="ZW1" t="str">
        <f ca="1">""</f>
        <v/>
      </c>
      <c r="ZX1" t="str">
        <f ca="1">"load"</f>
        <v>load</v>
      </c>
      <c r="ZY1">
        <f ca="1">3</f>
        <v>3</v>
      </c>
      <c r="ZZ1" t="str">
        <f ca="1">"popv"</f>
        <v>popv</v>
      </c>
      <c r="AAA1" t="str">
        <f ca="1">"H"</f>
        <v>H</v>
      </c>
      <c r="AAB1" t="str">
        <f ca="1">"store"</f>
        <v>store</v>
      </c>
      <c r="AAC1" t="str">
        <f ca="1">"H"</f>
        <v>H</v>
      </c>
      <c r="AAD1" t="str">
        <f ca="1">"load"</f>
        <v>load</v>
      </c>
      <c r="AAE1">
        <f ca="1">3</f>
        <v>3</v>
      </c>
      <c r="AAF1" t="str">
        <f ca="1">"push"</f>
        <v>push</v>
      </c>
      <c r="AAG1">
        <f ca="1">1</f>
        <v>1</v>
      </c>
      <c r="AAH1" t="str">
        <f ca="1">"add"</f>
        <v>add</v>
      </c>
      <c r="AAI1" t="str">
        <f ca="1">""</f>
        <v/>
      </c>
      <c r="AAJ1" t="str">
        <f ca="1">"store"</f>
        <v>store</v>
      </c>
      <c r="AAK1" t="str">
        <f ca="1">"H"</f>
        <v>H</v>
      </c>
      <c r="AAL1" t="str">
        <f ca="1">"load"</f>
        <v>load</v>
      </c>
      <c r="AAM1">
        <f ca="1">3</f>
        <v>3</v>
      </c>
      <c r="AAN1" t="str">
        <f ca="1">"getheap"</f>
        <v>getheap</v>
      </c>
      <c r="AAO1" t="str">
        <f ca="1">""</f>
        <v/>
      </c>
      <c r="AAP1" t="str">
        <f ca="1">"push"</f>
        <v>push</v>
      </c>
      <c r="AAQ1" t="str">
        <f ca="1">"endArr"</f>
        <v>endArr</v>
      </c>
      <c r="AAR1" t="str">
        <f ca="1">"equals"</f>
        <v>equals</v>
      </c>
      <c r="AAS1" t="str">
        <f ca="1">""</f>
        <v/>
      </c>
      <c r="AAT1" t="str">
        <f ca="1">"gotoiftrue"</f>
        <v>gotoiftrue</v>
      </c>
      <c r="AAU1">
        <f ca="1">369</f>
        <v>369</v>
      </c>
      <c r="AAV1" t="str">
        <f ca="1">"load"</f>
        <v>load</v>
      </c>
      <c r="AAW1">
        <f ca="1">3</f>
        <v>3</v>
      </c>
      <c r="AAX1" t="str">
        <f ca="1">"getheap"</f>
        <v>getheap</v>
      </c>
      <c r="AAY1" t="str">
        <f ca="1">""</f>
        <v/>
      </c>
      <c r="AAZ1" t="str">
        <f ca="1">"load"</f>
        <v>load</v>
      </c>
      <c r="ABA1">
        <f ca="1">3</f>
        <v>3</v>
      </c>
      <c r="ABB1" t="str">
        <f ca="1">"push"</f>
        <v>push</v>
      </c>
      <c r="ABC1">
        <f ca="1">1</f>
        <v>1</v>
      </c>
      <c r="ABD1" t="str">
        <f ca="1">"add"</f>
        <v>add</v>
      </c>
      <c r="ABE1" t="str">
        <f ca="1">""</f>
        <v/>
      </c>
      <c r="ABF1" t="str">
        <f ca="1">"popv"</f>
        <v>popv</v>
      </c>
      <c r="ABG1" t="str">
        <f ca="1">"H"</f>
        <v>H</v>
      </c>
      <c r="ABH1" t="str">
        <f ca="1">"store"</f>
        <v>store</v>
      </c>
      <c r="ABI1" t="str">
        <f ca="1">"H"</f>
        <v>H</v>
      </c>
      <c r="ABJ1" t="str">
        <f ca="1">"goto"</f>
        <v>goto</v>
      </c>
      <c r="ABK1">
        <f ca="1">356</f>
        <v>356</v>
      </c>
      <c r="ABL1" t="str">
        <f ca="1">"popv"</f>
        <v>popv</v>
      </c>
      <c r="ABM1" t="str">
        <f ca="1">"H"</f>
        <v>H</v>
      </c>
      <c r="ABN1" t="str">
        <f ca="1">"load"</f>
        <v>load</v>
      </c>
      <c r="ABO1">
        <f ca="1">3</f>
        <v>3</v>
      </c>
      <c r="ABP1" t="str">
        <f ca="1">"getheap"</f>
        <v>getheap</v>
      </c>
      <c r="ABQ1" t="str">
        <f ca="1">""</f>
        <v/>
      </c>
      <c r="ABR1" t="str">
        <f ca="1">"call"</f>
        <v>call</v>
      </c>
      <c r="ABS1" t="str">
        <f ca="1">""</f>
        <v/>
      </c>
      <c r="ABT1" t="str">
        <f ca="1">"popv"</f>
        <v>popv</v>
      </c>
      <c r="ABU1" t="str">
        <f ca="1">"H"</f>
        <v>H</v>
      </c>
      <c r="ABV1" t="str">
        <f ca="1">"store"</f>
        <v>store</v>
      </c>
      <c r="ABW1" t="str">
        <f ca="1">"H"</f>
        <v>H</v>
      </c>
      <c r="ABX1" t="str">
        <f ca="1">"load"</f>
        <v>load</v>
      </c>
      <c r="ABY1">
        <f ca="1">3</f>
        <v>3</v>
      </c>
      <c r="ABZ1" t="str">
        <f ca="1">"push"</f>
        <v>push</v>
      </c>
      <c r="ACA1">
        <f ca="1">1</f>
        <v>1</v>
      </c>
      <c r="ACB1" t="str">
        <f ca="1">"add"</f>
        <v>add</v>
      </c>
      <c r="ACC1" t="str">
        <f ca="1">""</f>
        <v/>
      </c>
      <c r="ACD1" t="str">
        <f ca="1">"store"</f>
        <v>store</v>
      </c>
      <c r="ACE1" t="str">
        <f ca="1">"H"</f>
        <v>H</v>
      </c>
      <c r="ACF1" t="str">
        <f ca="1">"load"</f>
        <v>load</v>
      </c>
      <c r="ACG1">
        <f ca="1">3</f>
        <v>3</v>
      </c>
      <c r="ACH1" t="str">
        <f ca="1">"getheap"</f>
        <v>getheap</v>
      </c>
      <c r="ACI1" t="str">
        <f ca="1">""</f>
        <v/>
      </c>
      <c r="ACJ1" t="str">
        <f ca="1">"push"</f>
        <v>push</v>
      </c>
      <c r="ACK1" t="str">
        <f ca="1">"endArr"</f>
        <v>endArr</v>
      </c>
      <c r="ACL1" t="str">
        <f ca="1">"equals"</f>
        <v>equals</v>
      </c>
      <c r="ACM1" t="str">
        <f ca="1">""</f>
        <v/>
      </c>
      <c r="ACN1" t="str">
        <f ca="1">"gotoiftrue"</f>
        <v>gotoiftrue</v>
      </c>
      <c r="ACO1">
        <f ca="1">392</f>
        <v>392</v>
      </c>
      <c r="ACP1" t="str">
        <f ca="1">"load"</f>
        <v>load</v>
      </c>
      <c r="ACQ1">
        <f ca="1">3</f>
        <v>3</v>
      </c>
      <c r="ACR1" t="str">
        <f ca="1">"getheap"</f>
        <v>getheap</v>
      </c>
      <c r="ACS1" t="str">
        <f ca="1">""</f>
        <v/>
      </c>
      <c r="ACT1" t="str">
        <f ca="1">"load"</f>
        <v>load</v>
      </c>
      <c r="ACU1">
        <f ca="1">3</f>
        <v>3</v>
      </c>
      <c r="ACV1" t="str">
        <f ca="1">"push"</f>
        <v>push</v>
      </c>
      <c r="ACW1">
        <f ca="1">1</f>
        <v>1</v>
      </c>
      <c r="ACX1" t="str">
        <f ca="1">"add"</f>
        <v>add</v>
      </c>
      <c r="ACY1" t="str">
        <f ca="1">""</f>
        <v/>
      </c>
      <c r="ACZ1" t="str">
        <f ca="1">"popv"</f>
        <v>popv</v>
      </c>
      <c r="ADA1" t="str">
        <f ca="1">"H"</f>
        <v>H</v>
      </c>
      <c r="ADB1" t="str">
        <f ca="1">"store"</f>
        <v>store</v>
      </c>
      <c r="ADC1" t="str">
        <f ca="1">"H"</f>
        <v>H</v>
      </c>
      <c r="ADD1" t="str">
        <f ca="1">"goto"</f>
        <v>goto</v>
      </c>
      <c r="ADE1">
        <f ca="1">379</f>
        <v>379</v>
      </c>
      <c r="ADF1" t="str">
        <f ca="1">"popv"</f>
        <v>popv</v>
      </c>
      <c r="ADG1" t="str">
        <f ca="1">"H"</f>
        <v>H</v>
      </c>
      <c r="ADH1" t="str">
        <f ca="1">"load"</f>
        <v>load</v>
      </c>
      <c r="ADI1">
        <f ca="1">3</f>
        <v>3</v>
      </c>
      <c r="ADJ1" t="str">
        <f ca="1">"getheap"</f>
        <v>getheap</v>
      </c>
      <c r="ADK1" t="str">
        <f ca="1">""</f>
        <v/>
      </c>
      <c r="ADL1" t="str">
        <f ca="1">"call"</f>
        <v>call</v>
      </c>
      <c r="ADM1" t="str">
        <f ca="1">""</f>
        <v/>
      </c>
      <c r="ADN1" t="str">
        <f ca="1">"popv"</f>
        <v>popv</v>
      </c>
      <c r="ADO1" t="str">
        <f ca="1">"H"</f>
        <v>H</v>
      </c>
      <c r="ADP1" t="str">
        <f ca="1">"load"</f>
        <v>load</v>
      </c>
      <c r="ADQ1">
        <f ca="1">1</f>
        <v>1</v>
      </c>
      <c r="ADR1" t="str">
        <f ca="1">"store"</f>
        <v>store</v>
      </c>
      <c r="ADS1" t="str">
        <f ca="1">"H"</f>
        <v>H</v>
      </c>
      <c r="ADT1" t="str">
        <f ca="1">"load"</f>
        <v>load</v>
      </c>
      <c r="ADU1">
        <f ca="1">3</f>
        <v>3</v>
      </c>
      <c r="ADV1" t="str">
        <f ca="1">"push"</f>
        <v>push</v>
      </c>
      <c r="ADW1">
        <f ca="1">1</f>
        <v>1</v>
      </c>
      <c r="ADX1" t="str">
        <f ca="1">"add"</f>
        <v>add</v>
      </c>
      <c r="ADY1" t="str">
        <f ca="1">""</f>
        <v/>
      </c>
      <c r="ADZ1" t="str">
        <f ca="1">"store"</f>
        <v>store</v>
      </c>
      <c r="AEA1" t="str">
        <f ca="1">"H"</f>
        <v>H</v>
      </c>
      <c r="AEB1" t="str">
        <f ca="1">"load"</f>
        <v>load</v>
      </c>
      <c r="AEC1">
        <f ca="1">3</f>
        <v>3</v>
      </c>
      <c r="AED1" t="str">
        <f ca="1">"getheap"</f>
        <v>getheap</v>
      </c>
      <c r="AEE1" t="str">
        <f ca="1">""</f>
        <v/>
      </c>
      <c r="AEF1" t="str">
        <f ca="1">"push"</f>
        <v>push</v>
      </c>
      <c r="AEG1" t="str">
        <f ca="1">"endArr"</f>
        <v>endArr</v>
      </c>
      <c r="AEH1" t="str">
        <f ca="1">"equals"</f>
        <v>equals</v>
      </c>
      <c r="AEI1" t="str">
        <f ca="1">""</f>
        <v/>
      </c>
      <c r="AEJ1" t="str">
        <f ca="1">"gotoiftrue"</f>
        <v>gotoiftrue</v>
      </c>
      <c r="AEK1">
        <f ca="1">416</f>
        <v>416</v>
      </c>
      <c r="AEL1" t="str">
        <f ca="1">"load"</f>
        <v>load</v>
      </c>
      <c r="AEM1">
        <f ca="1">3</f>
        <v>3</v>
      </c>
      <c r="AEN1" t="str">
        <f ca="1">"getheap"</f>
        <v>getheap</v>
      </c>
      <c r="AEO1" t="str">
        <f ca="1">""</f>
        <v/>
      </c>
      <c r="AEP1" t="str">
        <f ca="1">"load"</f>
        <v>load</v>
      </c>
      <c r="AEQ1">
        <f ca="1">3</f>
        <v>3</v>
      </c>
      <c r="AER1" t="str">
        <f ca="1">"push"</f>
        <v>push</v>
      </c>
      <c r="AES1">
        <f ca="1">1</f>
        <v>1</v>
      </c>
      <c r="AET1" t="str">
        <f ca="1">"add"</f>
        <v>add</v>
      </c>
      <c r="AEU1" t="str">
        <f ca="1">""</f>
        <v/>
      </c>
      <c r="AEV1" t="str">
        <f ca="1">"popv"</f>
        <v>popv</v>
      </c>
      <c r="AEW1" t="str">
        <f ca="1">"H"</f>
        <v>H</v>
      </c>
      <c r="AEX1" t="str">
        <f ca="1">"store"</f>
        <v>store</v>
      </c>
      <c r="AEY1" t="str">
        <f ca="1">"H"</f>
        <v>H</v>
      </c>
      <c r="AEZ1" t="str">
        <f ca="1">"goto"</f>
        <v>goto</v>
      </c>
      <c r="AFA1">
        <f ca="1">403</f>
        <v>403</v>
      </c>
      <c r="AFB1" t="str">
        <f ca="1">"popv"</f>
        <v>popv</v>
      </c>
      <c r="AFC1" t="str">
        <f ca="1">"H"</f>
        <v>H</v>
      </c>
      <c r="AFD1" t="str">
        <f ca="1">"load"</f>
        <v>load</v>
      </c>
      <c r="AFE1">
        <f ca="1">3</f>
        <v>3</v>
      </c>
      <c r="AFF1" t="str">
        <f ca="1">"getheap"</f>
        <v>getheap</v>
      </c>
      <c r="AFG1" t="str">
        <f ca="1">""</f>
        <v/>
      </c>
      <c r="AFH1" t="str">
        <f ca="1">"call"</f>
        <v>call</v>
      </c>
      <c r="AFI1" t="str">
        <f ca="1">""</f>
        <v/>
      </c>
      <c r="AFJ1" t="str">
        <f ca="1">"popv"</f>
        <v>popv</v>
      </c>
      <c r="AFK1" t="str">
        <f ca="1">"H"</f>
        <v>H</v>
      </c>
      <c r="AFL1" t="str">
        <f ca="1">"popv"</f>
        <v>popv</v>
      </c>
      <c r="AFM1" t="str">
        <f ca="1">"I"</f>
        <v>I</v>
      </c>
      <c r="AFN1" t="str">
        <f ca="1">"return"</f>
        <v>return</v>
      </c>
      <c r="AFO1" t="str">
        <f ca="1">""</f>
        <v/>
      </c>
      <c r="AFP1" t="str">
        <f ca="1">"newheap"</f>
        <v>newheap</v>
      </c>
      <c r="AFQ1" t="str">
        <f ca="1">""</f>
        <v/>
      </c>
      <c r="AFR1" t="str">
        <f ca="1">"store"</f>
        <v>store</v>
      </c>
      <c r="AFS1" t="str">
        <f ca="1">"F"</f>
        <v>F</v>
      </c>
      <c r="AFT1" t="str">
        <f ca="1">"load"</f>
        <v>load</v>
      </c>
      <c r="AFU1">
        <f ca="1">1</f>
        <v>1</v>
      </c>
      <c r="AFV1" t="str">
        <f ca="1">"push"</f>
        <v>push</v>
      </c>
      <c r="AFW1">
        <f ca="1">59</f>
        <v>59</v>
      </c>
      <c r="AFX1" t="str">
        <f ca="1">"writeheap"</f>
        <v>writeheap</v>
      </c>
      <c r="AFY1" t="str">
        <f ca="1">""</f>
        <v/>
      </c>
      <c r="AFZ1" t="str">
        <f ca="1">"load"</f>
        <v>load</v>
      </c>
      <c r="AGA1">
        <f ca="1">1</f>
        <v>1</v>
      </c>
      <c r="AGB1" t="str">
        <f ca="1">"newheap"</f>
        <v>newheap</v>
      </c>
      <c r="AGC1" t="str">
        <f ca="1">""</f>
        <v/>
      </c>
      <c r="AGD1" t="str">
        <f ca="1">"push"</f>
        <v>push</v>
      </c>
      <c r="AGE1" t="str">
        <f ca="1">"endArr"</f>
        <v>endArr</v>
      </c>
      <c r="AGF1" t="str">
        <f ca="1">"writeheap"</f>
        <v>writeheap</v>
      </c>
      <c r="AGG1" t="str">
        <f ca="1">""</f>
        <v/>
      </c>
      <c r="AGH1" t="str">
        <f ca="1">"pop"</f>
        <v>pop</v>
      </c>
      <c r="AGI1" t="str">
        <f ca="1">""</f>
        <v/>
      </c>
      <c r="AGJ1" t="str">
        <f ca="1">"push"</f>
        <v>push</v>
      </c>
      <c r="AGK1">
        <f ca="1">5</f>
        <v>5</v>
      </c>
      <c r="AGL1" t="str">
        <f ca="1">"load"</f>
        <v>load</v>
      </c>
      <c r="AGM1">
        <f ca="1">1</f>
        <v>1</v>
      </c>
      <c r="AGN1" t="str">
        <f ca="1">"store"</f>
        <v>store</v>
      </c>
      <c r="AGO1" t="str">
        <f ca="1">"H"</f>
        <v>H</v>
      </c>
      <c r="AGP1" t="str">
        <f ca="1">"load"</f>
        <v>load</v>
      </c>
      <c r="AGQ1">
        <f ca="1">3</f>
        <v>3</v>
      </c>
      <c r="AGR1" t="str">
        <f ca="1">"push"</f>
        <v>push</v>
      </c>
      <c r="AGS1">
        <f ca="1">1</f>
        <v>1</v>
      </c>
      <c r="AGT1" t="str">
        <f ca="1">"add"</f>
        <v>add</v>
      </c>
      <c r="AGU1" t="str">
        <f ca="1">""</f>
        <v/>
      </c>
      <c r="AGV1" t="str">
        <f ca="1">"store"</f>
        <v>store</v>
      </c>
      <c r="AGW1" t="str">
        <f ca="1">"H"</f>
        <v>H</v>
      </c>
      <c r="AGX1" t="str">
        <f ca="1">"load"</f>
        <v>load</v>
      </c>
      <c r="AGY1">
        <f ca="1">3</f>
        <v>3</v>
      </c>
      <c r="AGZ1" t="str">
        <f ca="1">"getheap"</f>
        <v>getheap</v>
      </c>
      <c r="AHA1" t="str">
        <f ca="1">""</f>
        <v/>
      </c>
      <c r="AHB1" t="str">
        <f ca="1">"push"</f>
        <v>push</v>
      </c>
      <c r="AHC1" t="str">
        <f ca="1">"endArr"</f>
        <v>endArr</v>
      </c>
      <c r="AHD1" t="str">
        <f ca="1">"equals"</f>
        <v>equals</v>
      </c>
      <c r="AHE1" t="str">
        <f ca="1">""</f>
        <v/>
      </c>
      <c r="AHF1" t="str">
        <f ca="1">"gotoiftrue"</f>
        <v>gotoiftrue</v>
      </c>
      <c r="AHG1">
        <f ca="1">453</f>
        <v>453</v>
      </c>
      <c r="AHH1" t="str">
        <f ca="1">"load"</f>
        <v>load</v>
      </c>
      <c r="AHI1">
        <f ca="1">3</f>
        <v>3</v>
      </c>
      <c r="AHJ1" t="str">
        <f ca="1">"getheap"</f>
        <v>getheap</v>
      </c>
      <c r="AHK1" t="str">
        <f ca="1">""</f>
        <v/>
      </c>
      <c r="AHL1" t="str">
        <f ca="1">"load"</f>
        <v>load</v>
      </c>
      <c r="AHM1">
        <f ca="1">3</f>
        <v>3</v>
      </c>
      <c r="AHN1" t="str">
        <f ca="1">"push"</f>
        <v>push</v>
      </c>
      <c r="AHO1">
        <f ca="1">1</f>
        <v>1</v>
      </c>
      <c r="AHP1" t="str">
        <f ca="1">"add"</f>
        <v>add</v>
      </c>
      <c r="AHQ1" t="str">
        <f ca="1">""</f>
        <v/>
      </c>
      <c r="AHR1" t="str">
        <f ca="1">"popv"</f>
        <v>popv</v>
      </c>
      <c r="AHS1" t="str">
        <f ca="1">"H"</f>
        <v>H</v>
      </c>
      <c r="AHT1" t="str">
        <f ca="1">"store"</f>
        <v>store</v>
      </c>
      <c r="AHU1" t="str">
        <f ca="1">"H"</f>
        <v>H</v>
      </c>
      <c r="AHV1" t="str">
        <f ca="1">"goto"</f>
        <v>goto</v>
      </c>
      <c r="AHW1">
        <f ca="1">440</f>
        <v>440</v>
      </c>
      <c r="AHX1" t="str">
        <f ca="1">"popv"</f>
        <v>popv</v>
      </c>
      <c r="AHY1" t="str">
        <f ca="1">"H"</f>
        <v>H</v>
      </c>
      <c r="AHZ1" t="str">
        <f ca="1">"load"</f>
        <v>load</v>
      </c>
      <c r="AIA1">
        <f ca="1">3</f>
        <v>3</v>
      </c>
      <c r="AIB1" t="str">
        <f ca="1">"getheap"</f>
        <v>getheap</v>
      </c>
      <c r="AIC1" t="str">
        <f ca="1">""</f>
        <v/>
      </c>
      <c r="AID1" t="str">
        <f ca="1">"call"</f>
        <v>call</v>
      </c>
      <c r="AIE1" t="str">
        <f ca="1">""</f>
        <v/>
      </c>
      <c r="AIF1" t="str">
        <f ca="1">"popv"</f>
        <v>popv</v>
      </c>
      <c r="AIG1" t="str">
        <f ca="1">"H"</f>
        <v>H</v>
      </c>
      <c r="AIH1" t="str">
        <f ca="1">"goto"</f>
        <v>goto</v>
      </c>
      <c r="AII1">
        <f ca="1">458</f>
        <v>458</v>
      </c>
    </row>
    <row r="2" spans="1:919" x14ac:dyDescent="0.25">
      <c r="A2" t="e">
        <f ca="1">INDEX(A4:A203,A3)</f>
        <v>#VALUE!</v>
      </c>
      <c r="B2" t="e">
        <f ca="1">INDEX(B4:B203,B3)</f>
        <v>#VALUE!</v>
      </c>
      <c r="C2" t="e">
        <f ca="1">INDEX(C4:C203,C3)</f>
        <v>#VALUE!</v>
      </c>
      <c r="D2" t="e">
        <f ca="1">INDEX(D4:D18,D3)</f>
        <v>#VALUE!</v>
      </c>
      <c r="E2" t="e">
        <f ca="1">INDEX(E4:E203,E3)</f>
        <v>#VALUE!</v>
      </c>
      <c r="F2" t="e">
        <f ca="1">INDEX(F4:F203,F3)</f>
        <v>#VALUE!</v>
      </c>
      <c r="G2" t="e">
        <f ca="1">INDEX(G4:G203,G3)</f>
        <v>#VALUE!</v>
      </c>
      <c r="H2" t="e">
        <f ca="1">INDEX(H4:H203,H3)</f>
        <v>#VALUE!</v>
      </c>
      <c r="I2" t="e">
        <f ca="1">INDEX(I4:I203,I3)</f>
        <v>#VALUE!</v>
      </c>
      <c r="J2" t="e">
        <f ca="1">INDEX(J4:J203,J3)</f>
        <v>#VALUE!</v>
      </c>
    </row>
    <row r="3" spans="1:919" x14ac:dyDescent="0.25">
      <c r="A3" t="e">
        <f ca="1">IF((A1)=(2),1,(A3)+(IF(("call")=(INDEX(B1:XFD1,(A2)+(0))),1,IF(("return")=(INDEX(B1:XFD1,(A2)+(0))),-1,0))))</f>
        <v>#VALUE!</v>
      </c>
      <c r="B3" t="e">
        <f ca="1">IF((A1)=(2),1,(B3)+(IF(("push")=(INDEX(B1:XFD1,(A2)+(0))),1,IF(("pop")=(INDEX(B1:XFD1,(A2)+(0))),-1,IF(("load")=(INDEX(B1:XFD1,(A2)+(0))),1,IF(("store")=(INDEX(B1:XFD1,(A2)+(0))),-1,IF(("call")=(INDEX(B1:XFD1,(A2)+(0))),-1,IF(("newheap")=(INDEX(B1:XFD1,(A2)+(0))),1,IF(("writeheap")=(INDEX(B1:XFD1,(A2)+(0))),-2,IF(("inputline")=(INDEX(B1:XFD1,(A2)+(0))),1,IF(("outputline")=(INDEX(B1:XFD1,(A2)+(0))),-1,IF(("gotoiftrue")=(INDEX(B1:XFD1,(A2)+(0))),-1,IF(("add")=(INDEX(B1:XFD1,(A2)+(0))),-1,IF(("equals")=(INDEX(B1:XFD1,(A2)+(0))),-1,IF(("leq")=(INDEX(B1:XFD1,(A2)+(0))),-1,0)))))))))))))))</f>
        <v>#VALUE!</v>
      </c>
      <c r="C3" t="e">
        <f ca="1">IF((A1)=(2),1,(C3)+(IF(("newheap")=(INDEX(B1:XFD1,(A2)+(0))),1,0)))</f>
        <v>#VALUE!</v>
      </c>
      <c r="D3" t="e">
        <f ca="1">IF((A1)=(2),1,(D3)+(IF(("inputline")=(INDEX(B1:XFD1,(A2)+(0))),1,0)))</f>
        <v>#VALUE!</v>
      </c>
      <c r="E3" t="e">
        <f ca="1">IF((A1)=(2),1,(E3)+(IF(("outputline")=(INDEX(B1:XFD1,(A2)+(0))),1,0)))</f>
        <v>#VALUE!</v>
      </c>
      <c r="F3" t="e">
        <f ca="1">IF((A1)=(2),1,(F3)+(IF(IF((INDEX(B1:XFD1,(A2)+(0)))=("store"),(INDEX(B1:XFD1,(A2)+(1)))=("F"),"false"),1,IF(IF((INDEX(B1:XFD1,(A2)+(0)))=("popv"),(INDEX(B1:XFD1,(A2)+(1)))=("F"),"false"),-1,0))))</f>
        <v>#VALUE!</v>
      </c>
      <c r="G3" t="e">
        <f ca="1">IF((A1)=(2),1,(G3)+(IF(IF((INDEX(B1:XFD1,(A2)+(0)))=("store"),(INDEX(B1:XFD1,(A2)+(1)))=("G"),"false"),1,IF(IF((INDEX(B1:XFD1,(A2)+(0)))=("popv"),(INDEX(B1:XFD1,(A2)+(1)))=("G"),"false"),-1,0))))</f>
        <v>#VALUE!</v>
      </c>
      <c r="H3" t="e">
        <f ca="1">IF((A1)=(2),1,(H3)+(IF(IF((INDEX(B1:XFD1,(A2)+(0)))=("store"),(INDEX(B1:XFD1,(A2)+(1)))=("H"),"false"),1,IF(IF((INDEX(B1:XFD1,(A2)+(0)))=("popv"),(INDEX(B1:XFD1,(A2)+(1)))=("H"),"false"),-1,0))))</f>
        <v>#VALUE!</v>
      </c>
      <c r="I3" t="e">
        <f ca="1">IF((A1)=(2),1,(I3)+(IF(IF((INDEX(B1:XFD1,(A2)+(0)))=("store"),(INDEX(B1:XFD1,(A2)+(1)))=("I"),"false"),1,IF(IF((INDEX(B1:XFD1,(A2)+(0)))=("popv"),(INDEX(B1:XFD1,(A2)+(1)))=("I"),"false"),-1,0))))</f>
        <v>#VALUE!</v>
      </c>
      <c r="J3" t="e">
        <f ca="1">IF((A1)=(2),1,(J3)+(IF(IF((INDEX(B1:XFD1,(A2)+(0)))=("store"),(INDEX(B1:XFD1,(A2)+(1)))=("J"),"false"),1,IF(IF((INDEX(B1:XFD1,(A2)+(0)))=("popv"),(INDEX(B1:XFD1,(A2)+(1)))=("J"),"false"),-1,0))))</f>
        <v>#VALUE!</v>
      </c>
    </row>
    <row r="4" spans="1:919" x14ac:dyDescent="0.25">
      <c r="A4" t="e">
        <f ca="1">IF((A1)=(2),1,IF((1)=(A3),IF(("call")=(INDEX(B1:XFD1,(A2)+(0))),((B2)*(2))+(1),IF(("goto")=(INDEX(B1:XFD1,(A2)+(0))),((INDEX(B1:XFD1,(A2)+(1)))*(2))+(1),IF(("gotoiftrue")=(INDEX(B1:XFD1,(A2)+(0))),IF(B2,((INDEX(B1:XFD1,(A2)+(1)))*(2))+(1),(A4)+(2)),(A4)+(2)))),A4))</f>
        <v>#VALUE!</v>
      </c>
      <c r="B4" t="e">
        <f ca="1">IF((A1)=(2),1,IF((1)=(B3),IF(("push")=(INDEX(B1:XFD1,(A2)+(0))),INDEX(B1:XFD1,(A2)+(1)),IF(("load")=(INDEX(B1:XFD1,(A2)+(0))),INDEX(F2:XFD2,INDEX(B1:XFD1,(A2)+(1))),IF(("newheap")=(INDEX(B1:XFD1,(A2)+(0))),(C3)-(2),IF(("getheap")=(INDEX(B1:XFD1,(A2)+(0))),INDEX(C4:C204,(B4)+(1)),IF(("add")=(INDEX(B1:XFD1,(A2)+(0))),(INDEX(B4:B204,(B3)+(1)))+(B4),IF(("equals")=(INDEX(B1:XFD1,(A2)+(0))),(INDEX(B4:B204,(B3)+(1)))=(B4),IF(("leq")=(INDEX(B1:XFD1,(A2)+(0))),(INDEX(B4:B204,(B3)+(1)))&lt;=(B4),B4))))))),B4))</f>
        <v>#VALUE!</v>
      </c>
      <c r="C4" t="e">
        <f ca="1">IF((A1)=(2),1,IF(AND((INDEX(B1:XFD1,(A2)+(0)))=("writeheap"),(INDEX(B4:B204,(B3)+(1)))=(0)),INDEX(B4:B204,(B3)+(2)),IF((A1)=(2),1,IF((1)=(C3),C4,C4))))</f>
        <v>#VALUE!</v>
      </c>
      <c r="D4" t="e">
        <f ca="1">IF((A1)=(2),1,IF((1)=(D3),D4,D4))</f>
        <v>#VALUE!</v>
      </c>
      <c r="E4" t="e">
        <f ca="1">IF((A1)=(2),1,IF((1)=(E3),IF(("outputline")=(INDEX(B1:XFD1,(A2)+(0))),B2,E4),E4))</f>
        <v>#VALUE!</v>
      </c>
      <c r="F4" t="e">
        <f ca="1">IF((A1)=(2),1,IF((1)=(F3),IF(IF((INDEX(B1:XFD1,(A2)+(0)))=("store"),(INDEX(B1:XFD1,(A2)+(1)))=("F"),"false"),B2,F4),F4))</f>
        <v>#VALUE!</v>
      </c>
      <c r="G4" t="e">
        <f ca="1">IF((A1)=(2),1,IF((1)=(G3),IF(IF((INDEX(B1:XFD1,(A2)+(0)))=("store"),(INDEX(B1:XFD1,(A2)+(1)))=("G"),"false"),B2,G4),G4))</f>
        <v>#VALUE!</v>
      </c>
      <c r="H4" t="e">
        <f ca="1">IF((A1)=(2),1,IF((1)=(H3),IF(IF((INDEX(B1:XFD1,(A2)+(0)))=("store"),(INDEX(B1:XFD1,(A2)+(1)))=("H"),"false"),B2,H4),H4))</f>
        <v>#VALUE!</v>
      </c>
      <c r="I4" t="e">
        <f ca="1">IF((A1)=(2),1,IF((1)=(I3),IF(IF((INDEX(B1:XFD1,(A2)+(0)))=("store"),(INDEX(B1:XFD1,(A2)+(1)))=("I"),"false"),B2,I4),I4))</f>
        <v>#VALUE!</v>
      </c>
      <c r="J4" t="e">
        <f ca="1">IF((A1)=(2),1,IF((1)=(J3),IF(IF((INDEX(B1:XFD1,(A2)+(0)))=("store"),(INDEX(B1:XFD1,(A2)+(1)))=("J"),"false"),B2,J4),J4))</f>
        <v>#VALUE!</v>
      </c>
    </row>
    <row r="5" spans="1:919" x14ac:dyDescent="0.25">
      <c r="A5" t="e">
        <f ca="1">IF((A1)=(2),1,IF((2)=(A3),IF(("call")=(INDEX(B1:XFD1,(A2)+(0))),((B2)*(2))+(1),IF(("goto")=(INDEX(B1:XFD1,(A2)+(0))),((INDEX(B1:XFD1,(A2)+(1)))*(2))+(1),IF(("gotoiftrue")=(INDEX(B1:XFD1,(A2)+(0))),IF(B2,((INDEX(B1:XFD1,(A2)+(1)))*(2))+(1),(A5)+(2)),(A5)+(2)))),A5))</f>
        <v>#VALUE!</v>
      </c>
      <c r="B5" t="e">
        <f ca="1">IF((A1)=(2),1,IF((2)=(B3),IF(("push")=(INDEX(B1:XFD1,(A2)+(0))),INDEX(B1:XFD1,(A2)+(1)),IF(("load")=(INDEX(B1:XFD1,(A2)+(0))),INDEX(F2:XFD2,INDEX(B1:XFD1,(A2)+(1))),IF(("newheap")=(INDEX(B1:XFD1,(A2)+(0))),(C3)-(2),IF(("getheap")=(INDEX(B1:XFD1,(A2)+(0))),INDEX(C4:C204,(B5)+(1)),IF(("add")=(INDEX(B1:XFD1,(A2)+(0))),(INDEX(B4:B204,(B3)+(1)))+(B5),IF(("equals")=(INDEX(B1:XFD1,(A2)+(0))),(INDEX(B4:B204,(B3)+(1)))=(B5),IF(("leq")=(INDEX(B1:XFD1,(A2)+(0))),(INDEX(B4:B204,(B3)+(1)))&lt;=(B5),B5))))))),B5))</f>
        <v>#VALUE!</v>
      </c>
      <c r="C5" t="e">
        <f ca="1">IF((A1)=(2),1,IF(AND((INDEX(B1:XFD1,(A2)+(0)))=("writeheap"),(INDEX(B4:B204,(B3)+(1)))=(1)),INDEX(B4:B204,(B3)+(2)),IF((A1)=(2),1,IF((2)=(C3),C5,C5))))</f>
        <v>#VALUE!</v>
      </c>
      <c r="D5" t="e">
        <f ca="1">IF((A1)=(2),1,IF((2)=(D3),D5,D5))</f>
        <v>#VALUE!</v>
      </c>
      <c r="E5" t="e">
        <f ca="1">IF((A1)=(2),1,IF((2)=(E3),IF(("outputline")=(INDEX(B1:XFD1,(A2)+(0))),B2,E5),E5))</f>
        <v>#VALUE!</v>
      </c>
      <c r="F5" t="e">
        <f ca="1">IF((A1)=(2),1,IF((2)=(F3),IF(IF((INDEX(B1:XFD1,(A2)+(0)))=("store"),(INDEX(B1:XFD1,(A2)+(1)))=("F"),"false"),B2,F5),F5))</f>
        <v>#VALUE!</v>
      </c>
      <c r="G5" t="e">
        <f ca="1">IF((A1)=(2),1,IF((2)=(G3),IF(IF((INDEX(B1:XFD1,(A2)+(0)))=("store"),(INDEX(B1:XFD1,(A2)+(1)))=("G"),"false"),B2,G5),G5))</f>
        <v>#VALUE!</v>
      </c>
      <c r="H5" t="e">
        <f ca="1">IF((A1)=(2),1,IF((2)=(H3),IF(IF((INDEX(B1:XFD1,(A2)+(0)))=("store"),(INDEX(B1:XFD1,(A2)+(1)))=("H"),"false"),B2,H5),H5))</f>
        <v>#VALUE!</v>
      </c>
      <c r="I5" t="e">
        <f ca="1">IF((A1)=(2),1,IF((2)=(I3),IF(IF((INDEX(B1:XFD1,(A2)+(0)))=("store"),(INDEX(B1:XFD1,(A2)+(1)))=("I"),"false"),B2,I5),I5))</f>
        <v>#VALUE!</v>
      </c>
      <c r="J5" t="e">
        <f ca="1">IF((A1)=(2),1,IF((2)=(J3),IF(IF((INDEX(B1:XFD1,(A2)+(0)))=("store"),(INDEX(B1:XFD1,(A2)+(1)))=("J"),"false"),B2,J5),J5))</f>
        <v>#VALUE!</v>
      </c>
    </row>
    <row r="6" spans="1:919" x14ac:dyDescent="0.25">
      <c r="A6" t="e">
        <f ca="1">IF((A1)=(2),1,IF((3)=(A3),IF(("call")=(INDEX(B1:XFD1,(A2)+(0))),((B2)*(2))+(1),IF(("goto")=(INDEX(B1:XFD1,(A2)+(0))),((INDEX(B1:XFD1,(A2)+(1)))*(2))+(1),IF(("gotoiftrue")=(INDEX(B1:XFD1,(A2)+(0))),IF(B2,((INDEX(B1:XFD1,(A2)+(1)))*(2))+(1),(A6)+(2)),(A6)+(2)))),A6))</f>
        <v>#VALUE!</v>
      </c>
      <c r="B6" t="e">
        <f ca="1">IF((A1)=(2),1,IF((3)=(B3),IF(("push")=(INDEX(B1:XFD1,(A2)+(0))),INDEX(B1:XFD1,(A2)+(1)),IF(("load")=(INDEX(B1:XFD1,(A2)+(0))),INDEX(F2:XFD2,INDEX(B1:XFD1,(A2)+(1))),IF(("newheap")=(INDEX(B1:XFD1,(A2)+(0))),(C3)-(2),IF(("getheap")=(INDEX(B1:XFD1,(A2)+(0))),INDEX(C4:C204,(B6)+(1)),IF(("add")=(INDEX(B1:XFD1,(A2)+(0))),(INDEX(B4:B204,(B3)+(1)))+(B6),IF(("equals")=(INDEX(B1:XFD1,(A2)+(0))),(INDEX(B4:B204,(B3)+(1)))=(B6),IF(("leq")=(INDEX(B1:XFD1,(A2)+(0))),(INDEX(B4:B204,(B3)+(1)))&lt;=(B6),B6))))))),B6))</f>
        <v>#VALUE!</v>
      </c>
      <c r="C6" t="e">
        <f ca="1">IF((A1)=(2),1,IF(AND((INDEX(B1:XFD1,(A2)+(0)))=("writeheap"),(INDEX(B4:B204,(B3)+(1)))=(2)),INDEX(B4:B204,(B3)+(2)),IF((A1)=(2),1,IF((3)=(C3),C6,C6))))</f>
        <v>#VALUE!</v>
      </c>
      <c r="D6" t="e">
        <f ca="1">IF((A1)=(2),1,IF((3)=(D3),D6,D6))</f>
        <v>#VALUE!</v>
      </c>
      <c r="E6" t="e">
        <f ca="1">IF((A1)=(2),1,IF((3)=(E3),IF(("outputline")=(INDEX(B1:XFD1,(A2)+(0))),B2,E6),E6))</f>
        <v>#VALUE!</v>
      </c>
      <c r="F6" t="e">
        <f ca="1">IF((A1)=(2),1,IF((3)=(F3),IF(IF((INDEX(B1:XFD1,(A2)+(0)))=("store"),(INDEX(B1:XFD1,(A2)+(1)))=("F"),"false"),B2,F6),F6))</f>
        <v>#VALUE!</v>
      </c>
      <c r="G6" t="e">
        <f ca="1">IF((A1)=(2),1,IF((3)=(G3),IF(IF((INDEX(B1:XFD1,(A2)+(0)))=("store"),(INDEX(B1:XFD1,(A2)+(1)))=("G"),"false"),B2,G6),G6))</f>
        <v>#VALUE!</v>
      </c>
      <c r="H6" t="e">
        <f ca="1">IF((A1)=(2),1,IF((3)=(H3),IF(IF((INDEX(B1:XFD1,(A2)+(0)))=("store"),(INDEX(B1:XFD1,(A2)+(1)))=("H"),"false"),B2,H6),H6))</f>
        <v>#VALUE!</v>
      </c>
      <c r="I6" t="e">
        <f ca="1">IF((A1)=(2),1,IF((3)=(I3),IF(IF((INDEX(B1:XFD1,(A2)+(0)))=("store"),(INDEX(B1:XFD1,(A2)+(1)))=("I"),"false"),B2,I6),I6))</f>
        <v>#VALUE!</v>
      </c>
      <c r="J6" t="e">
        <f ca="1">IF((A1)=(2),1,IF((3)=(J3),IF(IF((INDEX(B1:XFD1,(A2)+(0)))=("store"),(INDEX(B1:XFD1,(A2)+(1)))=("J"),"false"),B2,J6),J6))</f>
        <v>#VALUE!</v>
      </c>
    </row>
    <row r="7" spans="1:919" x14ac:dyDescent="0.25">
      <c r="A7" t="e">
        <f ca="1">IF((A1)=(2),1,IF((4)=(A3),IF(("call")=(INDEX(B1:XFD1,(A2)+(0))),((B2)*(2))+(1),IF(("goto")=(INDEX(B1:XFD1,(A2)+(0))),((INDEX(B1:XFD1,(A2)+(1)))*(2))+(1),IF(("gotoiftrue")=(INDEX(B1:XFD1,(A2)+(0))),IF(B2,((INDEX(B1:XFD1,(A2)+(1)))*(2))+(1),(A7)+(2)),(A7)+(2)))),A7))</f>
        <v>#VALUE!</v>
      </c>
      <c r="B7" t="e">
        <f ca="1">IF((A1)=(2),1,IF((4)=(B3),IF(("push")=(INDEX(B1:XFD1,(A2)+(0))),INDEX(B1:XFD1,(A2)+(1)),IF(("load")=(INDEX(B1:XFD1,(A2)+(0))),INDEX(F2:XFD2,INDEX(B1:XFD1,(A2)+(1))),IF(("newheap")=(INDEX(B1:XFD1,(A2)+(0))),(C3)-(2),IF(("getheap")=(INDEX(B1:XFD1,(A2)+(0))),INDEX(C4:C204,(B7)+(1)),IF(("add")=(INDEX(B1:XFD1,(A2)+(0))),(INDEX(B4:B204,(B3)+(1)))+(B7),IF(("equals")=(INDEX(B1:XFD1,(A2)+(0))),(INDEX(B4:B204,(B3)+(1)))=(B7),IF(("leq")=(INDEX(B1:XFD1,(A2)+(0))),(INDEX(B4:B204,(B3)+(1)))&lt;=(B7),B7))))))),B7))</f>
        <v>#VALUE!</v>
      </c>
      <c r="C7" t="e">
        <f ca="1">IF((A1)=(2),1,IF(AND((INDEX(B1:XFD1,(A2)+(0)))=("writeheap"),(INDEX(B4:B204,(B3)+(1)))=(3)),INDEX(B4:B204,(B3)+(2)),IF((A1)=(2),1,IF((4)=(C3),C7,C7))))</f>
        <v>#VALUE!</v>
      </c>
      <c r="D7" t="e">
        <f ca="1">IF((A1)=(2),1,IF((4)=(D3),D7,D7))</f>
        <v>#VALUE!</v>
      </c>
      <c r="E7" t="e">
        <f ca="1">IF((A1)=(2),1,IF((4)=(E3),IF(("outputline")=(INDEX(B1:XFD1,(A2)+(0))),B2,E7),E7))</f>
        <v>#VALUE!</v>
      </c>
      <c r="F7" t="e">
        <f ca="1">IF((A1)=(2),1,IF((4)=(F3),IF(IF((INDEX(B1:XFD1,(A2)+(0)))=("store"),(INDEX(B1:XFD1,(A2)+(1)))=("F"),"false"),B2,F7),F7))</f>
        <v>#VALUE!</v>
      </c>
      <c r="G7" t="e">
        <f ca="1">IF((A1)=(2),1,IF((4)=(G3),IF(IF((INDEX(B1:XFD1,(A2)+(0)))=("store"),(INDEX(B1:XFD1,(A2)+(1)))=("G"),"false"),B2,G7),G7))</f>
        <v>#VALUE!</v>
      </c>
      <c r="H7" t="e">
        <f ca="1">IF((A1)=(2),1,IF((4)=(H3),IF(IF((INDEX(B1:XFD1,(A2)+(0)))=("store"),(INDEX(B1:XFD1,(A2)+(1)))=("H"),"false"),B2,H7),H7))</f>
        <v>#VALUE!</v>
      </c>
      <c r="I7" t="e">
        <f ca="1">IF((A1)=(2),1,IF((4)=(I3),IF(IF((INDEX(B1:XFD1,(A2)+(0)))=("store"),(INDEX(B1:XFD1,(A2)+(1)))=("I"),"false"),B2,I7),I7))</f>
        <v>#VALUE!</v>
      </c>
      <c r="J7" t="e">
        <f ca="1">IF((A1)=(2),1,IF((4)=(J3),IF(IF((INDEX(B1:XFD1,(A2)+(0)))=("store"),(INDEX(B1:XFD1,(A2)+(1)))=("J"),"false"),B2,J7),J7))</f>
        <v>#VALUE!</v>
      </c>
    </row>
    <row r="8" spans="1:919" x14ac:dyDescent="0.25">
      <c r="A8" t="e">
        <f ca="1">IF((A1)=(2),1,IF((5)=(A3),IF(("call")=(INDEX(B1:XFD1,(A2)+(0))),((B2)*(2))+(1),IF(("goto")=(INDEX(B1:XFD1,(A2)+(0))),((INDEX(B1:XFD1,(A2)+(1)))*(2))+(1),IF(("gotoiftrue")=(INDEX(B1:XFD1,(A2)+(0))),IF(B2,((INDEX(B1:XFD1,(A2)+(1)))*(2))+(1),(A8)+(2)),(A8)+(2)))),A8))</f>
        <v>#VALUE!</v>
      </c>
      <c r="B8" t="e">
        <f ca="1">IF((A1)=(2),1,IF((5)=(B3),IF(("push")=(INDEX(B1:XFD1,(A2)+(0))),INDEX(B1:XFD1,(A2)+(1)),IF(("load")=(INDEX(B1:XFD1,(A2)+(0))),INDEX(F2:XFD2,INDEX(B1:XFD1,(A2)+(1))),IF(("newheap")=(INDEX(B1:XFD1,(A2)+(0))),(C3)-(2),IF(("getheap")=(INDEX(B1:XFD1,(A2)+(0))),INDEX(C4:C204,(B8)+(1)),IF(("add")=(INDEX(B1:XFD1,(A2)+(0))),(INDEX(B4:B204,(B3)+(1)))+(B8),IF(("equals")=(INDEX(B1:XFD1,(A2)+(0))),(INDEX(B4:B204,(B3)+(1)))=(B8),IF(("leq")=(INDEX(B1:XFD1,(A2)+(0))),(INDEX(B4:B204,(B3)+(1)))&lt;=(B8),B8))))))),B8))</f>
        <v>#VALUE!</v>
      </c>
      <c r="C8" t="e">
        <f ca="1">IF((A1)=(2),1,IF(AND((INDEX(B1:XFD1,(A2)+(0)))=("writeheap"),(INDEX(B4:B204,(B3)+(1)))=(4)),INDEX(B4:B204,(B3)+(2)),IF((A1)=(2),1,IF((5)=(C3),C8,C8))))</f>
        <v>#VALUE!</v>
      </c>
      <c r="D8" t="e">
        <f ca="1">IF((A1)=(2),1,IF((5)=(D3),D8,D8))</f>
        <v>#VALUE!</v>
      </c>
      <c r="E8" t="e">
        <f ca="1">IF((A1)=(2),1,IF((5)=(E3),IF(("outputline")=(INDEX(B1:XFD1,(A2)+(0))),B2,E8),E8))</f>
        <v>#VALUE!</v>
      </c>
      <c r="F8" t="e">
        <f ca="1">IF((A1)=(2),1,IF((5)=(F3),IF(IF((INDEX(B1:XFD1,(A2)+(0)))=("store"),(INDEX(B1:XFD1,(A2)+(1)))=("F"),"false"),B2,F8),F8))</f>
        <v>#VALUE!</v>
      </c>
      <c r="G8" t="e">
        <f ca="1">IF((A1)=(2),1,IF((5)=(G3),IF(IF((INDEX(B1:XFD1,(A2)+(0)))=("store"),(INDEX(B1:XFD1,(A2)+(1)))=("G"),"false"),B2,G8),G8))</f>
        <v>#VALUE!</v>
      </c>
      <c r="H8" t="e">
        <f ca="1">IF((A1)=(2),1,IF((5)=(H3),IF(IF((INDEX(B1:XFD1,(A2)+(0)))=("store"),(INDEX(B1:XFD1,(A2)+(1)))=("H"),"false"),B2,H8),H8))</f>
        <v>#VALUE!</v>
      </c>
      <c r="I8" t="e">
        <f ca="1">IF((A1)=(2),1,IF((5)=(I3),IF(IF((INDEX(B1:XFD1,(A2)+(0)))=("store"),(INDEX(B1:XFD1,(A2)+(1)))=("I"),"false"),B2,I8),I8))</f>
        <v>#VALUE!</v>
      </c>
      <c r="J8" t="e">
        <f ca="1">IF((A1)=(2),1,IF((5)=(J3),IF(IF((INDEX(B1:XFD1,(A2)+(0)))=("store"),(INDEX(B1:XFD1,(A2)+(1)))=("J"),"false"),B2,J8),J8))</f>
        <v>#VALUE!</v>
      </c>
    </row>
    <row r="9" spans="1:919" x14ac:dyDescent="0.25">
      <c r="A9" t="e">
        <f ca="1">IF((A1)=(2),1,IF((6)=(A3),IF(("call")=(INDEX(B1:XFD1,(A2)+(0))),((B2)*(2))+(1),IF(("goto")=(INDEX(B1:XFD1,(A2)+(0))),((INDEX(B1:XFD1,(A2)+(1)))*(2))+(1),IF(("gotoiftrue")=(INDEX(B1:XFD1,(A2)+(0))),IF(B2,((INDEX(B1:XFD1,(A2)+(1)))*(2))+(1),(A9)+(2)),(A9)+(2)))),A9))</f>
        <v>#VALUE!</v>
      </c>
      <c r="B9" t="e">
        <f ca="1">IF((A1)=(2),1,IF((6)=(B3),IF(("push")=(INDEX(B1:XFD1,(A2)+(0))),INDEX(B1:XFD1,(A2)+(1)),IF(("load")=(INDEX(B1:XFD1,(A2)+(0))),INDEX(F2:XFD2,INDEX(B1:XFD1,(A2)+(1))),IF(("newheap")=(INDEX(B1:XFD1,(A2)+(0))),(C3)-(2),IF(("getheap")=(INDEX(B1:XFD1,(A2)+(0))),INDEX(C4:C204,(B9)+(1)),IF(("add")=(INDEX(B1:XFD1,(A2)+(0))),(INDEX(B4:B204,(B3)+(1)))+(B9),IF(("equals")=(INDEX(B1:XFD1,(A2)+(0))),(INDEX(B4:B204,(B3)+(1)))=(B9),IF(("leq")=(INDEX(B1:XFD1,(A2)+(0))),(INDEX(B4:B204,(B3)+(1)))&lt;=(B9),B9))))))),B9))</f>
        <v>#VALUE!</v>
      </c>
      <c r="C9" t="e">
        <f ca="1">IF((A1)=(2),1,IF(AND((INDEX(B1:XFD1,(A2)+(0)))=("writeheap"),(INDEX(B4:B204,(B3)+(1)))=(5)),INDEX(B4:B204,(B3)+(2)),IF((A1)=(2),1,IF((6)=(C3),C9,C9))))</f>
        <v>#VALUE!</v>
      </c>
      <c r="D9" t="e">
        <f ca="1">IF((A1)=(2),1,IF((6)=(D3),D9,D9))</f>
        <v>#VALUE!</v>
      </c>
      <c r="E9" t="e">
        <f ca="1">IF((A1)=(2),1,IF((6)=(E3),IF(("outputline")=(INDEX(B1:XFD1,(A2)+(0))),B2,E9),E9))</f>
        <v>#VALUE!</v>
      </c>
      <c r="F9" t="e">
        <f ca="1">IF((A1)=(2),1,IF((6)=(F3),IF(IF((INDEX(B1:XFD1,(A2)+(0)))=("store"),(INDEX(B1:XFD1,(A2)+(1)))=("F"),"false"),B2,F9),F9))</f>
        <v>#VALUE!</v>
      </c>
      <c r="G9" t="e">
        <f ca="1">IF((A1)=(2),1,IF((6)=(G3),IF(IF((INDEX(B1:XFD1,(A2)+(0)))=("store"),(INDEX(B1:XFD1,(A2)+(1)))=("G"),"false"),B2,G9),G9))</f>
        <v>#VALUE!</v>
      </c>
      <c r="H9" t="e">
        <f ca="1">IF((A1)=(2),1,IF((6)=(H3),IF(IF((INDEX(B1:XFD1,(A2)+(0)))=("store"),(INDEX(B1:XFD1,(A2)+(1)))=("H"),"false"),B2,H9),H9))</f>
        <v>#VALUE!</v>
      </c>
      <c r="I9" t="e">
        <f ca="1">IF((A1)=(2),1,IF((6)=(I3),IF(IF((INDEX(B1:XFD1,(A2)+(0)))=("store"),(INDEX(B1:XFD1,(A2)+(1)))=("I"),"false"),B2,I9),I9))</f>
        <v>#VALUE!</v>
      </c>
      <c r="J9" t="e">
        <f ca="1">IF((A1)=(2),1,IF((6)=(J3),IF(IF((INDEX(B1:XFD1,(A2)+(0)))=("store"),(INDEX(B1:XFD1,(A2)+(1)))=("J"),"false"),B2,J9),J9))</f>
        <v>#VALUE!</v>
      </c>
    </row>
    <row r="10" spans="1:919" x14ac:dyDescent="0.25">
      <c r="A10" t="e">
        <f ca="1">IF((A1)=(2),1,IF((7)=(A3),IF(("call")=(INDEX(B1:XFD1,(A2)+(0))),((B2)*(2))+(1),IF(("goto")=(INDEX(B1:XFD1,(A2)+(0))),((INDEX(B1:XFD1,(A2)+(1)))*(2))+(1),IF(("gotoiftrue")=(INDEX(B1:XFD1,(A2)+(0))),IF(B2,((INDEX(B1:XFD1,(A2)+(1)))*(2))+(1),(A10)+(2)),(A10)+(2)))),A10))</f>
        <v>#VALUE!</v>
      </c>
      <c r="B10" t="e">
        <f ca="1">IF((A1)=(2),1,IF((7)=(B3),IF(("push")=(INDEX(B1:XFD1,(A2)+(0))),INDEX(B1:XFD1,(A2)+(1)),IF(("load")=(INDEX(B1:XFD1,(A2)+(0))),INDEX(F2:XFD2,INDEX(B1:XFD1,(A2)+(1))),IF(("newheap")=(INDEX(B1:XFD1,(A2)+(0))),(C3)-(2),IF(("getheap")=(INDEX(B1:XFD1,(A2)+(0))),INDEX(C4:C204,(B10)+(1)),IF(("add")=(INDEX(B1:XFD1,(A2)+(0))),(INDEX(B4:B204,(B3)+(1)))+(B10),IF(("equals")=(INDEX(B1:XFD1,(A2)+(0))),(INDEX(B4:B204,(B3)+(1)))=(B10),IF(("leq")=(INDEX(B1:XFD1,(A2)+(0))),(INDEX(B4:B204,(B3)+(1)))&lt;=(B10),B10))))))),B10))</f>
        <v>#VALUE!</v>
      </c>
      <c r="C10" t="e">
        <f ca="1">IF((A1)=(2),1,IF(AND((INDEX(B1:XFD1,(A2)+(0)))=("writeheap"),(INDEX(B4:B204,(B3)+(1)))=(6)),INDEX(B4:B204,(B3)+(2)),IF((A1)=(2),1,IF((7)=(C3),C10,C10))))</f>
        <v>#VALUE!</v>
      </c>
      <c r="D10" t="e">
        <f ca="1">IF((A1)=(2),1,IF((7)=(D3),D10,D10))</f>
        <v>#VALUE!</v>
      </c>
      <c r="E10" t="e">
        <f ca="1">IF((A1)=(2),1,IF((7)=(E3),IF(("outputline")=(INDEX(B1:XFD1,(A2)+(0))),B2,E10),E10))</f>
        <v>#VALUE!</v>
      </c>
      <c r="F10" t="e">
        <f ca="1">IF((A1)=(2),1,IF((7)=(F3),IF(IF((INDEX(B1:XFD1,(A2)+(0)))=("store"),(INDEX(B1:XFD1,(A2)+(1)))=("F"),"false"),B2,F10),F10))</f>
        <v>#VALUE!</v>
      </c>
      <c r="G10" t="e">
        <f ca="1">IF((A1)=(2),1,IF((7)=(G3),IF(IF((INDEX(B1:XFD1,(A2)+(0)))=("store"),(INDEX(B1:XFD1,(A2)+(1)))=("G"),"false"),B2,G10),G10))</f>
        <v>#VALUE!</v>
      </c>
      <c r="H10" t="e">
        <f ca="1">IF((A1)=(2),1,IF((7)=(H3),IF(IF((INDEX(B1:XFD1,(A2)+(0)))=("store"),(INDEX(B1:XFD1,(A2)+(1)))=("H"),"false"),B2,H10),H10))</f>
        <v>#VALUE!</v>
      </c>
      <c r="I10" t="e">
        <f ca="1">IF((A1)=(2),1,IF((7)=(I3),IF(IF((INDEX(B1:XFD1,(A2)+(0)))=("store"),(INDEX(B1:XFD1,(A2)+(1)))=("I"),"false"),B2,I10),I10))</f>
        <v>#VALUE!</v>
      </c>
      <c r="J10" t="e">
        <f ca="1">IF((A1)=(2),1,IF((7)=(J3),IF(IF((INDEX(B1:XFD1,(A2)+(0)))=("store"),(INDEX(B1:XFD1,(A2)+(1)))=("J"),"false"),B2,J10),J10))</f>
        <v>#VALUE!</v>
      </c>
    </row>
    <row r="11" spans="1:919" x14ac:dyDescent="0.25">
      <c r="A11" t="e">
        <f ca="1">IF((A1)=(2),1,IF((8)=(A3),IF(("call")=(INDEX(B1:XFD1,(A2)+(0))),((B2)*(2))+(1),IF(("goto")=(INDEX(B1:XFD1,(A2)+(0))),((INDEX(B1:XFD1,(A2)+(1)))*(2))+(1),IF(("gotoiftrue")=(INDEX(B1:XFD1,(A2)+(0))),IF(B2,((INDEX(B1:XFD1,(A2)+(1)))*(2))+(1),(A11)+(2)),(A11)+(2)))),A11))</f>
        <v>#VALUE!</v>
      </c>
      <c r="B11" t="e">
        <f ca="1">IF((A1)=(2),1,IF((8)=(B3),IF(("push")=(INDEX(B1:XFD1,(A2)+(0))),INDEX(B1:XFD1,(A2)+(1)),IF(("load")=(INDEX(B1:XFD1,(A2)+(0))),INDEX(F2:XFD2,INDEX(B1:XFD1,(A2)+(1))),IF(("newheap")=(INDEX(B1:XFD1,(A2)+(0))),(C3)-(2),IF(("getheap")=(INDEX(B1:XFD1,(A2)+(0))),INDEX(C4:C204,(B11)+(1)),IF(("add")=(INDEX(B1:XFD1,(A2)+(0))),(INDEX(B4:B204,(B3)+(1)))+(B11),IF(("equals")=(INDEX(B1:XFD1,(A2)+(0))),(INDEX(B4:B204,(B3)+(1)))=(B11),IF(("leq")=(INDEX(B1:XFD1,(A2)+(0))),(INDEX(B4:B204,(B3)+(1)))&lt;=(B11),B11))))))),B11))</f>
        <v>#VALUE!</v>
      </c>
      <c r="C11" t="e">
        <f ca="1">IF((A1)=(2),1,IF(AND((INDEX(B1:XFD1,(A2)+(0)))=("writeheap"),(INDEX(B4:B204,(B3)+(1)))=(7)),INDEX(B4:B204,(B3)+(2)),IF((A1)=(2),1,IF((8)=(C3),C11,C11))))</f>
        <v>#VALUE!</v>
      </c>
      <c r="D11" t="e">
        <f ca="1">IF((A1)=(2),1,IF((8)=(D3),D11,D11))</f>
        <v>#VALUE!</v>
      </c>
      <c r="E11" t="e">
        <f ca="1">IF((A1)=(2),1,IF((8)=(E3),IF(("outputline")=(INDEX(B1:XFD1,(A2)+(0))),B2,E11),E11))</f>
        <v>#VALUE!</v>
      </c>
      <c r="F11" t="e">
        <f ca="1">IF((A1)=(2),1,IF((8)=(F3),IF(IF((INDEX(B1:XFD1,(A2)+(0)))=("store"),(INDEX(B1:XFD1,(A2)+(1)))=("F"),"false"),B2,F11),F11))</f>
        <v>#VALUE!</v>
      </c>
      <c r="G11" t="e">
        <f ca="1">IF((A1)=(2),1,IF((8)=(G3),IF(IF((INDEX(B1:XFD1,(A2)+(0)))=("store"),(INDEX(B1:XFD1,(A2)+(1)))=("G"),"false"),B2,G11),G11))</f>
        <v>#VALUE!</v>
      </c>
      <c r="H11" t="e">
        <f ca="1">IF((A1)=(2),1,IF((8)=(H3),IF(IF((INDEX(B1:XFD1,(A2)+(0)))=("store"),(INDEX(B1:XFD1,(A2)+(1)))=("H"),"false"),B2,H11),H11))</f>
        <v>#VALUE!</v>
      </c>
      <c r="I11" t="e">
        <f ca="1">IF((A1)=(2),1,IF((8)=(I3),IF(IF((INDEX(B1:XFD1,(A2)+(0)))=("store"),(INDEX(B1:XFD1,(A2)+(1)))=("I"),"false"),B2,I11),I11))</f>
        <v>#VALUE!</v>
      </c>
      <c r="J11" t="e">
        <f ca="1">IF((A1)=(2),1,IF((8)=(J3),IF(IF((INDEX(B1:XFD1,(A2)+(0)))=("store"),(INDEX(B1:XFD1,(A2)+(1)))=("J"),"false"),B2,J11),J11))</f>
        <v>#VALUE!</v>
      </c>
    </row>
    <row r="12" spans="1:919" x14ac:dyDescent="0.25">
      <c r="A12" t="e">
        <f ca="1">IF((A1)=(2),1,IF((9)=(A3),IF(("call")=(INDEX(B1:XFD1,(A2)+(0))),((B2)*(2))+(1),IF(("goto")=(INDEX(B1:XFD1,(A2)+(0))),((INDEX(B1:XFD1,(A2)+(1)))*(2))+(1),IF(("gotoiftrue")=(INDEX(B1:XFD1,(A2)+(0))),IF(B2,((INDEX(B1:XFD1,(A2)+(1)))*(2))+(1),(A12)+(2)),(A12)+(2)))),A12))</f>
        <v>#VALUE!</v>
      </c>
      <c r="B12" t="e">
        <f ca="1">IF((A1)=(2),1,IF((9)=(B3),IF(("push")=(INDEX(B1:XFD1,(A2)+(0))),INDEX(B1:XFD1,(A2)+(1)),IF(("load")=(INDEX(B1:XFD1,(A2)+(0))),INDEX(F2:XFD2,INDEX(B1:XFD1,(A2)+(1))),IF(("newheap")=(INDEX(B1:XFD1,(A2)+(0))),(C3)-(2),IF(("getheap")=(INDEX(B1:XFD1,(A2)+(0))),INDEX(C4:C204,(B12)+(1)),IF(("add")=(INDEX(B1:XFD1,(A2)+(0))),(INDEX(B4:B204,(B3)+(1)))+(B12),IF(("equals")=(INDEX(B1:XFD1,(A2)+(0))),(INDEX(B4:B204,(B3)+(1)))=(B12),IF(("leq")=(INDEX(B1:XFD1,(A2)+(0))),(INDEX(B4:B204,(B3)+(1)))&lt;=(B12),B12))))))),B12))</f>
        <v>#VALUE!</v>
      </c>
      <c r="C12" t="e">
        <f ca="1">IF((A1)=(2),1,IF(AND((INDEX(B1:XFD1,(A2)+(0)))=("writeheap"),(INDEX(B4:B204,(B3)+(1)))=(8)),INDEX(B4:B204,(B3)+(2)),IF((A1)=(2),1,IF((9)=(C3),C12,C12))))</f>
        <v>#VALUE!</v>
      </c>
      <c r="D12" t="e">
        <f ca="1">IF((A1)=(2),1,IF((9)=(D3),D12,D12))</f>
        <v>#VALUE!</v>
      </c>
      <c r="E12" t="e">
        <f ca="1">IF((A1)=(2),1,IF((9)=(E3),IF(("outputline")=(INDEX(B1:XFD1,(A2)+(0))),B2,E12),E12))</f>
        <v>#VALUE!</v>
      </c>
      <c r="F12" t="e">
        <f ca="1">IF((A1)=(2),1,IF((9)=(F3),IF(IF((INDEX(B1:XFD1,(A2)+(0)))=("store"),(INDEX(B1:XFD1,(A2)+(1)))=("F"),"false"),B2,F12),F12))</f>
        <v>#VALUE!</v>
      </c>
      <c r="G12" t="e">
        <f ca="1">IF((A1)=(2),1,IF((9)=(G3),IF(IF((INDEX(B1:XFD1,(A2)+(0)))=("store"),(INDEX(B1:XFD1,(A2)+(1)))=("G"),"false"),B2,G12),G12))</f>
        <v>#VALUE!</v>
      </c>
      <c r="H12" t="e">
        <f ca="1">IF((A1)=(2),1,IF((9)=(H3),IF(IF((INDEX(B1:XFD1,(A2)+(0)))=("store"),(INDEX(B1:XFD1,(A2)+(1)))=("H"),"false"),B2,H12),H12))</f>
        <v>#VALUE!</v>
      </c>
      <c r="I12" t="e">
        <f ca="1">IF((A1)=(2),1,IF((9)=(I3),IF(IF((INDEX(B1:XFD1,(A2)+(0)))=("store"),(INDEX(B1:XFD1,(A2)+(1)))=("I"),"false"),B2,I12),I12))</f>
        <v>#VALUE!</v>
      </c>
      <c r="J12" t="e">
        <f ca="1">IF((A1)=(2),1,IF((9)=(J3),IF(IF((INDEX(B1:XFD1,(A2)+(0)))=("store"),(INDEX(B1:XFD1,(A2)+(1)))=("J"),"false"),B2,J12),J12))</f>
        <v>#VALUE!</v>
      </c>
    </row>
    <row r="13" spans="1:919" x14ac:dyDescent="0.25">
      <c r="A13" t="e">
        <f ca="1">IF((A1)=(2),1,IF((10)=(A3),IF(("call")=(INDEX(B1:XFD1,(A2)+(0))),((B2)*(2))+(1),IF(("goto")=(INDEX(B1:XFD1,(A2)+(0))),((INDEX(B1:XFD1,(A2)+(1)))*(2))+(1),IF(("gotoiftrue")=(INDEX(B1:XFD1,(A2)+(0))),IF(B2,((INDEX(B1:XFD1,(A2)+(1)))*(2))+(1),(A13)+(2)),(A13)+(2)))),A13))</f>
        <v>#VALUE!</v>
      </c>
      <c r="B13" t="e">
        <f ca="1">IF((A1)=(2),1,IF((10)=(B3),IF(("push")=(INDEX(B1:XFD1,(A2)+(0))),INDEX(B1:XFD1,(A2)+(1)),IF(("load")=(INDEX(B1:XFD1,(A2)+(0))),INDEX(F2:XFD2,INDEX(B1:XFD1,(A2)+(1))),IF(("newheap")=(INDEX(B1:XFD1,(A2)+(0))),(C3)-(2),IF(("getheap")=(INDEX(B1:XFD1,(A2)+(0))),INDEX(C4:C204,(B13)+(1)),IF(("add")=(INDEX(B1:XFD1,(A2)+(0))),(INDEX(B4:B204,(B3)+(1)))+(B13),IF(("equals")=(INDEX(B1:XFD1,(A2)+(0))),(INDEX(B4:B204,(B3)+(1)))=(B13),IF(("leq")=(INDEX(B1:XFD1,(A2)+(0))),(INDEX(B4:B204,(B3)+(1)))&lt;=(B13),B13))))))),B13))</f>
        <v>#VALUE!</v>
      </c>
      <c r="C13" t="e">
        <f ca="1">IF((A1)=(2),1,IF(AND((INDEX(B1:XFD1,(A2)+(0)))=("writeheap"),(INDEX(B4:B204,(B3)+(1)))=(9)),INDEX(B4:B204,(B3)+(2)),IF((A1)=(2),1,IF((10)=(C3),C13,C13))))</f>
        <v>#VALUE!</v>
      </c>
      <c r="D13" t="e">
        <f ca="1">IF((A1)=(2),1,IF((10)=(D3),D13,D13))</f>
        <v>#VALUE!</v>
      </c>
      <c r="E13" t="e">
        <f ca="1">IF((A1)=(2),1,IF((10)=(E3),IF(("outputline")=(INDEX(B1:XFD1,(A2)+(0))),B2,E13),E13))</f>
        <v>#VALUE!</v>
      </c>
      <c r="F13" t="e">
        <f ca="1">IF((A1)=(2),1,IF((10)=(F3),IF(IF((INDEX(B1:XFD1,(A2)+(0)))=("store"),(INDEX(B1:XFD1,(A2)+(1)))=("F"),"false"),B2,F13),F13))</f>
        <v>#VALUE!</v>
      </c>
      <c r="G13" t="e">
        <f ca="1">IF((A1)=(2),1,IF((10)=(G3),IF(IF((INDEX(B1:XFD1,(A2)+(0)))=("store"),(INDEX(B1:XFD1,(A2)+(1)))=("G"),"false"),B2,G13),G13))</f>
        <v>#VALUE!</v>
      </c>
      <c r="H13" t="e">
        <f ca="1">IF((A1)=(2),1,IF((10)=(H3),IF(IF((INDEX(B1:XFD1,(A2)+(0)))=("store"),(INDEX(B1:XFD1,(A2)+(1)))=("H"),"false"),B2,H13),H13))</f>
        <v>#VALUE!</v>
      </c>
      <c r="I13" t="e">
        <f ca="1">IF((A1)=(2),1,IF((10)=(I3),IF(IF((INDEX(B1:XFD1,(A2)+(0)))=("store"),(INDEX(B1:XFD1,(A2)+(1)))=("I"),"false"),B2,I13),I13))</f>
        <v>#VALUE!</v>
      </c>
      <c r="J13" t="e">
        <f ca="1">IF((A1)=(2),1,IF((10)=(J3),IF(IF((INDEX(B1:XFD1,(A2)+(0)))=("store"),(INDEX(B1:XFD1,(A2)+(1)))=("J"),"false"),B2,J13),J13))</f>
        <v>#VALUE!</v>
      </c>
    </row>
    <row r="14" spans="1:919" x14ac:dyDescent="0.25">
      <c r="A14" t="e">
        <f ca="1">IF((A1)=(2),1,IF((11)=(A3),IF(("call")=(INDEX(B1:XFD1,(A2)+(0))),((B2)*(2))+(1),IF(("goto")=(INDEX(B1:XFD1,(A2)+(0))),((INDEX(B1:XFD1,(A2)+(1)))*(2))+(1),IF(("gotoiftrue")=(INDEX(B1:XFD1,(A2)+(0))),IF(B2,((INDEX(B1:XFD1,(A2)+(1)))*(2))+(1),(A14)+(2)),(A14)+(2)))),A14))</f>
        <v>#VALUE!</v>
      </c>
      <c r="B14" t="e">
        <f ca="1">IF((A1)=(2),1,IF((11)=(B3),IF(("push")=(INDEX(B1:XFD1,(A2)+(0))),INDEX(B1:XFD1,(A2)+(1)),IF(("load")=(INDEX(B1:XFD1,(A2)+(0))),INDEX(F2:XFD2,INDEX(B1:XFD1,(A2)+(1))),IF(("newheap")=(INDEX(B1:XFD1,(A2)+(0))),(C3)-(2),IF(("getheap")=(INDEX(B1:XFD1,(A2)+(0))),INDEX(C4:C204,(B14)+(1)),IF(("add")=(INDEX(B1:XFD1,(A2)+(0))),(INDEX(B4:B204,(B3)+(1)))+(B14),IF(("equals")=(INDEX(B1:XFD1,(A2)+(0))),(INDEX(B4:B204,(B3)+(1)))=(B14),IF(("leq")=(INDEX(B1:XFD1,(A2)+(0))),(INDEX(B4:B204,(B3)+(1)))&lt;=(B14),B14))))))),B14))</f>
        <v>#VALUE!</v>
      </c>
      <c r="C14" t="e">
        <f ca="1">IF((A1)=(2),1,IF(AND((INDEX(B1:XFD1,(A2)+(0)))=("writeheap"),(INDEX(B4:B204,(B3)+(1)))=(10)),INDEX(B4:B204,(B3)+(2)),IF((A1)=(2),1,IF((11)=(C3),C14,C14))))</f>
        <v>#VALUE!</v>
      </c>
      <c r="D14" t="e">
        <f ca="1">IF((A1)=(2),1,IF((11)=(D3),D14,D14))</f>
        <v>#VALUE!</v>
      </c>
      <c r="E14" t="e">
        <f ca="1">IF((A1)=(2),1,IF((11)=(E3),IF(("outputline")=(INDEX(B1:XFD1,(A2)+(0))),B2,E14),E14))</f>
        <v>#VALUE!</v>
      </c>
      <c r="F14" t="e">
        <f ca="1">IF((A1)=(2),1,IF((11)=(F3),IF(IF((INDEX(B1:XFD1,(A2)+(0)))=("store"),(INDEX(B1:XFD1,(A2)+(1)))=("F"),"false"),B2,F14),F14))</f>
        <v>#VALUE!</v>
      </c>
      <c r="G14" t="e">
        <f ca="1">IF((A1)=(2),1,IF((11)=(G3),IF(IF((INDEX(B1:XFD1,(A2)+(0)))=("store"),(INDEX(B1:XFD1,(A2)+(1)))=("G"),"false"),B2,G14),G14))</f>
        <v>#VALUE!</v>
      </c>
      <c r="H14" t="e">
        <f ca="1">IF((A1)=(2),1,IF((11)=(H3),IF(IF((INDEX(B1:XFD1,(A2)+(0)))=("store"),(INDEX(B1:XFD1,(A2)+(1)))=("H"),"false"),B2,H14),H14))</f>
        <v>#VALUE!</v>
      </c>
      <c r="I14" t="e">
        <f ca="1">IF((A1)=(2),1,IF((11)=(I3),IF(IF((INDEX(B1:XFD1,(A2)+(0)))=("store"),(INDEX(B1:XFD1,(A2)+(1)))=("I"),"false"),B2,I14),I14))</f>
        <v>#VALUE!</v>
      </c>
      <c r="J14" t="e">
        <f ca="1">IF((A1)=(2),1,IF((11)=(J3),IF(IF((INDEX(B1:XFD1,(A2)+(0)))=("store"),(INDEX(B1:XFD1,(A2)+(1)))=("J"),"false"),B2,J14),J14))</f>
        <v>#VALUE!</v>
      </c>
    </row>
    <row r="15" spans="1:919" x14ac:dyDescent="0.25">
      <c r="A15" t="e">
        <f ca="1">IF((A1)=(2),1,IF((12)=(A3),IF(("call")=(INDEX(B1:XFD1,(A2)+(0))),((B2)*(2))+(1),IF(("goto")=(INDEX(B1:XFD1,(A2)+(0))),((INDEX(B1:XFD1,(A2)+(1)))*(2))+(1),IF(("gotoiftrue")=(INDEX(B1:XFD1,(A2)+(0))),IF(B2,((INDEX(B1:XFD1,(A2)+(1)))*(2))+(1),(A15)+(2)),(A15)+(2)))),A15))</f>
        <v>#VALUE!</v>
      </c>
      <c r="B15" t="e">
        <f ca="1">IF((A1)=(2),1,IF((12)=(B3),IF(("push")=(INDEX(B1:XFD1,(A2)+(0))),INDEX(B1:XFD1,(A2)+(1)),IF(("load")=(INDEX(B1:XFD1,(A2)+(0))),INDEX(F2:XFD2,INDEX(B1:XFD1,(A2)+(1))),IF(("newheap")=(INDEX(B1:XFD1,(A2)+(0))),(C3)-(2),IF(("getheap")=(INDEX(B1:XFD1,(A2)+(0))),INDEX(C4:C204,(B15)+(1)),IF(("add")=(INDEX(B1:XFD1,(A2)+(0))),(INDEX(B4:B204,(B3)+(1)))+(B15),IF(("equals")=(INDEX(B1:XFD1,(A2)+(0))),(INDEX(B4:B204,(B3)+(1)))=(B15),IF(("leq")=(INDEX(B1:XFD1,(A2)+(0))),(INDEX(B4:B204,(B3)+(1)))&lt;=(B15),B15))))))),B15))</f>
        <v>#VALUE!</v>
      </c>
      <c r="C15" t="e">
        <f ca="1">IF((A1)=(2),1,IF(AND((INDEX(B1:XFD1,(A2)+(0)))=("writeheap"),(INDEX(B4:B204,(B3)+(1)))=(11)),INDEX(B4:B204,(B3)+(2)),IF((A1)=(2),1,IF((12)=(C3),C15,C15))))</f>
        <v>#VALUE!</v>
      </c>
      <c r="D15" t="e">
        <f ca="1">IF((A1)=(2),1,IF((12)=(D3),D15,D15))</f>
        <v>#VALUE!</v>
      </c>
      <c r="E15" t="e">
        <f ca="1">IF((A1)=(2),1,IF((12)=(E3),IF(("outputline")=(INDEX(B1:XFD1,(A2)+(0))),B2,E15),E15))</f>
        <v>#VALUE!</v>
      </c>
      <c r="F15" t="e">
        <f ca="1">IF((A1)=(2),1,IF((12)=(F3),IF(IF((INDEX(B1:XFD1,(A2)+(0)))=("store"),(INDEX(B1:XFD1,(A2)+(1)))=("F"),"false"),B2,F15),F15))</f>
        <v>#VALUE!</v>
      </c>
      <c r="G15" t="e">
        <f ca="1">IF((A1)=(2),1,IF((12)=(G3),IF(IF((INDEX(B1:XFD1,(A2)+(0)))=("store"),(INDEX(B1:XFD1,(A2)+(1)))=("G"),"false"),B2,G15),G15))</f>
        <v>#VALUE!</v>
      </c>
      <c r="H15" t="e">
        <f ca="1">IF((A1)=(2),1,IF((12)=(H3),IF(IF((INDEX(B1:XFD1,(A2)+(0)))=("store"),(INDEX(B1:XFD1,(A2)+(1)))=("H"),"false"),B2,H15),H15))</f>
        <v>#VALUE!</v>
      </c>
      <c r="I15" t="e">
        <f ca="1">IF((A1)=(2),1,IF((12)=(I3),IF(IF((INDEX(B1:XFD1,(A2)+(0)))=("store"),(INDEX(B1:XFD1,(A2)+(1)))=("I"),"false"),B2,I15),I15))</f>
        <v>#VALUE!</v>
      </c>
      <c r="J15" t="e">
        <f ca="1">IF((A1)=(2),1,IF((12)=(J3),IF(IF((INDEX(B1:XFD1,(A2)+(0)))=("store"),(INDEX(B1:XFD1,(A2)+(1)))=("J"),"false"),B2,J15),J15))</f>
        <v>#VALUE!</v>
      </c>
    </row>
    <row r="16" spans="1:919" x14ac:dyDescent="0.25">
      <c r="A16" t="e">
        <f ca="1">IF((A1)=(2),1,IF((13)=(A3),IF(("call")=(INDEX(B1:XFD1,(A2)+(0))),((B2)*(2))+(1),IF(("goto")=(INDEX(B1:XFD1,(A2)+(0))),((INDEX(B1:XFD1,(A2)+(1)))*(2))+(1),IF(("gotoiftrue")=(INDEX(B1:XFD1,(A2)+(0))),IF(B2,((INDEX(B1:XFD1,(A2)+(1)))*(2))+(1),(A16)+(2)),(A16)+(2)))),A16))</f>
        <v>#VALUE!</v>
      </c>
      <c r="B16" t="e">
        <f ca="1">IF((A1)=(2),1,IF((13)=(B3),IF(("push")=(INDEX(B1:XFD1,(A2)+(0))),INDEX(B1:XFD1,(A2)+(1)),IF(("load")=(INDEX(B1:XFD1,(A2)+(0))),INDEX(F2:XFD2,INDEX(B1:XFD1,(A2)+(1))),IF(("newheap")=(INDEX(B1:XFD1,(A2)+(0))),(C3)-(2),IF(("getheap")=(INDEX(B1:XFD1,(A2)+(0))),INDEX(C4:C204,(B16)+(1)),IF(("add")=(INDEX(B1:XFD1,(A2)+(0))),(INDEX(B4:B204,(B3)+(1)))+(B16),IF(("equals")=(INDEX(B1:XFD1,(A2)+(0))),(INDEX(B4:B204,(B3)+(1)))=(B16),IF(("leq")=(INDEX(B1:XFD1,(A2)+(0))),(INDEX(B4:B204,(B3)+(1)))&lt;=(B16),B16))))))),B16))</f>
        <v>#VALUE!</v>
      </c>
      <c r="C16" t="e">
        <f ca="1">IF((A1)=(2),1,IF(AND((INDEX(B1:XFD1,(A2)+(0)))=("writeheap"),(INDEX(B4:B204,(B3)+(1)))=(12)),INDEX(B4:B204,(B3)+(2)),IF((A1)=(2),1,IF((13)=(C3),C16,C16))))</f>
        <v>#VALUE!</v>
      </c>
      <c r="D16" t="e">
        <f ca="1">IF((A1)=(2),1,IF((13)=(D3),D16,D16))</f>
        <v>#VALUE!</v>
      </c>
      <c r="E16" t="e">
        <f ca="1">IF((A1)=(2),1,IF((13)=(E3),IF(("outputline")=(INDEX(B1:XFD1,(A2)+(0))),B2,E16),E16))</f>
        <v>#VALUE!</v>
      </c>
      <c r="F16" t="e">
        <f ca="1">IF((A1)=(2),1,IF((13)=(F3),IF(IF((INDEX(B1:XFD1,(A2)+(0)))=("store"),(INDEX(B1:XFD1,(A2)+(1)))=("F"),"false"),B2,F16),F16))</f>
        <v>#VALUE!</v>
      </c>
      <c r="G16" t="e">
        <f ca="1">IF((A1)=(2),1,IF((13)=(G3),IF(IF((INDEX(B1:XFD1,(A2)+(0)))=("store"),(INDEX(B1:XFD1,(A2)+(1)))=("G"),"false"),B2,G16),G16))</f>
        <v>#VALUE!</v>
      </c>
      <c r="H16" t="e">
        <f ca="1">IF((A1)=(2),1,IF((13)=(H3),IF(IF((INDEX(B1:XFD1,(A2)+(0)))=("store"),(INDEX(B1:XFD1,(A2)+(1)))=("H"),"false"),B2,H16),H16))</f>
        <v>#VALUE!</v>
      </c>
      <c r="I16" t="e">
        <f ca="1">IF((A1)=(2),1,IF((13)=(I3),IF(IF((INDEX(B1:XFD1,(A2)+(0)))=("store"),(INDEX(B1:XFD1,(A2)+(1)))=("I"),"false"),B2,I16),I16))</f>
        <v>#VALUE!</v>
      </c>
      <c r="J16" t="e">
        <f ca="1">IF((A1)=(2),1,IF((13)=(J3),IF(IF((INDEX(B1:XFD1,(A2)+(0)))=("store"),(INDEX(B1:XFD1,(A2)+(1)))=("J"),"false"),B2,J16),J16))</f>
        <v>#VALUE!</v>
      </c>
    </row>
    <row r="17" spans="1:10" x14ac:dyDescent="0.25">
      <c r="A17" t="e">
        <f ca="1">IF((A1)=(2),1,IF((14)=(A3),IF(("call")=(INDEX(B1:XFD1,(A2)+(0))),((B2)*(2))+(1),IF(("goto")=(INDEX(B1:XFD1,(A2)+(0))),((INDEX(B1:XFD1,(A2)+(1)))*(2))+(1),IF(("gotoiftrue")=(INDEX(B1:XFD1,(A2)+(0))),IF(B2,((INDEX(B1:XFD1,(A2)+(1)))*(2))+(1),(A17)+(2)),(A17)+(2)))),A17))</f>
        <v>#VALUE!</v>
      </c>
      <c r="B17" t="e">
        <f ca="1">IF((A1)=(2),1,IF((14)=(B3),IF(("push")=(INDEX(B1:XFD1,(A2)+(0))),INDEX(B1:XFD1,(A2)+(1)),IF(("load")=(INDEX(B1:XFD1,(A2)+(0))),INDEX(F2:XFD2,INDEX(B1:XFD1,(A2)+(1))),IF(("newheap")=(INDEX(B1:XFD1,(A2)+(0))),(C3)-(2),IF(("getheap")=(INDEX(B1:XFD1,(A2)+(0))),INDEX(C4:C204,(B17)+(1)),IF(("add")=(INDEX(B1:XFD1,(A2)+(0))),(INDEX(B4:B204,(B3)+(1)))+(B17),IF(("equals")=(INDEX(B1:XFD1,(A2)+(0))),(INDEX(B4:B204,(B3)+(1)))=(B17),IF(("leq")=(INDEX(B1:XFD1,(A2)+(0))),(INDEX(B4:B204,(B3)+(1)))&lt;=(B17),B17))))))),B17))</f>
        <v>#VALUE!</v>
      </c>
      <c r="C17" t="e">
        <f ca="1">IF((A1)=(2),1,IF(AND((INDEX(B1:XFD1,(A2)+(0)))=("writeheap"),(INDEX(B4:B204,(B3)+(1)))=(13)),INDEX(B4:B204,(B3)+(2)),IF((A1)=(2),1,IF((14)=(C3),C17,C17))))</f>
        <v>#VALUE!</v>
      </c>
      <c r="D17" t="e">
        <f ca="1">IF((A1)=(2),1,IF((14)=(D3),D17,D17))</f>
        <v>#VALUE!</v>
      </c>
      <c r="E17" t="e">
        <f ca="1">IF((A1)=(2),1,IF((14)=(E3),IF(("outputline")=(INDEX(B1:XFD1,(A2)+(0))),B2,E17),E17))</f>
        <v>#VALUE!</v>
      </c>
      <c r="F17" t="e">
        <f ca="1">IF((A1)=(2),1,IF((14)=(F3),IF(IF((INDEX(B1:XFD1,(A2)+(0)))=("store"),(INDEX(B1:XFD1,(A2)+(1)))=("F"),"false"),B2,F17),F17))</f>
        <v>#VALUE!</v>
      </c>
      <c r="G17" t="e">
        <f ca="1">IF((A1)=(2),1,IF((14)=(G3),IF(IF((INDEX(B1:XFD1,(A2)+(0)))=("store"),(INDEX(B1:XFD1,(A2)+(1)))=("G"),"false"),B2,G17),G17))</f>
        <v>#VALUE!</v>
      </c>
      <c r="H17" t="e">
        <f ca="1">IF((A1)=(2),1,IF((14)=(H3),IF(IF((INDEX(B1:XFD1,(A2)+(0)))=("store"),(INDEX(B1:XFD1,(A2)+(1)))=("H"),"false"),B2,H17),H17))</f>
        <v>#VALUE!</v>
      </c>
      <c r="I17" t="e">
        <f ca="1">IF((A1)=(2),1,IF((14)=(I3),IF(IF((INDEX(B1:XFD1,(A2)+(0)))=("store"),(INDEX(B1:XFD1,(A2)+(1)))=("I"),"false"),B2,I17),I17))</f>
        <v>#VALUE!</v>
      </c>
      <c r="J17" t="e">
        <f ca="1">IF((A1)=(2),1,IF((14)=(J3),IF(IF((INDEX(B1:XFD1,(A2)+(0)))=("store"),(INDEX(B1:XFD1,(A2)+(1)))=("J"),"false"),B2,J17),J17))</f>
        <v>#VALUE!</v>
      </c>
    </row>
    <row r="18" spans="1:10" x14ac:dyDescent="0.25">
      <c r="A18" t="e">
        <f ca="1">IF((A1)=(2),1,IF((15)=(A3),IF(("call")=(INDEX(B1:XFD1,(A2)+(0))),((B2)*(2))+(1),IF(("goto")=(INDEX(B1:XFD1,(A2)+(0))),((INDEX(B1:XFD1,(A2)+(1)))*(2))+(1),IF(("gotoiftrue")=(INDEX(B1:XFD1,(A2)+(0))),IF(B2,((INDEX(B1:XFD1,(A2)+(1)))*(2))+(1),(A18)+(2)),(A18)+(2)))),A18))</f>
        <v>#VALUE!</v>
      </c>
      <c r="B18" t="e">
        <f ca="1">IF((A1)=(2),1,IF((15)=(B3),IF(("push")=(INDEX(B1:XFD1,(A2)+(0))),INDEX(B1:XFD1,(A2)+(1)),IF(("load")=(INDEX(B1:XFD1,(A2)+(0))),INDEX(F2:XFD2,INDEX(B1:XFD1,(A2)+(1))),IF(("newheap")=(INDEX(B1:XFD1,(A2)+(0))),(C3)-(2),IF(("getheap")=(INDEX(B1:XFD1,(A2)+(0))),INDEX(C4:C204,(B18)+(1)),IF(("add")=(INDEX(B1:XFD1,(A2)+(0))),(INDEX(B4:B204,(B3)+(1)))+(B18),IF(("equals")=(INDEX(B1:XFD1,(A2)+(0))),(INDEX(B4:B204,(B3)+(1)))=(B18),IF(("leq")=(INDEX(B1:XFD1,(A2)+(0))),(INDEX(B4:B204,(B3)+(1)))&lt;=(B18),B18))))))),B18))</f>
        <v>#VALUE!</v>
      </c>
      <c r="C18" t="e">
        <f ca="1">IF((A1)=(2),1,IF(AND((INDEX(B1:XFD1,(A2)+(0)))=("writeheap"),(INDEX(B4:B204,(B3)+(1)))=(14)),INDEX(B4:B204,(B3)+(2)),IF((A1)=(2),1,IF((15)=(C3),C18,C18))))</f>
        <v>#VALUE!</v>
      </c>
      <c r="D18" t="e">
        <f ca="1">IF((A1)=(2),1,IF((15)=(D3),D18,D18))</f>
        <v>#VALUE!</v>
      </c>
      <c r="E18" t="e">
        <f ca="1">IF((A1)=(2),1,IF((15)=(E3),IF(("outputline")=(INDEX(B1:XFD1,(A2)+(0))),B2,E18),E18))</f>
        <v>#VALUE!</v>
      </c>
      <c r="F18" t="e">
        <f ca="1">IF((A1)=(2),1,IF((15)=(F3),IF(IF((INDEX(B1:XFD1,(A2)+(0)))=("store"),(INDEX(B1:XFD1,(A2)+(1)))=("F"),"false"),B2,F18),F18))</f>
        <v>#VALUE!</v>
      </c>
      <c r="G18" t="e">
        <f ca="1">IF((A1)=(2),1,IF((15)=(G3),IF(IF((INDEX(B1:XFD1,(A2)+(0)))=("store"),(INDEX(B1:XFD1,(A2)+(1)))=("G"),"false"),B2,G18),G18))</f>
        <v>#VALUE!</v>
      </c>
      <c r="H18" t="e">
        <f ca="1">IF((A1)=(2),1,IF((15)=(H3),IF(IF((INDEX(B1:XFD1,(A2)+(0)))=("store"),(INDEX(B1:XFD1,(A2)+(1)))=("H"),"false"),B2,H18),H18))</f>
        <v>#VALUE!</v>
      </c>
      <c r="I18" t="e">
        <f ca="1">IF((A1)=(2),1,IF((15)=(I3),IF(IF((INDEX(B1:XFD1,(A2)+(0)))=("store"),(INDEX(B1:XFD1,(A2)+(1)))=("I"),"false"),B2,I18),I18))</f>
        <v>#VALUE!</v>
      </c>
      <c r="J18" t="e">
        <f ca="1">IF((A1)=(2),1,IF((15)=(J3),IF(IF((INDEX(B1:XFD1,(A2)+(0)))=("store"),(INDEX(B1:XFD1,(A2)+(1)))=("J"),"false"),B2,J18),J18))</f>
        <v>#VALUE!</v>
      </c>
    </row>
    <row r="19" spans="1:10" x14ac:dyDescent="0.25">
      <c r="A19" t="e">
        <f ca="1">IF((A1)=(2),1,IF((16)=(A3),IF(("call")=(INDEX(B1:XFD1,(A2)+(0))),((B2)*(2))+(1),IF(("goto")=(INDEX(B1:XFD1,(A2)+(0))),((INDEX(B1:XFD1,(A2)+(1)))*(2))+(1),IF(("gotoiftrue")=(INDEX(B1:XFD1,(A2)+(0))),IF(B2,((INDEX(B1:XFD1,(A2)+(1)))*(2))+(1),(A19)+(2)),(A19)+(2)))),A19))</f>
        <v>#VALUE!</v>
      </c>
      <c r="B19" t="e">
        <f ca="1">IF((A1)=(2),1,IF((16)=(B3),IF(("push")=(INDEX(B1:XFD1,(A2)+(0))),INDEX(B1:XFD1,(A2)+(1)),IF(("load")=(INDEX(B1:XFD1,(A2)+(0))),INDEX(F2:XFD2,INDEX(B1:XFD1,(A2)+(1))),IF(("newheap")=(INDEX(B1:XFD1,(A2)+(0))),(C3)-(2),IF(("getheap")=(INDEX(B1:XFD1,(A2)+(0))),INDEX(C4:C204,(B19)+(1)),IF(("add")=(INDEX(B1:XFD1,(A2)+(0))),(INDEX(B4:B204,(B3)+(1)))+(B19),IF(("equals")=(INDEX(B1:XFD1,(A2)+(0))),(INDEX(B4:B204,(B3)+(1)))=(B19),IF(("leq")=(INDEX(B1:XFD1,(A2)+(0))),(INDEX(B4:B204,(B3)+(1)))&lt;=(B19),B19))))))),B19))</f>
        <v>#VALUE!</v>
      </c>
      <c r="C19" t="e">
        <f ca="1">IF((A1)=(2),1,IF(AND((INDEX(B1:XFD1,(A2)+(0)))=("writeheap"),(INDEX(B4:B204,(B3)+(1)))=(15)),INDEX(B4:B204,(B3)+(2)),IF((A1)=(2),1,IF((16)=(C3),C19,C19))))</f>
        <v>#VALUE!</v>
      </c>
      <c r="E19" t="e">
        <f ca="1">IF((A1)=(2),1,IF((16)=(E3),IF(("outputline")=(INDEX(B1:XFD1,(A2)+(0))),B2,E19),E19))</f>
        <v>#VALUE!</v>
      </c>
      <c r="F19" t="e">
        <f ca="1">IF((A1)=(2),1,IF((16)=(F3),IF(IF((INDEX(B1:XFD1,(A2)+(0)))=("store"),(INDEX(B1:XFD1,(A2)+(1)))=("F"),"false"),B2,F19),F19))</f>
        <v>#VALUE!</v>
      </c>
      <c r="G19" t="e">
        <f ca="1">IF((A1)=(2),1,IF((16)=(G3),IF(IF((INDEX(B1:XFD1,(A2)+(0)))=("store"),(INDEX(B1:XFD1,(A2)+(1)))=("G"),"false"),B2,G19),G19))</f>
        <v>#VALUE!</v>
      </c>
      <c r="H19" t="e">
        <f ca="1">IF((A1)=(2),1,IF((16)=(H3),IF(IF((INDEX(B1:XFD1,(A2)+(0)))=("store"),(INDEX(B1:XFD1,(A2)+(1)))=("H"),"false"),B2,H19),H19))</f>
        <v>#VALUE!</v>
      </c>
      <c r="I19" t="e">
        <f ca="1">IF((A1)=(2),1,IF((16)=(I3),IF(IF((INDEX(B1:XFD1,(A2)+(0)))=("store"),(INDEX(B1:XFD1,(A2)+(1)))=("I"),"false"),B2,I19),I19))</f>
        <v>#VALUE!</v>
      </c>
      <c r="J19" t="e">
        <f ca="1">IF((A1)=(2),1,IF((16)=(J3),IF(IF((INDEX(B1:XFD1,(A2)+(0)))=("store"),(INDEX(B1:XFD1,(A2)+(1)))=("J"),"false"),B2,J19),J19))</f>
        <v>#VALUE!</v>
      </c>
    </row>
    <row r="20" spans="1:10" x14ac:dyDescent="0.25">
      <c r="A20" t="e">
        <f ca="1">IF((A1)=(2),1,IF((17)=(A3),IF(("call")=(INDEX(B1:XFD1,(A2)+(0))),((B2)*(2))+(1),IF(("goto")=(INDEX(B1:XFD1,(A2)+(0))),((INDEX(B1:XFD1,(A2)+(1)))*(2))+(1),IF(("gotoiftrue")=(INDEX(B1:XFD1,(A2)+(0))),IF(B2,((INDEX(B1:XFD1,(A2)+(1)))*(2))+(1),(A20)+(2)),(A20)+(2)))),A20))</f>
        <v>#VALUE!</v>
      </c>
      <c r="B20" t="e">
        <f ca="1">IF((A1)=(2),1,IF((17)=(B3),IF(("push")=(INDEX(B1:XFD1,(A2)+(0))),INDEX(B1:XFD1,(A2)+(1)),IF(("load")=(INDEX(B1:XFD1,(A2)+(0))),INDEX(F2:XFD2,INDEX(B1:XFD1,(A2)+(1))),IF(("newheap")=(INDEX(B1:XFD1,(A2)+(0))),(C3)-(2),IF(("getheap")=(INDEX(B1:XFD1,(A2)+(0))),INDEX(C4:C204,(B20)+(1)),IF(("add")=(INDEX(B1:XFD1,(A2)+(0))),(INDEX(B4:B204,(B3)+(1)))+(B20),IF(("equals")=(INDEX(B1:XFD1,(A2)+(0))),(INDEX(B4:B204,(B3)+(1)))=(B20),IF(("leq")=(INDEX(B1:XFD1,(A2)+(0))),(INDEX(B4:B204,(B3)+(1)))&lt;=(B20),B20))))))),B20))</f>
        <v>#VALUE!</v>
      </c>
      <c r="C20" t="e">
        <f ca="1">IF((A1)=(2),1,IF(AND((INDEX(B1:XFD1,(A2)+(0)))=("writeheap"),(INDEX(B4:B204,(B3)+(1)))=(16)),INDEX(B4:B204,(B3)+(2)),IF((A1)=(2),1,IF((17)=(C3),C20,C20))))</f>
        <v>#VALUE!</v>
      </c>
      <c r="E20" t="e">
        <f ca="1">IF((A1)=(2),1,IF((17)=(E3),IF(("outputline")=(INDEX(B1:XFD1,(A2)+(0))),B2,E20),E20))</f>
        <v>#VALUE!</v>
      </c>
      <c r="F20" t="e">
        <f ca="1">IF((A1)=(2),1,IF((17)=(F3),IF(IF((INDEX(B1:XFD1,(A2)+(0)))=("store"),(INDEX(B1:XFD1,(A2)+(1)))=("F"),"false"),B2,F20),F20))</f>
        <v>#VALUE!</v>
      </c>
      <c r="G20" t="e">
        <f ca="1">IF((A1)=(2),1,IF((17)=(G3),IF(IF((INDEX(B1:XFD1,(A2)+(0)))=("store"),(INDEX(B1:XFD1,(A2)+(1)))=("G"),"false"),B2,G20),G20))</f>
        <v>#VALUE!</v>
      </c>
      <c r="H20" t="e">
        <f ca="1">IF((A1)=(2),1,IF((17)=(H3),IF(IF((INDEX(B1:XFD1,(A2)+(0)))=("store"),(INDEX(B1:XFD1,(A2)+(1)))=("H"),"false"),B2,H20),H20))</f>
        <v>#VALUE!</v>
      </c>
      <c r="I20" t="e">
        <f ca="1">IF((A1)=(2),1,IF((17)=(I3),IF(IF((INDEX(B1:XFD1,(A2)+(0)))=("store"),(INDEX(B1:XFD1,(A2)+(1)))=("I"),"false"),B2,I20),I20))</f>
        <v>#VALUE!</v>
      </c>
      <c r="J20" t="e">
        <f ca="1">IF((A1)=(2),1,IF((17)=(J3),IF(IF((INDEX(B1:XFD1,(A2)+(0)))=("store"),(INDEX(B1:XFD1,(A2)+(1)))=("J"),"false"),B2,J20),J20))</f>
        <v>#VALUE!</v>
      </c>
    </row>
    <row r="21" spans="1:10" x14ac:dyDescent="0.25">
      <c r="A21" t="e">
        <f ca="1">IF((A1)=(2),1,IF((18)=(A3),IF(("call")=(INDEX(B1:XFD1,(A2)+(0))),((B2)*(2))+(1),IF(("goto")=(INDEX(B1:XFD1,(A2)+(0))),((INDEX(B1:XFD1,(A2)+(1)))*(2))+(1),IF(("gotoiftrue")=(INDEX(B1:XFD1,(A2)+(0))),IF(B2,((INDEX(B1:XFD1,(A2)+(1)))*(2))+(1),(A21)+(2)),(A21)+(2)))),A21))</f>
        <v>#VALUE!</v>
      </c>
      <c r="B21" t="e">
        <f ca="1">IF((A1)=(2),1,IF((18)=(B3),IF(("push")=(INDEX(B1:XFD1,(A2)+(0))),INDEX(B1:XFD1,(A2)+(1)),IF(("load")=(INDEX(B1:XFD1,(A2)+(0))),INDEX(F2:XFD2,INDEX(B1:XFD1,(A2)+(1))),IF(("newheap")=(INDEX(B1:XFD1,(A2)+(0))),(C3)-(2),IF(("getheap")=(INDEX(B1:XFD1,(A2)+(0))),INDEX(C4:C204,(B21)+(1)),IF(("add")=(INDEX(B1:XFD1,(A2)+(0))),(INDEX(B4:B204,(B3)+(1)))+(B21),IF(("equals")=(INDEX(B1:XFD1,(A2)+(0))),(INDEX(B4:B204,(B3)+(1)))=(B21),IF(("leq")=(INDEX(B1:XFD1,(A2)+(0))),(INDEX(B4:B204,(B3)+(1)))&lt;=(B21),B21))))))),B21))</f>
        <v>#VALUE!</v>
      </c>
      <c r="C21" t="e">
        <f ca="1">IF((A1)=(2),1,IF(AND((INDEX(B1:XFD1,(A2)+(0)))=("writeheap"),(INDEX(B4:B204,(B3)+(1)))=(17)),INDEX(B4:B204,(B3)+(2)),IF((A1)=(2),1,IF((18)=(C3),C21,C21))))</f>
        <v>#VALUE!</v>
      </c>
      <c r="E21" t="e">
        <f ca="1">IF((A1)=(2),1,IF((18)=(E3),IF(("outputline")=(INDEX(B1:XFD1,(A2)+(0))),B2,E21),E21))</f>
        <v>#VALUE!</v>
      </c>
      <c r="F21" t="e">
        <f ca="1">IF((A1)=(2),1,IF((18)=(F3),IF(IF((INDEX(B1:XFD1,(A2)+(0)))=("store"),(INDEX(B1:XFD1,(A2)+(1)))=("F"),"false"),B2,F21),F21))</f>
        <v>#VALUE!</v>
      </c>
      <c r="G21" t="e">
        <f ca="1">IF((A1)=(2),1,IF((18)=(G3),IF(IF((INDEX(B1:XFD1,(A2)+(0)))=("store"),(INDEX(B1:XFD1,(A2)+(1)))=("G"),"false"),B2,G21),G21))</f>
        <v>#VALUE!</v>
      </c>
      <c r="H21" t="e">
        <f ca="1">IF((A1)=(2),1,IF((18)=(H3),IF(IF((INDEX(B1:XFD1,(A2)+(0)))=("store"),(INDEX(B1:XFD1,(A2)+(1)))=("H"),"false"),B2,H21),H21))</f>
        <v>#VALUE!</v>
      </c>
      <c r="I21" t="e">
        <f ca="1">IF((A1)=(2),1,IF((18)=(I3),IF(IF((INDEX(B1:XFD1,(A2)+(0)))=("store"),(INDEX(B1:XFD1,(A2)+(1)))=("I"),"false"),B2,I21),I21))</f>
        <v>#VALUE!</v>
      </c>
      <c r="J21" t="e">
        <f ca="1">IF((A1)=(2),1,IF((18)=(J3),IF(IF((INDEX(B1:XFD1,(A2)+(0)))=("store"),(INDEX(B1:XFD1,(A2)+(1)))=("J"),"false"),B2,J21),J21))</f>
        <v>#VALUE!</v>
      </c>
    </row>
    <row r="22" spans="1:10" x14ac:dyDescent="0.25">
      <c r="A22" t="e">
        <f ca="1">IF((A1)=(2),1,IF((19)=(A3),IF(("call")=(INDEX(B1:XFD1,(A2)+(0))),((B2)*(2))+(1),IF(("goto")=(INDEX(B1:XFD1,(A2)+(0))),((INDEX(B1:XFD1,(A2)+(1)))*(2))+(1),IF(("gotoiftrue")=(INDEX(B1:XFD1,(A2)+(0))),IF(B2,((INDEX(B1:XFD1,(A2)+(1)))*(2))+(1),(A22)+(2)),(A22)+(2)))),A22))</f>
        <v>#VALUE!</v>
      </c>
      <c r="B22" t="e">
        <f ca="1">IF((A1)=(2),1,IF((19)=(B3),IF(("push")=(INDEX(B1:XFD1,(A2)+(0))),INDEX(B1:XFD1,(A2)+(1)),IF(("load")=(INDEX(B1:XFD1,(A2)+(0))),INDEX(F2:XFD2,INDEX(B1:XFD1,(A2)+(1))),IF(("newheap")=(INDEX(B1:XFD1,(A2)+(0))),(C3)-(2),IF(("getheap")=(INDEX(B1:XFD1,(A2)+(0))),INDEX(C4:C204,(B22)+(1)),IF(("add")=(INDEX(B1:XFD1,(A2)+(0))),(INDEX(B4:B204,(B3)+(1)))+(B22),IF(("equals")=(INDEX(B1:XFD1,(A2)+(0))),(INDEX(B4:B204,(B3)+(1)))=(B22),IF(("leq")=(INDEX(B1:XFD1,(A2)+(0))),(INDEX(B4:B204,(B3)+(1)))&lt;=(B22),B22))))))),B22))</f>
        <v>#VALUE!</v>
      </c>
      <c r="C22" t="e">
        <f ca="1">IF((A1)=(2),1,IF(AND((INDEX(B1:XFD1,(A2)+(0)))=("writeheap"),(INDEX(B4:B204,(B3)+(1)))=(18)),INDEX(B4:B204,(B3)+(2)),IF((A1)=(2),1,IF((19)=(C3),C22,C22))))</f>
        <v>#VALUE!</v>
      </c>
      <c r="E22" t="e">
        <f ca="1">IF((A1)=(2),1,IF((19)=(E3),IF(("outputline")=(INDEX(B1:XFD1,(A2)+(0))),B2,E22),E22))</f>
        <v>#VALUE!</v>
      </c>
      <c r="F22" t="e">
        <f ca="1">IF((A1)=(2),1,IF((19)=(F3),IF(IF((INDEX(B1:XFD1,(A2)+(0)))=("store"),(INDEX(B1:XFD1,(A2)+(1)))=("F"),"false"),B2,F22),F22))</f>
        <v>#VALUE!</v>
      </c>
      <c r="G22" t="e">
        <f ca="1">IF((A1)=(2),1,IF((19)=(G3),IF(IF((INDEX(B1:XFD1,(A2)+(0)))=("store"),(INDEX(B1:XFD1,(A2)+(1)))=("G"),"false"),B2,G22),G22))</f>
        <v>#VALUE!</v>
      </c>
      <c r="H22" t="e">
        <f ca="1">IF((A1)=(2),1,IF((19)=(H3),IF(IF((INDEX(B1:XFD1,(A2)+(0)))=("store"),(INDEX(B1:XFD1,(A2)+(1)))=("H"),"false"),B2,H22),H22))</f>
        <v>#VALUE!</v>
      </c>
      <c r="I22" t="e">
        <f ca="1">IF((A1)=(2),1,IF((19)=(I3),IF(IF((INDEX(B1:XFD1,(A2)+(0)))=("store"),(INDEX(B1:XFD1,(A2)+(1)))=("I"),"false"),B2,I22),I22))</f>
        <v>#VALUE!</v>
      </c>
      <c r="J22" t="e">
        <f ca="1">IF((A1)=(2),1,IF((19)=(J3),IF(IF((INDEX(B1:XFD1,(A2)+(0)))=("store"),(INDEX(B1:XFD1,(A2)+(1)))=("J"),"false"),B2,J22),J22))</f>
        <v>#VALUE!</v>
      </c>
    </row>
    <row r="23" spans="1:10" x14ac:dyDescent="0.25">
      <c r="A23" t="e">
        <f ca="1">IF((A1)=(2),1,IF((20)=(A3),IF(("call")=(INDEX(B1:XFD1,(A2)+(0))),((B2)*(2))+(1),IF(("goto")=(INDEX(B1:XFD1,(A2)+(0))),((INDEX(B1:XFD1,(A2)+(1)))*(2))+(1),IF(("gotoiftrue")=(INDEX(B1:XFD1,(A2)+(0))),IF(B2,((INDEX(B1:XFD1,(A2)+(1)))*(2))+(1),(A23)+(2)),(A23)+(2)))),A23))</f>
        <v>#VALUE!</v>
      </c>
      <c r="B23" t="e">
        <f ca="1">IF((A1)=(2),1,IF((20)=(B3),IF(("push")=(INDEX(B1:XFD1,(A2)+(0))),INDEX(B1:XFD1,(A2)+(1)),IF(("load")=(INDEX(B1:XFD1,(A2)+(0))),INDEX(F2:XFD2,INDEX(B1:XFD1,(A2)+(1))),IF(("newheap")=(INDEX(B1:XFD1,(A2)+(0))),(C3)-(2),IF(("getheap")=(INDEX(B1:XFD1,(A2)+(0))),INDEX(C4:C204,(B23)+(1)),IF(("add")=(INDEX(B1:XFD1,(A2)+(0))),(INDEX(B4:B204,(B3)+(1)))+(B23),IF(("equals")=(INDEX(B1:XFD1,(A2)+(0))),(INDEX(B4:B204,(B3)+(1)))=(B23),IF(("leq")=(INDEX(B1:XFD1,(A2)+(0))),(INDEX(B4:B204,(B3)+(1)))&lt;=(B23),B23))))))),B23))</f>
        <v>#VALUE!</v>
      </c>
      <c r="C23" t="e">
        <f ca="1">IF((A1)=(2),1,IF(AND((INDEX(B1:XFD1,(A2)+(0)))=("writeheap"),(INDEX(B4:B204,(B3)+(1)))=(19)),INDEX(B4:B204,(B3)+(2)),IF((A1)=(2),1,IF((20)=(C3),C23,C23))))</f>
        <v>#VALUE!</v>
      </c>
      <c r="E23" t="e">
        <f ca="1">IF((A1)=(2),1,IF((20)=(E3),IF(("outputline")=(INDEX(B1:XFD1,(A2)+(0))),B2,E23),E23))</f>
        <v>#VALUE!</v>
      </c>
      <c r="F23" t="e">
        <f ca="1">IF((A1)=(2),1,IF((20)=(F3),IF(IF((INDEX(B1:XFD1,(A2)+(0)))=("store"),(INDEX(B1:XFD1,(A2)+(1)))=("F"),"false"),B2,F23),F23))</f>
        <v>#VALUE!</v>
      </c>
      <c r="G23" t="e">
        <f ca="1">IF((A1)=(2),1,IF((20)=(G3),IF(IF((INDEX(B1:XFD1,(A2)+(0)))=("store"),(INDEX(B1:XFD1,(A2)+(1)))=("G"),"false"),B2,G23),G23))</f>
        <v>#VALUE!</v>
      </c>
      <c r="H23" t="e">
        <f ca="1">IF((A1)=(2),1,IF((20)=(H3),IF(IF((INDEX(B1:XFD1,(A2)+(0)))=("store"),(INDEX(B1:XFD1,(A2)+(1)))=("H"),"false"),B2,H23),H23))</f>
        <v>#VALUE!</v>
      </c>
      <c r="I23" t="e">
        <f ca="1">IF((A1)=(2),1,IF((20)=(I3),IF(IF((INDEX(B1:XFD1,(A2)+(0)))=("store"),(INDEX(B1:XFD1,(A2)+(1)))=("I"),"false"),B2,I23),I23))</f>
        <v>#VALUE!</v>
      </c>
      <c r="J23" t="e">
        <f ca="1">IF((A1)=(2),1,IF((20)=(J3),IF(IF((INDEX(B1:XFD1,(A2)+(0)))=("store"),(INDEX(B1:XFD1,(A2)+(1)))=("J"),"false"),B2,J23),J23))</f>
        <v>#VALUE!</v>
      </c>
    </row>
    <row r="24" spans="1:10" x14ac:dyDescent="0.25">
      <c r="A24" t="e">
        <f ca="1">IF((A1)=(2),1,IF((21)=(A3),IF(("call")=(INDEX(B1:XFD1,(A2)+(0))),((B2)*(2))+(1),IF(("goto")=(INDEX(B1:XFD1,(A2)+(0))),((INDEX(B1:XFD1,(A2)+(1)))*(2))+(1),IF(("gotoiftrue")=(INDEX(B1:XFD1,(A2)+(0))),IF(B2,((INDEX(B1:XFD1,(A2)+(1)))*(2))+(1),(A24)+(2)),(A24)+(2)))),A24))</f>
        <v>#VALUE!</v>
      </c>
      <c r="B24" t="e">
        <f ca="1">IF((A1)=(2),1,IF((21)=(B3),IF(("push")=(INDEX(B1:XFD1,(A2)+(0))),INDEX(B1:XFD1,(A2)+(1)),IF(("load")=(INDEX(B1:XFD1,(A2)+(0))),INDEX(F2:XFD2,INDEX(B1:XFD1,(A2)+(1))),IF(("newheap")=(INDEX(B1:XFD1,(A2)+(0))),(C3)-(2),IF(("getheap")=(INDEX(B1:XFD1,(A2)+(0))),INDEX(C4:C204,(B24)+(1)),IF(("add")=(INDEX(B1:XFD1,(A2)+(0))),(INDEX(B4:B204,(B3)+(1)))+(B24),IF(("equals")=(INDEX(B1:XFD1,(A2)+(0))),(INDEX(B4:B204,(B3)+(1)))=(B24),IF(("leq")=(INDEX(B1:XFD1,(A2)+(0))),(INDEX(B4:B204,(B3)+(1)))&lt;=(B24),B24))))))),B24))</f>
        <v>#VALUE!</v>
      </c>
      <c r="C24" t="e">
        <f ca="1">IF((A1)=(2),1,IF(AND((INDEX(B1:XFD1,(A2)+(0)))=("writeheap"),(INDEX(B4:B204,(B3)+(1)))=(20)),INDEX(B4:B204,(B3)+(2)),IF((A1)=(2),1,IF((21)=(C3),C24,C24))))</f>
        <v>#VALUE!</v>
      </c>
      <c r="E24" t="e">
        <f ca="1">IF((A1)=(2),1,IF((21)=(E3),IF(("outputline")=(INDEX(B1:XFD1,(A2)+(0))),B2,E24),E24))</f>
        <v>#VALUE!</v>
      </c>
      <c r="F24" t="e">
        <f ca="1">IF((A1)=(2),1,IF((21)=(F3),IF(IF((INDEX(B1:XFD1,(A2)+(0)))=("store"),(INDEX(B1:XFD1,(A2)+(1)))=("F"),"false"),B2,F24),F24))</f>
        <v>#VALUE!</v>
      </c>
      <c r="G24" t="e">
        <f ca="1">IF((A1)=(2),1,IF((21)=(G3),IF(IF((INDEX(B1:XFD1,(A2)+(0)))=("store"),(INDEX(B1:XFD1,(A2)+(1)))=("G"),"false"),B2,G24),G24))</f>
        <v>#VALUE!</v>
      </c>
      <c r="H24" t="e">
        <f ca="1">IF((A1)=(2),1,IF((21)=(H3),IF(IF((INDEX(B1:XFD1,(A2)+(0)))=("store"),(INDEX(B1:XFD1,(A2)+(1)))=("H"),"false"),B2,H24),H24))</f>
        <v>#VALUE!</v>
      </c>
      <c r="I24" t="e">
        <f ca="1">IF((A1)=(2),1,IF((21)=(I3),IF(IF((INDEX(B1:XFD1,(A2)+(0)))=("store"),(INDEX(B1:XFD1,(A2)+(1)))=("I"),"false"),B2,I24),I24))</f>
        <v>#VALUE!</v>
      </c>
      <c r="J24" t="e">
        <f ca="1">IF((A1)=(2),1,IF((21)=(J3),IF(IF((INDEX(B1:XFD1,(A2)+(0)))=("store"),(INDEX(B1:XFD1,(A2)+(1)))=("J"),"false"),B2,J24),J24))</f>
        <v>#VALUE!</v>
      </c>
    </row>
    <row r="25" spans="1:10" x14ac:dyDescent="0.25">
      <c r="A25" t="e">
        <f ca="1">IF((A1)=(2),1,IF((22)=(A3),IF(("call")=(INDEX(B1:XFD1,(A2)+(0))),((B2)*(2))+(1),IF(("goto")=(INDEX(B1:XFD1,(A2)+(0))),((INDEX(B1:XFD1,(A2)+(1)))*(2))+(1),IF(("gotoiftrue")=(INDEX(B1:XFD1,(A2)+(0))),IF(B2,((INDEX(B1:XFD1,(A2)+(1)))*(2))+(1),(A25)+(2)),(A25)+(2)))),A25))</f>
        <v>#VALUE!</v>
      </c>
      <c r="B25" t="e">
        <f ca="1">IF((A1)=(2),1,IF((22)=(B3),IF(("push")=(INDEX(B1:XFD1,(A2)+(0))),INDEX(B1:XFD1,(A2)+(1)),IF(("load")=(INDEX(B1:XFD1,(A2)+(0))),INDEX(F2:XFD2,INDEX(B1:XFD1,(A2)+(1))),IF(("newheap")=(INDEX(B1:XFD1,(A2)+(0))),(C3)-(2),IF(("getheap")=(INDEX(B1:XFD1,(A2)+(0))),INDEX(C4:C204,(B25)+(1)),IF(("add")=(INDEX(B1:XFD1,(A2)+(0))),(INDEX(B4:B204,(B3)+(1)))+(B25),IF(("equals")=(INDEX(B1:XFD1,(A2)+(0))),(INDEX(B4:B204,(B3)+(1)))=(B25),IF(("leq")=(INDEX(B1:XFD1,(A2)+(0))),(INDEX(B4:B204,(B3)+(1)))&lt;=(B25),B25))))))),B25))</f>
        <v>#VALUE!</v>
      </c>
      <c r="C25" t="e">
        <f ca="1">IF((A1)=(2),1,IF(AND((INDEX(B1:XFD1,(A2)+(0)))=("writeheap"),(INDEX(B4:B204,(B3)+(1)))=(21)),INDEX(B4:B204,(B3)+(2)),IF((A1)=(2),1,IF((22)=(C3),C25,C25))))</f>
        <v>#VALUE!</v>
      </c>
      <c r="E25" t="e">
        <f ca="1">IF((A1)=(2),1,IF((22)=(E3),IF(("outputline")=(INDEX(B1:XFD1,(A2)+(0))),B2,E25),E25))</f>
        <v>#VALUE!</v>
      </c>
      <c r="F25" t="e">
        <f ca="1">IF((A1)=(2),1,IF((22)=(F3),IF(IF((INDEX(B1:XFD1,(A2)+(0)))=("store"),(INDEX(B1:XFD1,(A2)+(1)))=("F"),"false"),B2,F25),F25))</f>
        <v>#VALUE!</v>
      </c>
      <c r="G25" t="e">
        <f ca="1">IF((A1)=(2),1,IF((22)=(G3),IF(IF((INDEX(B1:XFD1,(A2)+(0)))=("store"),(INDEX(B1:XFD1,(A2)+(1)))=("G"),"false"),B2,G25),G25))</f>
        <v>#VALUE!</v>
      </c>
      <c r="H25" t="e">
        <f ca="1">IF((A1)=(2),1,IF((22)=(H3),IF(IF((INDEX(B1:XFD1,(A2)+(0)))=("store"),(INDEX(B1:XFD1,(A2)+(1)))=("H"),"false"),B2,H25),H25))</f>
        <v>#VALUE!</v>
      </c>
      <c r="I25" t="e">
        <f ca="1">IF((A1)=(2),1,IF((22)=(I3),IF(IF((INDEX(B1:XFD1,(A2)+(0)))=("store"),(INDEX(B1:XFD1,(A2)+(1)))=("I"),"false"),B2,I25),I25))</f>
        <v>#VALUE!</v>
      </c>
      <c r="J25" t="e">
        <f ca="1">IF((A1)=(2),1,IF((22)=(J3),IF(IF((INDEX(B1:XFD1,(A2)+(0)))=("store"),(INDEX(B1:XFD1,(A2)+(1)))=("J"),"false"),B2,J25),J25))</f>
        <v>#VALUE!</v>
      </c>
    </row>
    <row r="26" spans="1:10" x14ac:dyDescent="0.25">
      <c r="A26" t="e">
        <f ca="1">IF((A1)=(2),1,IF((23)=(A3),IF(("call")=(INDEX(B1:XFD1,(A2)+(0))),((B2)*(2))+(1),IF(("goto")=(INDEX(B1:XFD1,(A2)+(0))),((INDEX(B1:XFD1,(A2)+(1)))*(2))+(1),IF(("gotoiftrue")=(INDEX(B1:XFD1,(A2)+(0))),IF(B2,((INDEX(B1:XFD1,(A2)+(1)))*(2))+(1),(A26)+(2)),(A26)+(2)))),A26))</f>
        <v>#VALUE!</v>
      </c>
      <c r="B26" t="e">
        <f ca="1">IF((A1)=(2),1,IF((23)=(B3),IF(("push")=(INDEX(B1:XFD1,(A2)+(0))),INDEX(B1:XFD1,(A2)+(1)),IF(("load")=(INDEX(B1:XFD1,(A2)+(0))),INDEX(F2:XFD2,INDEX(B1:XFD1,(A2)+(1))),IF(("newheap")=(INDEX(B1:XFD1,(A2)+(0))),(C3)-(2),IF(("getheap")=(INDEX(B1:XFD1,(A2)+(0))),INDEX(C4:C204,(B26)+(1)),IF(("add")=(INDEX(B1:XFD1,(A2)+(0))),(INDEX(B4:B204,(B3)+(1)))+(B26),IF(("equals")=(INDEX(B1:XFD1,(A2)+(0))),(INDEX(B4:B204,(B3)+(1)))=(B26),IF(("leq")=(INDEX(B1:XFD1,(A2)+(0))),(INDEX(B4:B204,(B3)+(1)))&lt;=(B26),B26))))))),B26))</f>
        <v>#VALUE!</v>
      </c>
      <c r="C26" t="e">
        <f ca="1">IF((A1)=(2),1,IF(AND((INDEX(B1:XFD1,(A2)+(0)))=("writeheap"),(INDEX(B4:B204,(B3)+(1)))=(22)),INDEX(B4:B204,(B3)+(2)),IF((A1)=(2),1,IF((23)=(C3),C26,C26))))</f>
        <v>#VALUE!</v>
      </c>
      <c r="E26" t="e">
        <f ca="1">IF((A1)=(2),1,IF((23)=(E3),IF(("outputline")=(INDEX(B1:XFD1,(A2)+(0))),B2,E26),E26))</f>
        <v>#VALUE!</v>
      </c>
      <c r="F26" t="e">
        <f ca="1">IF((A1)=(2),1,IF((23)=(F3),IF(IF((INDEX(B1:XFD1,(A2)+(0)))=("store"),(INDEX(B1:XFD1,(A2)+(1)))=("F"),"false"),B2,F26),F26))</f>
        <v>#VALUE!</v>
      </c>
      <c r="G26" t="e">
        <f ca="1">IF((A1)=(2),1,IF((23)=(G3),IF(IF((INDEX(B1:XFD1,(A2)+(0)))=("store"),(INDEX(B1:XFD1,(A2)+(1)))=("G"),"false"),B2,G26),G26))</f>
        <v>#VALUE!</v>
      </c>
      <c r="H26" t="e">
        <f ca="1">IF((A1)=(2),1,IF((23)=(H3),IF(IF((INDEX(B1:XFD1,(A2)+(0)))=("store"),(INDEX(B1:XFD1,(A2)+(1)))=("H"),"false"),B2,H26),H26))</f>
        <v>#VALUE!</v>
      </c>
      <c r="I26" t="e">
        <f ca="1">IF((A1)=(2),1,IF((23)=(I3),IF(IF((INDEX(B1:XFD1,(A2)+(0)))=("store"),(INDEX(B1:XFD1,(A2)+(1)))=("I"),"false"),B2,I26),I26))</f>
        <v>#VALUE!</v>
      </c>
      <c r="J26" t="e">
        <f ca="1">IF((A1)=(2),1,IF((23)=(J3),IF(IF((INDEX(B1:XFD1,(A2)+(0)))=("store"),(INDEX(B1:XFD1,(A2)+(1)))=("J"),"false"),B2,J26),J26))</f>
        <v>#VALUE!</v>
      </c>
    </row>
    <row r="27" spans="1:10" x14ac:dyDescent="0.25">
      <c r="A27" t="e">
        <f ca="1">IF((A1)=(2),1,IF((24)=(A3),IF(("call")=(INDEX(B1:XFD1,(A2)+(0))),((B2)*(2))+(1),IF(("goto")=(INDEX(B1:XFD1,(A2)+(0))),((INDEX(B1:XFD1,(A2)+(1)))*(2))+(1),IF(("gotoiftrue")=(INDEX(B1:XFD1,(A2)+(0))),IF(B2,((INDEX(B1:XFD1,(A2)+(1)))*(2))+(1),(A27)+(2)),(A27)+(2)))),A27))</f>
        <v>#VALUE!</v>
      </c>
      <c r="B27" t="e">
        <f ca="1">IF((A1)=(2),1,IF((24)=(B3),IF(("push")=(INDEX(B1:XFD1,(A2)+(0))),INDEX(B1:XFD1,(A2)+(1)),IF(("load")=(INDEX(B1:XFD1,(A2)+(0))),INDEX(F2:XFD2,INDEX(B1:XFD1,(A2)+(1))),IF(("newheap")=(INDEX(B1:XFD1,(A2)+(0))),(C3)-(2),IF(("getheap")=(INDEX(B1:XFD1,(A2)+(0))),INDEX(C4:C204,(B27)+(1)),IF(("add")=(INDEX(B1:XFD1,(A2)+(0))),(INDEX(B4:B204,(B3)+(1)))+(B27),IF(("equals")=(INDEX(B1:XFD1,(A2)+(0))),(INDEX(B4:B204,(B3)+(1)))=(B27),IF(("leq")=(INDEX(B1:XFD1,(A2)+(0))),(INDEX(B4:B204,(B3)+(1)))&lt;=(B27),B27))))))),B27))</f>
        <v>#VALUE!</v>
      </c>
      <c r="C27" t="e">
        <f ca="1">IF((A1)=(2),1,IF(AND((INDEX(B1:XFD1,(A2)+(0)))=("writeheap"),(INDEX(B4:B204,(B3)+(1)))=(23)),INDEX(B4:B204,(B3)+(2)),IF((A1)=(2),1,IF((24)=(C3),C27,C27))))</f>
        <v>#VALUE!</v>
      </c>
      <c r="E27" t="e">
        <f ca="1">IF((A1)=(2),1,IF((24)=(E3),IF(("outputline")=(INDEX(B1:XFD1,(A2)+(0))),B2,E27),E27))</f>
        <v>#VALUE!</v>
      </c>
      <c r="F27" t="e">
        <f ca="1">IF((A1)=(2),1,IF((24)=(F3),IF(IF((INDEX(B1:XFD1,(A2)+(0)))=("store"),(INDEX(B1:XFD1,(A2)+(1)))=("F"),"false"),B2,F27),F27))</f>
        <v>#VALUE!</v>
      </c>
      <c r="G27" t="e">
        <f ca="1">IF((A1)=(2),1,IF((24)=(G3),IF(IF((INDEX(B1:XFD1,(A2)+(0)))=("store"),(INDEX(B1:XFD1,(A2)+(1)))=("G"),"false"),B2,G27),G27))</f>
        <v>#VALUE!</v>
      </c>
      <c r="H27" t="e">
        <f ca="1">IF((A1)=(2),1,IF((24)=(H3),IF(IF((INDEX(B1:XFD1,(A2)+(0)))=("store"),(INDEX(B1:XFD1,(A2)+(1)))=("H"),"false"),B2,H27),H27))</f>
        <v>#VALUE!</v>
      </c>
      <c r="I27" t="e">
        <f ca="1">IF((A1)=(2),1,IF((24)=(I3),IF(IF((INDEX(B1:XFD1,(A2)+(0)))=("store"),(INDEX(B1:XFD1,(A2)+(1)))=("I"),"false"),B2,I27),I27))</f>
        <v>#VALUE!</v>
      </c>
      <c r="J27" t="e">
        <f ca="1">IF((A1)=(2),1,IF((24)=(J3),IF(IF((INDEX(B1:XFD1,(A2)+(0)))=("store"),(INDEX(B1:XFD1,(A2)+(1)))=("J"),"false"),B2,J27),J27))</f>
        <v>#VALUE!</v>
      </c>
    </row>
    <row r="28" spans="1:10" x14ac:dyDescent="0.25">
      <c r="A28" t="e">
        <f ca="1">IF((A1)=(2),1,IF((25)=(A3),IF(("call")=(INDEX(B1:XFD1,(A2)+(0))),((B2)*(2))+(1),IF(("goto")=(INDEX(B1:XFD1,(A2)+(0))),((INDEX(B1:XFD1,(A2)+(1)))*(2))+(1),IF(("gotoiftrue")=(INDEX(B1:XFD1,(A2)+(0))),IF(B2,((INDEX(B1:XFD1,(A2)+(1)))*(2))+(1),(A28)+(2)),(A28)+(2)))),A28))</f>
        <v>#VALUE!</v>
      </c>
      <c r="B28" t="e">
        <f ca="1">IF((A1)=(2),1,IF((25)=(B3),IF(("push")=(INDEX(B1:XFD1,(A2)+(0))),INDEX(B1:XFD1,(A2)+(1)),IF(("load")=(INDEX(B1:XFD1,(A2)+(0))),INDEX(F2:XFD2,INDEX(B1:XFD1,(A2)+(1))),IF(("newheap")=(INDEX(B1:XFD1,(A2)+(0))),(C3)-(2),IF(("getheap")=(INDEX(B1:XFD1,(A2)+(0))),INDEX(C4:C204,(B28)+(1)),IF(("add")=(INDEX(B1:XFD1,(A2)+(0))),(INDEX(B4:B204,(B3)+(1)))+(B28),IF(("equals")=(INDEX(B1:XFD1,(A2)+(0))),(INDEX(B4:B204,(B3)+(1)))=(B28),IF(("leq")=(INDEX(B1:XFD1,(A2)+(0))),(INDEX(B4:B204,(B3)+(1)))&lt;=(B28),B28))))))),B28))</f>
        <v>#VALUE!</v>
      </c>
      <c r="C28" t="e">
        <f ca="1">IF((A1)=(2),1,IF(AND((INDEX(B1:XFD1,(A2)+(0)))=("writeheap"),(INDEX(B4:B204,(B3)+(1)))=(24)),INDEX(B4:B204,(B3)+(2)),IF((A1)=(2),1,IF((25)=(C3),C28,C28))))</f>
        <v>#VALUE!</v>
      </c>
      <c r="E28" t="e">
        <f ca="1">IF((A1)=(2),1,IF((25)=(E3),IF(("outputline")=(INDEX(B1:XFD1,(A2)+(0))),B2,E28),E28))</f>
        <v>#VALUE!</v>
      </c>
      <c r="F28" t="e">
        <f ca="1">IF((A1)=(2),1,IF((25)=(F3),IF(IF((INDEX(B1:XFD1,(A2)+(0)))=("store"),(INDEX(B1:XFD1,(A2)+(1)))=("F"),"false"),B2,F28),F28))</f>
        <v>#VALUE!</v>
      </c>
      <c r="G28" t="e">
        <f ca="1">IF((A1)=(2),1,IF((25)=(G3),IF(IF((INDEX(B1:XFD1,(A2)+(0)))=("store"),(INDEX(B1:XFD1,(A2)+(1)))=("G"),"false"),B2,G28),G28))</f>
        <v>#VALUE!</v>
      </c>
      <c r="H28" t="e">
        <f ca="1">IF((A1)=(2),1,IF((25)=(H3),IF(IF((INDEX(B1:XFD1,(A2)+(0)))=("store"),(INDEX(B1:XFD1,(A2)+(1)))=("H"),"false"),B2,H28),H28))</f>
        <v>#VALUE!</v>
      </c>
      <c r="I28" t="e">
        <f ca="1">IF((A1)=(2),1,IF((25)=(I3),IF(IF((INDEX(B1:XFD1,(A2)+(0)))=("store"),(INDEX(B1:XFD1,(A2)+(1)))=("I"),"false"),B2,I28),I28))</f>
        <v>#VALUE!</v>
      </c>
      <c r="J28" t="e">
        <f ca="1">IF((A1)=(2),1,IF((25)=(J3),IF(IF((INDEX(B1:XFD1,(A2)+(0)))=("store"),(INDEX(B1:XFD1,(A2)+(1)))=("J"),"false"),B2,J28),J28))</f>
        <v>#VALUE!</v>
      </c>
    </row>
    <row r="29" spans="1:10" x14ac:dyDescent="0.25">
      <c r="A29" t="e">
        <f ca="1">IF((A1)=(2),1,IF((26)=(A3),IF(("call")=(INDEX(B1:XFD1,(A2)+(0))),((B2)*(2))+(1),IF(("goto")=(INDEX(B1:XFD1,(A2)+(0))),((INDEX(B1:XFD1,(A2)+(1)))*(2))+(1),IF(("gotoiftrue")=(INDEX(B1:XFD1,(A2)+(0))),IF(B2,((INDEX(B1:XFD1,(A2)+(1)))*(2))+(1),(A29)+(2)),(A29)+(2)))),A29))</f>
        <v>#VALUE!</v>
      </c>
      <c r="B29" t="e">
        <f ca="1">IF((A1)=(2),1,IF((26)=(B3),IF(("push")=(INDEX(B1:XFD1,(A2)+(0))),INDEX(B1:XFD1,(A2)+(1)),IF(("load")=(INDEX(B1:XFD1,(A2)+(0))),INDEX(F2:XFD2,INDEX(B1:XFD1,(A2)+(1))),IF(("newheap")=(INDEX(B1:XFD1,(A2)+(0))),(C3)-(2),IF(("getheap")=(INDEX(B1:XFD1,(A2)+(0))),INDEX(C4:C204,(B29)+(1)),IF(("add")=(INDEX(B1:XFD1,(A2)+(0))),(INDEX(B4:B204,(B3)+(1)))+(B29),IF(("equals")=(INDEX(B1:XFD1,(A2)+(0))),(INDEX(B4:B204,(B3)+(1)))=(B29),IF(("leq")=(INDEX(B1:XFD1,(A2)+(0))),(INDEX(B4:B204,(B3)+(1)))&lt;=(B29),B29))))))),B29))</f>
        <v>#VALUE!</v>
      </c>
      <c r="C29" t="e">
        <f ca="1">IF((A1)=(2),1,IF(AND((INDEX(B1:XFD1,(A2)+(0)))=("writeheap"),(INDEX(B4:B204,(B3)+(1)))=(25)),INDEX(B4:B204,(B3)+(2)),IF((A1)=(2),1,IF((26)=(C3),C29,C29))))</f>
        <v>#VALUE!</v>
      </c>
      <c r="E29" t="e">
        <f ca="1">IF((A1)=(2),1,IF((26)=(E3),IF(("outputline")=(INDEX(B1:XFD1,(A2)+(0))),B2,E29),E29))</f>
        <v>#VALUE!</v>
      </c>
      <c r="F29" t="e">
        <f ca="1">IF((A1)=(2),1,IF((26)=(F3),IF(IF((INDEX(B1:XFD1,(A2)+(0)))=("store"),(INDEX(B1:XFD1,(A2)+(1)))=("F"),"false"),B2,F29),F29))</f>
        <v>#VALUE!</v>
      </c>
      <c r="G29" t="e">
        <f ca="1">IF((A1)=(2),1,IF((26)=(G3),IF(IF((INDEX(B1:XFD1,(A2)+(0)))=("store"),(INDEX(B1:XFD1,(A2)+(1)))=("G"),"false"),B2,G29),G29))</f>
        <v>#VALUE!</v>
      </c>
      <c r="H29" t="e">
        <f ca="1">IF((A1)=(2),1,IF((26)=(H3),IF(IF((INDEX(B1:XFD1,(A2)+(0)))=("store"),(INDEX(B1:XFD1,(A2)+(1)))=("H"),"false"),B2,H29),H29))</f>
        <v>#VALUE!</v>
      </c>
      <c r="I29" t="e">
        <f ca="1">IF((A1)=(2),1,IF((26)=(I3),IF(IF((INDEX(B1:XFD1,(A2)+(0)))=("store"),(INDEX(B1:XFD1,(A2)+(1)))=("I"),"false"),B2,I29),I29))</f>
        <v>#VALUE!</v>
      </c>
      <c r="J29" t="e">
        <f ca="1">IF((A1)=(2),1,IF((26)=(J3),IF(IF((INDEX(B1:XFD1,(A2)+(0)))=("store"),(INDEX(B1:XFD1,(A2)+(1)))=("J"),"false"),B2,J29),J29))</f>
        <v>#VALUE!</v>
      </c>
    </row>
    <row r="30" spans="1:10" x14ac:dyDescent="0.25">
      <c r="A30" t="e">
        <f ca="1">IF((A1)=(2),1,IF((27)=(A3),IF(("call")=(INDEX(B1:XFD1,(A2)+(0))),((B2)*(2))+(1),IF(("goto")=(INDEX(B1:XFD1,(A2)+(0))),((INDEX(B1:XFD1,(A2)+(1)))*(2))+(1),IF(("gotoiftrue")=(INDEX(B1:XFD1,(A2)+(0))),IF(B2,((INDEX(B1:XFD1,(A2)+(1)))*(2))+(1),(A30)+(2)),(A30)+(2)))),A30))</f>
        <v>#VALUE!</v>
      </c>
      <c r="B30" t="e">
        <f ca="1">IF((A1)=(2),1,IF((27)=(B3),IF(("push")=(INDEX(B1:XFD1,(A2)+(0))),INDEX(B1:XFD1,(A2)+(1)),IF(("load")=(INDEX(B1:XFD1,(A2)+(0))),INDEX(F2:XFD2,INDEX(B1:XFD1,(A2)+(1))),IF(("newheap")=(INDEX(B1:XFD1,(A2)+(0))),(C3)-(2),IF(("getheap")=(INDEX(B1:XFD1,(A2)+(0))),INDEX(C4:C204,(B30)+(1)),IF(("add")=(INDEX(B1:XFD1,(A2)+(0))),(INDEX(B4:B204,(B3)+(1)))+(B30),IF(("equals")=(INDEX(B1:XFD1,(A2)+(0))),(INDEX(B4:B204,(B3)+(1)))=(B30),IF(("leq")=(INDEX(B1:XFD1,(A2)+(0))),(INDEX(B4:B204,(B3)+(1)))&lt;=(B30),B30))))))),B30))</f>
        <v>#VALUE!</v>
      </c>
      <c r="C30" t="e">
        <f ca="1">IF((A1)=(2),1,IF(AND((INDEX(B1:XFD1,(A2)+(0)))=("writeheap"),(INDEX(B4:B204,(B3)+(1)))=(26)),INDEX(B4:B204,(B3)+(2)),IF((A1)=(2),1,IF((27)=(C3),C30,C30))))</f>
        <v>#VALUE!</v>
      </c>
      <c r="E30" t="e">
        <f ca="1">IF((A1)=(2),1,IF((27)=(E3),IF(("outputline")=(INDEX(B1:XFD1,(A2)+(0))),B2,E30),E30))</f>
        <v>#VALUE!</v>
      </c>
      <c r="F30" t="e">
        <f ca="1">IF((A1)=(2),1,IF((27)=(F3),IF(IF((INDEX(B1:XFD1,(A2)+(0)))=("store"),(INDEX(B1:XFD1,(A2)+(1)))=("F"),"false"),B2,F30),F30))</f>
        <v>#VALUE!</v>
      </c>
      <c r="G30" t="e">
        <f ca="1">IF((A1)=(2),1,IF((27)=(G3),IF(IF((INDEX(B1:XFD1,(A2)+(0)))=("store"),(INDEX(B1:XFD1,(A2)+(1)))=("G"),"false"),B2,G30),G30))</f>
        <v>#VALUE!</v>
      </c>
      <c r="H30" t="e">
        <f ca="1">IF((A1)=(2),1,IF((27)=(H3),IF(IF((INDEX(B1:XFD1,(A2)+(0)))=("store"),(INDEX(B1:XFD1,(A2)+(1)))=("H"),"false"),B2,H30),H30))</f>
        <v>#VALUE!</v>
      </c>
      <c r="I30" t="e">
        <f ca="1">IF((A1)=(2),1,IF((27)=(I3),IF(IF((INDEX(B1:XFD1,(A2)+(0)))=("store"),(INDEX(B1:XFD1,(A2)+(1)))=("I"),"false"),B2,I30),I30))</f>
        <v>#VALUE!</v>
      </c>
      <c r="J30" t="e">
        <f ca="1">IF((A1)=(2),1,IF((27)=(J3),IF(IF((INDEX(B1:XFD1,(A2)+(0)))=("store"),(INDEX(B1:XFD1,(A2)+(1)))=("J"),"false"),B2,J30),J30))</f>
        <v>#VALUE!</v>
      </c>
    </row>
    <row r="31" spans="1:10" x14ac:dyDescent="0.25">
      <c r="A31" t="e">
        <f ca="1">IF((A1)=(2),1,IF((28)=(A3),IF(("call")=(INDEX(B1:XFD1,(A2)+(0))),((B2)*(2))+(1),IF(("goto")=(INDEX(B1:XFD1,(A2)+(0))),((INDEX(B1:XFD1,(A2)+(1)))*(2))+(1),IF(("gotoiftrue")=(INDEX(B1:XFD1,(A2)+(0))),IF(B2,((INDEX(B1:XFD1,(A2)+(1)))*(2))+(1),(A31)+(2)),(A31)+(2)))),A31))</f>
        <v>#VALUE!</v>
      </c>
      <c r="B31" t="e">
        <f ca="1">IF((A1)=(2),1,IF((28)=(B3),IF(("push")=(INDEX(B1:XFD1,(A2)+(0))),INDEX(B1:XFD1,(A2)+(1)),IF(("load")=(INDEX(B1:XFD1,(A2)+(0))),INDEX(F2:XFD2,INDEX(B1:XFD1,(A2)+(1))),IF(("newheap")=(INDEX(B1:XFD1,(A2)+(0))),(C3)-(2),IF(("getheap")=(INDEX(B1:XFD1,(A2)+(0))),INDEX(C4:C204,(B31)+(1)),IF(("add")=(INDEX(B1:XFD1,(A2)+(0))),(INDEX(B4:B204,(B3)+(1)))+(B31),IF(("equals")=(INDEX(B1:XFD1,(A2)+(0))),(INDEX(B4:B204,(B3)+(1)))=(B31),IF(("leq")=(INDEX(B1:XFD1,(A2)+(0))),(INDEX(B4:B204,(B3)+(1)))&lt;=(B31),B31))))))),B31))</f>
        <v>#VALUE!</v>
      </c>
      <c r="C31" t="e">
        <f ca="1">IF((A1)=(2),1,IF(AND((INDEX(B1:XFD1,(A2)+(0)))=("writeheap"),(INDEX(B4:B204,(B3)+(1)))=(27)),INDEX(B4:B204,(B3)+(2)),IF((A1)=(2),1,IF((28)=(C3),C31,C31))))</f>
        <v>#VALUE!</v>
      </c>
      <c r="E31" t="e">
        <f ca="1">IF((A1)=(2),1,IF((28)=(E3),IF(("outputline")=(INDEX(B1:XFD1,(A2)+(0))),B2,E31),E31))</f>
        <v>#VALUE!</v>
      </c>
      <c r="F31" t="e">
        <f ca="1">IF((A1)=(2),1,IF((28)=(F3),IF(IF((INDEX(B1:XFD1,(A2)+(0)))=("store"),(INDEX(B1:XFD1,(A2)+(1)))=("F"),"false"),B2,F31),F31))</f>
        <v>#VALUE!</v>
      </c>
      <c r="G31" t="e">
        <f ca="1">IF((A1)=(2),1,IF((28)=(G3),IF(IF((INDEX(B1:XFD1,(A2)+(0)))=("store"),(INDEX(B1:XFD1,(A2)+(1)))=("G"),"false"),B2,G31),G31))</f>
        <v>#VALUE!</v>
      </c>
      <c r="H31" t="e">
        <f ca="1">IF((A1)=(2),1,IF((28)=(H3),IF(IF((INDEX(B1:XFD1,(A2)+(0)))=("store"),(INDEX(B1:XFD1,(A2)+(1)))=("H"),"false"),B2,H31),H31))</f>
        <v>#VALUE!</v>
      </c>
      <c r="I31" t="e">
        <f ca="1">IF((A1)=(2),1,IF((28)=(I3),IF(IF((INDEX(B1:XFD1,(A2)+(0)))=("store"),(INDEX(B1:XFD1,(A2)+(1)))=("I"),"false"),B2,I31),I31))</f>
        <v>#VALUE!</v>
      </c>
      <c r="J31" t="e">
        <f ca="1">IF((A1)=(2),1,IF((28)=(J3),IF(IF((INDEX(B1:XFD1,(A2)+(0)))=("store"),(INDEX(B1:XFD1,(A2)+(1)))=("J"),"false"),B2,J31),J31))</f>
        <v>#VALUE!</v>
      </c>
    </row>
    <row r="32" spans="1:10" x14ac:dyDescent="0.25">
      <c r="A32" t="e">
        <f ca="1">IF((A1)=(2),1,IF((29)=(A3),IF(("call")=(INDEX(B1:XFD1,(A2)+(0))),((B2)*(2))+(1),IF(("goto")=(INDEX(B1:XFD1,(A2)+(0))),((INDEX(B1:XFD1,(A2)+(1)))*(2))+(1),IF(("gotoiftrue")=(INDEX(B1:XFD1,(A2)+(0))),IF(B2,((INDEX(B1:XFD1,(A2)+(1)))*(2))+(1),(A32)+(2)),(A32)+(2)))),A32))</f>
        <v>#VALUE!</v>
      </c>
      <c r="B32" t="e">
        <f ca="1">IF((A1)=(2),1,IF((29)=(B3),IF(("push")=(INDEX(B1:XFD1,(A2)+(0))),INDEX(B1:XFD1,(A2)+(1)),IF(("load")=(INDEX(B1:XFD1,(A2)+(0))),INDEX(F2:XFD2,INDEX(B1:XFD1,(A2)+(1))),IF(("newheap")=(INDEX(B1:XFD1,(A2)+(0))),(C3)-(2),IF(("getheap")=(INDEX(B1:XFD1,(A2)+(0))),INDEX(C4:C204,(B32)+(1)),IF(("add")=(INDEX(B1:XFD1,(A2)+(0))),(INDEX(B4:B204,(B3)+(1)))+(B32),IF(("equals")=(INDEX(B1:XFD1,(A2)+(0))),(INDEX(B4:B204,(B3)+(1)))=(B32),IF(("leq")=(INDEX(B1:XFD1,(A2)+(0))),(INDEX(B4:B204,(B3)+(1)))&lt;=(B32),B32))))))),B32))</f>
        <v>#VALUE!</v>
      </c>
      <c r="C32" t="e">
        <f ca="1">IF((A1)=(2),1,IF(AND((INDEX(B1:XFD1,(A2)+(0)))=("writeheap"),(INDEX(B4:B204,(B3)+(1)))=(28)),INDEX(B4:B204,(B3)+(2)),IF((A1)=(2),1,IF((29)=(C3),C32,C32))))</f>
        <v>#VALUE!</v>
      </c>
      <c r="E32" t="e">
        <f ca="1">IF((A1)=(2),1,IF((29)=(E3),IF(("outputline")=(INDEX(B1:XFD1,(A2)+(0))),B2,E32),E32))</f>
        <v>#VALUE!</v>
      </c>
      <c r="F32" t="e">
        <f ca="1">IF((A1)=(2),1,IF((29)=(F3),IF(IF((INDEX(B1:XFD1,(A2)+(0)))=("store"),(INDEX(B1:XFD1,(A2)+(1)))=("F"),"false"),B2,F32),F32))</f>
        <v>#VALUE!</v>
      </c>
      <c r="G32" t="e">
        <f ca="1">IF((A1)=(2),1,IF((29)=(G3),IF(IF((INDEX(B1:XFD1,(A2)+(0)))=("store"),(INDEX(B1:XFD1,(A2)+(1)))=("G"),"false"),B2,G32),G32))</f>
        <v>#VALUE!</v>
      </c>
      <c r="H32" t="e">
        <f ca="1">IF((A1)=(2),1,IF((29)=(H3),IF(IF((INDEX(B1:XFD1,(A2)+(0)))=("store"),(INDEX(B1:XFD1,(A2)+(1)))=("H"),"false"),B2,H32),H32))</f>
        <v>#VALUE!</v>
      </c>
      <c r="I32" t="e">
        <f ca="1">IF((A1)=(2),1,IF((29)=(I3),IF(IF((INDEX(B1:XFD1,(A2)+(0)))=("store"),(INDEX(B1:XFD1,(A2)+(1)))=("I"),"false"),B2,I32),I32))</f>
        <v>#VALUE!</v>
      </c>
      <c r="J32" t="e">
        <f ca="1">IF((A1)=(2),1,IF((29)=(J3),IF(IF((INDEX(B1:XFD1,(A2)+(0)))=("store"),(INDEX(B1:XFD1,(A2)+(1)))=("J"),"false"),B2,J32),J32))</f>
        <v>#VALUE!</v>
      </c>
    </row>
    <row r="33" spans="1:10" x14ac:dyDescent="0.25">
      <c r="A33" t="e">
        <f ca="1">IF((A1)=(2),1,IF((30)=(A3),IF(("call")=(INDEX(B1:XFD1,(A2)+(0))),((B2)*(2))+(1),IF(("goto")=(INDEX(B1:XFD1,(A2)+(0))),((INDEX(B1:XFD1,(A2)+(1)))*(2))+(1),IF(("gotoiftrue")=(INDEX(B1:XFD1,(A2)+(0))),IF(B2,((INDEX(B1:XFD1,(A2)+(1)))*(2))+(1),(A33)+(2)),(A33)+(2)))),A33))</f>
        <v>#VALUE!</v>
      </c>
      <c r="B33" t="e">
        <f ca="1">IF((A1)=(2),1,IF((30)=(B3),IF(("push")=(INDEX(B1:XFD1,(A2)+(0))),INDEX(B1:XFD1,(A2)+(1)),IF(("load")=(INDEX(B1:XFD1,(A2)+(0))),INDEX(F2:XFD2,INDEX(B1:XFD1,(A2)+(1))),IF(("newheap")=(INDEX(B1:XFD1,(A2)+(0))),(C3)-(2),IF(("getheap")=(INDEX(B1:XFD1,(A2)+(0))),INDEX(C4:C204,(B33)+(1)),IF(("add")=(INDEX(B1:XFD1,(A2)+(0))),(INDEX(B4:B204,(B3)+(1)))+(B33),IF(("equals")=(INDEX(B1:XFD1,(A2)+(0))),(INDEX(B4:B204,(B3)+(1)))=(B33),IF(("leq")=(INDEX(B1:XFD1,(A2)+(0))),(INDEX(B4:B204,(B3)+(1)))&lt;=(B33),B33))))))),B33))</f>
        <v>#VALUE!</v>
      </c>
      <c r="C33" t="e">
        <f ca="1">IF((A1)=(2),1,IF(AND((INDEX(B1:XFD1,(A2)+(0)))=("writeheap"),(INDEX(B4:B204,(B3)+(1)))=(29)),INDEX(B4:B204,(B3)+(2)),IF((A1)=(2),1,IF((30)=(C3),C33,C33))))</f>
        <v>#VALUE!</v>
      </c>
      <c r="E33" t="e">
        <f ca="1">IF((A1)=(2),1,IF((30)=(E3),IF(("outputline")=(INDEX(B1:XFD1,(A2)+(0))),B2,E33),E33))</f>
        <v>#VALUE!</v>
      </c>
      <c r="F33" t="e">
        <f ca="1">IF((A1)=(2),1,IF((30)=(F3),IF(IF((INDEX(B1:XFD1,(A2)+(0)))=("store"),(INDEX(B1:XFD1,(A2)+(1)))=("F"),"false"),B2,F33),F33))</f>
        <v>#VALUE!</v>
      </c>
      <c r="G33" t="e">
        <f ca="1">IF((A1)=(2),1,IF((30)=(G3),IF(IF((INDEX(B1:XFD1,(A2)+(0)))=("store"),(INDEX(B1:XFD1,(A2)+(1)))=("G"),"false"),B2,G33),G33))</f>
        <v>#VALUE!</v>
      </c>
      <c r="H33" t="e">
        <f ca="1">IF((A1)=(2),1,IF((30)=(H3),IF(IF((INDEX(B1:XFD1,(A2)+(0)))=("store"),(INDEX(B1:XFD1,(A2)+(1)))=("H"),"false"),B2,H33),H33))</f>
        <v>#VALUE!</v>
      </c>
      <c r="I33" t="e">
        <f ca="1">IF((A1)=(2),1,IF((30)=(I3),IF(IF((INDEX(B1:XFD1,(A2)+(0)))=("store"),(INDEX(B1:XFD1,(A2)+(1)))=("I"),"false"),B2,I33),I33))</f>
        <v>#VALUE!</v>
      </c>
      <c r="J33" t="e">
        <f ca="1">IF((A1)=(2),1,IF((30)=(J3),IF(IF((INDEX(B1:XFD1,(A2)+(0)))=("store"),(INDEX(B1:XFD1,(A2)+(1)))=("J"),"false"),B2,J33),J33))</f>
        <v>#VALUE!</v>
      </c>
    </row>
    <row r="34" spans="1:10" x14ac:dyDescent="0.25">
      <c r="A34" t="e">
        <f ca="1">IF((A1)=(2),1,IF((31)=(A3),IF(("call")=(INDEX(B1:XFD1,(A2)+(0))),((B2)*(2))+(1),IF(("goto")=(INDEX(B1:XFD1,(A2)+(0))),((INDEX(B1:XFD1,(A2)+(1)))*(2))+(1),IF(("gotoiftrue")=(INDEX(B1:XFD1,(A2)+(0))),IF(B2,((INDEX(B1:XFD1,(A2)+(1)))*(2))+(1),(A34)+(2)),(A34)+(2)))),A34))</f>
        <v>#VALUE!</v>
      </c>
      <c r="B34" t="e">
        <f ca="1">IF((A1)=(2),1,IF((31)=(B3),IF(("push")=(INDEX(B1:XFD1,(A2)+(0))),INDEX(B1:XFD1,(A2)+(1)),IF(("load")=(INDEX(B1:XFD1,(A2)+(0))),INDEX(F2:XFD2,INDEX(B1:XFD1,(A2)+(1))),IF(("newheap")=(INDEX(B1:XFD1,(A2)+(0))),(C3)-(2),IF(("getheap")=(INDEX(B1:XFD1,(A2)+(0))),INDEX(C4:C204,(B34)+(1)),IF(("add")=(INDEX(B1:XFD1,(A2)+(0))),(INDEX(B4:B204,(B3)+(1)))+(B34),IF(("equals")=(INDEX(B1:XFD1,(A2)+(0))),(INDEX(B4:B204,(B3)+(1)))=(B34),IF(("leq")=(INDEX(B1:XFD1,(A2)+(0))),(INDEX(B4:B204,(B3)+(1)))&lt;=(B34),B34))))))),B34))</f>
        <v>#VALUE!</v>
      </c>
      <c r="C34" t="e">
        <f ca="1">IF((A1)=(2),1,IF(AND((INDEX(B1:XFD1,(A2)+(0)))=("writeheap"),(INDEX(B4:B204,(B3)+(1)))=(30)),INDEX(B4:B204,(B3)+(2)),IF((A1)=(2),1,IF((31)=(C3),C34,C34))))</f>
        <v>#VALUE!</v>
      </c>
      <c r="E34" t="e">
        <f ca="1">IF((A1)=(2),1,IF((31)=(E3),IF(("outputline")=(INDEX(B1:XFD1,(A2)+(0))),B2,E34),E34))</f>
        <v>#VALUE!</v>
      </c>
      <c r="F34" t="e">
        <f ca="1">IF((A1)=(2),1,IF((31)=(F3),IF(IF((INDEX(B1:XFD1,(A2)+(0)))=("store"),(INDEX(B1:XFD1,(A2)+(1)))=("F"),"false"),B2,F34),F34))</f>
        <v>#VALUE!</v>
      </c>
      <c r="G34" t="e">
        <f ca="1">IF((A1)=(2),1,IF((31)=(G3),IF(IF((INDEX(B1:XFD1,(A2)+(0)))=("store"),(INDEX(B1:XFD1,(A2)+(1)))=("G"),"false"),B2,G34),G34))</f>
        <v>#VALUE!</v>
      </c>
      <c r="H34" t="e">
        <f ca="1">IF((A1)=(2),1,IF((31)=(H3),IF(IF((INDEX(B1:XFD1,(A2)+(0)))=("store"),(INDEX(B1:XFD1,(A2)+(1)))=("H"),"false"),B2,H34),H34))</f>
        <v>#VALUE!</v>
      </c>
      <c r="I34" t="e">
        <f ca="1">IF((A1)=(2),1,IF((31)=(I3),IF(IF((INDEX(B1:XFD1,(A2)+(0)))=("store"),(INDEX(B1:XFD1,(A2)+(1)))=("I"),"false"),B2,I34),I34))</f>
        <v>#VALUE!</v>
      </c>
      <c r="J34" t="e">
        <f ca="1">IF((A1)=(2),1,IF((31)=(J3),IF(IF((INDEX(B1:XFD1,(A2)+(0)))=("store"),(INDEX(B1:XFD1,(A2)+(1)))=("J"),"false"),B2,J34),J34))</f>
        <v>#VALUE!</v>
      </c>
    </row>
    <row r="35" spans="1:10" x14ac:dyDescent="0.25">
      <c r="A35" t="e">
        <f ca="1">IF((A1)=(2),1,IF((32)=(A3),IF(("call")=(INDEX(B1:XFD1,(A2)+(0))),((B2)*(2))+(1),IF(("goto")=(INDEX(B1:XFD1,(A2)+(0))),((INDEX(B1:XFD1,(A2)+(1)))*(2))+(1),IF(("gotoiftrue")=(INDEX(B1:XFD1,(A2)+(0))),IF(B2,((INDEX(B1:XFD1,(A2)+(1)))*(2))+(1),(A35)+(2)),(A35)+(2)))),A35))</f>
        <v>#VALUE!</v>
      </c>
      <c r="B35" t="e">
        <f ca="1">IF((A1)=(2),1,IF((32)=(B3),IF(("push")=(INDEX(B1:XFD1,(A2)+(0))),INDEX(B1:XFD1,(A2)+(1)),IF(("load")=(INDEX(B1:XFD1,(A2)+(0))),INDEX(F2:XFD2,INDEX(B1:XFD1,(A2)+(1))),IF(("newheap")=(INDEX(B1:XFD1,(A2)+(0))),(C3)-(2),IF(("getheap")=(INDEX(B1:XFD1,(A2)+(0))),INDEX(C4:C204,(B35)+(1)),IF(("add")=(INDEX(B1:XFD1,(A2)+(0))),(INDEX(B4:B204,(B3)+(1)))+(B35),IF(("equals")=(INDEX(B1:XFD1,(A2)+(0))),(INDEX(B4:B204,(B3)+(1)))=(B35),IF(("leq")=(INDEX(B1:XFD1,(A2)+(0))),(INDEX(B4:B204,(B3)+(1)))&lt;=(B35),B35))))))),B35))</f>
        <v>#VALUE!</v>
      </c>
      <c r="C35" t="e">
        <f ca="1">IF((A1)=(2),1,IF(AND((INDEX(B1:XFD1,(A2)+(0)))=("writeheap"),(INDEX(B4:B204,(B3)+(1)))=(31)),INDEX(B4:B204,(B3)+(2)),IF((A1)=(2),1,IF((32)=(C3),C35,C35))))</f>
        <v>#VALUE!</v>
      </c>
      <c r="E35" t="e">
        <f ca="1">IF((A1)=(2),1,IF((32)=(E3),IF(("outputline")=(INDEX(B1:XFD1,(A2)+(0))),B2,E35),E35))</f>
        <v>#VALUE!</v>
      </c>
      <c r="F35" t="e">
        <f ca="1">IF((A1)=(2),1,IF((32)=(F3),IF(IF((INDEX(B1:XFD1,(A2)+(0)))=("store"),(INDEX(B1:XFD1,(A2)+(1)))=("F"),"false"),B2,F35),F35))</f>
        <v>#VALUE!</v>
      </c>
      <c r="G35" t="e">
        <f ca="1">IF((A1)=(2),1,IF((32)=(G3),IF(IF((INDEX(B1:XFD1,(A2)+(0)))=("store"),(INDEX(B1:XFD1,(A2)+(1)))=("G"),"false"),B2,G35),G35))</f>
        <v>#VALUE!</v>
      </c>
      <c r="H35" t="e">
        <f ca="1">IF((A1)=(2),1,IF((32)=(H3),IF(IF((INDEX(B1:XFD1,(A2)+(0)))=("store"),(INDEX(B1:XFD1,(A2)+(1)))=("H"),"false"),B2,H35),H35))</f>
        <v>#VALUE!</v>
      </c>
      <c r="I35" t="e">
        <f ca="1">IF((A1)=(2),1,IF((32)=(I3),IF(IF((INDEX(B1:XFD1,(A2)+(0)))=("store"),(INDEX(B1:XFD1,(A2)+(1)))=("I"),"false"),B2,I35),I35))</f>
        <v>#VALUE!</v>
      </c>
      <c r="J35" t="e">
        <f ca="1">IF((A1)=(2),1,IF((32)=(J3),IF(IF((INDEX(B1:XFD1,(A2)+(0)))=("store"),(INDEX(B1:XFD1,(A2)+(1)))=("J"),"false"),B2,J35),J35))</f>
        <v>#VALUE!</v>
      </c>
    </row>
    <row r="36" spans="1:10" x14ac:dyDescent="0.25">
      <c r="A36" t="e">
        <f ca="1">IF((A1)=(2),1,IF((33)=(A3),IF(("call")=(INDEX(B1:XFD1,(A2)+(0))),((B2)*(2))+(1),IF(("goto")=(INDEX(B1:XFD1,(A2)+(0))),((INDEX(B1:XFD1,(A2)+(1)))*(2))+(1),IF(("gotoiftrue")=(INDEX(B1:XFD1,(A2)+(0))),IF(B2,((INDEX(B1:XFD1,(A2)+(1)))*(2))+(1),(A36)+(2)),(A36)+(2)))),A36))</f>
        <v>#VALUE!</v>
      </c>
      <c r="B36" t="e">
        <f ca="1">IF((A1)=(2),1,IF((33)=(B3),IF(("push")=(INDEX(B1:XFD1,(A2)+(0))),INDEX(B1:XFD1,(A2)+(1)),IF(("load")=(INDEX(B1:XFD1,(A2)+(0))),INDEX(F2:XFD2,INDEX(B1:XFD1,(A2)+(1))),IF(("newheap")=(INDEX(B1:XFD1,(A2)+(0))),(C3)-(2),IF(("getheap")=(INDEX(B1:XFD1,(A2)+(0))),INDEX(C4:C204,(B36)+(1)),IF(("add")=(INDEX(B1:XFD1,(A2)+(0))),(INDEX(B4:B204,(B3)+(1)))+(B36),IF(("equals")=(INDEX(B1:XFD1,(A2)+(0))),(INDEX(B4:B204,(B3)+(1)))=(B36),IF(("leq")=(INDEX(B1:XFD1,(A2)+(0))),(INDEX(B4:B204,(B3)+(1)))&lt;=(B36),B36))))))),B36))</f>
        <v>#VALUE!</v>
      </c>
      <c r="C36" t="e">
        <f ca="1">IF((A1)=(2),1,IF(AND((INDEX(B1:XFD1,(A2)+(0)))=("writeheap"),(INDEX(B4:B204,(B3)+(1)))=(32)),INDEX(B4:B204,(B3)+(2)),IF((A1)=(2),1,IF((33)=(C3),C36,C36))))</f>
        <v>#VALUE!</v>
      </c>
      <c r="E36" t="e">
        <f ca="1">IF((A1)=(2),1,IF((33)=(E3),IF(("outputline")=(INDEX(B1:XFD1,(A2)+(0))),B2,E36),E36))</f>
        <v>#VALUE!</v>
      </c>
      <c r="F36" t="e">
        <f ca="1">IF((A1)=(2),1,IF((33)=(F3),IF(IF((INDEX(B1:XFD1,(A2)+(0)))=("store"),(INDEX(B1:XFD1,(A2)+(1)))=("F"),"false"),B2,F36),F36))</f>
        <v>#VALUE!</v>
      </c>
      <c r="G36" t="e">
        <f ca="1">IF((A1)=(2),1,IF((33)=(G3),IF(IF((INDEX(B1:XFD1,(A2)+(0)))=("store"),(INDEX(B1:XFD1,(A2)+(1)))=("G"),"false"),B2,G36),G36))</f>
        <v>#VALUE!</v>
      </c>
      <c r="H36" t="e">
        <f ca="1">IF((A1)=(2),1,IF((33)=(H3),IF(IF((INDEX(B1:XFD1,(A2)+(0)))=("store"),(INDEX(B1:XFD1,(A2)+(1)))=("H"),"false"),B2,H36),H36))</f>
        <v>#VALUE!</v>
      </c>
      <c r="I36" t="e">
        <f ca="1">IF((A1)=(2),1,IF((33)=(I3),IF(IF((INDEX(B1:XFD1,(A2)+(0)))=("store"),(INDEX(B1:XFD1,(A2)+(1)))=("I"),"false"),B2,I36),I36))</f>
        <v>#VALUE!</v>
      </c>
      <c r="J36" t="e">
        <f ca="1">IF((A1)=(2),1,IF((33)=(J3),IF(IF((INDEX(B1:XFD1,(A2)+(0)))=("store"),(INDEX(B1:XFD1,(A2)+(1)))=("J"),"false"),B2,J36),J36))</f>
        <v>#VALUE!</v>
      </c>
    </row>
    <row r="37" spans="1:10" x14ac:dyDescent="0.25">
      <c r="A37" t="e">
        <f ca="1">IF((A1)=(2),1,IF((34)=(A3),IF(("call")=(INDEX(B1:XFD1,(A2)+(0))),((B2)*(2))+(1),IF(("goto")=(INDEX(B1:XFD1,(A2)+(0))),((INDEX(B1:XFD1,(A2)+(1)))*(2))+(1),IF(("gotoiftrue")=(INDEX(B1:XFD1,(A2)+(0))),IF(B2,((INDEX(B1:XFD1,(A2)+(1)))*(2))+(1),(A37)+(2)),(A37)+(2)))),A37))</f>
        <v>#VALUE!</v>
      </c>
      <c r="B37" t="e">
        <f ca="1">IF((A1)=(2),1,IF((34)=(B3),IF(("push")=(INDEX(B1:XFD1,(A2)+(0))),INDEX(B1:XFD1,(A2)+(1)),IF(("load")=(INDEX(B1:XFD1,(A2)+(0))),INDEX(F2:XFD2,INDEX(B1:XFD1,(A2)+(1))),IF(("newheap")=(INDEX(B1:XFD1,(A2)+(0))),(C3)-(2),IF(("getheap")=(INDEX(B1:XFD1,(A2)+(0))),INDEX(C4:C204,(B37)+(1)),IF(("add")=(INDEX(B1:XFD1,(A2)+(0))),(INDEX(B4:B204,(B3)+(1)))+(B37),IF(("equals")=(INDEX(B1:XFD1,(A2)+(0))),(INDEX(B4:B204,(B3)+(1)))=(B37),IF(("leq")=(INDEX(B1:XFD1,(A2)+(0))),(INDEX(B4:B204,(B3)+(1)))&lt;=(B37),B37))))))),B37))</f>
        <v>#VALUE!</v>
      </c>
      <c r="C37" t="e">
        <f ca="1">IF((A1)=(2),1,IF(AND((INDEX(B1:XFD1,(A2)+(0)))=("writeheap"),(INDEX(B4:B204,(B3)+(1)))=(33)),INDEX(B4:B204,(B3)+(2)),IF((A1)=(2),1,IF((34)=(C3),C37,C37))))</f>
        <v>#VALUE!</v>
      </c>
      <c r="E37" t="e">
        <f ca="1">IF((A1)=(2),1,IF((34)=(E3),IF(("outputline")=(INDEX(B1:XFD1,(A2)+(0))),B2,E37),E37))</f>
        <v>#VALUE!</v>
      </c>
      <c r="F37" t="e">
        <f ca="1">IF((A1)=(2),1,IF((34)=(F3),IF(IF((INDEX(B1:XFD1,(A2)+(0)))=("store"),(INDEX(B1:XFD1,(A2)+(1)))=("F"),"false"),B2,F37),F37))</f>
        <v>#VALUE!</v>
      </c>
      <c r="G37" t="e">
        <f ca="1">IF((A1)=(2),1,IF((34)=(G3),IF(IF((INDEX(B1:XFD1,(A2)+(0)))=("store"),(INDEX(B1:XFD1,(A2)+(1)))=("G"),"false"),B2,G37),G37))</f>
        <v>#VALUE!</v>
      </c>
      <c r="H37" t="e">
        <f ca="1">IF((A1)=(2),1,IF((34)=(H3),IF(IF((INDEX(B1:XFD1,(A2)+(0)))=("store"),(INDEX(B1:XFD1,(A2)+(1)))=("H"),"false"),B2,H37),H37))</f>
        <v>#VALUE!</v>
      </c>
      <c r="I37" t="e">
        <f ca="1">IF((A1)=(2),1,IF((34)=(I3),IF(IF((INDEX(B1:XFD1,(A2)+(0)))=("store"),(INDEX(B1:XFD1,(A2)+(1)))=("I"),"false"),B2,I37),I37))</f>
        <v>#VALUE!</v>
      </c>
      <c r="J37" t="e">
        <f ca="1">IF((A1)=(2),1,IF((34)=(J3),IF(IF((INDEX(B1:XFD1,(A2)+(0)))=("store"),(INDEX(B1:XFD1,(A2)+(1)))=("J"),"false"),B2,J37),J37))</f>
        <v>#VALUE!</v>
      </c>
    </row>
    <row r="38" spans="1:10" x14ac:dyDescent="0.25">
      <c r="A38" t="e">
        <f ca="1">IF((A1)=(2),1,IF((35)=(A3),IF(("call")=(INDEX(B1:XFD1,(A2)+(0))),((B2)*(2))+(1),IF(("goto")=(INDEX(B1:XFD1,(A2)+(0))),((INDEX(B1:XFD1,(A2)+(1)))*(2))+(1),IF(("gotoiftrue")=(INDEX(B1:XFD1,(A2)+(0))),IF(B2,((INDEX(B1:XFD1,(A2)+(1)))*(2))+(1),(A38)+(2)),(A38)+(2)))),A38))</f>
        <v>#VALUE!</v>
      </c>
      <c r="B38" t="e">
        <f ca="1">IF((A1)=(2),1,IF((35)=(B3),IF(("push")=(INDEX(B1:XFD1,(A2)+(0))),INDEX(B1:XFD1,(A2)+(1)),IF(("load")=(INDEX(B1:XFD1,(A2)+(0))),INDEX(F2:XFD2,INDEX(B1:XFD1,(A2)+(1))),IF(("newheap")=(INDEX(B1:XFD1,(A2)+(0))),(C3)-(2),IF(("getheap")=(INDEX(B1:XFD1,(A2)+(0))),INDEX(C4:C204,(B38)+(1)),IF(("add")=(INDEX(B1:XFD1,(A2)+(0))),(INDEX(B4:B204,(B3)+(1)))+(B38),IF(("equals")=(INDEX(B1:XFD1,(A2)+(0))),(INDEX(B4:B204,(B3)+(1)))=(B38),IF(("leq")=(INDEX(B1:XFD1,(A2)+(0))),(INDEX(B4:B204,(B3)+(1)))&lt;=(B38),B38))))))),B38))</f>
        <v>#VALUE!</v>
      </c>
      <c r="C38" t="e">
        <f ca="1">IF((A1)=(2),1,IF(AND((INDEX(B1:XFD1,(A2)+(0)))=("writeheap"),(INDEX(B4:B204,(B3)+(1)))=(34)),INDEX(B4:B204,(B3)+(2)),IF((A1)=(2),1,IF((35)=(C3),C38,C38))))</f>
        <v>#VALUE!</v>
      </c>
      <c r="E38" t="e">
        <f ca="1">IF((A1)=(2),1,IF((35)=(E3),IF(("outputline")=(INDEX(B1:XFD1,(A2)+(0))),B2,E38),E38))</f>
        <v>#VALUE!</v>
      </c>
      <c r="F38" t="e">
        <f ca="1">IF((A1)=(2),1,IF((35)=(F3),IF(IF((INDEX(B1:XFD1,(A2)+(0)))=("store"),(INDEX(B1:XFD1,(A2)+(1)))=("F"),"false"),B2,F38),F38))</f>
        <v>#VALUE!</v>
      </c>
      <c r="G38" t="e">
        <f ca="1">IF((A1)=(2),1,IF((35)=(G3),IF(IF((INDEX(B1:XFD1,(A2)+(0)))=("store"),(INDEX(B1:XFD1,(A2)+(1)))=("G"),"false"),B2,G38),G38))</f>
        <v>#VALUE!</v>
      </c>
      <c r="H38" t="e">
        <f ca="1">IF((A1)=(2),1,IF((35)=(H3),IF(IF((INDEX(B1:XFD1,(A2)+(0)))=("store"),(INDEX(B1:XFD1,(A2)+(1)))=("H"),"false"),B2,H38),H38))</f>
        <v>#VALUE!</v>
      </c>
      <c r="I38" t="e">
        <f ca="1">IF((A1)=(2),1,IF((35)=(I3),IF(IF((INDEX(B1:XFD1,(A2)+(0)))=("store"),(INDEX(B1:XFD1,(A2)+(1)))=("I"),"false"),B2,I38),I38))</f>
        <v>#VALUE!</v>
      </c>
      <c r="J38" t="e">
        <f ca="1">IF((A1)=(2),1,IF((35)=(J3),IF(IF((INDEX(B1:XFD1,(A2)+(0)))=("store"),(INDEX(B1:XFD1,(A2)+(1)))=("J"),"false"),B2,J38),J38))</f>
        <v>#VALUE!</v>
      </c>
    </row>
    <row r="39" spans="1:10" x14ac:dyDescent="0.25">
      <c r="A39" t="e">
        <f ca="1">IF((A1)=(2),1,IF((36)=(A3),IF(("call")=(INDEX(B1:XFD1,(A2)+(0))),((B2)*(2))+(1),IF(("goto")=(INDEX(B1:XFD1,(A2)+(0))),((INDEX(B1:XFD1,(A2)+(1)))*(2))+(1),IF(("gotoiftrue")=(INDEX(B1:XFD1,(A2)+(0))),IF(B2,((INDEX(B1:XFD1,(A2)+(1)))*(2))+(1),(A39)+(2)),(A39)+(2)))),A39))</f>
        <v>#VALUE!</v>
      </c>
      <c r="B39" t="e">
        <f ca="1">IF((A1)=(2),1,IF((36)=(B3),IF(("push")=(INDEX(B1:XFD1,(A2)+(0))),INDEX(B1:XFD1,(A2)+(1)),IF(("load")=(INDEX(B1:XFD1,(A2)+(0))),INDEX(F2:XFD2,INDEX(B1:XFD1,(A2)+(1))),IF(("newheap")=(INDEX(B1:XFD1,(A2)+(0))),(C3)-(2),IF(("getheap")=(INDEX(B1:XFD1,(A2)+(0))),INDEX(C4:C204,(B39)+(1)),IF(("add")=(INDEX(B1:XFD1,(A2)+(0))),(INDEX(B4:B204,(B3)+(1)))+(B39),IF(("equals")=(INDEX(B1:XFD1,(A2)+(0))),(INDEX(B4:B204,(B3)+(1)))=(B39),IF(("leq")=(INDEX(B1:XFD1,(A2)+(0))),(INDEX(B4:B204,(B3)+(1)))&lt;=(B39),B39))))))),B39))</f>
        <v>#VALUE!</v>
      </c>
      <c r="C39" t="e">
        <f ca="1">IF((A1)=(2),1,IF(AND((INDEX(B1:XFD1,(A2)+(0)))=("writeheap"),(INDEX(B4:B204,(B3)+(1)))=(35)),INDEX(B4:B204,(B3)+(2)),IF((A1)=(2),1,IF((36)=(C3),C39,C39))))</f>
        <v>#VALUE!</v>
      </c>
      <c r="E39" t="e">
        <f ca="1">IF((A1)=(2),1,IF((36)=(E3),IF(("outputline")=(INDEX(B1:XFD1,(A2)+(0))),B2,E39),E39))</f>
        <v>#VALUE!</v>
      </c>
      <c r="F39" t="e">
        <f ca="1">IF((A1)=(2),1,IF((36)=(F3),IF(IF((INDEX(B1:XFD1,(A2)+(0)))=("store"),(INDEX(B1:XFD1,(A2)+(1)))=("F"),"false"),B2,F39),F39))</f>
        <v>#VALUE!</v>
      </c>
      <c r="G39" t="e">
        <f ca="1">IF((A1)=(2),1,IF((36)=(G3),IF(IF((INDEX(B1:XFD1,(A2)+(0)))=("store"),(INDEX(B1:XFD1,(A2)+(1)))=("G"),"false"),B2,G39),G39))</f>
        <v>#VALUE!</v>
      </c>
      <c r="H39" t="e">
        <f ca="1">IF((A1)=(2),1,IF((36)=(H3),IF(IF((INDEX(B1:XFD1,(A2)+(0)))=("store"),(INDEX(B1:XFD1,(A2)+(1)))=("H"),"false"),B2,H39),H39))</f>
        <v>#VALUE!</v>
      </c>
      <c r="I39" t="e">
        <f ca="1">IF((A1)=(2),1,IF((36)=(I3),IF(IF((INDEX(B1:XFD1,(A2)+(0)))=("store"),(INDEX(B1:XFD1,(A2)+(1)))=("I"),"false"),B2,I39),I39))</f>
        <v>#VALUE!</v>
      </c>
      <c r="J39" t="e">
        <f ca="1">IF((A1)=(2),1,IF((36)=(J3),IF(IF((INDEX(B1:XFD1,(A2)+(0)))=("store"),(INDEX(B1:XFD1,(A2)+(1)))=("J"),"false"),B2,J39),J39))</f>
        <v>#VALUE!</v>
      </c>
    </row>
    <row r="40" spans="1:10" x14ac:dyDescent="0.25">
      <c r="A40" t="e">
        <f ca="1">IF((A1)=(2),1,IF((37)=(A3),IF(("call")=(INDEX(B1:XFD1,(A2)+(0))),((B2)*(2))+(1),IF(("goto")=(INDEX(B1:XFD1,(A2)+(0))),((INDEX(B1:XFD1,(A2)+(1)))*(2))+(1),IF(("gotoiftrue")=(INDEX(B1:XFD1,(A2)+(0))),IF(B2,((INDEX(B1:XFD1,(A2)+(1)))*(2))+(1),(A40)+(2)),(A40)+(2)))),A40))</f>
        <v>#VALUE!</v>
      </c>
      <c r="B40" t="e">
        <f ca="1">IF((A1)=(2),1,IF((37)=(B3),IF(("push")=(INDEX(B1:XFD1,(A2)+(0))),INDEX(B1:XFD1,(A2)+(1)),IF(("load")=(INDEX(B1:XFD1,(A2)+(0))),INDEX(F2:XFD2,INDEX(B1:XFD1,(A2)+(1))),IF(("newheap")=(INDEX(B1:XFD1,(A2)+(0))),(C3)-(2),IF(("getheap")=(INDEX(B1:XFD1,(A2)+(0))),INDEX(C4:C204,(B40)+(1)),IF(("add")=(INDEX(B1:XFD1,(A2)+(0))),(INDEX(B4:B204,(B3)+(1)))+(B40),IF(("equals")=(INDEX(B1:XFD1,(A2)+(0))),(INDEX(B4:B204,(B3)+(1)))=(B40),IF(("leq")=(INDEX(B1:XFD1,(A2)+(0))),(INDEX(B4:B204,(B3)+(1)))&lt;=(B40),B40))))))),B40))</f>
        <v>#VALUE!</v>
      </c>
      <c r="C40" t="e">
        <f ca="1">IF((A1)=(2),1,IF(AND((INDEX(B1:XFD1,(A2)+(0)))=("writeheap"),(INDEX(B4:B204,(B3)+(1)))=(36)),INDEX(B4:B204,(B3)+(2)),IF((A1)=(2),1,IF((37)=(C3),C40,C40))))</f>
        <v>#VALUE!</v>
      </c>
      <c r="E40" t="e">
        <f ca="1">IF((A1)=(2),1,IF((37)=(E3),IF(("outputline")=(INDEX(B1:XFD1,(A2)+(0))),B2,E40),E40))</f>
        <v>#VALUE!</v>
      </c>
      <c r="F40" t="e">
        <f ca="1">IF((A1)=(2),1,IF((37)=(F3),IF(IF((INDEX(B1:XFD1,(A2)+(0)))=("store"),(INDEX(B1:XFD1,(A2)+(1)))=("F"),"false"),B2,F40),F40))</f>
        <v>#VALUE!</v>
      </c>
      <c r="G40" t="e">
        <f ca="1">IF((A1)=(2),1,IF((37)=(G3),IF(IF((INDEX(B1:XFD1,(A2)+(0)))=("store"),(INDEX(B1:XFD1,(A2)+(1)))=("G"),"false"),B2,G40),G40))</f>
        <v>#VALUE!</v>
      </c>
      <c r="H40" t="e">
        <f ca="1">IF((A1)=(2),1,IF((37)=(H3),IF(IF((INDEX(B1:XFD1,(A2)+(0)))=("store"),(INDEX(B1:XFD1,(A2)+(1)))=("H"),"false"),B2,H40),H40))</f>
        <v>#VALUE!</v>
      </c>
      <c r="I40" t="e">
        <f ca="1">IF((A1)=(2),1,IF((37)=(I3),IF(IF((INDEX(B1:XFD1,(A2)+(0)))=("store"),(INDEX(B1:XFD1,(A2)+(1)))=("I"),"false"),B2,I40),I40))</f>
        <v>#VALUE!</v>
      </c>
      <c r="J40" t="e">
        <f ca="1">IF((A1)=(2),1,IF((37)=(J3),IF(IF((INDEX(B1:XFD1,(A2)+(0)))=("store"),(INDEX(B1:XFD1,(A2)+(1)))=("J"),"false"),B2,J40),J40))</f>
        <v>#VALUE!</v>
      </c>
    </row>
    <row r="41" spans="1:10" x14ac:dyDescent="0.25">
      <c r="A41" t="e">
        <f ca="1">IF((A1)=(2),1,IF((38)=(A3),IF(("call")=(INDEX(B1:XFD1,(A2)+(0))),((B2)*(2))+(1),IF(("goto")=(INDEX(B1:XFD1,(A2)+(0))),((INDEX(B1:XFD1,(A2)+(1)))*(2))+(1),IF(("gotoiftrue")=(INDEX(B1:XFD1,(A2)+(0))),IF(B2,((INDEX(B1:XFD1,(A2)+(1)))*(2))+(1),(A41)+(2)),(A41)+(2)))),A41))</f>
        <v>#VALUE!</v>
      </c>
      <c r="B41" t="e">
        <f ca="1">IF((A1)=(2),1,IF((38)=(B3),IF(("push")=(INDEX(B1:XFD1,(A2)+(0))),INDEX(B1:XFD1,(A2)+(1)),IF(("load")=(INDEX(B1:XFD1,(A2)+(0))),INDEX(F2:XFD2,INDEX(B1:XFD1,(A2)+(1))),IF(("newheap")=(INDEX(B1:XFD1,(A2)+(0))),(C3)-(2),IF(("getheap")=(INDEX(B1:XFD1,(A2)+(0))),INDEX(C4:C204,(B41)+(1)),IF(("add")=(INDEX(B1:XFD1,(A2)+(0))),(INDEX(B4:B204,(B3)+(1)))+(B41),IF(("equals")=(INDEX(B1:XFD1,(A2)+(0))),(INDEX(B4:B204,(B3)+(1)))=(B41),IF(("leq")=(INDEX(B1:XFD1,(A2)+(0))),(INDEX(B4:B204,(B3)+(1)))&lt;=(B41),B41))))))),B41))</f>
        <v>#VALUE!</v>
      </c>
      <c r="C41" t="e">
        <f ca="1">IF((A1)=(2),1,IF(AND((INDEX(B1:XFD1,(A2)+(0)))=("writeheap"),(INDEX(B4:B204,(B3)+(1)))=(37)),INDEX(B4:B204,(B3)+(2)),IF((A1)=(2),1,IF((38)=(C3),C41,C41))))</f>
        <v>#VALUE!</v>
      </c>
      <c r="E41" t="e">
        <f ca="1">IF((A1)=(2),1,IF((38)=(E3),IF(("outputline")=(INDEX(B1:XFD1,(A2)+(0))),B2,E41),E41))</f>
        <v>#VALUE!</v>
      </c>
      <c r="F41" t="e">
        <f ca="1">IF((A1)=(2),1,IF((38)=(F3),IF(IF((INDEX(B1:XFD1,(A2)+(0)))=("store"),(INDEX(B1:XFD1,(A2)+(1)))=("F"),"false"),B2,F41),F41))</f>
        <v>#VALUE!</v>
      </c>
      <c r="G41" t="e">
        <f ca="1">IF((A1)=(2),1,IF((38)=(G3),IF(IF((INDEX(B1:XFD1,(A2)+(0)))=("store"),(INDEX(B1:XFD1,(A2)+(1)))=("G"),"false"),B2,G41),G41))</f>
        <v>#VALUE!</v>
      </c>
      <c r="H41" t="e">
        <f ca="1">IF((A1)=(2),1,IF((38)=(H3),IF(IF((INDEX(B1:XFD1,(A2)+(0)))=("store"),(INDEX(B1:XFD1,(A2)+(1)))=("H"),"false"),B2,H41),H41))</f>
        <v>#VALUE!</v>
      </c>
      <c r="I41" t="e">
        <f ca="1">IF((A1)=(2),1,IF((38)=(I3),IF(IF((INDEX(B1:XFD1,(A2)+(0)))=("store"),(INDEX(B1:XFD1,(A2)+(1)))=("I"),"false"),B2,I41),I41))</f>
        <v>#VALUE!</v>
      </c>
      <c r="J41" t="e">
        <f ca="1">IF((A1)=(2),1,IF((38)=(J3),IF(IF((INDEX(B1:XFD1,(A2)+(0)))=("store"),(INDEX(B1:XFD1,(A2)+(1)))=("J"),"false"),B2,J41),J41))</f>
        <v>#VALUE!</v>
      </c>
    </row>
    <row r="42" spans="1:10" x14ac:dyDescent="0.25">
      <c r="A42" t="e">
        <f ca="1">IF((A1)=(2),1,IF((39)=(A3),IF(("call")=(INDEX(B1:XFD1,(A2)+(0))),((B2)*(2))+(1),IF(("goto")=(INDEX(B1:XFD1,(A2)+(0))),((INDEX(B1:XFD1,(A2)+(1)))*(2))+(1),IF(("gotoiftrue")=(INDEX(B1:XFD1,(A2)+(0))),IF(B2,((INDEX(B1:XFD1,(A2)+(1)))*(2))+(1),(A42)+(2)),(A42)+(2)))),A42))</f>
        <v>#VALUE!</v>
      </c>
      <c r="B42" t="e">
        <f ca="1">IF((A1)=(2),1,IF((39)=(B3),IF(("push")=(INDEX(B1:XFD1,(A2)+(0))),INDEX(B1:XFD1,(A2)+(1)),IF(("load")=(INDEX(B1:XFD1,(A2)+(0))),INDEX(F2:XFD2,INDEX(B1:XFD1,(A2)+(1))),IF(("newheap")=(INDEX(B1:XFD1,(A2)+(0))),(C3)-(2),IF(("getheap")=(INDEX(B1:XFD1,(A2)+(0))),INDEX(C4:C204,(B42)+(1)),IF(("add")=(INDEX(B1:XFD1,(A2)+(0))),(INDEX(B4:B204,(B3)+(1)))+(B42),IF(("equals")=(INDEX(B1:XFD1,(A2)+(0))),(INDEX(B4:B204,(B3)+(1)))=(B42),IF(("leq")=(INDEX(B1:XFD1,(A2)+(0))),(INDEX(B4:B204,(B3)+(1)))&lt;=(B42),B42))))))),B42))</f>
        <v>#VALUE!</v>
      </c>
      <c r="C42" t="e">
        <f ca="1">IF((A1)=(2),1,IF(AND((INDEX(B1:XFD1,(A2)+(0)))=("writeheap"),(INDEX(B4:B204,(B3)+(1)))=(38)),INDEX(B4:B204,(B3)+(2)),IF((A1)=(2),1,IF((39)=(C3),C42,C42))))</f>
        <v>#VALUE!</v>
      </c>
      <c r="E42" t="e">
        <f ca="1">IF((A1)=(2),1,IF((39)=(E3),IF(("outputline")=(INDEX(B1:XFD1,(A2)+(0))),B2,E42),E42))</f>
        <v>#VALUE!</v>
      </c>
      <c r="F42" t="e">
        <f ca="1">IF((A1)=(2),1,IF((39)=(F3),IF(IF((INDEX(B1:XFD1,(A2)+(0)))=("store"),(INDEX(B1:XFD1,(A2)+(1)))=("F"),"false"),B2,F42),F42))</f>
        <v>#VALUE!</v>
      </c>
      <c r="G42" t="e">
        <f ca="1">IF((A1)=(2),1,IF((39)=(G3),IF(IF((INDEX(B1:XFD1,(A2)+(0)))=("store"),(INDEX(B1:XFD1,(A2)+(1)))=("G"),"false"),B2,G42),G42))</f>
        <v>#VALUE!</v>
      </c>
      <c r="H42" t="e">
        <f ca="1">IF((A1)=(2),1,IF((39)=(H3),IF(IF((INDEX(B1:XFD1,(A2)+(0)))=("store"),(INDEX(B1:XFD1,(A2)+(1)))=("H"),"false"),B2,H42),H42))</f>
        <v>#VALUE!</v>
      </c>
      <c r="I42" t="e">
        <f ca="1">IF((A1)=(2),1,IF((39)=(I3),IF(IF((INDEX(B1:XFD1,(A2)+(0)))=("store"),(INDEX(B1:XFD1,(A2)+(1)))=("I"),"false"),B2,I42),I42))</f>
        <v>#VALUE!</v>
      </c>
      <c r="J42" t="e">
        <f ca="1">IF((A1)=(2),1,IF((39)=(J3),IF(IF((INDEX(B1:XFD1,(A2)+(0)))=("store"),(INDEX(B1:XFD1,(A2)+(1)))=("J"),"false"),B2,J42),J42))</f>
        <v>#VALUE!</v>
      </c>
    </row>
    <row r="43" spans="1:10" x14ac:dyDescent="0.25">
      <c r="A43" t="e">
        <f ca="1">IF((A1)=(2),1,IF((40)=(A3),IF(("call")=(INDEX(B1:XFD1,(A2)+(0))),((B2)*(2))+(1),IF(("goto")=(INDEX(B1:XFD1,(A2)+(0))),((INDEX(B1:XFD1,(A2)+(1)))*(2))+(1),IF(("gotoiftrue")=(INDEX(B1:XFD1,(A2)+(0))),IF(B2,((INDEX(B1:XFD1,(A2)+(1)))*(2))+(1),(A43)+(2)),(A43)+(2)))),A43))</f>
        <v>#VALUE!</v>
      </c>
      <c r="B43" t="e">
        <f ca="1">IF((A1)=(2),1,IF((40)=(B3),IF(("push")=(INDEX(B1:XFD1,(A2)+(0))),INDEX(B1:XFD1,(A2)+(1)),IF(("load")=(INDEX(B1:XFD1,(A2)+(0))),INDEX(F2:XFD2,INDEX(B1:XFD1,(A2)+(1))),IF(("newheap")=(INDEX(B1:XFD1,(A2)+(0))),(C3)-(2),IF(("getheap")=(INDEX(B1:XFD1,(A2)+(0))),INDEX(C4:C204,(B43)+(1)),IF(("add")=(INDEX(B1:XFD1,(A2)+(0))),(INDEX(B4:B204,(B3)+(1)))+(B43),IF(("equals")=(INDEX(B1:XFD1,(A2)+(0))),(INDEX(B4:B204,(B3)+(1)))=(B43),IF(("leq")=(INDEX(B1:XFD1,(A2)+(0))),(INDEX(B4:B204,(B3)+(1)))&lt;=(B43),B43))))))),B43))</f>
        <v>#VALUE!</v>
      </c>
      <c r="C43" t="e">
        <f ca="1">IF((A1)=(2),1,IF(AND((INDEX(B1:XFD1,(A2)+(0)))=("writeheap"),(INDEX(B4:B204,(B3)+(1)))=(39)),INDEX(B4:B204,(B3)+(2)),IF((A1)=(2),1,IF((40)=(C3),C43,C43))))</f>
        <v>#VALUE!</v>
      </c>
      <c r="E43" t="e">
        <f ca="1">IF((A1)=(2),1,IF((40)=(E3),IF(("outputline")=(INDEX(B1:XFD1,(A2)+(0))),B2,E43),E43))</f>
        <v>#VALUE!</v>
      </c>
      <c r="F43" t="e">
        <f ca="1">IF((A1)=(2),1,IF((40)=(F3),IF(IF((INDEX(B1:XFD1,(A2)+(0)))=("store"),(INDEX(B1:XFD1,(A2)+(1)))=("F"),"false"),B2,F43),F43))</f>
        <v>#VALUE!</v>
      </c>
      <c r="G43" t="e">
        <f ca="1">IF((A1)=(2),1,IF((40)=(G3),IF(IF((INDEX(B1:XFD1,(A2)+(0)))=("store"),(INDEX(B1:XFD1,(A2)+(1)))=("G"),"false"),B2,G43),G43))</f>
        <v>#VALUE!</v>
      </c>
      <c r="H43" t="e">
        <f ca="1">IF((A1)=(2),1,IF((40)=(H3),IF(IF((INDEX(B1:XFD1,(A2)+(0)))=("store"),(INDEX(B1:XFD1,(A2)+(1)))=("H"),"false"),B2,H43),H43))</f>
        <v>#VALUE!</v>
      </c>
      <c r="I43" t="e">
        <f ca="1">IF((A1)=(2),1,IF((40)=(I3),IF(IF((INDEX(B1:XFD1,(A2)+(0)))=("store"),(INDEX(B1:XFD1,(A2)+(1)))=("I"),"false"),B2,I43),I43))</f>
        <v>#VALUE!</v>
      </c>
      <c r="J43" t="e">
        <f ca="1">IF((A1)=(2),1,IF((40)=(J3),IF(IF((INDEX(B1:XFD1,(A2)+(0)))=("store"),(INDEX(B1:XFD1,(A2)+(1)))=("J"),"false"),B2,J43),J43))</f>
        <v>#VALUE!</v>
      </c>
    </row>
    <row r="44" spans="1:10" x14ac:dyDescent="0.25">
      <c r="A44" t="e">
        <f ca="1">IF((A1)=(2),1,IF((41)=(A3),IF(("call")=(INDEX(B1:XFD1,(A2)+(0))),((B2)*(2))+(1),IF(("goto")=(INDEX(B1:XFD1,(A2)+(0))),((INDEX(B1:XFD1,(A2)+(1)))*(2))+(1),IF(("gotoiftrue")=(INDEX(B1:XFD1,(A2)+(0))),IF(B2,((INDEX(B1:XFD1,(A2)+(1)))*(2))+(1),(A44)+(2)),(A44)+(2)))),A44))</f>
        <v>#VALUE!</v>
      </c>
      <c r="B44" t="e">
        <f ca="1">IF((A1)=(2),1,IF((41)=(B3),IF(("push")=(INDEX(B1:XFD1,(A2)+(0))),INDEX(B1:XFD1,(A2)+(1)),IF(("load")=(INDEX(B1:XFD1,(A2)+(0))),INDEX(F2:XFD2,INDEX(B1:XFD1,(A2)+(1))),IF(("newheap")=(INDEX(B1:XFD1,(A2)+(0))),(C3)-(2),IF(("getheap")=(INDEX(B1:XFD1,(A2)+(0))),INDEX(C4:C204,(B44)+(1)),IF(("add")=(INDEX(B1:XFD1,(A2)+(0))),(INDEX(B4:B204,(B3)+(1)))+(B44),IF(("equals")=(INDEX(B1:XFD1,(A2)+(0))),(INDEX(B4:B204,(B3)+(1)))=(B44),IF(("leq")=(INDEX(B1:XFD1,(A2)+(0))),(INDEX(B4:B204,(B3)+(1)))&lt;=(B44),B44))))))),B44))</f>
        <v>#VALUE!</v>
      </c>
      <c r="C44" t="e">
        <f ca="1">IF((A1)=(2),1,IF(AND((INDEX(B1:XFD1,(A2)+(0)))=("writeheap"),(INDEX(B4:B204,(B3)+(1)))=(40)),INDEX(B4:B204,(B3)+(2)),IF((A1)=(2),1,IF((41)=(C3),C44,C44))))</f>
        <v>#VALUE!</v>
      </c>
      <c r="E44" t="e">
        <f ca="1">IF((A1)=(2),1,IF((41)=(E3),IF(("outputline")=(INDEX(B1:XFD1,(A2)+(0))),B2,E44),E44))</f>
        <v>#VALUE!</v>
      </c>
      <c r="F44" t="e">
        <f ca="1">IF((A1)=(2),1,IF((41)=(F3),IF(IF((INDEX(B1:XFD1,(A2)+(0)))=("store"),(INDEX(B1:XFD1,(A2)+(1)))=("F"),"false"),B2,F44),F44))</f>
        <v>#VALUE!</v>
      </c>
      <c r="G44" t="e">
        <f ca="1">IF((A1)=(2),1,IF((41)=(G3),IF(IF((INDEX(B1:XFD1,(A2)+(0)))=("store"),(INDEX(B1:XFD1,(A2)+(1)))=("G"),"false"),B2,G44),G44))</f>
        <v>#VALUE!</v>
      </c>
      <c r="H44" t="e">
        <f ca="1">IF((A1)=(2),1,IF((41)=(H3),IF(IF((INDEX(B1:XFD1,(A2)+(0)))=("store"),(INDEX(B1:XFD1,(A2)+(1)))=("H"),"false"),B2,H44),H44))</f>
        <v>#VALUE!</v>
      </c>
      <c r="I44" t="e">
        <f ca="1">IF((A1)=(2),1,IF((41)=(I3),IF(IF((INDEX(B1:XFD1,(A2)+(0)))=("store"),(INDEX(B1:XFD1,(A2)+(1)))=("I"),"false"),B2,I44),I44))</f>
        <v>#VALUE!</v>
      </c>
      <c r="J44" t="e">
        <f ca="1">IF((A1)=(2),1,IF((41)=(J3),IF(IF((INDEX(B1:XFD1,(A2)+(0)))=("store"),(INDEX(B1:XFD1,(A2)+(1)))=("J"),"false"),B2,J44),J44))</f>
        <v>#VALUE!</v>
      </c>
    </row>
    <row r="45" spans="1:10" x14ac:dyDescent="0.25">
      <c r="A45" t="e">
        <f ca="1">IF((A1)=(2),1,IF((42)=(A3),IF(("call")=(INDEX(B1:XFD1,(A2)+(0))),((B2)*(2))+(1),IF(("goto")=(INDEX(B1:XFD1,(A2)+(0))),((INDEX(B1:XFD1,(A2)+(1)))*(2))+(1),IF(("gotoiftrue")=(INDEX(B1:XFD1,(A2)+(0))),IF(B2,((INDEX(B1:XFD1,(A2)+(1)))*(2))+(1),(A45)+(2)),(A45)+(2)))),A45))</f>
        <v>#VALUE!</v>
      </c>
      <c r="B45" t="e">
        <f ca="1">IF((A1)=(2),1,IF((42)=(B3),IF(("push")=(INDEX(B1:XFD1,(A2)+(0))),INDEX(B1:XFD1,(A2)+(1)),IF(("load")=(INDEX(B1:XFD1,(A2)+(0))),INDEX(F2:XFD2,INDEX(B1:XFD1,(A2)+(1))),IF(("newheap")=(INDEX(B1:XFD1,(A2)+(0))),(C3)-(2),IF(("getheap")=(INDEX(B1:XFD1,(A2)+(0))),INDEX(C4:C204,(B45)+(1)),IF(("add")=(INDEX(B1:XFD1,(A2)+(0))),(INDEX(B4:B204,(B3)+(1)))+(B45),IF(("equals")=(INDEX(B1:XFD1,(A2)+(0))),(INDEX(B4:B204,(B3)+(1)))=(B45),IF(("leq")=(INDEX(B1:XFD1,(A2)+(0))),(INDEX(B4:B204,(B3)+(1)))&lt;=(B45),B45))))))),B45))</f>
        <v>#VALUE!</v>
      </c>
      <c r="C45" t="e">
        <f ca="1">IF((A1)=(2),1,IF(AND((INDEX(B1:XFD1,(A2)+(0)))=("writeheap"),(INDEX(B4:B204,(B3)+(1)))=(41)),INDEX(B4:B204,(B3)+(2)),IF((A1)=(2),1,IF((42)=(C3),C45,C45))))</f>
        <v>#VALUE!</v>
      </c>
      <c r="E45" t="e">
        <f ca="1">IF((A1)=(2),1,IF((42)=(E3),IF(("outputline")=(INDEX(B1:XFD1,(A2)+(0))),B2,E45),E45))</f>
        <v>#VALUE!</v>
      </c>
      <c r="F45" t="e">
        <f ca="1">IF((A1)=(2),1,IF((42)=(F3),IF(IF((INDEX(B1:XFD1,(A2)+(0)))=("store"),(INDEX(B1:XFD1,(A2)+(1)))=("F"),"false"),B2,F45),F45))</f>
        <v>#VALUE!</v>
      </c>
      <c r="G45" t="e">
        <f ca="1">IF((A1)=(2),1,IF((42)=(G3),IF(IF((INDEX(B1:XFD1,(A2)+(0)))=("store"),(INDEX(B1:XFD1,(A2)+(1)))=("G"),"false"),B2,G45),G45))</f>
        <v>#VALUE!</v>
      </c>
      <c r="H45" t="e">
        <f ca="1">IF((A1)=(2),1,IF((42)=(H3),IF(IF((INDEX(B1:XFD1,(A2)+(0)))=("store"),(INDEX(B1:XFD1,(A2)+(1)))=("H"),"false"),B2,H45),H45))</f>
        <v>#VALUE!</v>
      </c>
      <c r="I45" t="e">
        <f ca="1">IF((A1)=(2),1,IF((42)=(I3),IF(IF((INDEX(B1:XFD1,(A2)+(0)))=("store"),(INDEX(B1:XFD1,(A2)+(1)))=("I"),"false"),B2,I45),I45))</f>
        <v>#VALUE!</v>
      </c>
      <c r="J45" t="e">
        <f ca="1">IF((A1)=(2),1,IF((42)=(J3),IF(IF((INDEX(B1:XFD1,(A2)+(0)))=("store"),(INDEX(B1:XFD1,(A2)+(1)))=("J"),"false"),B2,J45),J45))</f>
        <v>#VALUE!</v>
      </c>
    </row>
    <row r="46" spans="1:10" x14ac:dyDescent="0.25">
      <c r="A46" t="e">
        <f ca="1">IF((A1)=(2),1,IF((43)=(A3),IF(("call")=(INDEX(B1:XFD1,(A2)+(0))),((B2)*(2))+(1),IF(("goto")=(INDEX(B1:XFD1,(A2)+(0))),((INDEX(B1:XFD1,(A2)+(1)))*(2))+(1),IF(("gotoiftrue")=(INDEX(B1:XFD1,(A2)+(0))),IF(B2,((INDEX(B1:XFD1,(A2)+(1)))*(2))+(1),(A46)+(2)),(A46)+(2)))),A46))</f>
        <v>#VALUE!</v>
      </c>
      <c r="B46" t="e">
        <f ca="1">IF((A1)=(2),1,IF((43)=(B3),IF(("push")=(INDEX(B1:XFD1,(A2)+(0))),INDEX(B1:XFD1,(A2)+(1)),IF(("load")=(INDEX(B1:XFD1,(A2)+(0))),INDEX(F2:XFD2,INDEX(B1:XFD1,(A2)+(1))),IF(("newheap")=(INDEX(B1:XFD1,(A2)+(0))),(C3)-(2),IF(("getheap")=(INDEX(B1:XFD1,(A2)+(0))),INDEX(C4:C204,(B46)+(1)),IF(("add")=(INDEX(B1:XFD1,(A2)+(0))),(INDEX(B4:B204,(B3)+(1)))+(B46),IF(("equals")=(INDEX(B1:XFD1,(A2)+(0))),(INDEX(B4:B204,(B3)+(1)))=(B46),IF(("leq")=(INDEX(B1:XFD1,(A2)+(0))),(INDEX(B4:B204,(B3)+(1)))&lt;=(B46),B46))))))),B46))</f>
        <v>#VALUE!</v>
      </c>
      <c r="C46" t="e">
        <f ca="1">IF((A1)=(2),1,IF(AND((INDEX(B1:XFD1,(A2)+(0)))=("writeheap"),(INDEX(B4:B204,(B3)+(1)))=(42)),INDEX(B4:B204,(B3)+(2)),IF((A1)=(2),1,IF((43)=(C3),C46,C46))))</f>
        <v>#VALUE!</v>
      </c>
      <c r="E46" t="e">
        <f ca="1">IF((A1)=(2),1,IF((43)=(E3),IF(("outputline")=(INDEX(B1:XFD1,(A2)+(0))),B2,E46),E46))</f>
        <v>#VALUE!</v>
      </c>
      <c r="F46" t="e">
        <f ca="1">IF((A1)=(2),1,IF((43)=(F3),IF(IF((INDEX(B1:XFD1,(A2)+(0)))=("store"),(INDEX(B1:XFD1,(A2)+(1)))=("F"),"false"),B2,F46),F46))</f>
        <v>#VALUE!</v>
      </c>
      <c r="G46" t="e">
        <f ca="1">IF((A1)=(2),1,IF((43)=(G3),IF(IF((INDEX(B1:XFD1,(A2)+(0)))=("store"),(INDEX(B1:XFD1,(A2)+(1)))=("G"),"false"),B2,G46),G46))</f>
        <v>#VALUE!</v>
      </c>
      <c r="H46" t="e">
        <f ca="1">IF((A1)=(2),1,IF((43)=(H3),IF(IF((INDEX(B1:XFD1,(A2)+(0)))=("store"),(INDEX(B1:XFD1,(A2)+(1)))=("H"),"false"),B2,H46),H46))</f>
        <v>#VALUE!</v>
      </c>
      <c r="I46" t="e">
        <f ca="1">IF((A1)=(2),1,IF((43)=(I3),IF(IF((INDEX(B1:XFD1,(A2)+(0)))=("store"),(INDEX(B1:XFD1,(A2)+(1)))=("I"),"false"),B2,I46),I46))</f>
        <v>#VALUE!</v>
      </c>
      <c r="J46" t="e">
        <f ca="1">IF((A1)=(2),1,IF((43)=(J3),IF(IF((INDEX(B1:XFD1,(A2)+(0)))=("store"),(INDEX(B1:XFD1,(A2)+(1)))=("J"),"false"),B2,J46),J46))</f>
        <v>#VALUE!</v>
      </c>
    </row>
    <row r="47" spans="1:10" x14ac:dyDescent="0.25">
      <c r="A47" t="e">
        <f ca="1">IF((A1)=(2),1,IF((44)=(A3),IF(("call")=(INDEX(B1:XFD1,(A2)+(0))),((B2)*(2))+(1),IF(("goto")=(INDEX(B1:XFD1,(A2)+(0))),((INDEX(B1:XFD1,(A2)+(1)))*(2))+(1),IF(("gotoiftrue")=(INDEX(B1:XFD1,(A2)+(0))),IF(B2,((INDEX(B1:XFD1,(A2)+(1)))*(2))+(1),(A47)+(2)),(A47)+(2)))),A47))</f>
        <v>#VALUE!</v>
      </c>
      <c r="B47" t="e">
        <f ca="1">IF((A1)=(2),1,IF((44)=(B3),IF(("push")=(INDEX(B1:XFD1,(A2)+(0))),INDEX(B1:XFD1,(A2)+(1)),IF(("load")=(INDEX(B1:XFD1,(A2)+(0))),INDEX(F2:XFD2,INDEX(B1:XFD1,(A2)+(1))),IF(("newheap")=(INDEX(B1:XFD1,(A2)+(0))),(C3)-(2),IF(("getheap")=(INDEX(B1:XFD1,(A2)+(0))),INDEX(C4:C204,(B47)+(1)),IF(("add")=(INDEX(B1:XFD1,(A2)+(0))),(INDEX(B4:B204,(B3)+(1)))+(B47),IF(("equals")=(INDEX(B1:XFD1,(A2)+(0))),(INDEX(B4:B204,(B3)+(1)))=(B47),IF(("leq")=(INDEX(B1:XFD1,(A2)+(0))),(INDEX(B4:B204,(B3)+(1)))&lt;=(B47),B47))))))),B47))</f>
        <v>#VALUE!</v>
      </c>
      <c r="C47" t="e">
        <f ca="1">IF((A1)=(2),1,IF(AND((INDEX(B1:XFD1,(A2)+(0)))=("writeheap"),(INDEX(B4:B204,(B3)+(1)))=(43)),INDEX(B4:B204,(B3)+(2)),IF((A1)=(2),1,IF((44)=(C3),C47,C47))))</f>
        <v>#VALUE!</v>
      </c>
      <c r="E47" t="e">
        <f ca="1">IF((A1)=(2),1,IF((44)=(E3),IF(("outputline")=(INDEX(B1:XFD1,(A2)+(0))),B2,E47),E47))</f>
        <v>#VALUE!</v>
      </c>
      <c r="F47" t="e">
        <f ca="1">IF((A1)=(2),1,IF((44)=(F3),IF(IF((INDEX(B1:XFD1,(A2)+(0)))=("store"),(INDEX(B1:XFD1,(A2)+(1)))=("F"),"false"),B2,F47),F47))</f>
        <v>#VALUE!</v>
      </c>
      <c r="G47" t="e">
        <f ca="1">IF((A1)=(2),1,IF((44)=(G3),IF(IF((INDEX(B1:XFD1,(A2)+(0)))=("store"),(INDEX(B1:XFD1,(A2)+(1)))=("G"),"false"),B2,G47),G47))</f>
        <v>#VALUE!</v>
      </c>
      <c r="H47" t="e">
        <f ca="1">IF((A1)=(2),1,IF((44)=(H3),IF(IF((INDEX(B1:XFD1,(A2)+(0)))=("store"),(INDEX(B1:XFD1,(A2)+(1)))=("H"),"false"),B2,H47),H47))</f>
        <v>#VALUE!</v>
      </c>
      <c r="I47" t="e">
        <f ca="1">IF((A1)=(2),1,IF((44)=(I3),IF(IF((INDEX(B1:XFD1,(A2)+(0)))=("store"),(INDEX(B1:XFD1,(A2)+(1)))=("I"),"false"),B2,I47),I47))</f>
        <v>#VALUE!</v>
      </c>
      <c r="J47" t="e">
        <f ca="1">IF((A1)=(2),1,IF((44)=(J3),IF(IF((INDEX(B1:XFD1,(A2)+(0)))=("store"),(INDEX(B1:XFD1,(A2)+(1)))=("J"),"false"),B2,J47),J47))</f>
        <v>#VALUE!</v>
      </c>
    </row>
    <row r="48" spans="1:10" x14ac:dyDescent="0.25">
      <c r="A48" t="e">
        <f ca="1">IF((A1)=(2),1,IF((45)=(A3),IF(("call")=(INDEX(B1:XFD1,(A2)+(0))),((B2)*(2))+(1),IF(("goto")=(INDEX(B1:XFD1,(A2)+(0))),((INDEX(B1:XFD1,(A2)+(1)))*(2))+(1),IF(("gotoiftrue")=(INDEX(B1:XFD1,(A2)+(0))),IF(B2,((INDEX(B1:XFD1,(A2)+(1)))*(2))+(1),(A48)+(2)),(A48)+(2)))),A48))</f>
        <v>#VALUE!</v>
      </c>
      <c r="B48" t="e">
        <f ca="1">IF((A1)=(2),1,IF((45)=(B3),IF(("push")=(INDEX(B1:XFD1,(A2)+(0))),INDEX(B1:XFD1,(A2)+(1)),IF(("load")=(INDEX(B1:XFD1,(A2)+(0))),INDEX(F2:XFD2,INDEX(B1:XFD1,(A2)+(1))),IF(("newheap")=(INDEX(B1:XFD1,(A2)+(0))),(C3)-(2),IF(("getheap")=(INDEX(B1:XFD1,(A2)+(0))),INDEX(C4:C204,(B48)+(1)),IF(("add")=(INDEX(B1:XFD1,(A2)+(0))),(INDEX(B4:B204,(B3)+(1)))+(B48),IF(("equals")=(INDEX(B1:XFD1,(A2)+(0))),(INDEX(B4:B204,(B3)+(1)))=(B48),IF(("leq")=(INDEX(B1:XFD1,(A2)+(0))),(INDEX(B4:B204,(B3)+(1)))&lt;=(B48),B48))))))),B48))</f>
        <v>#VALUE!</v>
      </c>
      <c r="C48" t="e">
        <f ca="1">IF((A1)=(2),1,IF(AND((INDEX(B1:XFD1,(A2)+(0)))=("writeheap"),(INDEX(B4:B204,(B3)+(1)))=(44)),INDEX(B4:B204,(B3)+(2)),IF((A1)=(2),1,IF((45)=(C3),C48,C48))))</f>
        <v>#VALUE!</v>
      </c>
      <c r="E48" t="e">
        <f ca="1">IF((A1)=(2),1,IF((45)=(E3),IF(("outputline")=(INDEX(B1:XFD1,(A2)+(0))),B2,E48),E48))</f>
        <v>#VALUE!</v>
      </c>
      <c r="F48" t="e">
        <f ca="1">IF((A1)=(2),1,IF((45)=(F3),IF(IF((INDEX(B1:XFD1,(A2)+(0)))=("store"),(INDEX(B1:XFD1,(A2)+(1)))=("F"),"false"),B2,F48),F48))</f>
        <v>#VALUE!</v>
      </c>
      <c r="G48" t="e">
        <f ca="1">IF((A1)=(2),1,IF((45)=(G3),IF(IF((INDEX(B1:XFD1,(A2)+(0)))=("store"),(INDEX(B1:XFD1,(A2)+(1)))=("G"),"false"),B2,G48),G48))</f>
        <v>#VALUE!</v>
      </c>
      <c r="H48" t="e">
        <f ca="1">IF((A1)=(2),1,IF((45)=(H3),IF(IF((INDEX(B1:XFD1,(A2)+(0)))=("store"),(INDEX(B1:XFD1,(A2)+(1)))=("H"),"false"),B2,H48),H48))</f>
        <v>#VALUE!</v>
      </c>
      <c r="I48" t="e">
        <f ca="1">IF((A1)=(2),1,IF((45)=(I3),IF(IF((INDEX(B1:XFD1,(A2)+(0)))=("store"),(INDEX(B1:XFD1,(A2)+(1)))=("I"),"false"),B2,I48),I48))</f>
        <v>#VALUE!</v>
      </c>
      <c r="J48" t="e">
        <f ca="1">IF((A1)=(2),1,IF((45)=(J3),IF(IF((INDEX(B1:XFD1,(A2)+(0)))=("store"),(INDEX(B1:XFD1,(A2)+(1)))=("J"),"false"),B2,J48),J48))</f>
        <v>#VALUE!</v>
      </c>
    </row>
    <row r="49" spans="1:10" x14ac:dyDescent="0.25">
      <c r="A49" t="e">
        <f ca="1">IF((A1)=(2),1,IF((46)=(A3),IF(("call")=(INDEX(B1:XFD1,(A2)+(0))),((B2)*(2))+(1),IF(("goto")=(INDEX(B1:XFD1,(A2)+(0))),((INDEX(B1:XFD1,(A2)+(1)))*(2))+(1),IF(("gotoiftrue")=(INDEX(B1:XFD1,(A2)+(0))),IF(B2,((INDEX(B1:XFD1,(A2)+(1)))*(2))+(1),(A49)+(2)),(A49)+(2)))),A49))</f>
        <v>#VALUE!</v>
      </c>
      <c r="B49" t="e">
        <f ca="1">IF((A1)=(2),1,IF((46)=(B3),IF(("push")=(INDEX(B1:XFD1,(A2)+(0))),INDEX(B1:XFD1,(A2)+(1)),IF(("load")=(INDEX(B1:XFD1,(A2)+(0))),INDEX(F2:XFD2,INDEX(B1:XFD1,(A2)+(1))),IF(("newheap")=(INDEX(B1:XFD1,(A2)+(0))),(C3)-(2),IF(("getheap")=(INDEX(B1:XFD1,(A2)+(0))),INDEX(C4:C204,(B49)+(1)),IF(("add")=(INDEX(B1:XFD1,(A2)+(0))),(INDEX(B4:B204,(B3)+(1)))+(B49),IF(("equals")=(INDEX(B1:XFD1,(A2)+(0))),(INDEX(B4:B204,(B3)+(1)))=(B49),IF(("leq")=(INDEX(B1:XFD1,(A2)+(0))),(INDEX(B4:B204,(B3)+(1)))&lt;=(B49),B49))))))),B49))</f>
        <v>#VALUE!</v>
      </c>
      <c r="C49" t="e">
        <f ca="1">IF((A1)=(2),1,IF(AND((INDEX(B1:XFD1,(A2)+(0)))=("writeheap"),(INDEX(B4:B204,(B3)+(1)))=(45)),INDEX(B4:B204,(B3)+(2)),IF((A1)=(2),1,IF((46)=(C3),C49,C49))))</f>
        <v>#VALUE!</v>
      </c>
      <c r="E49" t="e">
        <f ca="1">IF((A1)=(2),1,IF((46)=(E3),IF(("outputline")=(INDEX(B1:XFD1,(A2)+(0))),B2,E49),E49))</f>
        <v>#VALUE!</v>
      </c>
      <c r="F49" t="e">
        <f ca="1">IF((A1)=(2),1,IF((46)=(F3),IF(IF((INDEX(B1:XFD1,(A2)+(0)))=("store"),(INDEX(B1:XFD1,(A2)+(1)))=("F"),"false"),B2,F49),F49))</f>
        <v>#VALUE!</v>
      </c>
      <c r="G49" t="e">
        <f ca="1">IF((A1)=(2),1,IF((46)=(G3),IF(IF((INDEX(B1:XFD1,(A2)+(0)))=("store"),(INDEX(B1:XFD1,(A2)+(1)))=("G"),"false"),B2,G49),G49))</f>
        <v>#VALUE!</v>
      </c>
      <c r="H49" t="e">
        <f ca="1">IF((A1)=(2),1,IF((46)=(H3),IF(IF((INDEX(B1:XFD1,(A2)+(0)))=("store"),(INDEX(B1:XFD1,(A2)+(1)))=("H"),"false"),B2,H49),H49))</f>
        <v>#VALUE!</v>
      </c>
      <c r="I49" t="e">
        <f ca="1">IF((A1)=(2),1,IF((46)=(I3),IF(IF((INDEX(B1:XFD1,(A2)+(0)))=("store"),(INDEX(B1:XFD1,(A2)+(1)))=("I"),"false"),B2,I49),I49))</f>
        <v>#VALUE!</v>
      </c>
      <c r="J49" t="e">
        <f ca="1">IF((A1)=(2),1,IF((46)=(J3),IF(IF((INDEX(B1:XFD1,(A2)+(0)))=("store"),(INDEX(B1:XFD1,(A2)+(1)))=("J"),"false"),B2,J49),J49))</f>
        <v>#VALUE!</v>
      </c>
    </row>
    <row r="50" spans="1:10" x14ac:dyDescent="0.25">
      <c r="A50" t="e">
        <f ca="1">IF((A1)=(2),1,IF((47)=(A3),IF(("call")=(INDEX(B1:XFD1,(A2)+(0))),((B2)*(2))+(1),IF(("goto")=(INDEX(B1:XFD1,(A2)+(0))),((INDEX(B1:XFD1,(A2)+(1)))*(2))+(1),IF(("gotoiftrue")=(INDEX(B1:XFD1,(A2)+(0))),IF(B2,((INDEX(B1:XFD1,(A2)+(1)))*(2))+(1),(A50)+(2)),(A50)+(2)))),A50))</f>
        <v>#VALUE!</v>
      </c>
      <c r="B50" t="e">
        <f ca="1">IF((A1)=(2),1,IF((47)=(B3),IF(("push")=(INDEX(B1:XFD1,(A2)+(0))),INDEX(B1:XFD1,(A2)+(1)),IF(("load")=(INDEX(B1:XFD1,(A2)+(0))),INDEX(F2:XFD2,INDEX(B1:XFD1,(A2)+(1))),IF(("newheap")=(INDEX(B1:XFD1,(A2)+(0))),(C3)-(2),IF(("getheap")=(INDEX(B1:XFD1,(A2)+(0))),INDEX(C4:C204,(B50)+(1)),IF(("add")=(INDEX(B1:XFD1,(A2)+(0))),(INDEX(B4:B204,(B3)+(1)))+(B50),IF(("equals")=(INDEX(B1:XFD1,(A2)+(0))),(INDEX(B4:B204,(B3)+(1)))=(B50),IF(("leq")=(INDEX(B1:XFD1,(A2)+(0))),(INDEX(B4:B204,(B3)+(1)))&lt;=(B50),B50))))))),B50))</f>
        <v>#VALUE!</v>
      </c>
      <c r="C50" t="e">
        <f ca="1">IF((A1)=(2),1,IF(AND((INDEX(B1:XFD1,(A2)+(0)))=("writeheap"),(INDEX(B4:B204,(B3)+(1)))=(46)),INDEX(B4:B204,(B3)+(2)),IF((A1)=(2),1,IF((47)=(C3),C50,C50))))</f>
        <v>#VALUE!</v>
      </c>
      <c r="E50" t="e">
        <f ca="1">IF((A1)=(2),1,IF((47)=(E3),IF(("outputline")=(INDEX(B1:XFD1,(A2)+(0))),B2,E50),E50))</f>
        <v>#VALUE!</v>
      </c>
      <c r="F50" t="e">
        <f ca="1">IF((A1)=(2),1,IF((47)=(F3),IF(IF((INDEX(B1:XFD1,(A2)+(0)))=("store"),(INDEX(B1:XFD1,(A2)+(1)))=("F"),"false"),B2,F50),F50))</f>
        <v>#VALUE!</v>
      </c>
      <c r="G50" t="e">
        <f ca="1">IF((A1)=(2),1,IF((47)=(G3),IF(IF((INDEX(B1:XFD1,(A2)+(0)))=("store"),(INDEX(B1:XFD1,(A2)+(1)))=("G"),"false"),B2,G50),G50))</f>
        <v>#VALUE!</v>
      </c>
      <c r="H50" t="e">
        <f ca="1">IF((A1)=(2),1,IF((47)=(H3),IF(IF((INDEX(B1:XFD1,(A2)+(0)))=("store"),(INDEX(B1:XFD1,(A2)+(1)))=("H"),"false"),B2,H50),H50))</f>
        <v>#VALUE!</v>
      </c>
      <c r="I50" t="e">
        <f ca="1">IF((A1)=(2),1,IF((47)=(I3),IF(IF((INDEX(B1:XFD1,(A2)+(0)))=("store"),(INDEX(B1:XFD1,(A2)+(1)))=("I"),"false"),B2,I50),I50))</f>
        <v>#VALUE!</v>
      </c>
      <c r="J50" t="e">
        <f ca="1">IF((A1)=(2),1,IF((47)=(J3),IF(IF((INDEX(B1:XFD1,(A2)+(0)))=("store"),(INDEX(B1:XFD1,(A2)+(1)))=("J"),"false"),B2,J50),J50))</f>
        <v>#VALUE!</v>
      </c>
    </row>
    <row r="51" spans="1:10" x14ac:dyDescent="0.25">
      <c r="A51" t="e">
        <f ca="1">IF((A1)=(2),1,IF((48)=(A3),IF(("call")=(INDEX(B1:XFD1,(A2)+(0))),((B2)*(2))+(1),IF(("goto")=(INDEX(B1:XFD1,(A2)+(0))),((INDEX(B1:XFD1,(A2)+(1)))*(2))+(1),IF(("gotoiftrue")=(INDEX(B1:XFD1,(A2)+(0))),IF(B2,((INDEX(B1:XFD1,(A2)+(1)))*(2))+(1),(A51)+(2)),(A51)+(2)))),A51))</f>
        <v>#VALUE!</v>
      </c>
      <c r="B51" t="e">
        <f ca="1">IF((A1)=(2),1,IF((48)=(B3),IF(("push")=(INDEX(B1:XFD1,(A2)+(0))),INDEX(B1:XFD1,(A2)+(1)),IF(("load")=(INDEX(B1:XFD1,(A2)+(0))),INDEX(F2:XFD2,INDEX(B1:XFD1,(A2)+(1))),IF(("newheap")=(INDEX(B1:XFD1,(A2)+(0))),(C3)-(2),IF(("getheap")=(INDEX(B1:XFD1,(A2)+(0))),INDEX(C4:C204,(B51)+(1)),IF(("add")=(INDEX(B1:XFD1,(A2)+(0))),(INDEX(B4:B204,(B3)+(1)))+(B51),IF(("equals")=(INDEX(B1:XFD1,(A2)+(0))),(INDEX(B4:B204,(B3)+(1)))=(B51),IF(("leq")=(INDEX(B1:XFD1,(A2)+(0))),(INDEX(B4:B204,(B3)+(1)))&lt;=(B51),B51))))))),B51))</f>
        <v>#VALUE!</v>
      </c>
      <c r="C51" t="e">
        <f ca="1">IF((A1)=(2),1,IF(AND((INDEX(B1:XFD1,(A2)+(0)))=("writeheap"),(INDEX(B4:B204,(B3)+(1)))=(47)),INDEX(B4:B204,(B3)+(2)),IF((A1)=(2),1,IF((48)=(C3),C51,C51))))</f>
        <v>#VALUE!</v>
      </c>
      <c r="E51" t="e">
        <f ca="1">IF((A1)=(2),1,IF((48)=(E3),IF(("outputline")=(INDEX(B1:XFD1,(A2)+(0))),B2,E51),E51))</f>
        <v>#VALUE!</v>
      </c>
      <c r="F51" t="e">
        <f ca="1">IF((A1)=(2),1,IF((48)=(F3),IF(IF((INDEX(B1:XFD1,(A2)+(0)))=("store"),(INDEX(B1:XFD1,(A2)+(1)))=("F"),"false"),B2,F51),F51))</f>
        <v>#VALUE!</v>
      </c>
      <c r="G51" t="e">
        <f ca="1">IF((A1)=(2),1,IF((48)=(G3),IF(IF((INDEX(B1:XFD1,(A2)+(0)))=("store"),(INDEX(B1:XFD1,(A2)+(1)))=("G"),"false"),B2,G51),G51))</f>
        <v>#VALUE!</v>
      </c>
      <c r="H51" t="e">
        <f ca="1">IF((A1)=(2),1,IF((48)=(H3),IF(IF((INDEX(B1:XFD1,(A2)+(0)))=("store"),(INDEX(B1:XFD1,(A2)+(1)))=("H"),"false"),B2,H51),H51))</f>
        <v>#VALUE!</v>
      </c>
      <c r="I51" t="e">
        <f ca="1">IF((A1)=(2),1,IF((48)=(I3),IF(IF((INDEX(B1:XFD1,(A2)+(0)))=("store"),(INDEX(B1:XFD1,(A2)+(1)))=("I"),"false"),B2,I51),I51))</f>
        <v>#VALUE!</v>
      </c>
      <c r="J51" t="e">
        <f ca="1">IF((A1)=(2),1,IF((48)=(J3),IF(IF((INDEX(B1:XFD1,(A2)+(0)))=("store"),(INDEX(B1:XFD1,(A2)+(1)))=("J"),"false"),B2,J51),J51))</f>
        <v>#VALUE!</v>
      </c>
    </row>
    <row r="52" spans="1:10" x14ac:dyDescent="0.25">
      <c r="A52" t="e">
        <f ca="1">IF((A1)=(2),1,IF((49)=(A3),IF(("call")=(INDEX(B1:XFD1,(A2)+(0))),((B2)*(2))+(1),IF(("goto")=(INDEX(B1:XFD1,(A2)+(0))),((INDEX(B1:XFD1,(A2)+(1)))*(2))+(1),IF(("gotoiftrue")=(INDEX(B1:XFD1,(A2)+(0))),IF(B2,((INDEX(B1:XFD1,(A2)+(1)))*(2))+(1),(A52)+(2)),(A52)+(2)))),A52))</f>
        <v>#VALUE!</v>
      </c>
      <c r="B52" t="e">
        <f ca="1">IF((A1)=(2),1,IF((49)=(B3),IF(("push")=(INDEX(B1:XFD1,(A2)+(0))),INDEX(B1:XFD1,(A2)+(1)),IF(("load")=(INDEX(B1:XFD1,(A2)+(0))),INDEX(F2:XFD2,INDEX(B1:XFD1,(A2)+(1))),IF(("newheap")=(INDEX(B1:XFD1,(A2)+(0))),(C3)-(2),IF(("getheap")=(INDEX(B1:XFD1,(A2)+(0))),INDEX(C4:C204,(B52)+(1)),IF(("add")=(INDEX(B1:XFD1,(A2)+(0))),(INDEX(B4:B204,(B3)+(1)))+(B52),IF(("equals")=(INDEX(B1:XFD1,(A2)+(0))),(INDEX(B4:B204,(B3)+(1)))=(B52),IF(("leq")=(INDEX(B1:XFD1,(A2)+(0))),(INDEX(B4:B204,(B3)+(1)))&lt;=(B52),B52))))))),B52))</f>
        <v>#VALUE!</v>
      </c>
      <c r="C52" t="e">
        <f ca="1">IF((A1)=(2),1,IF(AND((INDEX(B1:XFD1,(A2)+(0)))=("writeheap"),(INDEX(B4:B204,(B3)+(1)))=(48)),INDEX(B4:B204,(B3)+(2)),IF((A1)=(2),1,IF((49)=(C3),C52,C52))))</f>
        <v>#VALUE!</v>
      </c>
      <c r="E52" t="e">
        <f ca="1">IF((A1)=(2),1,IF((49)=(E3),IF(("outputline")=(INDEX(B1:XFD1,(A2)+(0))),B2,E52),E52))</f>
        <v>#VALUE!</v>
      </c>
      <c r="F52" t="e">
        <f ca="1">IF((A1)=(2),1,IF((49)=(F3),IF(IF((INDEX(B1:XFD1,(A2)+(0)))=("store"),(INDEX(B1:XFD1,(A2)+(1)))=("F"),"false"),B2,F52),F52))</f>
        <v>#VALUE!</v>
      </c>
      <c r="G52" t="e">
        <f ca="1">IF((A1)=(2),1,IF((49)=(G3),IF(IF((INDEX(B1:XFD1,(A2)+(0)))=("store"),(INDEX(B1:XFD1,(A2)+(1)))=("G"),"false"),B2,G52),G52))</f>
        <v>#VALUE!</v>
      </c>
      <c r="H52" t="e">
        <f ca="1">IF((A1)=(2),1,IF((49)=(H3),IF(IF((INDEX(B1:XFD1,(A2)+(0)))=("store"),(INDEX(B1:XFD1,(A2)+(1)))=("H"),"false"),B2,H52),H52))</f>
        <v>#VALUE!</v>
      </c>
      <c r="I52" t="e">
        <f ca="1">IF((A1)=(2),1,IF((49)=(I3),IF(IF((INDEX(B1:XFD1,(A2)+(0)))=("store"),(INDEX(B1:XFD1,(A2)+(1)))=("I"),"false"),B2,I52),I52))</f>
        <v>#VALUE!</v>
      </c>
      <c r="J52" t="e">
        <f ca="1">IF((A1)=(2),1,IF((49)=(J3),IF(IF((INDEX(B1:XFD1,(A2)+(0)))=("store"),(INDEX(B1:XFD1,(A2)+(1)))=("J"),"false"),B2,J52),J52))</f>
        <v>#VALUE!</v>
      </c>
    </row>
    <row r="53" spans="1:10" x14ac:dyDescent="0.25">
      <c r="A53" t="e">
        <f ca="1">IF((A1)=(2),1,IF((50)=(A3),IF(("call")=(INDEX(B1:XFD1,(A2)+(0))),((B2)*(2))+(1),IF(("goto")=(INDEX(B1:XFD1,(A2)+(0))),((INDEX(B1:XFD1,(A2)+(1)))*(2))+(1),IF(("gotoiftrue")=(INDEX(B1:XFD1,(A2)+(0))),IF(B2,((INDEX(B1:XFD1,(A2)+(1)))*(2))+(1),(A53)+(2)),(A53)+(2)))),A53))</f>
        <v>#VALUE!</v>
      </c>
      <c r="B53" t="e">
        <f ca="1">IF((A1)=(2),1,IF((50)=(B3),IF(("push")=(INDEX(B1:XFD1,(A2)+(0))),INDEX(B1:XFD1,(A2)+(1)),IF(("load")=(INDEX(B1:XFD1,(A2)+(0))),INDEX(F2:XFD2,INDEX(B1:XFD1,(A2)+(1))),IF(("newheap")=(INDEX(B1:XFD1,(A2)+(0))),(C3)-(2),IF(("getheap")=(INDEX(B1:XFD1,(A2)+(0))),INDEX(C4:C204,(B53)+(1)),IF(("add")=(INDEX(B1:XFD1,(A2)+(0))),(INDEX(B4:B204,(B3)+(1)))+(B53),IF(("equals")=(INDEX(B1:XFD1,(A2)+(0))),(INDEX(B4:B204,(B3)+(1)))=(B53),IF(("leq")=(INDEX(B1:XFD1,(A2)+(0))),(INDEX(B4:B204,(B3)+(1)))&lt;=(B53),B53))))))),B53))</f>
        <v>#VALUE!</v>
      </c>
      <c r="C53" t="e">
        <f ca="1">IF((A1)=(2),1,IF(AND((INDEX(B1:XFD1,(A2)+(0)))=("writeheap"),(INDEX(B4:B204,(B3)+(1)))=(49)),INDEX(B4:B204,(B3)+(2)),IF((A1)=(2),1,IF((50)=(C3),C53,C53))))</f>
        <v>#VALUE!</v>
      </c>
      <c r="E53" t="e">
        <f ca="1">IF((A1)=(2),1,IF((50)=(E3),IF(("outputline")=(INDEX(B1:XFD1,(A2)+(0))),B2,E53),E53))</f>
        <v>#VALUE!</v>
      </c>
      <c r="F53" t="e">
        <f ca="1">IF((A1)=(2),1,IF((50)=(F3),IF(IF((INDEX(B1:XFD1,(A2)+(0)))=("store"),(INDEX(B1:XFD1,(A2)+(1)))=("F"),"false"),B2,F53),F53))</f>
        <v>#VALUE!</v>
      </c>
      <c r="G53" t="e">
        <f ca="1">IF((A1)=(2),1,IF((50)=(G3),IF(IF((INDEX(B1:XFD1,(A2)+(0)))=("store"),(INDEX(B1:XFD1,(A2)+(1)))=("G"),"false"),B2,G53),G53))</f>
        <v>#VALUE!</v>
      </c>
      <c r="H53" t="e">
        <f ca="1">IF((A1)=(2),1,IF((50)=(H3),IF(IF((INDEX(B1:XFD1,(A2)+(0)))=("store"),(INDEX(B1:XFD1,(A2)+(1)))=("H"),"false"),B2,H53),H53))</f>
        <v>#VALUE!</v>
      </c>
      <c r="I53" t="e">
        <f ca="1">IF((A1)=(2),1,IF((50)=(I3),IF(IF((INDEX(B1:XFD1,(A2)+(0)))=("store"),(INDEX(B1:XFD1,(A2)+(1)))=("I"),"false"),B2,I53),I53))</f>
        <v>#VALUE!</v>
      </c>
      <c r="J53" t="e">
        <f ca="1">IF((A1)=(2),1,IF((50)=(J3),IF(IF((INDEX(B1:XFD1,(A2)+(0)))=("store"),(INDEX(B1:XFD1,(A2)+(1)))=("J"),"false"),B2,J53),J53))</f>
        <v>#VALUE!</v>
      </c>
    </row>
    <row r="54" spans="1:10" x14ac:dyDescent="0.25">
      <c r="A54" t="e">
        <f ca="1">IF((A1)=(2),1,IF((51)=(A3),IF(("call")=(INDEX(B1:XFD1,(A2)+(0))),((B2)*(2))+(1),IF(("goto")=(INDEX(B1:XFD1,(A2)+(0))),((INDEX(B1:XFD1,(A2)+(1)))*(2))+(1),IF(("gotoiftrue")=(INDEX(B1:XFD1,(A2)+(0))),IF(B2,((INDEX(B1:XFD1,(A2)+(1)))*(2))+(1),(A54)+(2)),(A54)+(2)))),A54))</f>
        <v>#VALUE!</v>
      </c>
      <c r="B54" t="e">
        <f ca="1">IF((A1)=(2),1,IF((51)=(B3),IF(("push")=(INDEX(B1:XFD1,(A2)+(0))),INDEX(B1:XFD1,(A2)+(1)),IF(("load")=(INDEX(B1:XFD1,(A2)+(0))),INDEX(F2:XFD2,INDEX(B1:XFD1,(A2)+(1))),IF(("newheap")=(INDEX(B1:XFD1,(A2)+(0))),(C3)-(2),IF(("getheap")=(INDEX(B1:XFD1,(A2)+(0))),INDEX(C4:C204,(B54)+(1)),IF(("add")=(INDEX(B1:XFD1,(A2)+(0))),(INDEX(B4:B204,(B3)+(1)))+(B54),IF(("equals")=(INDEX(B1:XFD1,(A2)+(0))),(INDEX(B4:B204,(B3)+(1)))=(B54),IF(("leq")=(INDEX(B1:XFD1,(A2)+(0))),(INDEX(B4:B204,(B3)+(1)))&lt;=(B54),B54))))))),B54))</f>
        <v>#VALUE!</v>
      </c>
      <c r="C54" t="e">
        <f ca="1">IF((A1)=(2),1,IF(AND((INDEX(B1:XFD1,(A2)+(0)))=("writeheap"),(INDEX(B4:B204,(B3)+(1)))=(50)),INDEX(B4:B204,(B3)+(2)),IF((A1)=(2),1,IF((51)=(C3),C54,C54))))</f>
        <v>#VALUE!</v>
      </c>
      <c r="E54" t="e">
        <f ca="1">IF((A1)=(2),1,IF((51)=(E3),IF(("outputline")=(INDEX(B1:XFD1,(A2)+(0))),B2,E54),E54))</f>
        <v>#VALUE!</v>
      </c>
      <c r="F54" t="e">
        <f ca="1">IF((A1)=(2),1,IF((51)=(F3),IF(IF((INDEX(B1:XFD1,(A2)+(0)))=("store"),(INDEX(B1:XFD1,(A2)+(1)))=("F"),"false"),B2,F54),F54))</f>
        <v>#VALUE!</v>
      </c>
      <c r="G54" t="e">
        <f ca="1">IF((A1)=(2),1,IF((51)=(G3),IF(IF((INDEX(B1:XFD1,(A2)+(0)))=("store"),(INDEX(B1:XFD1,(A2)+(1)))=("G"),"false"),B2,G54),G54))</f>
        <v>#VALUE!</v>
      </c>
      <c r="H54" t="e">
        <f ca="1">IF((A1)=(2),1,IF((51)=(H3),IF(IF((INDEX(B1:XFD1,(A2)+(0)))=("store"),(INDEX(B1:XFD1,(A2)+(1)))=("H"),"false"),B2,H54),H54))</f>
        <v>#VALUE!</v>
      </c>
      <c r="I54" t="e">
        <f ca="1">IF((A1)=(2),1,IF((51)=(I3),IF(IF((INDEX(B1:XFD1,(A2)+(0)))=("store"),(INDEX(B1:XFD1,(A2)+(1)))=("I"),"false"),B2,I54),I54))</f>
        <v>#VALUE!</v>
      </c>
      <c r="J54" t="e">
        <f ca="1">IF((A1)=(2),1,IF((51)=(J3),IF(IF((INDEX(B1:XFD1,(A2)+(0)))=("store"),(INDEX(B1:XFD1,(A2)+(1)))=("J"),"false"),B2,J54),J54))</f>
        <v>#VALUE!</v>
      </c>
    </row>
    <row r="55" spans="1:10" x14ac:dyDescent="0.25">
      <c r="A55" t="e">
        <f ca="1">IF((A1)=(2),1,IF((52)=(A3),IF(("call")=(INDEX(B1:XFD1,(A2)+(0))),((B2)*(2))+(1),IF(("goto")=(INDEX(B1:XFD1,(A2)+(0))),((INDEX(B1:XFD1,(A2)+(1)))*(2))+(1),IF(("gotoiftrue")=(INDEX(B1:XFD1,(A2)+(0))),IF(B2,((INDEX(B1:XFD1,(A2)+(1)))*(2))+(1),(A55)+(2)),(A55)+(2)))),A55))</f>
        <v>#VALUE!</v>
      </c>
      <c r="B55" t="e">
        <f ca="1">IF((A1)=(2),1,IF((52)=(B3),IF(("push")=(INDEX(B1:XFD1,(A2)+(0))),INDEX(B1:XFD1,(A2)+(1)),IF(("load")=(INDEX(B1:XFD1,(A2)+(0))),INDEX(F2:XFD2,INDEX(B1:XFD1,(A2)+(1))),IF(("newheap")=(INDEX(B1:XFD1,(A2)+(0))),(C3)-(2),IF(("getheap")=(INDEX(B1:XFD1,(A2)+(0))),INDEX(C4:C204,(B55)+(1)),IF(("add")=(INDEX(B1:XFD1,(A2)+(0))),(INDEX(B4:B204,(B3)+(1)))+(B55),IF(("equals")=(INDEX(B1:XFD1,(A2)+(0))),(INDEX(B4:B204,(B3)+(1)))=(B55),IF(("leq")=(INDEX(B1:XFD1,(A2)+(0))),(INDEX(B4:B204,(B3)+(1)))&lt;=(B55),B55))))))),B55))</f>
        <v>#VALUE!</v>
      </c>
      <c r="C55" t="e">
        <f ca="1">IF((A1)=(2),1,IF(AND((INDEX(B1:XFD1,(A2)+(0)))=("writeheap"),(INDEX(B4:B204,(B3)+(1)))=(51)),INDEX(B4:B204,(B3)+(2)),IF((A1)=(2),1,IF((52)=(C3),C55,C55))))</f>
        <v>#VALUE!</v>
      </c>
      <c r="E55" t="e">
        <f ca="1">IF((A1)=(2),1,IF((52)=(E3),IF(("outputline")=(INDEX(B1:XFD1,(A2)+(0))),B2,E55),E55))</f>
        <v>#VALUE!</v>
      </c>
      <c r="F55" t="e">
        <f ca="1">IF((A1)=(2),1,IF((52)=(F3),IF(IF((INDEX(B1:XFD1,(A2)+(0)))=("store"),(INDEX(B1:XFD1,(A2)+(1)))=("F"),"false"),B2,F55),F55))</f>
        <v>#VALUE!</v>
      </c>
      <c r="G55" t="e">
        <f ca="1">IF((A1)=(2),1,IF((52)=(G3),IF(IF((INDEX(B1:XFD1,(A2)+(0)))=("store"),(INDEX(B1:XFD1,(A2)+(1)))=("G"),"false"),B2,G55),G55))</f>
        <v>#VALUE!</v>
      </c>
      <c r="H55" t="e">
        <f ca="1">IF((A1)=(2),1,IF((52)=(H3),IF(IF((INDEX(B1:XFD1,(A2)+(0)))=("store"),(INDEX(B1:XFD1,(A2)+(1)))=("H"),"false"),B2,H55),H55))</f>
        <v>#VALUE!</v>
      </c>
      <c r="I55" t="e">
        <f ca="1">IF((A1)=(2),1,IF((52)=(I3),IF(IF((INDEX(B1:XFD1,(A2)+(0)))=("store"),(INDEX(B1:XFD1,(A2)+(1)))=("I"),"false"),B2,I55),I55))</f>
        <v>#VALUE!</v>
      </c>
      <c r="J55" t="e">
        <f ca="1">IF((A1)=(2),1,IF((52)=(J3),IF(IF((INDEX(B1:XFD1,(A2)+(0)))=("store"),(INDEX(B1:XFD1,(A2)+(1)))=("J"),"false"),B2,J55),J55))</f>
        <v>#VALUE!</v>
      </c>
    </row>
    <row r="56" spans="1:10" x14ac:dyDescent="0.25">
      <c r="A56" t="e">
        <f ca="1">IF((A1)=(2),1,IF((53)=(A3),IF(("call")=(INDEX(B1:XFD1,(A2)+(0))),((B2)*(2))+(1),IF(("goto")=(INDEX(B1:XFD1,(A2)+(0))),((INDEX(B1:XFD1,(A2)+(1)))*(2))+(1),IF(("gotoiftrue")=(INDEX(B1:XFD1,(A2)+(0))),IF(B2,((INDEX(B1:XFD1,(A2)+(1)))*(2))+(1),(A56)+(2)),(A56)+(2)))),A56))</f>
        <v>#VALUE!</v>
      </c>
      <c r="B56" t="e">
        <f ca="1">IF((A1)=(2),1,IF((53)=(B3),IF(("push")=(INDEX(B1:XFD1,(A2)+(0))),INDEX(B1:XFD1,(A2)+(1)),IF(("load")=(INDEX(B1:XFD1,(A2)+(0))),INDEX(F2:XFD2,INDEX(B1:XFD1,(A2)+(1))),IF(("newheap")=(INDEX(B1:XFD1,(A2)+(0))),(C3)-(2),IF(("getheap")=(INDEX(B1:XFD1,(A2)+(0))),INDEX(C4:C204,(B56)+(1)),IF(("add")=(INDEX(B1:XFD1,(A2)+(0))),(INDEX(B4:B204,(B3)+(1)))+(B56),IF(("equals")=(INDEX(B1:XFD1,(A2)+(0))),(INDEX(B4:B204,(B3)+(1)))=(B56),IF(("leq")=(INDEX(B1:XFD1,(A2)+(0))),(INDEX(B4:B204,(B3)+(1)))&lt;=(B56),B56))))))),B56))</f>
        <v>#VALUE!</v>
      </c>
      <c r="C56" t="e">
        <f ca="1">IF((A1)=(2),1,IF(AND((INDEX(B1:XFD1,(A2)+(0)))=("writeheap"),(INDEX(B4:B204,(B3)+(1)))=(52)),INDEX(B4:B204,(B3)+(2)),IF((A1)=(2),1,IF((53)=(C3),C56,C56))))</f>
        <v>#VALUE!</v>
      </c>
      <c r="E56" t="e">
        <f ca="1">IF((A1)=(2),1,IF((53)=(E3),IF(("outputline")=(INDEX(B1:XFD1,(A2)+(0))),B2,E56),E56))</f>
        <v>#VALUE!</v>
      </c>
      <c r="F56" t="e">
        <f ca="1">IF((A1)=(2),1,IF((53)=(F3),IF(IF((INDEX(B1:XFD1,(A2)+(0)))=("store"),(INDEX(B1:XFD1,(A2)+(1)))=("F"),"false"),B2,F56),F56))</f>
        <v>#VALUE!</v>
      </c>
      <c r="G56" t="e">
        <f ca="1">IF((A1)=(2),1,IF((53)=(G3),IF(IF((INDEX(B1:XFD1,(A2)+(0)))=("store"),(INDEX(B1:XFD1,(A2)+(1)))=("G"),"false"),B2,G56),G56))</f>
        <v>#VALUE!</v>
      </c>
      <c r="H56" t="e">
        <f ca="1">IF((A1)=(2),1,IF((53)=(H3),IF(IF((INDEX(B1:XFD1,(A2)+(0)))=("store"),(INDEX(B1:XFD1,(A2)+(1)))=("H"),"false"),B2,H56),H56))</f>
        <v>#VALUE!</v>
      </c>
      <c r="I56" t="e">
        <f ca="1">IF((A1)=(2),1,IF((53)=(I3),IF(IF((INDEX(B1:XFD1,(A2)+(0)))=("store"),(INDEX(B1:XFD1,(A2)+(1)))=("I"),"false"),B2,I56),I56))</f>
        <v>#VALUE!</v>
      </c>
      <c r="J56" t="e">
        <f ca="1">IF((A1)=(2),1,IF((53)=(J3),IF(IF((INDEX(B1:XFD1,(A2)+(0)))=("store"),(INDEX(B1:XFD1,(A2)+(1)))=("J"),"false"),B2,J56),J56))</f>
        <v>#VALUE!</v>
      </c>
    </row>
    <row r="57" spans="1:10" x14ac:dyDescent="0.25">
      <c r="A57" t="e">
        <f ca="1">IF((A1)=(2),1,IF((54)=(A3),IF(("call")=(INDEX(B1:XFD1,(A2)+(0))),((B2)*(2))+(1),IF(("goto")=(INDEX(B1:XFD1,(A2)+(0))),((INDEX(B1:XFD1,(A2)+(1)))*(2))+(1),IF(("gotoiftrue")=(INDEX(B1:XFD1,(A2)+(0))),IF(B2,((INDEX(B1:XFD1,(A2)+(1)))*(2))+(1),(A57)+(2)),(A57)+(2)))),A57))</f>
        <v>#VALUE!</v>
      </c>
      <c r="B57" t="e">
        <f ca="1">IF((A1)=(2),1,IF((54)=(B3),IF(("push")=(INDEX(B1:XFD1,(A2)+(0))),INDEX(B1:XFD1,(A2)+(1)),IF(("load")=(INDEX(B1:XFD1,(A2)+(0))),INDEX(F2:XFD2,INDEX(B1:XFD1,(A2)+(1))),IF(("newheap")=(INDEX(B1:XFD1,(A2)+(0))),(C3)-(2),IF(("getheap")=(INDEX(B1:XFD1,(A2)+(0))),INDEX(C4:C204,(B57)+(1)),IF(("add")=(INDEX(B1:XFD1,(A2)+(0))),(INDEX(B4:B204,(B3)+(1)))+(B57),IF(("equals")=(INDEX(B1:XFD1,(A2)+(0))),(INDEX(B4:B204,(B3)+(1)))=(B57),IF(("leq")=(INDEX(B1:XFD1,(A2)+(0))),(INDEX(B4:B204,(B3)+(1)))&lt;=(B57),B57))))))),B57))</f>
        <v>#VALUE!</v>
      </c>
      <c r="C57" t="e">
        <f ca="1">IF((A1)=(2),1,IF(AND((INDEX(B1:XFD1,(A2)+(0)))=("writeheap"),(INDEX(B4:B204,(B3)+(1)))=(53)),INDEX(B4:B204,(B3)+(2)),IF((A1)=(2),1,IF((54)=(C3),C57,C57))))</f>
        <v>#VALUE!</v>
      </c>
      <c r="E57" t="e">
        <f ca="1">IF((A1)=(2),1,IF((54)=(E3),IF(("outputline")=(INDEX(B1:XFD1,(A2)+(0))),B2,E57),E57))</f>
        <v>#VALUE!</v>
      </c>
      <c r="F57" t="e">
        <f ca="1">IF((A1)=(2),1,IF((54)=(F3),IF(IF((INDEX(B1:XFD1,(A2)+(0)))=("store"),(INDEX(B1:XFD1,(A2)+(1)))=("F"),"false"),B2,F57),F57))</f>
        <v>#VALUE!</v>
      </c>
      <c r="G57" t="e">
        <f ca="1">IF((A1)=(2),1,IF((54)=(G3),IF(IF((INDEX(B1:XFD1,(A2)+(0)))=("store"),(INDEX(B1:XFD1,(A2)+(1)))=("G"),"false"),B2,G57),G57))</f>
        <v>#VALUE!</v>
      </c>
      <c r="H57" t="e">
        <f ca="1">IF((A1)=(2),1,IF((54)=(H3),IF(IF((INDEX(B1:XFD1,(A2)+(0)))=("store"),(INDEX(B1:XFD1,(A2)+(1)))=("H"),"false"),B2,H57),H57))</f>
        <v>#VALUE!</v>
      </c>
      <c r="I57" t="e">
        <f ca="1">IF((A1)=(2),1,IF((54)=(I3),IF(IF((INDEX(B1:XFD1,(A2)+(0)))=("store"),(INDEX(B1:XFD1,(A2)+(1)))=("I"),"false"),B2,I57),I57))</f>
        <v>#VALUE!</v>
      </c>
      <c r="J57" t="e">
        <f ca="1">IF((A1)=(2),1,IF((54)=(J3),IF(IF((INDEX(B1:XFD1,(A2)+(0)))=("store"),(INDEX(B1:XFD1,(A2)+(1)))=("J"),"false"),B2,J57),J57))</f>
        <v>#VALUE!</v>
      </c>
    </row>
    <row r="58" spans="1:10" x14ac:dyDescent="0.25">
      <c r="A58" t="e">
        <f ca="1">IF((A1)=(2),1,IF((55)=(A3),IF(("call")=(INDEX(B1:XFD1,(A2)+(0))),((B2)*(2))+(1),IF(("goto")=(INDEX(B1:XFD1,(A2)+(0))),((INDEX(B1:XFD1,(A2)+(1)))*(2))+(1),IF(("gotoiftrue")=(INDEX(B1:XFD1,(A2)+(0))),IF(B2,((INDEX(B1:XFD1,(A2)+(1)))*(2))+(1),(A58)+(2)),(A58)+(2)))),A58))</f>
        <v>#VALUE!</v>
      </c>
      <c r="B58" t="e">
        <f ca="1">IF((A1)=(2),1,IF((55)=(B3),IF(("push")=(INDEX(B1:XFD1,(A2)+(0))),INDEX(B1:XFD1,(A2)+(1)),IF(("load")=(INDEX(B1:XFD1,(A2)+(0))),INDEX(F2:XFD2,INDEX(B1:XFD1,(A2)+(1))),IF(("newheap")=(INDEX(B1:XFD1,(A2)+(0))),(C3)-(2),IF(("getheap")=(INDEX(B1:XFD1,(A2)+(0))),INDEX(C4:C204,(B58)+(1)),IF(("add")=(INDEX(B1:XFD1,(A2)+(0))),(INDEX(B4:B204,(B3)+(1)))+(B58),IF(("equals")=(INDEX(B1:XFD1,(A2)+(0))),(INDEX(B4:B204,(B3)+(1)))=(B58),IF(("leq")=(INDEX(B1:XFD1,(A2)+(0))),(INDEX(B4:B204,(B3)+(1)))&lt;=(B58),B58))))))),B58))</f>
        <v>#VALUE!</v>
      </c>
      <c r="C58" t="e">
        <f ca="1">IF((A1)=(2),1,IF(AND((INDEX(B1:XFD1,(A2)+(0)))=("writeheap"),(INDEX(B4:B204,(B3)+(1)))=(54)),INDEX(B4:B204,(B3)+(2)),IF((A1)=(2),1,IF((55)=(C3),C58,C58))))</f>
        <v>#VALUE!</v>
      </c>
      <c r="E58" t="e">
        <f ca="1">IF((A1)=(2),1,IF((55)=(E3),IF(("outputline")=(INDEX(B1:XFD1,(A2)+(0))),B2,E58),E58))</f>
        <v>#VALUE!</v>
      </c>
      <c r="F58" t="e">
        <f ca="1">IF((A1)=(2),1,IF((55)=(F3),IF(IF((INDEX(B1:XFD1,(A2)+(0)))=("store"),(INDEX(B1:XFD1,(A2)+(1)))=("F"),"false"),B2,F58),F58))</f>
        <v>#VALUE!</v>
      </c>
      <c r="G58" t="e">
        <f ca="1">IF((A1)=(2),1,IF((55)=(G3),IF(IF((INDEX(B1:XFD1,(A2)+(0)))=("store"),(INDEX(B1:XFD1,(A2)+(1)))=("G"),"false"),B2,G58),G58))</f>
        <v>#VALUE!</v>
      </c>
      <c r="H58" t="e">
        <f ca="1">IF((A1)=(2),1,IF((55)=(H3),IF(IF((INDEX(B1:XFD1,(A2)+(0)))=("store"),(INDEX(B1:XFD1,(A2)+(1)))=("H"),"false"),B2,H58),H58))</f>
        <v>#VALUE!</v>
      </c>
      <c r="I58" t="e">
        <f ca="1">IF((A1)=(2),1,IF((55)=(I3),IF(IF((INDEX(B1:XFD1,(A2)+(0)))=("store"),(INDEX(B1:XFD1,(A2)+(1)))=("I"),"false"),B2,I58),I58))</f>
        <v>#VALUE!</v>
      </c>
      <c r="J58" t="e">
        <f ca="1">IF((A1)=(2),1,IF((55)=(J3),IF(IF((INDEX(B1:XFD1,(A2)+(0)))=("store"),(INDEX(B1:XFD1,(A2)+(1)))=("J"),"false"),B2,J58),J58))</f>
        <v>#VALUE!</v>
      </c>
    </row>
    <row r="59" spans="1:10" x14ac:dyDescent="0.25">
      <c r="A59" t="e">
        <f ca="1">IF((A1)=(2),1,IF((56)=(A3),IF(("call")=(INDEX(B1:XFD1,(A2)+(0))),((B2)*(2))+(1),IF(("goto")=(INDEX(B1:XFD1,(A2)+(0))),((INDEX(B1:XFD1,(A2)+(1)))*(2))+(1),IF(("gotoiftrue")=(INDEX(B1:XFD1,(A2)+(0))),IF(B2,((INDEX(B1:XFD1,(A2)+(1)))*(2))+(1),(A59)+(2)),(A59)+(2)))),A59))</f>
        <v>#VALUE!</v>
      </c>
      <c r="B59" t="e">
        <f ca="1">IF((A1)=(2),1,IF((56)=(B3),IF(("push")=(INDEX(B1:XFD1,(A2)+(0))),INDEX(B1:XFD1,(A2)+(1)),IF(("load")=(INDEX(B1:XFD1,(A2)+(0))),INDEX(F2:XFD2,INDEX(B1:XFD1,(A2)+(1))),IF(("newheap")=(INDEX(B1:XFD1,(A2)+(0))),(C3)-(2),IF(("getheap")=(INDEX(B1:XFD1,(A2)+(0))),INDEX(C4:C204,(B59)+(1)),IF(("add")=(INDEX(B1:XFD1,(A2)+(0))),(INDEX(B4:B204,(B3)+(1)))+(B59),IF(("equals")=(INDEX(B1:XFD1,(A2)+(0))),(INDEX(B4:B204,(B3)+(1)))=(B59),IF(("leq")=(INDEX(B1:XFD1,(A2)+(0))),(INDEX(B4:B204,(B3)+(1)))&lt;=(B59),B59))))))),B59))</f>
        <v>#VALUE!</v>
      </c>
      <c r="C59" t="e">
        <f ca="1">IF((A1)=(2),1,IF(AND((INDEX(B1:XFD1,(A2)+(0)))=("writeheap"),(INDEX(B4:B204,(B3)+(1)))=(55)),INDEX(B4:B204,(B3)+(2)),IF((A1)=(2),1,IF((56)=(C3),C59,C59))))</f>
        <v>#VALUE!</v>
      </c>
      <c r="E59" t="e">
        <f ca="1">IF((A1)=(2),1,IF((56)=(E3),IF(("outputline")=(INDEX(B1:XFD1,(A2)+(0))),B2,E59),E59))</f>
        <v>#VALUE!</v>
      </c>
      <c r="F59" t="e">
        <f ca="1">IF((A1)=(2),1,IF((56)=(F3),IF(IF((INDEX(B1:XFD1,(A2)+(0)))=("store"),(INDEX(B1:XFD1,(A2)+(1)))=("F"),"false"),B2,F59),F59))</f>
        <v>#VALUE!</v>
      </c>
      <c r="G59" t="e">
        <f ca="1">IF((A1)=(2),1,IF((56)=(G3),IF(IF((INDEX(B1:XFD1,(A2)+(0)))=("store"),(INDEX(B1:XFD1,(A2)+(1)))=("G"),"false"),B2,G59),G59))</f>
        <v>#VALUE!</v>
      </c>
      <c r="H59" t="e">
        <f ca="1">IF((A1)=(2),1,IF((56)=(H3),IF(IF((INDEX(B1:XFD1,(A2)+(0)))=("store"),(INDEX(B1:XFD1,(A2)+(1)))=("H"),"false"),B2,H59),H59))</f>
        <v>#VALUE!</v>
      </c>
      <c r="I59" t="e">
        <f ca="1">IF((A1)=(2),1,IF((56)=(I3),IF(IF((INDEX(B1:XFD1,(A2)+(0)))=("store"),(INDEX(B1:XFD1,(A2)+(1)))=("I"),"false"),B2,I59),I59))</f>
        <v>#VALUE!</v>
      </c>
      <c r="J59" t="e">
        <f ca="1">IF((A1)=(2),1,IF((56)=(J3),IF(IF((INDEX(B1:XFD1,(A2)+(0)))=("store"),(INDEX(B1:XFD1,(A2)+(1)))=("J"),"false"),B2,J59),J59))</f>
        <v>#VALUE!</v>
      </c>
    </row>
    <row r="60" spans="1:10" x14ac:dyDescent="0.25">
      <c r="A60" t="e">
        <f ca="1">IF((A1)=(2),1,IF((57)=(A3),IF(("call")=(INDEX(B1:XFD1,(A2)+(0))),((B2)*(2))+(1),IF(("goto")=(INDEX(B1:XFD1,(A2)+(0))),((INDEX(B1:XFD1,(A2)+(1)))*(2))+(1),IF(("gotoiftrue")=(INDEX(B1:XFD1,(A2)+(0))),IF(B2,((INDEX(B1:XFD1,(A2)+(1)))*(2))+(1),(A60)+(2)),(A60)+(2)))),A60))</f>
        <v>#VALUE!</v>
      </c>
      <c r="B60" t="e">
        <f ca="1">IF((A1)=(2),1,IF((57)=(B3),IF(("push")=(INDEX(B1:XFD1,(A2)+(0))),INDEX(B1:XFD1,(A2)+(1)),IF(("load")=(INDEX(B1:XFD1,(A2)+(0))),INDEX(F2:XFD2,INDEX(B1:XFD1,(A2)+(1))),IF(("newheap")=(INDEX(B1:XFD1,(A2)+(0))),(C3)-(2),IF(("getheap")=(INDEX(B1:XFD1,(A2)+(0))),INDEX(C4:C204,(B60)+(1)),IF(("add")=(INDEX(B1:XFD1,(A2)+(0))),(INDEX(B4:B204,(B3)+(1)))+(B60),IF(("equals")=(INDEX(B1:XFD1,(A2)+(0))),(INDEX(B4:B204,(B3)+(1)))=(B60),IF(("leq")=(INDEX(B1:XFD1,(A2)+(0))),(INDEX(B4:B204,(B3)+(1)))&lt;=(B60),B60))))))),B60))</f>
        <v>#VALUE!</v>
      </c>
      <c r="C60" t="e">
        <f ca="1">IF((A1)=(2),1,IF(AND((INDEX(B1:XFD1,(A2)+(0)))=("writeheap"),(INDEX(B4:B204,(B3)+(1)))=(56)),INDEX(B4:B204,(B3)+(2)),IF((A1)=(2),1,IF((57)=(C3),C60,C60))))</f>
        <v>#VALUE!</v>
      </c>
      <c r="E60" t="e">
        <f ca="1">IF((A1)=(2),1,IF((57)=(E3),IF(("outputline")=(INDEX(B1:XFD1,(A2)+(0))),B2,E60),E60))</f>
        <v>#VALUE!</v>
      </c>
      <c r="F60" t="e">
        <f ca="1">IF((A1)=(2),1,IF((57)=(F3),IF(IF((INDEX(B1:XFD1,(A2)+(0)))=("store"),(INDEX(B1:XFD1,(A2)+(1)))=("F"),"false"),B2,F60),F60))</f>
        <v>#VALUE!</v>
      </c>
      <c r="G60" t="e">
        <f ca="1">IF((A1)=(2),1,IF((57)=(G3),IF(IF((INDEX(B1:XFD1,(A2)+(0)))=("store"),(INDEX(B1:XFD1,(A2)+(1)))=("G"),"false"),B2,G60),G60))</f>
        <v>#VALUE!</v>
      </c>
      <c r="H60" t="e">
        <f ca="1">IF((A1)=(2),1,IF((57)=(H3),IF(IF((INDEX(B1:XFD1,(A2)+(0)))=("store"),(INDEX(B1:XFD1,(A2)+(1)))=("H"),"false"),B2,H60),H60))</f>
        <v>#VALUE!</v>
      </c>
      <c r="I60" t="e">
        <f ca="1">IF((A1)=(2),1,IF((57)=(I3),IF(IF((INDEX(B1:XFD1,(A2)+(0)))=("store"),(INDEX(B1:XFD1,(A2)+(1)))=("I"),"false"),B2,I60),I60))</f>
        <v>#VALUE!</v>
      </c>
      <c r="J60" t="e">
        <f ca="1">IF((A1)=(2),1,IF((57)=(J3),IF(IF((INDEX(B1:XFD1,(A2)+(0)))=("store"),(INDEX(B1:XFD1,(A2)+(1)))=("J"),"false"),B2,J60),J60))</f>
        <v>#VALUE!</v>
      </c>
    </row>
    <row r="61" spans="1:10" x14ac:dyDescent="0.25">
      <c r="A61" t="e">
        <f ca="1">IF((A1)=(2),1,IF((58)=(A3),IF(("call")=(INDEX(B1:XFD1,(A2)+(0))),((B2)*(2))+(1),IF(("goto")=(INDEX(B1:XFD1,(A2)+(0))),((INDEX(B1:XFD1,(A2)+(1)))*(2))+(1),IF(("gotoiftrue")=(INDEX(B1:XFD1,(A2)+(0))),IF(B2,((INDEX(B1:XFD1,(A2)+(1)))*(2))+(1),(A61)+(2)),(A61)+(2)))),A61))</f>
        <v>#VALUE!</v>
      </c>
      <c r="B61" t="e">
        <f ca="1">IF((A1)=(2),1,IF((58)=(B3),IF(("push")=(INDEX(B1:XFD1,(A2)+(0))),INDEX(B1:XFD1,(A2)+(1)),IF(("load")=(INDEX(B1:XFD1,(A2)+(0))),INDEX(F2:XFD2,INDEX(B1:XFD1,(A2)+(1))),IF(("newheap")=(INDEX(B1:XFD1,(A2)+(0))),(C3)-(2),IF(("getheap")=(INDEX(B1:XFD1,(A2)+(0))),INDEX(C4:C204,(B61)+(1)),IF(("add")=(INDEX(B1:XFD1,(A2)+(0))),(INDEX(B4:B204,(B3)+(1)))+(B61),IF(("equals")=(INDEX(B1:XFD1,(A2)+(0))),(INDEX(B4:B204,(B3)+(1)))=(B61),IF(("leq")=(INDEX(B1:XFD1,(A2)+(0))),(INDEX(B4:B204,(B3)+(1)))&lt;=(B61),B61))))))),B61))</f>
        <v>#VALUE!</v>
      </c>
      <c r="C61" t="e">
        <f ca="1">IF((A1)=(2),1,IF(AND((INDEX(B1:XFD1,(A2)+(0)))=("writeheap"),(INDEX(B4:B204,(B3)+(1)))=(57)),INDEX(B4:B204,(B3)+(2)),IF((A1)=(2),1,IF((58)=(C3),C61,C61))))</f>
        <v>#VALUE!</v>
      </c>
      <c r="E61" t="e">
        <f ca="1">IF((A1)=(2),1,IF((58)=(E3),IF(("outputline")=(INDEX(B1:XFD1,(A2)+(0))),B2,E61),E61))</f>
        <v>#VALUE!</v>
      </c>
      <c r="F61" t="e">
        <f ca="1">IF((A1)=(2),1,IF((58)=(F3),IF(IF((INDEX(B1:XFD1,(A2)+(0)))=("store"),(INDEX(B1:XFD1,(A2)+(1)))=("F"),"false"),B2,F61),F61))</f>
        <v>#VALUE!</v>
      </c>
      <c r="G61" t="e">
        <f ca="1">IF((A1)=(2),1,IF((58)=(G3),IF(IF((INDEX(B1:XFD1,(A2)+(0)))=("store"),(INDEX(B1:XFD1,(A2)+(1)))=("G"),"false"),B2,G61),G61))</f>
        <v>#VALUE!</v>
      </c>
      <c r="H61" t="e">
        <f ca="1">IF((A1)=(2),1,IF((58)=(H3),IF(IF((INDEX(B1:XFD1,(A2)+(0)))=("store"),(INDEX(B1:XFD1,(A2)+(1)))=("H"),"false"),B2,H61),H61))</f>
        <v>#VALUE!</v>
      </c>
      <c r="I61" t="e">
        <f ca="1">IF((A1)=(2),1,IF((58)=(I3),IF(IF((INDEX(B1:XFD1,(A2)+(0)))=("store"),(INDEX(B1:XFD1,(A2)+(1)))=("I"),"false"),B2,I61),I61))</f>
        <v>#VALUE!</v>
      </c>
      <c r="J61" t="e">
        <f ca="1">IF((A1)=(2),1,IF((58)=(J3),IF(IF((INDEX(B1:XFD1,(A2)+(0)))=("store"),(INDEX(B1:XFD1,(A2)+(1)))=("J"),"false"),B2,J61),J61))</f>
        <v>#VALUE!</v>
      </c>
    </row>
    <row r="62" spans="1:10" x14ac:dyDescent="0.25">
      <c r="A62" t="e">
        <f ca="1">IF((A1)=(2),1,IF((59)=(A3),IF(("call")=(INDEX(B1:XFD1,(A2)+(0))),((B2)*(2))+(1),IF(("goto")=(INDEX(B1:XFD1,(A2)+(0))),((INDEX(B1:XFD1,(A2)+(1)))*(2))+(1),IF(("gotoiftrue")=(INDEX(B1:XFD1,(A2)+(0))),IF(B2,((INDEX(B1:XFD1,(A2)+(1)))*(2))+(1),(A62)+(2)),(A62)+(2)))),A62))</f>
        <v>#VALUE!</v>
      </c>
      <c r="B62" t="e">
        <f ca="1">IF((A1)=(2),1,IF((59)=(B3),IF(("push")=(INDEX(B1:XFD1,(A2)+(0))),INDEX(B1:XFD1,(A2)+(1)),IF(("load")=(INDEX(B1:XFD1,(A2)+(0))),INDEX(F2:XFD2,INDEX(B1:XFD1,(A2)+(1))),IF(("newheap")=(INDEX(B1:XFD1,(A2)+(0))),(C3)-(2),IF(("getheap")=(INDEX(B1:XFD1,(A2)+(0))),INDEX(C4:C204,(B62)+(1)),IF(("add")=(INDEX(B1:XFD1,(A2)+(0))),(INDEX(B4:B204,(B3)+(1)))+(B62),IF(("equals")=(INDEX(B1:XFD1,(A2)+(0))),(INDEX(B4:B204,(B3)+(1)))=(B62),IF(("leq")=(INDEX(B1:XFD1,(A2)+(0))),(INDEX(B4:B204,(B3)+(1)))&lt;=(B62),B62))))))),B62))</f>
        <v>#VALUE!</v>
      </c>
      <c r="C62" t="e">
        <f ca="1">IF((A1)=(2),1,IF(AND((INDEX(B1:XFD1,(A2)+(0)))=("writeheap"),(INDEX(B4:B204,(B3)+(1)))=(58)),INDEX(B4:B204,(B3)+(2)),IF((A1)=(2),1,IF((59)=(C3),C62,C62))))</f>
        <v>#VALUE!</v>
      </c>
      <c r="E62" t="e">
        <f ca="1">IF((A1)=(2),1,IF((59)=(E3),IF(("outputline")=(INDEX(B1:XFD1,(A2)+(0))),B2,E62),E62))</f>
        <v>#VALUE!</v>
      </c>
      <c r="F62" t="e">
        <f ca="1">IF((A1)=(2),1,IF((59)=(F3),IF(IF((INDEX(B1:XFD1,(A2)+(0)))=("store"),(INDEX(B1:XFD1,(A2)+(1)))=("F"),"false"),B2,F62),F62))</f>
        <v>#VALUE!</v>
      </c>
      <c r="G62" t="e">
        <f ca="1">IF((A1)=(2),1,IF((59)=(G3),IF(IF((INDEX(B1:XFD1,(A2)+(0)))=("store"),(INDEX(B1:XFD1,(A2)+(1)))=("G"),"false"),B2,G62),G62))</f>
        <v>#VALUE!</v>
      </c>
      <c r="H62" t="e">
        <f ca="1">IF((A1)=(2),1,IF((59)=(H3),IF(IF((INDEX(B1:XFD1,(A2)+(0)))=("store"),(INDEX(B1:XFD1,(A2)+(1)))=("H"),"false"),B2,H62),H62))</f>
        <v>#VALUE!</v>
      </c>
      <c r="I62" t="e">
        <f ca="1">IF((A1)=(2),1,IF((59)=(I3),IF(IF((INDEX(B1:XFD1,(A2)+(0)))=("store"),(INDEX(B1:XFD1,(A2)+(1)))=("I"),"false"),B2,I62),I62))</f>
        <v>#VALUE!</v>
      </c>
      <c r="J62" t="e">
        <f ca="1">IF((A1)=(2),1,IF((59)=(J3),IF(IF((INDEX(B1:XFD1,(A2)+(0)))=("store"),(INDEX(B1:XFD1,(A2)+(1)))=("J"),"false"),B2,J62),J62))</f>
        <v>#VALUE!</v>
      </c>
    </row>
    <row r="63" spans="1:10" x14ac:dyDescent="0.25">
      <c r="A63" t="e">
        <f ca="1">IF((A1)=(2),1,IF((60)=(A3),IF(("call")=(INDEX(B1:XFD1,(A2)+(0))),((B2)*(2))+(1),IF(("goto")=(INDEX(B1:XFD1,(A2)+(0))),((INDEX(B1:XFD1,(A2)+(1)))*(2))+(1),IF(("gotoiftrue")=(INDEX(B1:XFD1,(A2)+(0))),IF(B2,((INDEX(B1:XFD1,(A2)+(1)))*(2))+(1),(A63)+(2)),(A63)+(2)))),A63))</f>
        <v>#VALUE!</v>
      </c>
      <c r="B63" t="e">
        <f ca="1">IF((A1)=(2),1,IF((60)=(B3),IF(("push")=(INDEX(B1:XFD1,(A2)+(0))),INDEX(B1:XFD1,(A2)+(1)),IF(("load")=(INDEX(B1:XFD1,(A2)+(0))),INDEX(F2:XFD2,INDEX(B1:XFD1,(A2)+(1))),IF(("newheap")=(INDEX(B1:XFD1,(A2)+(0))),(C3)-(2),IF(("getheap")=(INDEX(B1:XFD1,(A2)+(0))),INDEX(C4:C204,(B63)+(1)),IF(("add")=(INDEX(B1:XFD1,(A2)+(0))),(INDEX(B4:B204,(B3)+(1)))+(B63),IF(("equals")=(INDEX(B1:XFD1,(A2)+(0))),(INDEX(B4:B204,(B3)+(1)))=(B63),IF(("leq")=(INDEX(B1:XFD1,(A2)+(0))),(INDEX(B4:B204,(B3)+(1)))&lt;=(B63),B63))))))),B63))</f>
        <v>#VALUE!</v>
      </c>
      <c r="C63" t="e">
        <f ca="1">IF((A1)=(2),1,IF(AND((INDEX(B1:XFD1,(A2)+(0)))=("writeheap"),(INDEX(B4:B204,(B3)+(1)))=(59)),INDEX(B4:B204,(B3)+(2)),IF((A1)=(2),1,IF((60)=(C3),C63,C63))))</f>
        <v>#VALUE!</v>
      </c>
      <c r="E63" t="e">
        <f ca="1">IF((A1)=(2),1,IF((60)=(E3),IF(("outputline")=(INDEX(B1:XFD1,(A2)+(0))),B2,E63),E63))</f>
        <v>#VALUE!</v>
      </c>
      <c r="F63" t="e">
        <f ca="1">IF((A1)=(2),1,IF((60)=(F3),IF(IF((INDEX(B1:XFD1,(A2)+(0)))=("store"),(INDEX(B1:XFD1,(A2)+(1)))=("F"),"false"),B2,F63),F63))</f>
        <v>#VALUE!</v>
      </c>
      <c r="G63" t="e">
        <f ca="1">IF((A1)=(2),1,IF((60)=(G3),IF(IF((INDEX(B1:XFD1,(A2)+(0)))=("store"),(INDEX(B1:XFD1,(A2)+(1)))=("G"),"false"),B2,G63),G63))</f>
        <v>#VALUE!</v>
      </c>
      <c r="H63" t="e">
        <f ca="1">IF((A1)=(2),1,IF((60)=(H3),IF(IF((INDEX(B1:XFD1,(A2)+(0)))=("store"),(INDEX(B1:XFD1,(A2)+(1)))=("H"),"false"),B2,H63),H63))</f>
        <v>#VALUE!</v>
      </c>
      <c r="I63" t="e">
        <f ca="1">IF((A1)=(2),1,IF((60)=(I3),IF(IF((INDEX(B1:XFD1,(A2)+(0)))=("store"),(INDEX(B1:XFD1,(A2)+(1)))=("I"),"false"),B2,I63),I63))</f>
        <v>#VALUE!</v>
      </c>
      <c r="J63" t="e">
        <f ca="1">IF((A1)=(2),1,IF((60)=(J3),IF(IF((INDEX(B1:XFD1,(A2)+(0)))=("store"),(INDEX(B1:XFD1,(A2)+(1)))=("J"),"false"),B2,J63),J63))</f>
        <v>#VALUE!</v>
      </c>
    </row>
    <row r="64" spans="1:10" x14ac:dyDescent="0.25">
      <c r="A64" t="e">
        <f ca="1">IF((A1)=(2),1,IF((61)=(A3),IF(("call")=(INDEX(B1:XFD1,(A2)+(0))),((B2)*(2))+(1),IF(("goto")=(INDEX(B1:XFD1,(A2)+(0))),((INDEX(B1:XFD1,(A2)+(1)))*(2))+(1),IF(("gotoiftrue")=(INDEX(B1:XFD1,(A2)+(0))),IF(B2,((INDEX(B1:XFD1,(A2)+(1)))*(2))+(1),(A64)+(2)),(A64)+(2)))),A64))</f>
        <v>#VALUE!</v>
      </c>
      <c r="B64" t="e">
        <f ca="1">IF((A1)=(2),1,IF((61)=(B3),IF(("push")=(INDEX(B1:XFD1,(A2)+(0))),INDEX(B1:XFD1,(A2)+(1)),IF(("load")=(INDEX(B1:XFD1,(A2)+(0))),INDEX(F2:XFD2,INDEX(B1:XFD1,(A2)+(1))),IF(("newheap")=(INDEX(B1:XFD1,(A2)+(0))),(C3)-(2),IF(("getheap")=(INDEX(B1:XFD1,(A2)+(0))),INDEX(C4:C204,(B64)+(1)),IF(("add")=(INDEX(B1:XFD1,(A2)+(0))),(INDEX(B4:B204,(B3)+(1)))+(B64),IF(("equals")=(INDEX(B1:XFD1,(A2)+(0))),(INDEX(B4:B204,(B3)+(1)))=(B64),IF(("leq")=(INDEX(B1:XFD1,(A2)+(0))),(INDEX(B4:B204,(B3)+(1)))&lt;=(B64),B64))))))),B64))</f>
        <v>#VALUE!</v>
      </c>
      <c r="C64" t="e">
        <f ca="1">IF((A1)=(2),1,IF(AND((INDEX(B1:XFD1,(A2)+(0)))=("writeheap"),(INDEX(B4:B204,(B3)+(1)))=(60)),INDEX(B4:B204,(B3)+(2)),IF((A1)=(2),1,IF((61)=(C3),C64,C64))))</f>
        <v>#VALUE!</v>
      </c>
      <c r="E64" t="e">
        <f ca="1">IF((A1)=(2),1,IF((61)=(E3),IF(("outputline")=(INDEX(B1:XFD1,(A2)+(0))),B2,E64),E64))</f>
        <v>#VALUE!</v>
      </c>
      <c r="F64" t="e">
        <f ca="1">IF((A1)=(2),1,IF((61)=(F3),IF(IF((INDEX(B1:XFD1,(A2)+(0)))=("store"),(INDEX(B1:XFD1,(A2)+(1)))=("F"),"false"),B2,F64),F64))</f>
        <v>#VALUE!</v>
      </c>
      <c r="G64" t="e">
        <f ca="1">IF((A1)=(2),1,IF((61)=(G3),IF(IF((INDEX(B1:XFD1,(A2)+(0)))=("store"),(INDEX(B1:XFD1,(A2)+(1)))=("G"),"false"),B2,G64),G64))</f>
        <v>#VALUE!</v>
      </c>
      <c r="H64" t="e">
        <f ca="1">IF((A1)=(2),1,IF((61)=(H3),IF(IF((INDEX(B1:XFD1,(A2)+(0)))=("store"),(INDEX(B1:XFD1,(A2)+(1)))=("H"),"false"),B2,H64),H64))</f>
        <v>#VALUE!</v>
      </c>
      <c r="I64" t="e">
        <f ca="1">IF((A1)=(2),1,IF((61)=(I3),IF(IF((INDEX(B1:XFD1,(A2)+(0)))=("store"),(INDEX(B1:XFD1,(A2)+(1)))=("I"),"false"),B2,I64),I64))</f>
        <v>#VALUE!</v>
      </c>
      <c r="J64" t="e">
        <f ca="1">IF((A1)=(2),1,IF((61)=(J3),IF(IF((INDEX(B1:XFD1,(A2)+(0)))=("store"),(INDEX(B1:XFD1,(A2)+(1)))=("J"),"false"),B2,J64),J64))</f>
        <v>#VALUE!</v>
      </c>
    </row>
    <row r="65" spans="1:10" x14ac:dyDescent="0.25">
      <c r="A65" t="e">
        <f ca="1">IF((A1)=(2),1,IF((62)=(A3),IF(("call")=(INDEX(B1:XFD1,(A2)+(0))),((B2)*(2))+(1),IF(("goto")=(INDEX(B1:XFD1,(A2)+(0))),((INDEX(B1:XFD1,(A2)+(1)))*(2))+(1),IF(("gotoiftrue")=(INDEX(B1:XFD1,(A2)+(0))),IF(B2,((INDEX(B1:XFD1,(A2)+(1)))*(2))+(1),(A65)+(2)),(A65)+(2)))),A65))</f>
        <v>#VALUE!</v>
      </c>
      <c r="B65" t="e">
        <f ca="1">IF((A1)=(2),1,IF((62)=(B3),IF(("push")=(INDEX(B1:XFD1,(A2)+(0))),INDEX(B1:XFD1,(A2)+(1)),IF(("load")=(INDEX(B1:XFD1,(A2)+(0))),INDEX(F2:XFD2,INDEX(B1:XFD1,(A2)+(1))),IF(("newheap")=(INDEX(B1:XFD1,(A2)+(0))),(C3)-(2),IF(("getheap")=(INDEX(B1:XFD1,(A2)+(0))),INDEX(C4:C204,(B65)+(1)),IF(("add")=(INDEX(B1:XFD1,(A2)+(0))),(INDEX(B4:B204,(B3)+(1)))+(B65),IF(("equals")=(INDEX(B1:XFD1,(A2)+(0))),(INDEX(B4:B204,(B3)+(1)))=(B65),IF(("leq")=(INDEX(B1:XFD1,(A2)+(0))),(INDEX(B4:B204,(B3)+(1)))&lt;=(B65),B65))))))),B65))</f>
        <v>#VALUE!</v>
      </c>
      <c r="C65" t="e">
        <f ca="1">IF((A1)=(2),1,IF(AND((INDEX(B1:XFD1,(A2)+(0)))=("writeheap"),(INDEX(B4:B204,(B3)+(1)))=(61)),INDEX(B4:B204,(B3)+(2)),IF((A1)=(2),1,IF((62)=(C3),C65,C65))))</f>
        <v>#VALUE!</v>
      </c>
      <c r="E65" t="e">
        <f ca="1">IF((A1)=(2),1,IF((62)=(E3),IF(("outputline")=(INDEX(B1:XFD1,(A2)+(0))),B2,E65),E65))</f>
        <v>#VALUE!</v>
      </c>
      <c r="F65" t="e">
        <f ca="1">IF((A1)=(2),1,IF((62)=(F3),IF(IF((INDEX(B1:XFD1,(A2)+(0)))=("store"),(INDEX(B1:XFD1,(A2)+(1)))=("F"),"false"),B2,F65),F65))</f>
        <v>#VALUE!</v>
      </c>
      <c r="G65" t="e">
        <f ca="1">IF((A1)=(2),1,IF((62)=(G3),IF(IF((INDEX(B1:XFD1,(A2)+(0)))=("store"),(INDEX(B1:XFD1,(A2)+(1)))=("G"),"false"),B2,G65),G65))</f>
        <v>#VALUE!</v>
      </c>
      <c r="H65" t="e">
        <f ca="1">IF((A1)=(2),1,IF((62)=(H3),IF(IF((INDEX(B1:XFD1,(A2)+(0)))=("store"),(INDEX(B1:XFD1,(A2)+(1)))=("H"),"false"),B2,H65),H65))</f>
        <v>#VALUE!</v>
      </c>
      <c r="I65" t="e">
        <f ca="1">IF((A1)=(2),1,IF((62)=(I3),IF(IF((INDEX(B1:XFD1,(A2)+(0)))=("store"),(INDEX(B1:XFD1,(A2)+(1)))=("I"),"false"),B2,I65),I65))</f>
        <v>#VALUE!</v>
      </c>
      <c r="J65" t="e">
        <f ca="1">IF((A1)=(2),1,IF((62)=(J3),IF(IF((INDEX(B1:XFD1,(A2)+(0)))=("store"),(INDEX(B1:XFD1,(A2)+(1)))=("J"),"false"),B2,J65),J65))</f>
        <v>#VALUE!</v>
      </c>
    </row>
    <row r="66" spans="1:10" x14ac:dyDescent="0.25">
      <c r="A66" t="e">
        <f ca="1">IF((A1)=(2),1,IF((63)=(A3),IF(("call")=(INDEX(B1:XFD1,(A2)+(0))),((B2)*(2))+(1),IF(("goto")=(INDEX(B1:XFD1,(A2)+(0))),((INDEX(B1:XFD1,(A2)+(1)))*(2))+(1),IF(("gotoiftrue")=(INDEX(B1:XFD1,(A2)+(0))),IF(B2,((INDEX(B1:XFD1,(A2)+(1)))*(2))+(1),(A66)+(2)),(A66)+(2)))),A66))</f>
        <v>#VALUE!</v>
      </c>
      <c r="B66" t="e">
        <f ca="1">IF((A1)=(2),1,IF((63)=(B3),IF(("push")=(INDEX(B1:XFD1,(A2)+(0))),INDEX(B1:XFD1,(A2)+(1)),IF(("load")=(INDEX(B1:XFD1,(A2)+(0))),INDEX(F2:XFD2,INDEX(B1:XFD1,(A2)+(1))),IF(("newheap")=(INDEX(B1:XFD1,(A2)+(0))),(C3)-(2),IF(("getheap")=(INDEX(B1:XFD1,(A2)+(0))),INDEX(C4:C204,(B66)+(1)),IF(("add")=(INDEX(B1:XFD1,(A2)+(0))),(INDEX(B4:B204,(B3)+(1)))+(B66),IF(("equals")=(INDEX(B1:XFD1,(A2)+(0))),(INDEX(B4:B204,(B3)+(1)))=(B66),IF(("leq")=(INDEX(B1:XFD1,(A2)+(0))),(INDEX(B4:B204,(B3)+(1)))&lt;=(B66),B66))))))),B66))</f>
        <v>#VALUE!</v>
      </c>
      <c r="C66" t="e">
        <f ca="1">IF((A1)=(2),1,IF(AND((INDEX(B1:XFD1,(A2)+(0)))=("writeheap"),(INDEX(B4:B204,(B3)+(1)))=(62)),INDEX(B4:B204,(B3)+(2)),IF((A1)=(2),1,IF((63)=(C3),C66,C66))))</f>
        <v>#VALUE!</v>
      </c>
      <c r="E66" t="e">
        <f ca="1">IF((A1)=(2),1,IF((63)=(E3),IF(("outputline")=(INDEX(B1:XFD1,(A2)+(0))),B2,E66),E66))</f>
        <v>#VALUE!</v>
      </c>
      <c r="F66" t="e">
        <f ca="1">IF((A1)=(2),1,IF((63)=(F3),IF(IF((INDEX(B1:XFD1,(A2)+(0)))=("store"),(INDEX(B1:XFD1,(A2)+(1)))=("F"),"false"),B2,F66),F66))</f>
        <v>#VALUE!</v>
      </c>
      <c r="G66" t="e">
        <f ca="1">IF((A1)=(2),1,IF((63)=(G3),IF(IF((INDEX(B1:XFD1,(A2)+(0)))=("store"),(INDEX(B1:XFD1,(A2)+(1)))=("G"),"false"),B2,G66),G66))</f>
        <v>#VALUE!</v>
      </c>
      <c r="H66" t="e">
        <f ca="1">IF((A1)=(2),1,IF((63)=(H3),IF(IF((INDEX(B1:XFD1,(A2)+(0)))=("store"),(INDEX(B1:XFD1,(A2)+(1)))=("H"),"false"),B2,H66),H66))</f>
        <v>#VALUE!</v>
      </c>
      <c r="I66" t="e">
        <f ca="1">IF((A1)=(2),1,IF((63)=(I3),IF(IF((INDEX(B1:XFD1,(A2)+(0)))=("store"),(INDEX(B1:XFD1,(A2)+(1)))=("I"),"false"),B2,I66),I66))</f>
        <v>#VALUE!</v>
      </c>
      <c r="J66" t="e">
        <f ca="1">IF((A1)=(2),1,IF((63)=(J3),IF(IF((INDEX(B1:XFD1,(A2)+(0)))=("store"),(INDEX(B1:XFD1,(A2)+(1)))=("J"),"false"),B2,J66),J66))</f>
        <v>#VALUE!</v>
      </c>
    </row>
    <row r="67" spans="1:10" x14ac:dyDescent="0.25">
      <c r="A67" t="e">
        <f ca="1">IF((A1)=(2),1,IF((64)=(A3),IF(("call")=(INDEX(B1:XFD1,(A2)+(0))),((B2)*(2))+(1),IF(("goto")=(INDEX(B1:XFD1,(A2)+(0))),((INDEX(B1:XFD1,(A2)+(1)))*(2))+(1),IF(("gotoiftrue")=(INDEX(B1:XFD1,(A2)+(0))),IF(B2,((INDEX(B1:XFD1,(A2)+(1)))*(2))+(1),(A67)+(2)),(A67)+(2)))),A67))</f>
        <v>#VALUE!</v>
      </c>
      <c r="B67" t="e">
        <f ca="1">IF((A1)=(2),1,IF((64)=(B3),IF(("push")=(INDEX(B1:XFD1,(A2)+(0))),INDEX(B1:XFD1,(A2)+(1)),IF(("load")=(INDEX(B1:XFD1,(A2)+(0))),INDEX(F2:XFD2,INDEX(B1:XFD1,(A2)+(1))),IF(("newheap")=(INDEX(B1:XFD1,(A2)+(0))),(C3)-(2),IF(("getheap")=(INDEX(B1:XFD1,(A2)+(0))),INDEX(C4:C204,(B67)+(1)),IF(("add")=(INDEX(B1:XFD1,(A2)+(0))),(INDEX(B4:B204,(B3)+(1)))+(B67),IF(("equals")=(INDEX(B1:XFD1,(A2)+(0))),(INDEX(B4:B204,(B3)+(1)))=(B67),IF(("leq")=(INDEX(B1:XFD1,(A2)+(0))),(INDEX(B4:B204,(B3)+(1)))&lt;=(B67),B67))))))),B67))</f>
        <v>#VALUE!</v>
      </c>
      <c r="C67" t="e">
        <f ca="1">IF((A1)=(2),1,IF(AND((INDEX(B1:XFD1,(A2)+(0)))=("writeheap"),(INDEX(B4:B204,(B3)+(1)))=(63)),INDEX(B4:B204,(B3)+(2)),IF((A1)=(2),1,IF((64)=(C3),C67,C67))))</f>
        <v>#VALUE!</v>
      </c>
      <c r="E67" t="e">
        <f ca="1">IF((A1)=(2),1,IF((64)=(E3),IF(("outputline")=(INDEX(B1:XFD1,(A2)+(0))),B2,E67),E67))</f>
        <v>#VALUE!</v>
      </c>
      <c r="F67" t="e">
        <f ca="1">IF((A1)=(2),1,IF((64)=(F3),IF(IF((INDEX(B1:XFD1,(A2)+(0)))=("store"),(INDEX(B1:XFD1,(A2)+(1)))=("F"),"false"),B2,F67),F67))</f>
        <v>#VALUE!</v>
      </c>
      <c r="G67" t="e">
        <f ca="1">IF((A1)=(2),1,IF((64)=(G3),IF(IF((INDEX(B1:XFD1,(A2)+(0)))=("store"),(INDEX(B1:XFD1,(A2)+(1)))=("G"),"false"),B2,G67),G67))</f>
        <v>#VALUE!</v>
      </c>
      <c r="H67" t="e">
        <f ca="1">IF((A1)=(2),1,IF((64)=(H3),IF(IF((INDEX(B1:XFD1,(A2)+(0)))=("store"),(INDEX(B1:XFD1,(A2)+(1)))=("H"),"false"),B2,H67),H67))</f>
        <v>#VALUE!</v>
      </c>
      <c r="I67" t="e">
        <f ca="1">IF((A1)=(2),1,IF((64)=(I3),IF(IF((INDEX(B1:XFD1,(A2)+(0)))=("store"),(INDEX(B1:XFD1,(A2)+(1)))=("I"),"false"),B2,I67),I67))</f>
        <v>#VALUE!</v>
      </c>
      <c r="J67" t="e">
        <f ca="1">IF((A1)=(2),1,IF((64)=(J3),IF(IF((INDEX(B1:XFD1,(A2)+(0)))=("store"),(INDEX(B1:XFD1,(A2)+(1)))=("J"),"false"),B2,J67),J67))</f>
        <v>#VALUE!</v>
      </c>
    </row>
    <row r="68" spans="1:10" x14ac:dyDescent="0.25">
      <c r="A68" t="e">
        <f ca="1">IF((A1)=(2),1,IF((65)=(A3),IF(("call")=(INDEX(B1:XFD1,(A2)+(0))),((B2)*(2))+(1),IF(("goto")=(INDEX(B1:XFD1,(A2)+(0))),((INDEX(B1:XFD1,(A2)+(1)))*(2))+(1),IF(("gotoiftrue")=(INDEX(B1:XFD1,(A2)+(0))),IF(B2,((INDEX(B1:XFD1,(A2)+(1)))*(2))+(1),(A68)+(2)),(A68)+(2)))),A68))</f>
        <v>#VALUE!</v>
      </c>
      <c r="B68" t="e">
        <f ca="1">IF((A1)=(2),1,IF((65)=(B3),IF(("push")=(INDEX(B1:XFD1,(A2)+(0))),INDEX(B1:XFD1,(A2)+(1)),IF(("load")=(INDEX(B1:XFD1,(A2)+(0))),INDEX(F2:XFD2,INDEX(B1:XFD1,(A2)+(1))),IF(("newheap")=(INDEX(B1:XFD1,(A2)+(0))),(C3)-(2),IF(("getheap")=(INDEX(B1:XFD1,(A2)+(0))),INDEX(C4:C204,(B68)+(1)),IF(("add")=(INDEX(B1:XFD1,(A2)+(0))),(INDEX(B4:B204,(B3)+(1)))+(B68),IF(("equals")=(INDEX(B1:XFD1,(A2)+(0))),(INDEX(B4:B204,(B3)+(1)))=(B68),IF(("leq")=(INDEX(B1:XFD1,(A2)+(0))),(INDEX(B4:B204,(B3)+(1)))&lt;=(B68),B68))))))),B68))</f>
        <v>#VALUE!</v>
      </c>
      <c r="C68" t="e">
        <f ca="1">IF((A1)=(2),1,IF(AND((INDEX(B1:XFD1,(A2)+(0)))=("writeheap"),(INDEX(B4:B204,(B3)+(1)))=(64)),INDEX(B4:B204,(B3)+(2)),IF((A1)=(2),1,IF((65)=(C3),C68,C68))))</f>
        <v>#VALUE!</v>
      </c>
      <c r="E68" t="e">
        <f ca="1">IF((A1)=(2),1,IF((65)=(E3),IF(("outputline")=(INDEX(B1:XFD1,(A2)+(0))),B2,E68),E68))</f>
        <v>#VALUE!</v>
      </c>
      <c r="F68" t="e">
        <f ca="1">IF((A1)=(2),1,IF((65)=(F3),IF(IF((INDEX(B1:XFD1,(A2)+(0)))=("store"),(INDEX(B1:XFD1,(A2)+(1)))=("F"),"false"),B2,F68),F68))</f>
        <v>#VALUE!</v>
      </c>
      <c r="G68" t="e">
        <f ca="1">IF((A1)=(2),1,IF((65)=(G3),IF(IF((INDEX(B1:XFD1,(A2)+(0)))=("store"),(INDEX(B1:XFD1,(A2)+(1)))=("G"),"false"),B2,G68),G68))</f>
        <v>#VALUE!</v>
      </c>
      <c r="H68" t="e">
        <f ca="1">IF((A1)=(2),1,IF((65)=(H3),IF(IF((INDEX(B1:XFD1,(A2)+(0)))=("store"),(INDEX(B1:XFD1,(A2)+(1)))=("H"),"false"),B2,H68),H68))</f>
        <v>#VALUE!</v>
      </c>
      <c r="I68" t="e">
        <f ca="1">IF((A1)=(2),1,IF((65)=(I3),IF(IF((INDEX(B1:XFD1,(A2)+(0)))=("store"),(INDEX(B1:XFD1,(A2)+(1)))=("I"),"false"),B2,I68),I68))</f>
        <v>#VALUE!</v>
      </c>
      <c r="J68" t="e">
        <f ca="1">IF((A1)=(2),1,IF((65)=(J3),IF(IF((INDEX(B1:XFD1,(A2)+(0)))=("store"),(INDEX(B1:XFD1,(A2)+(1)))=("J"),"false"),B2,J68),J68))</f>
        <v>#VALUE!</v>
      </c>
    </row>
    <row r="69" spans="1:10" x14ac:dyDescent="0.25">
      <c r="A69" t="e">
        <f ca="1">IF((A1)=(2),1,IF((66)=(A3),IF(("call")=(INDEX(B1:XFD1,(A2)+(0))),((B2)*(2))+(1),IF(("goto")=(INDEX(B1:XFD1,(A2)+(0))),((INDEX(B1:XFD1,(A2)+(1)))*(2))+(1),IF(("gotoiftrue")=(INDEX(B1:XFD1,(A2)+(0))),IF(B2,((INDEX(B1:XFD1,(A2)+(1)))*(2))+(1),(A69)+(2)),(A69)+(2)))),A69))</f>
        <v>#VALUE!</v>
      </c>
      <c r="B69" t="e">
        <f ca="1">IF((A1)=(2),1,IF((66)=(B3),IF(("push")=(INDEX(B1:XFD1,(A2)+(0))),INDEX(B1:XFD1,(A2)+(1)),IF(("load")=(INDEX(B1:XFD1,(A2)+(0))),INDEX(F2:XFD2,INDEX(B1:XFD1,(A2)+(1))),IF(("newheap")=(INDEX(B1:XFD1,(A2)+(0))),(C3)-(2),IF(("getheap")=(INDEX(B1:XFD1,(A2)+(0))),INDEX(C4:C204,(B69)+(1)),IF(("add")=(INDEX(B1:XFD1,(A2)+(0))),(INDEX(B4:B204,(B3)+(1)))+(B69),IF(("equals")=(INDEX(B1:XFD1,(A2)+(0))),(INDEX(B4:B204,(B3)+(1)))=(B69),IF(("leq")=(INDEX(B1:XFD1,(A2)+(0))),(INDEX(B4:B204,(B3)+(1)))&lt;=(B69),B69))))))),B69))</f>
        <v>#VALUE!</v>
      </c>
      <c r="C69" t="e">
        <f ca="1">IF((A1)=(2),1,IF(AND((INDEX(B1:XFD1,(A2)+(0)))=("writeheap"),(INDEX(B4:B204,(B3)+(1)))=(65)),INDEX(B4:B204,(B3)+(2)),IF((A1)=(2),1,IF((66)=(C3),C69,C69))))</f>
        <v>#VALUE!</v>
      </c>
      <c r="E69" t="e">
        <f ca="1">IF((A1)=(2),1,IF((66)=(E3),IF(("outputline")=(INDEX(B1:XFD1,(A2)+(0))),B2,E69),E69))</f>
        <v>#VALUE!</v>
      </c>
      <c r="F69" t="e">
        <f ca="1">IF((A1)=(2),1,IF((66)=(F3),IF(IF((INDEX(B1:XFD1,(A2)+(0)))=("store"),(INDEX(B1:XFD1,(A2)+(1)))=("F"),"false"),B2,F69),F69))</f>
        <v>#VALUE!</v>
      </c>
      <c r="G69" t="e">
        <f ca="1">IF((A1)=(2),1,IF((66)=(G3),IF(IF((INDEX(B1:XFD1,(A2)+(0)))=("store"),(INDEX(B1:XFD1,(A2)+(1)))=("G"),"false"),B2,G69),G69))</f>
        <v>#VALUE!</v>
      </c>
      <c r="H69" t="e">
        <f ca="1">IF((A1)=(2),1,IF((66)=(H3),IF(IF((INDEX(B1:XFD1,(A2)+(0)))=("store"),(INDEX(B1:XFD1,(A2)+(1)))=("H"),"false"),B2,H69),H69))</f>
        <v>#VALUE!</v>
      </c>
      <c r="I69" t="e">
        <f ca="1">IF((A1)=(2),1,IF((66)=(I3),IF(IF((INDEX(B1:XFD1,(A2)+(0)))=("store"),(INDEX(B1:XFD1,(A2)+(1)))=("I"),"false"),B2,I69),I69))</f>
        <v>#VALUE!</v>
      </c>
      <c r="J69" t="e">
        <f ca="1">IF((A1)=(2),1,IF((66)=(J3),IF(IF((INDEX(B1:XFD1,(A2)+(0)))=("store"),(INDEX(B1:XFD1,(A2)+(1)))=("J"),"false"),B2,J69),J69))</f>
        <v>#VALUE!</v>
      </c>
    </row>
    <row r="70" spans="1:10" x14ac:dyDescent="0.25">
      <c r="A70" t="e">
        <f ca="1">IF((A1)=(2),1,IF((67)=(A3),IF(("call")=(INDEX(B1:XFD1,(A2)+(0))),((B2)*(2))+(1),IF(("goto")=(INDEX(B1:XFD1,(A2)+(0))),((INDEX(B1:XFD1,(A2)+(1)))*(2))+(1),IF(("gotoiftrue")=(INDEX(B1:XFD1,(A2)+(0))),IF(B2,((INDEX(B1:XFD1,(A2)+(1)))*(2))+(1),(A70)+(2)),(A70)+(2)))),A70))</f>
        <v>#VALUE!</v>
      </c>
      <c r="B70" t="e">
        <f ca="1">IF((A1)=(2),1,IF((67)=(B3),IF(("push")=(INDEX(B1:XFD1,(A2)+(0))),INDEX(B1:XFD1,(A2)+(1)),IF(("load")=(INDEX(B1:XFD1,(A2)+(0))),INDEX(F2:XFD2,INDEX(B1:XFD1,(A2)+(1))),IF(("newheap")=(INDEX(B1:XFD1,(A2)+(0))),(C3)-(2),IF(("getheap")=(INDEX(B1:XFD1,(A2)+(0))),INDEX(C4:C204,(B70)+(1)),IF(("add")=(INDEX(B1:XFD1,(A2)+(0))),(INDEX(B4:B204,(B3)+(1)))+(B70),IF(("equals")=(INDEX(B1:XFD1,(A2)+(0))),(INDEX(B4:B204,(B3)+(1)))=(B70),IF(("leq")=(INDEX(B1:XFD1,(A2)+(0))),(INDEX(B4:B204,(B3)+(1)))&lt;=(B70),B70))))))),B70))</f>
        <v>#VALUE!</v>
      </c>
      <c r="C70" t="e">
        <f ca="1">IF((A1)=(2),1,IF(AND((INDEX(B1:XFD1,(A2)+(0)))=("writeheap"),(INDEX(B4:B204,(B3)+(1)))=(66)),INDEX(B4:B204,(B3)+(2)),IF((A1)=(2),1,IF((67)=(C3),C70,C70))))</f>
        <v>#VALUE!</v>
      </c>
      <c r="E70" t="e">
        <f ca="1">IF((A1)=(2),1,IF((67)=(E3),IF(("outputline")=(INDEX(B1:XFD1,(A2)+(0))),B2,E70),E70))</f>
        <v>#VALUE!</v>
      </c>
      <c r="F70" t="e">
        <f ca="1">IF((A1)=(2),1,IF((67)=(F3),IF(IF((INDEX(B1:XFD1,(A2)+(0)))=("store"),(INDEX(B1:XFD1,(A2)+(1)))=("F"),"false"),B2,F70),F70))</f>
        <v>#VALUE!</v>
      </c>
      <c r="G70" t="e">
        <f ca="1">IF((A1)=(2),1,IF((67)=(G3),IF(IF((INDEX(B1:XFD1,(A2)+(0)))=("store"),(INDEX(B1:XFD1,(A2)+(1)))=("G"),"false"),B2,G70),G70))</f>
        <v>#VALUE!</v>
      </c>
      <c r="H70" t="e">
        <f ca="1">IF((A1)=(2),1,IF((67)=(H3),IF(IF((INDEX(B1:XFD1,(A2)+(0)))=("store"),(INDEX(B1:XFD1,(A2)+(1)))=("H"),"false"),B2,H70),H70))</f>
        <v>#VALUE!</v>
      </c>
      <c r="I70" t="e">
        <f ca="1">IF((A1)=(2),1,IF((67)=(I3),IF(IF((INDEX(B1:XFD1,(A2)+(0)))=("store"),(INDEX(B1:XFD1,(A2)+(1)))=("I"),"false"),B2,I70),I70))</f>
        <v>#VALUE!</v>
      </c>
      <c r="J70" t="e">
        <f ca="1">IF((A1)=(2),1,IF((67)=(J3),IF(IF((INDEX(B1:XFD1,(A2)+(0)))=("store"),(INDEX(B1:XFD1,(A2)+(1)))=("J"),"false"),B2,J70),J70))</f>
        <v>#VALUE!</v>
      </c>
    </row>
    <row r="71" spans="1:10" x14ac:dyDescent="0.25">
      <c r="A71" t="e">
        <f ca="1">IF((A1)=(2),1,IF((68)=(A3),IF(("call")=(INDEX(B1:XFD1,(A2)+(0))),((B2)*(2))+(1),IF(("goto")=(INDEX(B1:XFD1,(A2)+(0))),((INDEX(B1:XFD1,(A2)+(1)))*(2))+(1),IF(("gotoiftrue")=(INDEX(B1:XFD1,(A2)+(0))),IF(B2,((INDEX(B1:XFD1,(A2)+(1)))*(2))+(1),(A71)+(2)),(A71)+(2)))),A71))</f>
        <v>#VALUE!</v>
      </c>
      <c r="B71" t="e">
        <f ca="1">IF((A1)=(2),1,IF((68)=(B3),IF(("push")=(INDEX(B1:XFD1,(A2)+(0))),INDEX(B1:XFD1,(A2)+(1)),IF(("load")=(INDEX(B1:XFD1,(A2)+(0))),INDEX(F2:XFD2,INDEX(B1:XFD1,(A2)+(1))),IF(("newheap")=(INDEX(B1:XFD1,(A2)+(0))),(C3)-(2),IF(("getheap")=(INDEX(B1:XFD1,(A2)+(0))),INDEX(C4:C204,(B71)+(1)),IF(("add")=(INDEX(B1:XFD1,(A2)+(0))),(INDEX(B4:B204,(B3)+(1)))+(B71),IF(("equals")=(INDEX(B1:XFD1,(A2)+(0))),(INDEX(B4:B204,(B3)+(1)))=(B71),IF(("leq")=(INDEX(B1:XFD1,(A2)+(0))),(INDEX(B4:B204,(B3)+(1)))&lt;=(B71),B71))))))),B71))</f>
        <v>#VALUE!</v>
      </c>
      <c r="C71" t="e">
        <f ca="1">IF((A1)=(2),1,IF(AND((INDEX(B1:XFD1,(A2)+(0)))=("writeheap"),(INDEX(B4:B204,(B3)+(1)))=(67)),INDEX(B4:B204,(B3)+(2)),IF((A1)=(2),1,IF((68)=(C3),C71,C71))))</f>
        <v>#VALUE!</v>
      </c>
      <c r="E71" t="e">
        <f ca="1">IF((A1)=(2),1,IF((68)=(E3),IF(("outputline")=(INDEX(B1:XFD1,(A2)+(0))),B2,E71),E71))</f>
        <v>#VALUE!</v>
      </c>
      <c r="F71" t="e">
        <f ca="1">IF((A1)=(2),1,IF((68)=(F3),IF(IF((INDEX(B1:XFD1,(A2)+(0)))=("store"),(INDEX(B1:XFD1,(A2)+(1)))=("F"),"false"),B2,F71),F71))</f>
        <v>#VALUE!</v>
      </c>
      <c r="G71" t="e">
        <f ca="1">IF((A1)=(2),1,IF((68)=(G3),IF(IF((INDEX(B1:XFD1,(A2)+(0)))=("store"),(INDEX(B1:XFD1,(A2)+(1)))=("G"),"false"),B2,G71),G71))</f>
        <v>#VALUE!</v>
      </c>
      <c r="H71" t="e">
        <f ca="1">IF((A1)=(2),1,IF((68)=(H3),IF(IF((INDEX(B1:XFD1,(A2)+(0)))=("store"),(INDEX(B1:XFD1,(A2)+(1)))=("H"),"false"),B2,H71),H71))</f>
        <v>#VALUE!</v>
      </c>
      <c r="I71" t="e">
        <f ca="1">IF((A1)=(2),1,IF((68)=(I3),IF(IF((INDEX(B1:XFD1,(A2)+(0)))=("store"),(INDEX(B1:XFD1,(A2)+(1)))=("I"),"false"),B2,I71),I71))</f>
        <v>#VALUE!</v>
      </c>
      <c r="J71" t="e">
        <f ca="1">IF((A1)=(2),1,IF((68)=(J3),IF(IF((INDEX(B1:XFD1,(A2)+(0)))=("store"),(INDEX(B1:XFD1,(A2)+(1)))=("J"),"false"),B2,J71),J71))</f>
        <v>#VALUE!</v>
      </c>
    </row>
    <row r="72" spans="1:10" x14ac:dyDescent="0.25">
      <c r="A72" t="e">
        <f ca="1">IF((A1)=(2),1,IF((69)=(A3),IF(("call")=(INDEX(B1:XFD1,(A2)+(0))),((B2)*(2))+(1),IF(("goto")=(INDEX(B1:XFD1,(A2)+(0))),((INDEX(B1:XFD1,(A2)+(1)))*(2))+(1),IF(("gotoiftrue")=(INDEX(B1:XFD1,(A2)+(0))),IF(B2,((INDEX(B1:XFD1,(A2)+(1)))*(2))+(1),(A72)+(2)),(A72)+(2)))),A72))</f>
        <v>#VALUE!</v>
      </c>
      <c r="B72" t="e">
        <f ca="1">IF((A1)=(2),1,IF((69)=(B3),IF(("push")=(INDEX(B1:XFD1,(A2)+(0))),INDEX(B1:XFD1,(A2)+(1)),IF(("load")=(INDEX(B1:XFD1,(A2)+(0))),INDEX(F2:XFD2,INDEX(B1:XFD1,(A2)+(1))),IF(("newheap")=(INDEX(B1:XFD1,(A2)+(0))),(C3)-(2),IF(("getheap")=(INDEX(B1:XFD1,(A2)+(0))),INDEX(C4:C204,(B72)+(1)),IF(("add")=(INDEX(B1:XFD1,(A2)+(0))),(INDEX(B4:B204,(B3)+(1)))+(B72),IF(("equals")=(INDEX(B1:XFD1,(A2)+(0))),(INDEX(B4:B204,(B3)+(1)))=(B72),IF(("leq")=(INDEX(B1:XFD1,(A2)+(0))),(INDEX(B4:B204,(B3)+(1)))&lt;=(B72),B72))))))),B72))</f>
        <v>#VALUE!</v>
      </c>
      <c r="C72" t="e">
        <f ca="1">IF((A1)=(2),1,IF(AND((INDEX(B1:XFD1,(A2)+(0)))=("writeheap"),(INDEX(B4:B204,(B3)+(1)))=(68)),INDEX(B4:B204,(B3)+(2)),IF((A1)=(2),1,IF((69)=(C3),C72,C72))))</f>
        <v>#VALUE!</v>
      </c>
      <c r="E72" t="e">
        <f ca="1">IF((A1)=(2),1,IF((69)=(E3),IF(("outputline")=(INDEX(B1:XFD1,(A2)+(0))),B2,E72),E72))</f>
        <v>#VALUE!</v>
      </c>
      <c r="F72" t="e">
        <f ca="1">IF((A1)=(2),1,IF((69)=(F3),IF(IF((INDEX(B1:XFD1,(A2)+(0)))=("store"),(INDEX(B1:XFD1,(A2)+(1)))=("F"),"false"),B2,F72),F72))</f>
        <v>#VALUE!</v>
      </c>
      <c r="G72" t="e">
        <f ca="1">IF((A1)=(2),1,IF((69)=(G3),IF(IF((INDEX(B1:XFD1,(A2)+(0)))=("store"),(INDEX(B1:XFD1,(A2)+(1)))=("G"),"false"),B2,G72),G72))</f>
        <v>#VALUE!</v>
      </c>
      <c r="H72" t="e">
        <f ca="1">IF((A1)=(2),1,IF((69)=(H3),IF(IF((INDEX(B1:XFD1,(A2)+(0)))=("store"),(INDEX(B1:XFD1,(A2)+(1)))=("H"),"false"),B2,H72),H72))</f>
        <v>#VALUE!</v>
      </c>
      <c r="I72" t="e">
        <f ca="1">IF((A1)=(2),1,IF((69)=(I3),IF(IF((INDEX(B1:XFD1,(A2)+(0)))=("store"),(INDEX(B1:XFD1,(A2)+(1)))=("I"),"false"),B2,I72),I72))</f>
        <v>#VALUE!</v>
      </c>
      <c r="J72" t="e">
        <f ca="1">IF((A1)=(2),1,IF((69)=(J3),IF(IF((INDEX(B1:XFD1,(A2)+(0)))=("store"),(INDEX(B1:XFD1,(A2)+(1)))=("J"),"false"),B2,J72),J72))</f>
        <v>#VALUE!</v>
      </c>
    </row>
    <row r="73" spans="1:10" x14ac:dyDescent="0.25">
      <c r="A73" t="e">
        <f ca="1">IF((A1)=(2),1,IF((70)=(A3),IF(("call")=(INDEX(B1:XFD1,(A2)+(0))),((B2)*(2))+(1),IF(("goto")=(INDEX(B1:XFD1,(A2)+(0))),((INDEX(B1:XFD1,(A2)+(1)))*(2))+(1),IF(("gotoiftrue")=(INDEX(B1:XFD1,(A2)+(0))),IF(B2,((INDEX(B1:XFD1,(A2)+(1)))*(2))+(1),(A73)+(2)),(A73)+(2)))),A73))</f>
        <v>#VALUE!</v>
      </c>
      <c r="B73" t="e">
        <f ca="1">IF((A1)=(2),1,IF((70)=(B3),IF(("push")=(INDEX(B1:XFD1,(A2)+(0))),INDEX(B1:XFD1,(A2)+(1)),IF(("load")=(INDEX(B1:XFD1,(A2)+(0))),INDEX(F2:XFD2,INDEX(B1:XFD1,(A2)+(1))),IF(("newheap")=(INDEX(B1:XFD1,(A2)+(0))),(C3)-(2),IF(("getheap")=(INDEX(B1:XFD1,(A2)+(0))),INDEX(C4:C204,(B73)+(1)),IF(("add")=(INDEX(B1:XFD1,(A2)+(0))),(INDEX(B4:B204,(B3)+(1)))+(B73),IF(("equals")=(INDEX(B1:XFD1,(A2)+(0))),(INDEX(B4:B204,(B3)+(1)))=(B73),IF(("leq")=(INDEX(B1:XFD1,(A2)+(0))),(INDEX(B4:B204,(B3)+(1)))&lt;=(B73),B73))))))),B73))</f>
        <v>#VALUE!</v>
      </c>
      <c r="C73" t="e">
        <f ca="1">IF((A1)=(2),1,IF(AND((INDEX(B1:XFD1,(A2)+(0)))=("writeheap"),(INDEX(B4:B204,(B3)+(1)))=(69)),INDEX(B4:B204,(B3)+(2)),IF((A1)=(2),1,IF((70)=(C3),C73,C73))))</f>
        <v>#VALUE!</v>
      </c>
      <c r="E73" t="e">
        <f ca="1">IF((A1)=(2),1,IF((70)=(E3),IF(("outputline")=(INDEX(B1:XFD1,(A2)+(0))),B2,E73),E73))</f>
        <v>#VALUE!</v>
      </c>
      <c r="F73" t="e">
        <f ca="1">IF((A1)=(2),1,IF((70)=(F3),IF(IF((INDEX(B1:XFD1,(A2)+(0)))=("store"),(INDEX(B1:XFD1,(A2)+(1)))=("F"),"false"),B2,F73),F73))</f>
        <v>#VALUE!</v>
      </c>
      <c r="G73" t="e">
        <f ca="1">IF((A1)=(2),1,IF((70)=(G3),IF(IF((INDEX(B1:XFD1,(A2)+(0)))=("store"),(INDEX(B1:XFD1,(A2)+(1)))=("G"),"false"),B2,G73),G73))</f>
        <v>#VALUE!</v>
      </c>
      <c r="H73" t="e">
        <f ca="1">IF((A1)=(2),1,IF((70)=(H3),IF(IF((INDEX(B1:XFD1,(A2)+(0)))=("store"),(INDEX(B1:XFD1,(A2)+(1)))=("H"),"false"),B2,H73),H73))</f>
        <v>#VALUE!</v>
      </c>
      <c r="I73" t="e">
        <f ca="1">IF((A1)=(2),1,IF((70)=(I3),IF(IF((INDEX(B1:XFD1,(A2)+(0)))=("store"),(INDEX(B1:XFD1,(A2)+(1)))=("I"),"false"),B2,I73),I73))</f>
        <v>#VALUE!</v>
      </c>
      <c r="J73" t="e">
        <f ca="1">IF((A1)=(2),1,IF((70)=(J3),IF(IF((INDEX(B1:XFD1,(A2)+(0)))=("store"),(INDEX(B1:XFD1,(A2)+(1)))=("J"),"false"),B2,J73),J73))</f>
        <v>#VALUE!</v>
      </c>
    </row>
    <row r="74" spans="1:10" x14ac:dyDescent="0.25">
      <c r="A74" t="e">
        <f ca="1">IF((A1)=(2),1,IF((71)=(A3),IF(("call")=(INDEX(B1:XFD1,(A2)+(0))),((B2)*(2))+(1),IF(("goto")=(INDEX(B1:XFD1,(A2)+(0))),((INDEX(B1:XFD1,(A2)+(1)))*(2))+(1),IF(("gotoiftrue")=(INDEX(B1:XFD1,(A2)+(0))),IF(B2,((INDEX(B1:XFD1,(A2)+(1)))*(2))+(1),(A74)+(2)),(A74)+(2)))),A74))</f>
        <v>#VALUE!</v>
      </c>
      <c r="B74" t="e">
        <f ca="1">IF((A1)=(2),1,IF((71)=(B3),IF(("push")=(INDEX(B1:XFD1,(A2)+(0))),INDEX(B1:XFD1,(A2)+(1)),IF(("load")=(INDEX(B1:XFD1,(A2)+(0))),INDEX(F2:XFD2,INDEX(B1:XFD1,(A2)+(1))),IF(("newheap")=(INDEX(B1:XFD1,(A2)+(0))),(C3)-(2),IF(("getheap")=(INDEX(B1:XFD1,(A2)+(0))),INDEX(C4:C204,(B74)+(1)),IF(("add")=(INDEX(B1:XFD1,(A2)+(0))),(INDEX(B4:B204,(B3)+(1)))+(B74),IF(("equals")=(INDEX(B1:XFD1,(A2)+(0))),(INDEX(B4:B204,(B3)+(1)))=(B74),IF(("leq")=(INDEX(B1:XFD1,(A2)+(0))),(INDEX(B4:B204,(B3)+(1)))&lt;=(B74),B74))))))),B74))</f>
        <v>#VALUE!</v>
      </c>
      <c r="C74" t="e">
        <f ca="1">IF((A1)=(2),1,IF(AND((INDEX(B1:XFD1,(A2)+(0)))=("writeheap"),(INDEX(B4:B204,(B3)+(1)))=(70)),INDEX(B4:B204,(B3)+(2)),IF((A1)=(2),1,IF((71)=(C3),C74,C74))))</f>
        <v>#VALUE!</v>
      </c>
      <c r="E74" t="e">
        <f ca="1">IF((A1)=(2),1,IF((71)=(E3),IF(("outputline")=(INDEX(B1:XFD1,(A2)+(0))),B2,E74),E74))</f>
        <v>#VALUE!</v>
      </c>
      <c r="F74" t="e">
        <f ca="1">IF((A1)=(2),1,IF((71)=(F3),IF(IF((INDEX(B1:XFD1,(A2)+(0)))=("store"),(INDEX(B1:XFD1,(A2)+(1)))=("F"),"false"),B2,F74),F74))</f>
        <v>#VALUE!</v>
      </c>
      <c r="G74" t="e">
        <f ca="1">IF((A1)=(2),1,IF((71)=(G3),IF(IF((INDEX(B1:XFD1,(A2)+(0)))=("store"),(INDEX(B1:XFD1,(A2)+(1)))=("G"),"false"),B2,G74),G74))</f>
        <v>#VALUE!</v>
      </c>
      <c r="H74" t="e">
        <f ca="1">IF((A1)=(2),1,IF((71)=(H3),IF(IF((INDEX(B1:XFD1,(A2)+(0)))=("store"),(INDEX(B1:XFD1,(A2)+(1)))=("H"),"false"),B2,H74),H74))</f>
        <v>#VALUE!</v>
      </c>
      <c r="I74" t="e">
        <f ca="1">IF((A1)=(2),1,IF((71)=(I3),IF(IF((INDEX(B1:XFD1,(A2)+(0)))=("store"),(INDEX(B1:XFD1,(A2)+(1)))=("I"),"false"),B2,I74),I74))</f>
        <v>#VALUE!</v>
      </c>
      <c r="J74" t="e">
        <f ca="1">IF((A1)=(2),1,IF((71)=(J3),IF(IF((INDEX(B1:XFD1,(A2)+(0)))=("store"),(INDEX(B1:XFD1,(A2)+(1)))=("J"),"false"),B2,J74),J74))</f>
        <v>#VALUE!</v>
      </c>
    </row>
    <row r="75" spans="1:10" x14ac:dyDescent="0.25">
      <c r="A75" t="e">
        <f ca="1">IF((A1)=(2),1,IF((72)=(A3),IF(("call")=(INDEX(B1:XFD1,(A2)+(0))),((B2)*(2))+(1),IF(("goto")=(INDEX(B1:XFD1,(A2)+(0))),((INDEX(B1:XFD1,(A2)+(1)))*(2))+(1),IF(("gotoiftrue")=(INDEX(B1:XFD1,(A2)+(0))),IF(B2,((INDEX(B1:XFD1,(A2)+(1)))*(2))+(1),(A75)+(2)),(A75)+(2)))),A75))</f>
        <v>#VALUE!</v>
      </c>
      <c r="B75" t="e">
        <f ca="1">IF((A1)=(2),1,IF((72)=(B3),IF(("push")=(INDEX(B1:XFD1,(A2)+(0))),INDEX(B1:XFD1,(A2)+(1)),IF(("load")=(INDEX(B1:XFD1,(A2)+(0))),INDEX(F2:XFD2,INDEX(B1:XFD1,(A2)+(1))),IF(("newheap")=(INDEX(B1:XFD1,(A2)+(0))),(C3)-(2),IF(("getheap")=(INDEX(B1:XFD1,(A2)+(0))),INDEX(C4:C204,(B75)+(1)),IF(("add")=(INDEX(B1:XFD1,(A2)+(0))),(INDEX(B4:B204,(B3)+(1)))+(B75),IF(("equals")=(INDEX(B1:XFD1,(A2)+(0))),(INDEX(B4:B204,(B3)+(1)))=(B75),IF(("leq")=(INDEX(B1:XFD1,(A2)+(0))),(INDEX(B4:B204,(B3)+(1)))&lt;=(B75),B75))))))),B75))</f>
        <v>#VALUE!</v>
      </c>
      <c r="C75" t="e">
        <f ca="1">IF((A1)=(2),1,IF(AND((INDEX(B1:XFD1,(A2)+(0)))=("writeheap"),(INDEX(B4:B204,(B3)+(1)))=(71)),INDEX(B4:B204,(B3)+(2)),IF((A1)=(2),1,IF((72)=(C3),C75,C75))))</f>
        <v>#VALUE!</v>
      </c>
      <c r="E75" t="e">
        <f ca="1">IF((A1)=(2),1,IF((72)=(E3),IF(("outputline")=(INDEX(B1:XFD1,(A2)+(0))),B2,E75),E75))</f>
        <v>#VALUE!</v>
      </c>
      <c r="F75" t="e">
        <f ca="1">IF((A1)=(2),1,IF((72)=(F3),IF(IF((INDEX(B1:XFD1,(A2)+(0)))=("store"),(INDEX(B1:XFD1,(A2)+(1)))=("F"),"false"),B2,F75),F75))</f>
        <v>#VALUE!</v>
      </c>
      <c r="G75" t="e">
        <f ca="1">IF((A1)=(2),1,IF((72)=(G3),IF(IF((INDEX(B1:XFD1,(A2)+(0)))=("store"),(INDEX(B1:XFD1,(A2)+(1)))=("G"),"false"),B2,G75),G75))</f>
        <v>#VALUE!</v>
      </c>
      <c r="H75" t="e">
        <f ca="1">IF((A1)=(2),1,IF((72)=(H3),IF(IF((INDEX(B1:XFD1,(A2)+(0)))=("store"),(INDEX(B1:XFD1,(A2)+(1)))=("H"),"false"),B2,H75),H75))</f>
        <v>#VALUE!</v>
      </c>
      <c r="I75" t="e">
        <f ca="1">IF((A1)=(2),1,IF((72)=(I3),IF(IF((INDEX(B1:XFD1,(A2)+(0)))=("store"),(INDEX(B1:XFD1,(A2)+(1)))=("I"),"false"),B2,I75),I75))</f>
        <v>#VALUE!</v>
      </c>
      <c r="J75" t="e">
        <f ca="1">IF((A1)=(2),1,IF((72)=(J3),IF(IF((INDEX(B1:XFD1,(A2)+(0)))=("store"),(INDEX(B1:XFD1,(A2)+(1)))=("J"),"false"),B2,J75),J75))</f>
        <v>#VALUE!</v>
      </c>
    </row>
    <row r="76" spans="1:10" x14ac:dyDescent="0.25">
      <c r="A76" t="e">
        <f ca="1">IF((A1)=(2),1,IF((73)=(A3),IF(("call")=(INDEX(B1:XFD1,(A2)+(0))),((B2)*(2))+(1),IF(("goto")=(INDEX(B1:XFD1,(A2)+(0))),((INDEX(B1:XFD1,(A2)+(1)))*(2))+(1),IF(("gotoiftrue")=(INDEX(B1:XFD1,(A2)+(0))),IF(B2,((INDEX(B1:XFD1,(A2)+(1)))*(2))+(1),(A76)+(2)),(A76)+(2)))),A76))</f>
        <v>#VALUE!</v>
      </c>
      <c r="B76" t="e">
        <f ca="1">IF((A1)=(2),1,IF((73)=(B3),IF(("push")=(INDEX(B1:XFD1,(A2)+(0))),INDEX(B1:XFD1,(A2)+(1)),IF(("load")=(INDEX(B1:XFD1,(A2)+(0))),INDEX(F2:XFD2,INDEX(B1:XFD1,(A2)+(1))),IF(("newheap")=(INDEX(B1:XFD1,(A2)+(0))),(C3)-(2),IF(("getheap")=(INDEX(B1:XFD1,(A2)+(0))),INDEX(C4:C204,(B76)+(1)),IF(("add")=(INDEX(B1:XFD1,(A2)+(0))),(INDEX(B4:B204,(B3)+(1)))+(B76),IF(("equals")=(INDEX(B1:XFD1,(A2)+(0))),(INDEX(B4:B204,(B3)+(1)))=(B76),IF(("leq")=(INDEX(B1:XFD1,(A2)+(0))),(INDEX(B4:B204,(B3)+(1)))&lt;=(B76),B76))))))),B76))</f>
        <v>#VALUE!</v>
      </c>
      <c r="C76" t="e">
        <f ca="1">IF((A1)=(2),1,IF(AND((INDEX(B1:XFD1,(A2)+(0)))=("writeheap"),(INDEX(B4:B204,(B3)+(1)))=(72)),INDEX(B4:B204,(B3)+(2)),IF((A1)=(2),1,IF((73)=(C3),C76,C76))))</f>
        <v>#VALUE!</v>
      </c>
      <c r="E76" t="e">
        <f ca="1">IF((A1)=(2),1,IF((73)=(E3),IF(("outputline")=(INDEX(B1:XFD1,(A2)+(0))),B2,E76),E76))</f>
        <v>#VALUE!</v>
      </c>
      <c r="F76" t="e">
        <f ca="1">IF((A1)=(2),1,IF((73)=(F3),IF(IF((INDEX(B1:XFD1,(A2)+(0)))=("store"),(INDEX(B1:XFD1,(A2)+(1)))=("F"),"false"),B2,F76),F76))</f>
        <v>#VALUE!</v>
      </c>
      <c r="G76" t="e">
        <f ca="1">IF((A1)=(2),1,IF((73)=(G3),IF(IF((INDEX(B1:XFD1,(A2)+(0)))=("store"),(INDEX(B1:XFD1,(A2)+(1)))=("G"),"false"),B2,G76),G76))</f>
        <v>#VALUE!</v>
      </c>
      <c r="H76" t="e">
        <f ca="1">IF((A1)=(2),1,IF((73)=(H3),IF(IF((INDEX(B1:XFD1,(A2)+(0)))=("store"),(INDEX(B1:XFD1,(A2)+(1)))=("H"),"false"),B2,H76),H76))</f>
        <v>#VALUE!</v>
      </c>
      <c r="I76" t="e">
        <f ca="1">IF((A1)=(2),1,IF((73)=(I3),IF(IF((INDEX(B1:XFD1,(A2)+(0)))=("store"),(INDEX(B1:XFD1,(A2)+(1)))=("I"),"false"),B2,I76),I76))</f>
        <v>#VALUE!</v>
      </c>
      <c r="J76" t="e">
        <f ca="1">IF((A1)=(2),1,IF((73)=(J3),IF(IF((INDEX(B1:XFD1,(A2)+(0)))=("store"),(INDEX(B1:XFD1,(A2)+(1)))=("J"),"false"),B2,J76),J76))</f>
        <v>#VALUE!</v>
      </c>
    </row>
    <row r="77" spans="1:10" x14ac:dyDescent="0.25">
      <c r="A77" t="e">
        <f ca="1">IF((A1)=(2),1,IF((74)=(A3),IF(("call")=(INDEX(B1:XFD1,(A2)+(0))),((B2)*(2))+(1),IF(("goto")=(INDEX(B1:XFD1,(A2)+(0))),((INDEX(B1:XFD1,(A2)+(1)))*(2))+(1),IF(("gotoiftrue")=(INDEX(B1:XFD1,(A2)+(0))),IF(B2,((INDEX(B1:XFD1,(A2)+(1)))*(2))+(1),(A77)+(2)),(A77)+(2)))),A77))</f>
        <v>#VALUE!</v>
      </c>
      <c r="B77" t="e">
        <f ca="1">IF((A1)=(2),1,IF((74)=(B3),IF(("push")=(INDEX(B1:XFD1,(A2)+(0))),INDEX(B1:XFD1,(A2)+(1)),IF(("load")=(INDEX(B1:XFD1,(A2)+(0))),INDEX(F2:XFD2,INDEX(B1:XFD1,(A2)+(1))),IF(("newheap")=(INDEX(B1:XFD1,(A2)+(0))),(C3)-(2),IF(("getheap")=(INDEX(B1:XFD1,(A2)+(0))),INDEX(C4:C204,(B77)+(1)),IF(("add")=(INDEX(B1:XFD1,(A2)+(0))),(INDEX(B4:B204,(B3)+(1)))+(B77),IF(("equals")=(INDEX(B1:XFD1,(A2)+(0))),(INDEX(B4:B204,(B3)+(1)))=(B77),IF(("leq")=(INDEX(B1:XFD1,(A2)+(0))),(INDEX(B4:B204,(B3)+(1)))&lt;=(B77),B77))))))),B77))</f>
        <v>#VALUE!</v>
      </c>
      <c r="C77" t="e">
        <f ca="1">IF((A1)=(2),1,IF(AND((INDEX(B1:XFD1,(A2)+(0)))=("writeheap"),(INDEX(B4:B204,(B3)+(1)))=(73)),INDEX(B4:B204,(B3)+(2)),IF((A1)=(2),1,IF((74)=(C3),C77,C77))))</f>
        <v>#VALUE!</v>
      </c>
      <c r="E77" t="e">
        <f ca="1">IF((A1)=(2),1,IF((74)=(E3),IF(("outputline")=(INDEX(B1:XFD1,(A2)+(0))),B2,E77),E77))</f>
        <v>#VALUE!</v>
      </c>
      <c r="F77" t="e">
        <f ca="1">IF((A1)=(2),1,IF((74)=(F3),IF(IF((INDEX(B1:XFD1,(A2)+(0)))=("store"),(INDEX(B1:XFD1,(A2)+(1)))=("F"),"false"),B2,F77),F77))</f>
        <v>#VALUE!</v>
      </c>
      <c r="G77" t="e">
        <f ca="1">IF((A1)=(2),1,IF((74)=(G3),IF(IF((INDEX(B1:XFD1,(A2)+(0)))=("store"),(INDEX(B1:XFD1,(A2)+(1)))=("G"),"false"),B2,G77),G77))</f>
        <v>#VALUE!</v>
      </c>
      <c r="H77" t="e">
        <f ca="1">IF((A1)=(2),1,IF((74)=(H3),IF(IF((INDEX(B1:XFD1,(A2)+(0)))=("store"),(INDEX(B1:XFD1,(A2)+(1)))=("H"),"false"),B2,H77),H77))</f>
        <v>#VALUE!</v>
      </c>
      <c r="I77" t="e">
        <f ca="1">IF((A1)=(2),1,IF((74)=(I3),IF(IF((INDEX(B1:XFD1,(A2)+(0)))=("store"),(INDEX(B1:XFD1,(A2)+(1)))=("I"),"false"),B2,I77),I77))</f>
        <v>#VALUE!</v>
      </c>
      <c r="J77" t="e">
        <f ca="1">IF((A1)=(2),1,IF((74)=(J3),IF(IF((INDEX(B1:XFD1,(A2)+(0)))=("store"),(INDEX(B1:XFD1,(A2)+(1)))=("J"),"false"),B2,J77),J77))</f>
        <v>#VALUE!</v>
      </c>
    </row>
    <row r="78" spans="1:10" x14ac:dyDescent="0.25">
      <c r="A78" t="e">
        <f ca="1">IF((A1)=(2),1,IF((75)=(A3),IF(("call")=(INDEX(B1:XFD1,(A2)+(0))),((B2)*(2))+(1),IF(("goto")=(INDEX(B1:XFD1,(A2)+(0))),((INDEX(B1:XFD1,(A2)+(1)))*(2))+(1),IF(("gotoiftrue")=(INDEX(B1:XFD1,(A2)+(0))),IF(B2,((INDEX(B1:XFD1,(A2)+(1)))*(2))+(1),(A78)+(2)),(A78)+(2)))),A78))</f>
        <v>#VALUE!</v>
      </c>
      <c r="B78" t="e">
        <f ca="1">IF((A1)=(2),1,IF((75)=(B3),IF(("push")=(INDEX(B1:XFD1,(A2)+(0))),INDEX(B1:XFD1,(A2)+(1)),IF(("load")=(INDEX(B1:XFD1,(A2)+(0))),INDEX(F2:XFD2,INDEX(B1:XFD1,(A2)+(1))),IF(("newheap")=(INDEX(B1:XFD1,(A2)+(0))),(C3)-(2),IF(("getheap")=(INDEX(B1:XFD1,(A2)+(0))),INDEX(C4:C204,(B78)+(1)),IF(("add")=(INDEX(B1:XFD1,(A2)+(0))),(INDEX(B4:B204,(B3)+(1)))+(B78),IF(("equals")=(INDEX(B1:XFD1,(A2)+(0))),(INDEX(B4:B204,(B3)+(1)))=(B78),IF(("leq")=(INDEX(B1:XFD1,(A2)+(0))),(INDEX(B4:B204,(B3)+(1)))&lt;=(B78),B78))))))),B78))</f>
        <v>#VALUE!</v>
      </c>
      <c r="C78" t="e">
        <f ca="1">IF((A1)=(2),1,IF(AND((INDEX(B1:XFD1,(A2)+(0)))=("writeheap"),(INDEX(B4:B204,(B3)+(1)))=(74)),INDEX(B4:B204,(B3)+(2)),IF((A1)=(2),1,IF((75)=(C3),C78,C78))))</f>
        <v>#VALUE!</v>
      </c>
      <c r="E78" t="e">
        <f ca="1">IF((A1)=(2),1,IF((75)=(E3),IF(("outputline")=(INDEX(B1:XFD1,(A2)+(0))),B2,E78),E78))</f>
        <v>#VALUE!</v>
      </c>
      <c r="F78" t="e">
        <f ca="1">IF((A1)=(2),1,IF((75)=(F3),IF(IF((INDEX(B1:XFD1,(A2)+(0)))=("store"),(INDEX(B1:XFD1,(A2)+(1)))=("F"),"false"),B2,F78),F78))</f>
        <v>#VALUE!</v>
      </c>
      <c r="G78" t="e">
        <f ca="1">IF((A1)=(2),1,IF((75)=(G3),IF(IF((INDEX(B1:XFD1,(A2)+(0)))=("store"),(INDEX(B1:XFD1,(A2)+(1)))=("G"),"false"),B2,G78),G78))</f>
        <v>#VALUE!</v>
      </c>
      <c r="H78" t="e">
        <f ca="1">IF((A1)=(2),1,IF((75)=(H3),IF(IF((INDEX(B1:XFD1,(A2)+(0)))=("store"),(INDEX(B1:XFD1,(A2)+(1)))=("H"),"false"),B2,H78),H78))</f>
        <v>#VALUE!</v>
      </c>
      <c r="I78" t="e">
        <f ca="1">IF((A1)=(2),1,IF((75)=(I3),IF(IF((INDEX(B1:XFD1,(A2)+(0)))=("store"),(INDEX(B1:XFD1,(A2)+(1)))=("I"),"false"),B2,I78),I78))</f>
        <v>#VALUE!</v>
      </c>
      <c r="J78" t="e">
        <f ca="1">IF((A1)=(2),1,IF((75)=(J3),IF(IF((INDEX(B1:XFD1,(A2)+(0)))=("store"),(INDEX(B1:XFD1,(A2)+(1)))=("J"),"false"),B2,J78),J78))</f>
        <v>#VALUE!</v>
      </c>
    </row>
    <row r="79" spans="1:10" x14ac:dyDescent="0.25">
      <c r="A79" t="e">
        <f ca="1">IF((A1)=(2),1,IF((76)=(A3),IF(("call")=(INDEX(B1:XFD1,(A2)+(0))),((B2)*(2))+(1),IF(("goto")=(INDEX(B1:XFD1,(A2)+(0))),((INDEX(B1:XFD1,(A2)+(1)))*(2))+(1),IF(("gotoiftrue")=(INDEX(B1:XFD1,(A2)+(0))),IF(B2,((INDEX(B1:XFD1,(A2)+(1)))*(2))+(1),(A79)+(2)),(A79)+(2)))),A79))</f>
        <v>#VALUE!</v>
      </c>
      <c r="B79" t="e">
        <f ca="1">IF((A1)=(2),1,IF((76)=(B3),IF(("push")=(INDEX(B1:XFD1,(A2)+(0))),INDEX(B1:XFD1,(A2)+(1)),IF(("load")=(INDEX(B1:XFD1,(A2)+(0))),INDEX(F2:XFD2,INDEX(B1:XFD1,(A2)+(1))),IF(("newheap")=(INDEX(B1:XFD1,(A2)+(0))),(C3)-(2),IF(("getheap")=(INDEX(B1:XFD1,(A2)+(0))),INDEX(C4:C204,(B79)+(1)),IF(("add")=(INDEX(B1:XFD1,(A2)+(0))),(INDEX(B4:B204,(B3)+(1)))+(B79),IF(("equals")=(INDEX(B1:XFD1,(A2)+(0))),(INDEX(B4:B204,(B3)+(1)))=(B79),IF(("leq")=(INDEX(B1:XFD1,(A2)+(0))),(INDEX(B4:B204,(B3)+(1)))&lt;=(B79),B79))))))),B79))</f>
        <v>#VALUE!</v>
      </c>
      <c r="C79" t="e">
        <f ca="1">IF((A1)=(2),1,IF(AND((INDEX(B1:XFD1,(A2)+(0)))=("writeheap"),(INDEX(B4:B204,(B3)+(1)))=(75)),INDEX(B4:B204,(B3)+(2)),IF((A1)=(2),1,IF((76)=(C3),C79,C79))))</f>
        <v>#VALUE!</v>
      </c>
      <c r="E79" t="e">
        <f ca="1">IF((A1)=(2),1,IF((76)=(E3),IF(("outputline")=(INDEX(B1:XFD1,(A2)+(0))),B2,E79),E79))</f>
        <v>#VALUE!</v>
      </c>
      <c r="F79" t="e">
        <f ca="1">IF((A1)=(2),1,IF((76)=(F3),IF(IF((INDEX(B1:XFD1,(A2)+(0)))=("store"),(INDEX(B1:XFD1,(A2)+(1)))=("F"),"false"),B2,F79),F79))</f>
        <v>#VALUE!</v>
      </c>
      <c r="G79" t="e">
        <f ca="1">IF((A1)=(2),1,IF((76)=(G3),IF(IF((INDEX(B1:XFD1,(A2)+(0)))=("store"),(INDEX(B1:XFD1,(A2)+(1)))=("G"),"false"),B2,G79),G79))</f>
        <v>#VALUE!</v>
      </c>
      <c r="H79" t="e">
        <f ca="1">IF((A1)=(2),1,IF((76)=(H3),IF(IF((INDEX(B1:XFD1,(A2)+(0)))=("store"),(INDEX(B1:XFD1,(A2)+(1)))=("H"),"false"),B2,H79),H79))</f>
        <v>#VALUE!</v>
      </c>
      <c r="I79" t="e">
        <f ca="1">IF((A1)=(2),1,IF((76)=(I3),IF(IF((INDEX(B1:XFD1,(A2)+(0)))=("store"),(INDEX(B1:XFD1,(A2)+(1)))=("I"),"false"),B2,I79),I79))</f>
        <v>#VALUE!</v>
      </c>
      <c r="J79" t="e">
        <f ca="1">IF((A1)=(2),1,IF((76)=(J3),IF(IF((INDEX(B1:XFD1,(A2)+(0)))=("store"),(INDEX(B1:XFD1,(A2)+(1)))=("J"),"false"),B2,J79),J79))</f>
        <v>#VALUE!</v>
      </c>
    </row>
    <row r="80" spans="1:10" x14ac:dyDescent="0.25">
      <c r="A80" t="e">
        <f ca="1">IF((A1)=(2),1,IF((77)=(A3),IF(("call")=(INDEX(B1:XFD1,(A2)+(0))),((B2)*(2))+(1),IF(("goto")=(INDEX(B1:XFD1,(A2)+(0))),((INDEX(B1:XFD1,(A2)+(1)))*(2))+(1),IF(("gotoiftrue")=(INDEX(B1:XFD1,(A2)+(0))),IF(B2,((INDEX(B1:XFD1,(A2)+(1)))*(2))+(1),(A80)+(2)),(A80)+(2)))),A80))</f>
        <v>#VALUE!</v>
      </c>
      <c r="B80" t="e">
        <f ca="1">IF((A1)=(2),1,IF((77)=(B3),IF(("push")=(INDEX(B1:XFD1,(A2)+(0))),INDEX(B1:XFD1,(A2)+(1)),IF(("load")=(INDEX(B1:XFD1,(A2)+(0))),INDEX(F2:XFD2,INDEX(B1:XFD1,(A2)+(1))),IF(("newheap")=(INDEX(B1:XFD1,(A2)+(0))),(C3)-(2),IF(("getheap")=(INDEX(B1:XFD1,(A2)+(0))),INDEX(C4:C204,(B80)+(1)),IF(("add")=(INDEX(B1:XFD1,(A2)+(0))),(INDEX(B4:B204,(B3)+(1)))+(B80),IF(("equals")=(INDEX(B1:XFD1,(A2)+(0))),(INDEX(B4:B204,(B3)+(1)))=(B80),IF(("leq")=(INDEX(B1:XFD1,(A2)+(0))),(INDEX(B4:B204,(B3)+(1)))&lt;=(B80),B80))))))),B80))</f>
        <v>#VALUE!</v>
      </c>
      <c r="C80" t="e">
        <f ca="1">IF((A1)=(2),1,IF(AND((INDEX(B1:XFD1,(A2)+(0)))=("writeheap"),(INDEX(B4:B204,(B3)+(1)))=(76)),INDEX(B4:B204,(B3)+(2)),IF((A1)=(2),1,IF((77)=(C3),C80,C80))))</f>
        <v>#VALUE!</v>
      </c>
      <c r="E80" t="e">
        <f ca="1">IF((A1)=(2),1,IF((77)=(E3),IF(("outputline")=(INDEX(B1:XFD1,(A2)+(0))),B2,E80),E80))</f>
        <v>#VALUE!</v>
      </c>
      <c r="F80" t="e">
        <f ca="1">IF((A1)=(2),1,IF((77)=(F3),IF(IF((INDEX(B1:XFD1,(A2)+(0)))=("store"),(INDEX(B1:XFD1,(A2)+(1)))=("F"),"false"),B2,F80),F80))</f>
        <v>#VALUE!</v>
      </c>
      <c r="G80" t="e">
        <f ca="1">IF((A1)=(2),1,IF((77)=(G3),IF(IF((INDEX(B1:XFD1,(A2)+(0)))=("store"),(INDEX(B1:XFD1,(A2)+(1)))=("G"),"false"),B2,G80),G80))</f>
        <v>#VALUE!</v>
      </c>
      <c r="H80" t="e">
        <f ca="1">IF((A1)=(2),1,IF((77)=(H3),IF(IF((INDEX(B1:XFD1,(A2)+(0)))=("store"),(INDEX(B1:XFD1,(A2)+(1)))=("H"),"false"),B2,H80),H80))</f>
        <v>#VALUE!</v>
      </c>
      <c r="I80" t="e">
        <f ca="1">IF((A1)=(2),1,IF((77)=(I3),IF(IF((INDEX(B1:XFD1,(A2)+(0)))=("store"),(INDEX(B1:XFD1,(A2)+(1)))=("I"),"false"),B2,I80),I80))</f>
        <v>#VALUE!</v>
      </c>
      <c r="J80" t="e">
        <f ca="1">IF((A1)=(2),1,IF((77)=(J3),IF(IF((INDEX(B1:XFD1,(A2)+(0)))=("store"),(INDEX(B1:XFD1,(A2)+(1)))=("J"),"false"),B2,J80),J80))</f>
        <v>#VALUE!</v>
      </c>
    </row>
    <row r="81" spans="1:10" x14ac:dyDescent="0.25">
      <c r="A81" t="e">
        <f ca="1">IF((A1)=(2),1,IF((78)=(A3),IF(("call")=(INDEX(B1:XFD1,(A2)+(0))),((B2)*(2))+(1),IF(("goto")=(INDEX(B1:XFD1,(A2)+(0))),((INDEX(B1:XFD1,(A2)+(1)))*(2))+(1),IF(("gotoiftrue")=(INDEX(B1:XFD1,(A2)+(0))),IF(B2,((INDEX(B1:XFD1,(A2)+(1)))*(2))+(1),(A81)+(2)),(A81)+(2)))),A81))</f>
        <v>#VALUE!</v>
      </c>
      <c r="B81" t="e">
        <f ca="1">IF((A1)=(2),1,IF((78)=(B3),IF(("push")=(INDEX(B1:XFD1,(A2)+(0))),INDEX(B1:XFD1,(A2)+(1)),IF(("load")=(INDEX(B1:XFD1,(A2)+(0))),INDEX(F2:XFD2,INDEX(B1:XFD1,(A2)+(1))),IF(("newheap")=(INDEX(B1:XFD1,(A2)+(0))),(C3)-(2),IF(("getheap")=(INDEX(B1:XFD1,(A2)+(0))),INDEX(C4:C204,(B81)+(1)),IF(("add")=(INDEX(B1:XFD1,(A2)+(0))),(INDEX(B4:B204,(B3)+(1)))+(B81),IF(("equals")=(INDEX(B1:XFD1,(A2)+(0))),(INDEX(B4:B204,(B3)+(1)))=(B81),IF(("leq")=(INDEX(B1:XFD1,(A2)+(0))),(INDEX(B4:B204,(B3)+(1)))&lt;=(B81),B81))))))),B81))</f>
        <v>#VALUE!</v>
      </c>
      <c r="C81" t="e">
        <f ca="1">IF((A1)=(2),1,IF(AND((INDEX(B1:XFD1,(A2)+(0)))=("writeheap"),(INDEX(B4:B204,(B3)+(1)))=(77)),INDEX(B4:B204,(B3)+(2)),IF((A1)=(2),1,IF((78)=(C3),C81,C81))))</f>
        <v>#VALUE!</v>
      </c>
      <c r="E81" t="e">
        <f ca="1">IF((A1)=(2),1,IF((78)=(E3),IF(("outputline")=(INDEX(B1:XFD1,(A2)+(0))),B2,E81),E81))</f>
        <v>#VALUE!</v>
      </c>
      <c r="F81" t="e">
        <f ca="1">IF((A1)=(2),1,IF((78)=(F3),IF(IF((INDEX(B1:XFD1,(A2)+(0)))=("store"),(INDEX(B1:XFD1,(A2)+(1)))=("F"),"false"),B2,F81),F81))</f>
        <v>#VALUE!</v>
      </c>
      <c r="G81" t="e">
        <f ca="1">IF((A1)=(2),1,IF((78)=(G3),IF(IF((INDEX(B1:XFD1,(A2)+(0)))=("store"),(INDEX(B1:XFD1,(A2)+(1)))=("G"),"false"),B2,G81),G81))</f>
        <v>#VALUE!</v>
      </c>
      <c r="H81" t="e">
        <f ca="1">IF((A1)=(2),1,IF((78)=(H3),IF(IF((INDEX(B1:XFD1,(A2)+(0)))=("store"),(INDEX(B1:XFD1,(A2)+(1)))=("H"),"false"),B2,H81),H81))</f>
        <v>#VALUE!</v>
      </c>
      <c r="I81" t="e">
        <f ca="1">IF((A1)=(2),1,IF((78)=(I3),IF(IF((INDEX(B1:XFD1,(A2)+(0)))=("store"),(INDEX(B1:XFD1,(A2)+(1)))=("I"),"false"),B2,I81),I81))</f>
        <v>#VALUE!</v>
      </c>
      <c r="J81" t="e">
        <f ca="1">IF((A1)=(2),1,IF((78)=(J3),IF(IF((INDEX(B1:XFD1,(A2)+(0)))=("store"),(INDEX(B1:XFD1,(A2)+(1)))=("J"),"false"),B2,J81),J81))</f>
        <v>#VALUE!</v>
      </c>
    </row>
    <row r="82" spans="1:10" x14ac:dyDescent="0.25">
      <c r="A82" t="e">
        <f ca="1">IF((A1)=(2),1,IF((79)=(A3),IF(("call")=(INDEX(B1:XFD1,(A2)+(0))),((B2)*(2))+(1),IF(("goto")=(INDEX(B1:XFD1,(A2)+(0))),((INDEX(B1:XFD1,(A2)+(1)))*(2))+(1),IF(("gotoiftrue")=(INDEX(B1:XFD1,(A2)+(0))),IF(B2,((INDEX(B1:XFD1,(A2)+(1)))*(2))+(1),(A82)+(2)),(A82)+(2)))),A82))</f>
        <v>#VALUE!</v>
      </c>
      <c r="B82" t="e">
        <f ca="1">IF((A1)=(2),1,IF((79)=(B3),IF(("push")=(INDEX(B1:XFD1,(A2)+(0))),INDEX(B1:XFD1,(A2)+(1)),IF(("load")=(INDEX(B1:XFD1,(A2)+(0))),INDEX(F2:XFD2,INDEX(B1:XFD1,(A2)+(1))),IF(("newheap")=(INDEX(B1:XFD1,(A2)+(0))),(C3)-(2),IF(("getheap")=(INDEX(B1:XFD1,(A2)+(0))),INDEX(C4:C204,(B82)+(1)),IF(("add")=(INDEX(B1:XFD1,(A2)+(0))),(INDEX(B4:B204,(B3)+(1)))+(B82),IF(("equals")=(INDEX(B1:XFD1,(A2)+(0))),(INDEX(B4:B204,(B3)+(1)))=(B82),IF(("leq")=(INDEX(B1:XFD1,(A2)+(0))),(INDEX(B4:B204,(B3)+(1)))&lt;=(B82),B82))))))),B82))</f>
        <v>#VALUE!</v>
      </c>
      <c r="C82" t="e">
        <f ca="1">IF((A1)=(2),1,IF(AND((INDEX(B1:XFD1,(A2)+(0)))=("writeheap"),(INDEX(B4:B204,(B3)+(1)))=(78)),INDEX(B4:B204,(B3)+(2)),IF((A1)=(2),1,IF((79)=(C3),C82,C82))))</f>
        <v>#VALUE!</v>
      </c>
      <c r="E82" t="e">
        <f ca="1">IF((A1)=(2),1,IF((79)=(E3),IF(("outputline")=(INDEX(B1:XFD1,(A2)+(0))),B2,E82),E82))</f>
        <v>#VALUE!</v>
      </c>
      <c r="F82" t="e">
        <f ca="1">IF((A1)=(2),1,IF((79)=(F3),IF(IF((INDEX(B1:XFD1,(A2)+(0)))=("store"),(INDEX(B1:XFD1,(A2)+(1)))=("F"),"false"),B2,F82),F82))</f>
        <v>#VALUE!</v>
      </c>
      <c r="G82" t="e">
        <f ca="1">IF((A1)=(2),1,IF((79)=(G3),IF(IF((INDEX(B1:XFD1,(A2)+(0)))=("store"),(INDEX(B1:XFD1,(A2)+(1)))=("G"),"false"),B2,G82),G82))</f>
        <v>#VALUE!</v>
      </c>
      <c r="H82" t="e">
        <f ca="1">IF((A1)=(2),1,IF((79)=(H3),IF(IF((INDEX(B1:XFD1,(A2)+(0)))=("store"),(INDEX(B1:XFD1,(A2)+(1)))=("H"),"false"),B2,H82),H82))</f>
        <v>#VALUE!</v>
      </c>
      <c r="I82" t="e">
        <f ca="1">IF((A1)=(2),1,IF((79)=(I3),IF(IF((INDEX(B1:XFD1,(A2)+(0)))=("store"),(INDEX(B1:XFD1,(A2)+(1)))=("I"),"false"),B2,I82),I82))</f>
        <v>#VALUE!</v>
      </c>
      <c r="J82" t="e">
        <f ca="1">IF((A1)=(2),1,IF((79)=(J3),IF(IF((INDEX(B1:XFD1,(A2)+(0)))=("store"),(INDEX(B1:XFD1,(A2)+(1)))=("J"),"false"),B2,J82),J82))</f>
        <v>#VALUE!</v>
      </c>
    </row>
    <row r="83" spans="1:10" x14ac:dyDescent="0.25">
      <c r="A83" t="e">
        <f ca="1">IF((A1)=(2),1,IF((80)=(A3),IF(("call")=(INDEX(B1:XFD1,(A2)+(0))),((B2)*(2))+(1),IF(("goto")=(INDEX(B1:XFD1,(A2)+(0))),((INDEX(B1:XFD1,(A2)+(1)))*(2))+(1),IF(("gotoiftrue")=(INDEX(B1:XFD1,(A2)+(0))),IF(B2,((INDEX(B1:XFD1,(A2)+(1)))*(2))+(1),(A83)+(2)),(A83)+(2)))),A83))</f>
        <v>#VALUE!</v>
      </c>
      <c r="B83" t="e">
        <f ca="1">IF((A1)=(2),1,IF((80)=(B3),IF(("push")=(INDEX(B1:XFD1,(A2)+(0))),INDEX(B1:XFD1,(A2)+(1)),IF(("load")=(INDEX(B1:XFD1,(A2)+(0))),INDEX(F2:XFD2,INDEX(B1:XFD1,(A2)+(1))),IF(("newheap")=(INDEX(B1:XFD1,(A2)+(0))),(C3)-(2),IF(("getheap")=(INDEX(B1:XFD1,(A2)+(0))),INDEX(C4:C204,(B83)+(1)),IF(("add")=(INDEX(B1:XFD1,(A2)+(0))),(INDEX(B4:B204,(B3)+(1)))+(B83),IF(("equals")=(INDEX(B1:XFD1,(A2)+(0))),(INDEX(B4:B204,(B3)+(1)))=(B83),IF(("leq")=(INDEX(B1:XFD1,(A2)+(0))),(INDEX(B4:B204,(B3)+(1)))&lt;=(B83),B83))))))),B83))</f>
        <v>#VALUE!</v>
      </c>
      <c r="C83" t="e">
        <f ca="1">IF((A1)=(2),1,IF(AND((INDEX(B1:XFD1,(A2)+(0)))=("writeheap"),(INDEX(B4:B204,(B3)+(1)))=(79)),INDEX(B4:B204,(B3)+(2)),IF((A1)=(2),1,IF((80)=(C3),C83,C83))))</f>
        <v>#VALUE!</v>
      </c>
      <c r="E83" t="e">
        <f ca="1">IF((A1)=(2),1,IF((80)=(E3),IF(("outputline")=(INDEX(B1:XFD1,(A2)+(0))),B2,E83),E83))</f>
        <v>#VALUE!</v>
      </c>
      <c r="F83" t="e">
        <f ca="1">IF((A1)=(2),1,IF((80)=(F3),IF(IF((INDEX(B1:XFD1,(A2)+(0)))=("store"),(INDEX(B1:XFD1,(A2)+(1)))=("F"),"false"),B2,F83),F83))</f>
        <v>#VALUE!</v>
      </c>
      <c r="G83" t="e">
        <f ca="1">IF((A1)=(2),1,IF((80)=(G3),IF(IF((INDEX(B1:XFD1,(A2)+(0)))=("store"),(INDEX(B1:XFD1,(A2)+(1)))=("G"),"false"),B2,G83),G83))</f>
        <v>#VALUE!</v>
      </c>
      <c r="H83" t="e">
        <f ca="1">IF((A1)=(2),1,IF((80)=(H3),IF(IF((INDEX(B1:XFD1,(A2)+(0)))=("store"),(INDEX(B1:XFD1,(A2)+(1)))=("H"),"false"),B2,H83),H83))</f>
        <v>#VALUE!</v>
      </c>
      <c r="I83" t="e">
        <f ca="1">IF((A1)=(2),1,IF((80)=(I3),IF(IF((INDEX(B1:XFD1,(A2)+(0)))=("store"),(INDEX(B1:XFD1,(A2)+(1)))=("I"),"false"),B2,I83),I83))</f>
        <v>#VALUE!</v>
      </c>
      <c r="J83" t="e">
        <f ca="1">IF((A1)=(2),1,IF((80)=(J3),IF(IF((INDEX(B1:XFD1,(A2)+(0)))=("store"),(INDEX(B1:XFD1,(A2)+(1)))=("J"),"false"),B2,J83),J83))</f>
        <v>#VALUE!</v>
      </c>
    </row>
    <row r="84" spans="1:10" x14ac:dyDescent="0.25">
      <c r="A84" t="e">
        <f ca="1">IF((A1)=(2),1,IF((81)=(A3),IF(("call")=(INDEX(B1:XFD1,(A2)+(0))),((B2)*(2))+(1),IF(("goto")=(INDEX(B1:XFD1,(A2)+(0))),((INDEX(B1:XFD1,(A2)+(1)))*(2))+(1),IF(("gotoiftrue")=(INDEX(B1:XFD1,(A2)+(0))),IF(B2,((INDEX(B1:XFD1,(A2)+(1)))*(2))+(1),(A84)+(2)),(A84)+(2)))),A84))</f>
        <v>#VALUE!</v>
      </c>
      <c r="B84" t="e">
        <f ca="1">IF((A1)=(2),1,IF((81)=(B3),IF(("push")=(INDEX(B1:XFD1,(A2)+(0))),INDEX(B1:XFD1,(A2)+(1)),IF(("load")=(INDEX(B1:XFD1,(A2)+(0))),INDEX(F2:XFD2,INDEX(B1:XFD1,(A2)+(1))),IF(("newheap")=(INDEX(B1:XFD1,(A2)+(0))),(C3)-(2),IF(("getheap")=(INDEX(B1:XFD1,(A2)+(0))),INDEX(C4:C204,(B84)+(1)),IF(("add")=(INDEX(B1:XFD1,(A2)+(0))),(INDEX(B4:B204,(B3)+(1)))+(B84),IF(("equals")=(INDEX(B1:XFD1,(A2)+(0))),(INDEX(B4:B204,(B3)+(1)))=(B84),IF(("leq")=(INDEX(B1:XFD1,(A2)+(0))),(INDEX(B4:B204,(B3)+(1)))&lt;=(B84),B84))))))),B84))</f>
        <v>#VALUE!</v>
      </c>
      <c r="C84" t="e">
        <f ca="1">IF((A1)=(2),1,IF(AND((INDEX(B1:XFD1,(A2)+(0)))=("writeheap"),(INDEX(B4:B204,(B3)+(1)))=(80)),INDEX(B4:B204,(B3)+(2)),IF((A1)=(2),1,IF((81)=(C3),C84,C84))))</f>
        <v>#VALUE!</v>
      </c>
      <c r="E84" t="e">
        <f ca="1">IF((A1)=(2),1,IF((81)=(E3),IF(("outputline")=(INDEX(B1:XFD1,(A2)+(0))),B2,E84),E84))</f>
        <v>#VALUE!</v>
      </c>
      <c r="F84" t="e">
        <f ca="1">IF((A1)=(2),1,IF((81)=(F3),IF(IF((INDEX(B1:XFD1,(A2)+(0)))=("store"),(INDEX(B1:XFD1,(A2)+(1)))=("F"),"false"),B2,F84),F84))</f>
        <v>#VALUE!</v>
      </c>
      <c r="G84" t="e">
        <f ca="1">IF((A1)=(2),1,IF((81)=(G3),IF(IF((INDEX(B1:XFD1,(A2)+(0)))=("store"),(INDEX(B1:XFD1,(A2)+(1)))=("G"),"false"),B2,G84),G84))</f>
        <v>#VALUE!</v>
      </c>
      <c r="H84" t="e">
        <f ca="1">IF((A1)=(2),1,IF((81)=(H3),IF(IF((INDEX(B1:XFD1,(A2)+(0)))=("store"),(INDEX(B1:XFD1,(A2)+(1)))=("H"),"false"),B2,H84),H84))</f>
        <v>#VALUE!</v>
      </c>
      <c r="I84" t="e">
        <f ca="1">IF((A1)=(2),1,IF((81)=(I3),IF(IF((INDEX(B1:XFD1,(A2)+(0)))=("store"),(INDEX(B1:XFD1,(A2)+(1)))=("I"),"false"),B2,I84),I84))</f>
        <v>#VALUE!</v>
      </c>
      <c r="J84" t="e">
        <f ca="1">IF((A1)=(2),1,IF((81)=(J3),IF(IF((INDEX(B1:XFD1,(A2)+(0)))=("store"),(INDEX(B1:XFD1,(A2)+(1)))=("J"),"false"),B2,J84),J84))</f>
        <v>#VALUE!</v>
      </c>
    </row>
    <row r="85" spans="1:10" x14ac:dyDescent="0.25">
      <c r="A85" t="e">
        <f ca="1">IF((A1)=(2),1,IF((82)=(A3),IF(("call")=(INDEX(B1:XFD1,(A2)+(0))),((B2)*(2))+(1),IF(("goto")=(INDEX(B1:XFD1,(A2)+(0))),((INDEX(B1:XFD1,(A2)+(1)))*(2))+(1),IF(("gotoiftrue")=(INDEX(B1:XFD1,(A2)+(0))),IF(B2,((INDEX(B1:XFD1,(A2)+(1)))*(2))+(1),(A85)+(2)),(A85)+(2)))),A85))</f>
        <v>#VALUE!</v>
      </c>
      <c r="B85" t="e">
        <f ca="1">IF((A1)=(2),1,IF((82)=(B3),IF(("push")=(INDEX(B1:XFD1,(A2)+(0))),INDEX(B1:XFD1,(A2)+(1)),IF(("load")=(INDEX(B1:XFD1,(A2)+(0))),INDEX(F2:XFD2,INDEX(B1:XFD1,(A2)+(1))),IF(("newheap")=(INDEX(B1:XFD1,(A2)+(0))),(C3)-(2),IF(("getheap")=(INDEX(B1:XFD1,(A2)+(0))),INDEX(C4:C204,(B85)+(1)),IF(("add")=(INDEX(B1:XFD1,(A2)+(0))),(INDEX(B4:B204,(B3)+(1)))+(B85),IF(("equals")=(INDEX(B1:XFD1,(A2)+(0))),(INDEX(B4:B204,(B3)+(1)))=(B85),IF(("leq")=(INDEX(B1:XFD1,(A2)+(0))),(INDEX(B4:B204,(B3)+(1)))&lt;=(B85),B85))))))),B85))</f>
        <v>#VALUE!</v>
      </c>
      <c r="C85" t="e">
        <f ca="1">IF((A1)=(2),1,IF(AND((INDEX(B1:XFD1,(A2)+(0)))=("writeheap"),(INDEX(B4:B204,(B3)+(1)))=(81)),INDEX(B4:B204,(B3)+(2)),IF((A1)=(2),1,IF((82)=(C3),C85,C85))))</f>
        <v>#VALUE!</v>
      </c>
      <c r="E85" t="e">
        <f ca="1">IF((A1)=(2),1,IF((82)=(E3),IF(("outputline")=(INDEX(B1:XFD1,(A2)+(0))),B2,E85),E85))</f>
        <v>#VALUE!</v>
      </c>
      <c r="F85" t="e">
        <f ca="1">IF((A1)=(2),1,IF((82)=(F3),IF(IF((INDEX(B1:XFD1,(A2)+(0)))=("store"),(INDEX(B1:XFD1,(A2)+(1)))=("F"),"false"),B2,F85),F85))</f>
        <v>#VALUE!</v>
      </c>
      <c r="G85" t="e">
        <f ca="1">IF((A1)=(2),1,IF((82)=(G3),IF(IF((INDEX(B1:XFD1,(A2)+(0)))=("store"),(INDEX(B1:XFD1,(A2)+(1)))=("G"),"false"),B2,G85),G85))</f>
        <v>#VALUE!</v>
      </c>
      <c r="H85" t="e">
        <f ca="1">IF((A1)=(2),1,IF((82)=(H3),IF(IF((INDEX(B1:XFD1,(A2)+(0)))=("store"),(INDEX(B1:XFD1,(A2)+(1)))=("H"),"false"),B2,H85),H85))</f>
        <v>#VALUE!</v>
      </c>
      <c r="I85" t="e">
        <f ca="1">IF((A1)=(2),1,IF((82)=(I3),IF(IF((INDEX(B1:XFD1,(A2)+(0)))=("store"),(INDEX(B1:XFD1,(A2)+(1)))=("I"),"false"),B2,I85),I85))</f>
        <v>#VALUE!</v>
      </c>
      <c r="J85" t="e">
        <f ca="1">IF((A1)=(2),1,IF((82)=(J3),IF(IF((INDEX(B1:XFD1,(A2)+(0)))=("store"),(INDEX(B1:XFD1,(A2)+(1)))=("J"),"false"),B2,J85),J85))</f>
        <v>#VALUE!</v>
      </c>
    </row>
    <row r="86" spans="1:10" x14ac:dyDescent="0.25">
      <c r="A86" t="e">
        <f ca="1">IF((A1)=(2),1,IF((83)=(A3),IF(("call")=(INDEX(B1:XFD1,(A2)+(0))),((B2)*(2))+(1),IF(("goto")=(INDEX(B1:XFD1,(A2)+(0))),((INDEX(B1:XFD1,(A2)+(1)))*(2))+(1),IF(("gotoiftrue")=(INDEX(B1:XFD1,(A2)+(0))),IF(B2,((INDEX(B1:XFD1,(A2)+(1)))*(2))+(1),(A86)+(2)),(A86)+(2)))),A86))</f>
        <v>#VALUE!</v>
      </c>
      <c r="B86" t="e">
        <f ca="1">IF((A1)=(2),1,IF((83)=(B3),IF(("push")=(INDEX(B1:XFD1,(A2)+(0))),INDEX(B1:XFD1,(A2)+(1)),IF(("load")=(INDEX(B1:XFD1,(A2)+(0))),INDEX(F2:XFD2,INDEX(B1:XFD1,(A2)+(1))),IF(("newheap")=(INDEX(B1:XFD1,(A2)+(0))),(C3)-(2),IF(("getheap")=(INDEX(B1:XFD1,(A2)+(0))),INDEX(C4:C204,(B86)+(1)),IF(("add")=(INDEX(B1:XFD1,(A2)+(0))),(INDEX(B4:B204,(B3)+(1)))+(B86),IF(("equals")=(INDEX(B1:XFD1,(A2)+(0))),(INDEX(B4:B204,(B3)+(1)))=(B86),IF(("leq")=(INDEX(B1:XFD1,(A2)+(0))),(INDEX(B4:B204,(B3)+(1)))&lt;=(B86),B86))))))),B86))</f>
        <v>#VALUE!</v>
      </c>
      <c r="C86" t="e">
        <f ca="1">IF((A1)=(2),1,IF(AND((INDEX(B1:XFD1,(A2)+(0)))=("writeheap"),(INDEX(B4:B204,(B3)+(1)))=(82)),INDEX(B4:B204,(B3)+(2)),IF((A1)=(2),1,IF((83)=(C3),C86,C86))))</f>
        <v>#VALUE!</v>
      </c>
      <c r="E86" t="e">
        <f ca="1">IF((A1)=(2),1,IF((83)=(E3),IF(("outputline")=(INDEX(B1:XFD1,(A2)+(0))),B2,E86),E86))</f>
        <v>#VALUE!</v>
      </c>
      <c r="F86" t="e">
        <f ca="1">IF((A1)=(2),1,IF((83)=(F3),IF(IF((INDEX(B1:XFD1,(A2)+(0)))=("store"),(INDEX(B1:XFD1,(A2)+(1)))=("F"),"false"),B2,F86),F86))</f>
        <v>#VALUE!</v>
      </c>
      <c r="G86" t="e">
        <f ca="1">IF((A1)=(2),1,IF((83)=(G3),IF(IF((INDEX(B1:XFD1,(A2)+(0)))=("store"),(INDEX(B1:XFD1,(A2)+(1)))=("G"),"false"),B2,G86),G86))</f>
        <v>#VALUE!</v>
      </c>
      <c r="H86" t="e">
        <f ca="1">IF((A1)=(2),1,IF((83)=(H3),IF(IF((INDEX(B1:XFD1,(A2)+(0)))=("store"),(INDEX(B1:XFD1,(A2)+(1)))=("H"),"false"),B2,H86),H86))</f>
        <v>#VALUE!</v>
      </c>
      <c r="I86" t="e">
        <f ca="1">IF((A1)=(2),1,IF((83)=(I3),IF(IF((INDEX(B1:XFD1,(A2)+(0)))=("store"),(INDEX(B1:XFD1,(A2)+(1)))=("I"),"false"),B2,I86),I86))</f>
        <v>#VALUE!</v>
      </c>
      <c r="J86" t="e">
        <f ca="1">IF((A1)=(2),1,IF((83)=(J3),IF(IF((INDEX(B1:XFD1,(A2)+(0)))=("store"),(INDEX(B1:XFD1,(A2)+(1)))=("J"),"false"),B2,J86),J86))</f>
        <v>#VALUE!</v>
      </c>
    </row>
    <row r="87" spans="1:10" x14ac:dyDescent="0.25">
      <c r="A87" t="e">
        <f ca="1">IF((A1)=(2),1,IF((84)=(A3),IF(("call")=(INDEX(B1:XFD1,(A2)+(0))),((B2)*(2))+(1),IF(("goto")=(INDEX(B1:XFD1,(A2)+(0))),((INDEX(B1:XFD1,(A2)+(1)))*(2))+(1),IF(("gotoiftrue")=(INDEX(B1:XFD1,(A2)+(0))),IF(B2,((INDEX(B1:XFD1,(A2)+(1)))*(2))+(1),(A87)+(2)),(A87)+(2)))),A87))</f>
        <v>#VALUE!</v>
      </c>
      <c r="B87" t="e">
        <f ca="1">IF((A1)=(2),1,IF((84)=(B3),IF(("push")=(INDEX(B1:XFD1,(A2)+(0))),INDEX(B1:XFD1,(A2)+(1)),IF(("load")=(INDEX(B1:XFD1,(A2)+(0))),INDEX(F2:XFD2,INDEX(B1:XFD1,(A2)+(1))),IF(("newheap")=(INDEX(B1:XFD1,(A2)+(0))),(C3)-(2),IF(("getheap")=(INDEX(B1:XFD1,(A2)+(0))),INDEX(C4:C204,(B87)+(1)),IF(("add")=(INDEX(B1:XFD1,(A2)+(0))),(INDEX(B4:B204,(B3)+(1)))+(B87),IF(("equals")=(INDEX(B1:XFD1,(A2)+(0))),(INDEX(B4:B204,(B3)+(1)))=(B87),IF(("leq")=(INDEX(B1:XFD1,(A2)+(0))),(INDEX(B4:B204,(B3)+(1)))&lt;=(B87),B87))))))),B87))</f>
        <v>#VALUE!</v>
      </c>
      <c r="C87" t="e">
        <f ca="1">IF((A1)=(2),1,IF(AND((INDEX(B1:XFD1,(A2)+(0)))=("writeheap"),(INDEX(B4:B204,(B3)+(1)))=(83)),INDEX(B4:B204,(B3)+(2)),IF((A1)=(2),1,IF((84)=(C3),C87,C87))))</f>
        <v>#VALUE!</v>
      </c>
      <c r="E87" t="e">
        <f ca="1">IF((A1)=(2),1,IF((84)=(E3),IF(("outputline")=(INDEX(B1:XFD1,(A2)+(0))),B2,E87),E87))</f>
        <v>#VALUE!</v>
      </c>
      <c r="F87" t="e">
        <f ca="1">IF((A1)=(2),1,IF((84)=(F3),IF(IF((INDEX(B1:XFD1,(A2)+(0)))=("store"),(INDEX(B1:XFD1,(A2)+(1)))=("F"),"false"),B2,F87),F87))</f>
        <v>#VALUE!</v>
      </c>
      <c r="G87" t="e">
        <f ca="1">IF((A1)=(2),1,IF((84)=(G3),IF(IF((INDEX(B1:XFD1,(A2)+(0)))=("store"),(INDEX(B1:XFD1,(A2)+(1)))=("G"),"false"),B2,G87),G87))</f>
        <v>#VALUE!</v>
      </c>
      <c r="H87" t="e">
        <f ca="1">IF((A1)=(2),1,IF((84)=(H3),IF(IF((INDEX(B1:XFD1,(A2)+(0)))=("store"),(INDEX(B1:XFD1,(A2)+(1)))=("H"),"false"),B2,H87),H87))</f>
        <v>#VALUE!</v>
      </c>
      <c r="I87" t="e">
        <f ca="1">IF((A1)=(2),1,IF((84)=(I3),IF(IF((INDEX(B1:XFD1,(A2)+(0)))=("store"),(INDEX(B1:XFD1,(A2)+(1)))=("I"),"false"),B2,I87),I87))</f>
        <v>#VALUE!</v>
      </c>
      <c r="J87" t="e">
        <f ca="1">IF((A1)=(2),1,IF((84)=(J3),IF(IF((INDEX(B1:XFD1,(A2)+(0)))=("store"),(INDEX(B1:XFD1,(A2)+(1)))=("J"),"false"),B2,J87),J87))</f>
        <v>#VALUE!</v>
      </c>
    </row>
    <row r="88" spans="1:10" x14ac:dyDescent="0.25">
      <c r="A88" t="e">
        <f ca="1">IF((A1)=(2),1,IF((85)=(A3),IF(("call")=(INDEX(B1:XFD1,(A2)+(0))),((B2)*(2))+(1),IF(("goto")=(INDEX(B1:XFD1,(A2)+(0))),((INDEX(B1:XFD1,(A2)+(1)))*(2))+(1),IF(("gotoiftrue")=(INDEX(B1:XFD1,(A2)+(0))),IF(B2,((INDEX(B1:XFD1,(A2)+(1)))*(2))+(1),(A88)+(2)),(A88)+(2)))),A88))</f>
        <v>#VALUE!</v>
      </c>
      <c r="B88" t="e">
        <f ca="1">IF((A1)=(2),1,IF((85)=(B3),IF(("push")=(INDEX(B1:XFD1,(A2)+(0))),INDEX(B1:XFD1,(A2)+(1)),IF(("load")=(INDEX(B1:XFD1,(A2)+(0))),INDEX(F2:XFD2,INDEX(B1:XFD1,(A2)+(1))),IF(("newheap")=(INDEX(B1:XFD1,(A2)+(0))),(C3)-(2),IF(("getheap")=(INDEX(B1:XFD1,(A2)+(0))),INDEX(C4:C204,(B88)+(1)),IF(("add")=(INDEX(B1:XFD1,(A2)+(0))),(INDEX(B4:B204,(B3)+(1)))+(B88),IF(("equals")=(INDEX(B1:XFD1,(A2)+(0))),(INDEX(B4:B204,(B3)+(1)))=(B88),IF(("leq")=(INDEX(B1:XFD1,(A2)+(0))),(INDEX(B4:B204,(B3)+(1)))&lt;=(B88),B88))))))),B88))</f>
        <v>#VALUE!</v>
      </c>
      <c r="C88" t="e">
        <f ca="1">IF((A1)=(2),1,IF(AND((INDEX(B1:XFD1,(A2)+(0)))=("writeheap"),(INDEX(B4:B204,(B3)+(1)))=(84)),INDEX(B4:B204,(B3)+(2)),IF((A1)=(2),1,IF((85)=(C3),C88,C88))))</f>
        <v>#VALUE!</v>
      </c>
      <c r="E88" t="e">
        <f ca="1">IF((A1)=(2),1,IF((85)=(E3),IF(("outputline")=(INDEX(B1:XFD1,(A2)+(0))),B2,E88),E88))</f>
        <v>#VALUE!</v>
      </c>
      <c r="F88" t="e">
        <f ca="1">IF((A1)=(2),1,IF((85)=(F3),IF(IF((INDEX(B1:XFD1,(A2)+(0)))=("store"),(INDEX(B1:XFD1,(A2)+(1)))=("F"),"false"),B2,F88),F88))</f>
        <v>#VALUE!</v>
      </c>
      <c r="G88" t="e">
        <f ca="1">IF((A1)=(2),1,IF((85)=(G3),IF(IF((INDEX(B1:XFD1,(A2)+(0)))=("store"),(INDEX(B1:XFD1,(A2)+(1)))=("G"),"false"),B2,G88),G88))</f>
        <v>#VALUE!</v>
      </c>
      <c r="H88" t="e">
        <f ca="1">IF((A1)=(2),1,IF((85)=(H3),IF(IF((INDEX(B1:XFD1,(A2)+(0)))=("store"),(INDEX(B1:XFD1,(A2)+(1)))=("H"),"false"),B2,H88),H88))</f>
        <v>#VALUE!</v>
      </c>
      <c r="I88" t="e">
        <f ca="1">IF((A1)=(2),1,IF((85)=(I3),IF(IF((INDEX(B1:XFD1,(A2)+(0)))=("store"),(INDEX(B1:XFD1,(A2)+(1)))=("I"),"false"),B2,I88),I88))</f>
        <v>#VALUE!</v>
      </c>
      <c r="J88" t="e">
        <f ca="1">IF((A1)=(2),1,IF((85)=(J3),IF(IF((INDEX(B1:XFD1,(A2)+(0)))=("store"),(INDEX(B1:XFD1,(A2)+(1)))=("J"),"false"),B2,J88),J88))</f>
        <v>#VALUE!</v>
      </c>
    </row>
    <row r="89" spans="1:10" x14ac:dyDescent="0.25">
      <c r="A89" t="e">
        <f ca="1">IF((A1)=(2),1,IF((86)=(A3),IF(("call")=(INDEX(B1:XFD1,(A2)+(0))),((B2)*(2))+(1),IF(("goto")=(INDEX(B1:XFD1,(A2)+(0))),((INDEX(B1:XFD1,(A2)+(1)))*(2))+(1),IF(("gotoiftrue")=(INDEX(B1:XFD1,(A2)+(0))),IF(B2,((INDEX(B1:XFD1,(A2)+(1)))*(2))+(1),(A89)+(2)),(A89)+(2)))),A89))</f>
        <v>#VALUE!</v>
      </c>
      <c r="B89" t="e">
        <f ca="1">IF((A1)=(2),1,IF((86)=(B3),IF(("push")=(INDEX(B1:XFD1,(A2)+(0))),INDEX(B1:XFD1,(A2)+(1)),IF(("load")=(INDEX(B1:XFD1,(A2)+(0))),INDEX(F2:XFD2,INDEX(B1:XFD1,(A2)+(1))),IF(("newheap")=(INDEX(B1:XFD1,(A2)+(0))),(C3)-(2),IF(("getheap")=(INDEX(B1:XFD1,(A2)+(0))),INDEX(C4:C204,(B89)+(1)),IF(("add")=(INDEX(B1:XFD1,(A2)+(0))),(INDEX(B4:B204,(B3)+(1)))+(B89),IF(("equals")=(INDEX(B1:XFD1,(A2)+(0))),(INDEX(B4:B204,(B3)+(1)))=(B89),IF(("leq")=(INDEX(B1:XFD1,(A2)+(0))),(INDEX(B4:B204,(B3)+(1)))&lt;=(B89),B89))))))),B89))</f>
        <v>#VALUE!</v>
      </c>
      <c r="C89" t="e">
        <f ca="1">IF((A1)=(2),1,IF(AND((INDEX(B1:XFD1,(A2)+(0)))=("writeheap"),(INDEX(B4:B204,(B3)+(1)))=(85)),INDEX(B4:B204,(B3)+(2)),IF((A1)=(2),1,IF((86)=(C3),C89,C89))))</f>
        <v>#VALUE!</v>
      </c>
      <c r="E89" t="e">
        <f ca="1">IF((A1)=(2),1,IF((86)=(E3),IF(("outputline")=(INDEX(B1:XFD1,(A2)+(0))),B2,E89),E89))</f>
        <v>#VALUE!</v>
      </c>
      <c r="F89" t="e">
        <f ca="1">IF((A1)=(2),1,IF((86)=(F3),IF(IF((INDEX(B1:XFD1,(A2)+(0)))=("store"),(INDEX(B1:XFD1,(A2)+(1)))=("F"),"false"),B2,F89),F89))</f>
        <v>#VALUE!</v>
      </c>
      <c r="G89" t="e">
        <f ca="1">IF((A1)=(2),1,IF((86)=(G3),IF(IF((INDEX(B1:XFD1,(A2)+(0)))=("store"),(INDEX(B1:XFD1,(A2)+(1)))=("G"),"false"),B2,G89),G89))</f>
        <v>#VALUE!</v>
      </c>
      <c r="H89" t="e">
        <f ca="1">IF((A1)=(2),1,IF((86)=(H3),IF(IF((INDEX(B1:XFD1,(A2)+(0)))=("store"),(INDEX(B1:XFD1,(A2)+(1)))=("H"),"false"),B2,H89),H89))</f>
        <v>#VALUE!</v>
      </c>
      <c r="I89" t="e">
        <f ca="1">IF((A1)=(2),1,IF((86)=(I3),IF(IF((INDEX(B1:XFD1,(A2)+(0)))=("store"),(INDEX(B1:XFD1,(A2)+(1)))=("I"),"false"),B2,I89),I89))</f>
        <v>#VALUE!</v>
      </c>
      <c r="J89" t="e">
        <f ca="1">IF((A1)=(2),1,IF((86)=(J3),IF(IF((INDEX(B1:XFD1,(A2)+(0)))=("store"),(INDEX(B1:XFD1,(A2)+(1)))=("J"),"false"),B2,J89),J89))</f>
        <v>#VALUE!</v>
      </c>
    </row>
    <row r="90" spans="1:10" x14ac:dyDescent="0.25">
      <c r="A90" t="e">
        <f ca="1">IF((A1)=(2),1,IF((87)=(A3),IF(("call")=(INDEX(B1:XFD1,(A2)+(0))),((B2)*(2))+(1),IF(("goto")=(INDEX(B1:XFD1,(A2)+(0))),((INDEX(B1:XFD1,(A2)+(1)))*(2))+(1),IF(("gotoiftrue")=(INDEX(B1:XFD1,(A2)+(0))),IF(B2,((INDEX(B1:XFD1,(A2)+(1)))*(2))+(1),(A90)+(2)),(A90)+(2)))),A90))</f>
        <v>#VALUE!</v>
      </c>
      <c r="B90" t="e">
        <f ca="1">IF((A1)=(2),1,IF((87)=(B3),IF(("push")=(INDEX(B1:XFD1,(A2)+(0))),INDEX(B1:XFD1,(A2)+(1)),IF(("load")=(INDEX(B1:XFD1,(A2)+(0))),INDEX(F2:XFD2,INDEX(B1:XFD1,(A2)+(1))),IF(("newheap")=(INDEX(B1:XFD1,(A2)+(0))),(C3)-(2),IF(("getheap")=(INDEX(B1:XFD1,(A2)+(0))),INDEX(C4:C204,(B90)+(1)),IF(("add")=(INDEX(B1:XFD1,(A2)+(0))),(INDEX(B4:B204,(B3)+(1)))+(B90),IF(("equals")=(INDEX(B1:XFD1,(A2)+(0))),(INDEX(B4:B204,(B3)+(1)))=(B90),IF(("leq")=(INDEX(B1:XFD1,(A2)+(0))),(INDEX(B4:B204,(B3)+(1)))&lt;=(B90),B90))))))),B90))</f>
        <v>#VALUE!</v>
      </c>
      <c r="C90" t="e">
        <f ca="1">IF((A1)=(2),1,IF(AND((INDEX(B1:XFD1,(A2)+(0)))=("writeheap"),(INDEX(B4:B204,(B3)+(1)))=(86)),INDEX(B4:B204,(B3)+(2)),IF((A1)=(2),1,IF((87)=(C3),C90,C90))))</f>
        <v>#VALUE!</v>
      </c>
      <c r="E90" t="e">
        <f ca="1">IF((A1)=(2),1,IF((87)=(E3),IF(("outputline")=(INDEX(B1:XFD1,(A2)+(0))),B2,E90),E90))</f>
        <v>#VALUE!</v>
      </c>
      <c r="F90" t="e">
        <f ca="1">IF((A1)=(2),1,IF((87)=(F3),IF(IF((INDEX(B1:XFD1,(A2)+(0)))=("store"),(INDEX(B1:XFD1,(A2)+(1)))=("F"),"false"),B2,F90),F90))</f>
        <v>#VALUE!</v>
      </c>
      <c r="G90" t="e">
        <f ca="1">IF((A1)=(2),1,IF((87)=(G3),IF(IF((INDEX(B1:XFD1,(A2)+(0)))=("store"),(INDEX(B1:XFD1,(A2)+(1)))=("G"),"false"),B2,G90),G90))</f>
        <v>#VALUE!</v>
      </c>
      <c r="H90" t="e">
        <f ca="1">IF((A1)=(2),1,IF((87)=(H3),IF(IF((INDEX(B1:XFD1,(A2)+(0)))=("store"),(INDEX(B1:XFD1,(A2)+(1)))=("H"),"false"),B2,H90),H90))</f>
        <v>#VALUE!</v>
      </c>
      <c r="I90" t="e">
        <f ca="1">IF((A1)=(2),1,IF((87)=(I3),IF(IF((INDEX(B1:XFD1,(A2)+(0)))=("store"),(INDEX(B1:XFD1,(A2)+(1)))=("I"),"false"),B2,I90),I90))</f>
        <v>#VALUE!</v>
      </c>
      <c r="J90" t="e">
        <f ca="1">IF((A1)=(2),1,IF((87)=(J3),IF(IF((INDEX(B1:XFD1,(A2)+(0)))=("store"),(INDEX(B1:XFD1,(A2)+(1)))=("J"),"false"),B2,J90),J90))</f>
        <v>#VALUE!</v>
      </c>
    </row>
    <row r="91" spans="1:10" x14ac:dyDescent="0.25">
      <c r="A91" t="e">
        <f ca="1">IF((A1)=(2),1,IF((88)=(A3),IF(("call")=(INDEX(B1:XFD1,(A2)+(0))),((B2)*(2))+(1),IF(("goto")=(INDEX(B1:XFD1,(A2)+(0))),((INDEX(B1:XFD1,(A2)+(1)))*(2))+(1),IF(("gotoiftrue")=(INDEX(B1:XFD1,(A2)+(0))),IF(B2,((INDEX(B1:XFD1,(A2)+(1)))*(2))+(1),(A91)+(2)),(A91)+(2)))),A91))</f>
        <v>#VALUE!</v>
      </c>
      <c r="B91" t="e">
        <f ca="1">IF((A1)=(2),1,IF((88)=(B3),IF(("push")=(INDEX(B1:XFD1,(A2)+(0))),INDEX(B1:XFD1,(A2)+(1)),IF(("load")=(INDEX(B1:XFD1,(A2)+(0))),INDEX(F2:XFD2,INDEX(B1:XFD1,(A2)+(1))),IF(("newheap")=(INDEX(B1:XFD1,(A2)+(0))),(C3)-(2),IF(("getheap")=(INDEX(B1:XFD1,(A2)+(0))),INDEX(C4:C204,(B91)+(1)),IF(("add")=(INDEX(B1:XFD1,(A2)+(0))),(INDEX(B4:B204,(B3)+(1)))+(B91),IF(("equals")=(INDEX(B1:XFD1,(A2)+(0))),(INDEX(B4:B204,(B3)+(1)))=(B91),IF(("leq")=(INDEX(B1:XFD1,(A2)+(0))),(INDEX(B4:B204,(B3)+(1)))&lt;=(B91),B91))))))),B91))</f>
        <v>#VALUE!</v>
      </c>
      <c r="C91" t="e">
        <f ca="1">IF((A1)=(2),1,IF(AND((INDEX(B1:XFD1,(A2)+(0)))=("writeheap"),(INDEX(B4:B204,(B3)+(1)))=(87)),INDEX(B4:B204,(B3)+(2)),IF((A1)=(2),1,IF((88)=(C3),C91,C91))))</f>
        <v>#VALUE!</v>
      </c>
      <c r="E91" t="e">
        <f ca="1">IF((A1)=(2),1,IF((88)=(E3),IF(("outputline")=(INDEX(B1:XFD1,(A2)+(0))),B2,E91),E91))</f>
        <v>#VALUE!</v>
      </c>
      <c r="F91" t="e">
        <f ca="1">IF((A1)=(2),1,IF((88)=(F3),IF(IF((INDEX(B1:XFD1,(A2)+(0)))=("store"),(INDEX(B1:XFD1,(A2)+(1)))=("F"),"false"),B2,F91),F91))</f>
        <v>#VALUE!</v>
      </c>
      <c r="G91" t="e">
        <f ca="1">IF((A1)=(2),1,IF((88)=(G3),IF(IF((INDEX(B1:XFD1,(A2)+(0)))=("store"),(INDEX(B1:XFD1,(A2)+(1)))=("G"),"false"),B2,G91),G91))</f>
        <v>#VALUE!</v>
      </c>
      <c r="H91" t="e">
        <f ca="1">IF((A1)=(2),1,IF((88)=(H3),IF(IF((INDEX(B1:XFD1,(A2)+(0)))=("store"),(INDEX(B1:XFD1,(A2)+(1)))=("H"),"false"),B2,H91),H91))</f>
        <v>#VALUE!</v>
      </c>
      <c r="I91" t="e">
        <f ca="1">IF((A1)=(2),1,IF((88)=(I3),IF(IF((INDEX(B1:XFD1,(A2)+(0)))=("store"),(INDEX(B1:XFD1,(A2)+(1)))=("I"),"false"),B2,I91),I91))</f>
        <v>#VALUE!</v>
      </c>
      <c r="J91" t="e">
        <f ca="1">IF((A1)=(2),1,IF((88)=(J3),IF(IF((INDEX(B1:XFD1,(A2)+(0)))=("store"),(INDEX(B1:XFD1,(A2)+(1)))=("J"),"false"),B2,J91),J91))</f>
        <v>#VALUE!</v>
      </c>
    </row>
    <row r="92" spans="1:10" x14ac:dyDescent="0.25">
      <c r="A92" t="e">
        <f ca="1">IF((A1)=(2),1,IF((89)=(A3),IF(("call")=(INDEX(B1:XFD1,(A2)+(0))),((B2)*(2))+(1),IF(("goto")=(INDEX(B1:XFD1,(A2)+(0))),((INDEX(B1:XFD1,(A2)+(1)))*(2))+(1),IF(("gotoiftrue")=(INDEX(B1:XFD1,(A2)+(0))),IF(B2,((INDEX(B1:XFD1,(A2)+(1)))*(2))+(1),(A92)+(2)),(A92)+(2)))),A92))</f>
        <v>#VALUE!</v>
      </c>
      <c r="B92" t="e">
        <f ca="1">IF((A1)=(2),1,IF((89)=(B3),IF(("push")=(INDEX(B1:XFD1,(A2)+(0))),INDEX(B1:XFD1,(A2)+(1)),IF(("load")=(INDEX(B1:XFD1,(A2)+(0))),INDEX(F2:XFD2,INDEX(B1:XFD1,(A2)+(1))),IF(("newheap")=(INDEX(B1:XFD1,(A2)+(0))),(C3)-(2),IF(("getheap")=(INDEX(B1:XFD1,(A2)+(0))),INDEX(C4:C204,(B92)+(1)),IF(("add")=(INDEX(B1:XFD1,(A2)+(0))),(INDEX(B4:B204,(B3)+(1)))+(B92),IF(("equals")=(INDEX(B1:XFD1,(A2)+(0))),(INDEX(B4:B204,(B3)+(1)))=(B92),IF(("leq")=(INDEX(B1:XFD1,(A2)+(0))),(INDEX(B4:B204,(B3)+(1)))&lt;=(B92),B92))))))),B92))</f>
        <v>#VALUE!</v>
      </c>
      <c r="C92" t="e">
        <f ca="1">IF((A1)=(2),1,IF(AND((INDEX(B1:XFD1,(A2)+(0)))=("writeheap"),(INDEX(B4:B204,(B3)+(1)))=(88)),INDEX(B4:B204,(B3)+(2)),IF((A1)=(2),1,IF((89)=(C3),C92,C92))))</f>
        <v>#VALUE!</v>
      </c>
      <c r="E92" t="e">
        <f ca="1">IF((A1)=(2),1,IF((89)=(E3),IF(("outputline")=(INDEX(B1:XFD1,(A2)+(0))),B2,E92),E92))</f>
        <v>#VALUE!</v>
      </c>
      <c r="F92" t="e">
        <f ca="1">IF((A1)=(2),1,IF((89)=(F3),IF(IF((INDEX(B1:XFD1,(A2)+(0)))=("store"),(INDEX(B1:XFD1,(A2)+(1)))=("F"),"false"),B2,F92),F92))</f>
        <v>#VALUE!</v>
      </c>
      <c r="G92" t="e">
        <f ca="1">IF((A1)=(2),1,IF((89)=(G3),IF(IF((INDEX(B1:XFD1,(A2)+(0)))=("store"),(INDEX(B1:XFD1,(A2)+(1)))=("G"),"false"),B2,G92),G92))</f>
        <v>#VALUE!</v>
      </c>
      <c r="H92" t="e">
        <f ca="1">IF((A1)=(2),1,IF((89)=(H3),IF(IF((INDEX(B1:XFD1,(A2)+(0)))=("store"),(INDEX(B1:XFD1,(A2)+(1)))=("H"),"false"),B2,H92),H92))</f>
        <v>#VALUE!</v>
      </c>
      <c r="I92" t="e">
        <f ca="1">IF((A1)=(2),1,IF((89)=(I3),IF(IF((INDEX(B1:XFD1,(A2)+(0)))=("store"),(INDEX(B1:XFD1,(A2)+(1)))=("I"),"false"),B2,I92),I92))</f>
        <v>#VALUE!</v>
      </c>
      <c r="J92" t="e">
        <f ca="1">IF((A1)=(2),1,IF((89)=(J3),IF(IF((INDEX(B1:XFD1,(A2)+(0)))=("store"),(INDEX(B1:XFD1,(A2)+(1)))=("J"),"false"),B2,J92),J92))</f>
        <v>#VALUE!</v>
      </c>
    </row>
    <row r="93" spans="1:10" x14ac:dyDescent="0.25">
      <c r="A93" t="e">
        <f ca="1">IF((A1)=(2),1,IF((90)=(A3),IF(("call")=(INDEX(B1:XFD1,(A2)+(0))),((B2)*(2))+(1),IF(("goto")=(INDEX(B1:XFD1,(A2)+(0))),((INDEX(B1:XFD1,(A2)+(1)))*(2))+(1),IF(("gotoiftrue")=(INDEX(B1:XFD1,(A2)+(0))),IF(B2,((INDEX(B1:XFD1,(A2)+(1)))*(2))+(1),(A93)+(2)),(A93)+(2)))),A93))</f>
        <v>#VALUE!</v>
      </c>
      <c r="B93" t="e">
        <f ca="1">IF((A1)=(2),1,IF((90)=(B3),IF(("push")=(INDEX(B1:XFD1,(A2)+(0))),INDEX(B1:XFD1,(A2)+(1)),IF(("load")=(INDEX(B1:XFD1,(A2)+(0))),INDEX(F2:XFD2,INDEX(B1:XFD1,(A2)+(1))),IF(("newheap")=(INDEX(B1:XFD1,(A2)+(0))),(C3)-(2),IF(("getheap")=(INDEX(B1:XFD1,(A2)+(0))),INDEX(C4:C204,(B93)+(1)),IF(("add")=(INDEX(B1:XFD1,(A2)+(0))),(INDEX(B4:B204,(B3)+(1)))+(B93),IF(("equals")=(INDEX(B1:XFD1,(A2)+(0))),(INDEX(B4:B204,(B3)+(1)))=(B93),IF(("leq")=(INDEX(B1:XFD1,(A2)+(0))),(INDEX(B4:B204,(B3)+(1)))&lt;=(B93),B93))))))),B93))</f>
        <v>#VALUE!</v>
      </c>
      <c r="C93" t="e">
        <f ca="1">IF((A1)=(2),1,IF(AND((INDEX(B1:XFD1,(A2)+(0)))=("writeheap"),(INDEX(B4:B204,(B3)+(1)))=(89)),INDEX(B4:B204,(B3)+(2)),IF((A1)=(2),1,IF((90)=(C3),C93,C93))))</f>
        <v>#VALUE!</v>
      </c>
      <c r="E93" t="e">
        <f ca="1">IF((A1)=(2),1,IF((90)=(E3),IF(("outputline")=(INDEX(B1:XFD1,(A2)+(0))),B2,E93),E93))</f>
        <v>#VALUE!</v>
      </c>
      <c r="F93" t="e">
        <f ca="1">IF((A1)=(2),1,IF((90)=(F3),IF(IF((INDEX(B1:XFD1,(A2)+(0)))=("store"),(INDEX(B1:XFD1,(A2)+(1)))=("F"),"false"),B2,F93),F93))</f>
        <v>#VALUE!</v>
      </c>
      <c r="G93" t="e">
        <f ca="1">IF((A1)=(2),1,IF((90)=(G3),IF(IF((INDEX(B1:XFD1,(A2)+(0)))=("store"),(INDEX(B1:XFD1,(A2)+(1)))=("G"),"false"),B2,G93),G93))</f>
        <v>#VALUE!</v>
      </c>
      <c r="H93" t="e">
        <f ca="1">IF((A1)=(2),1,IF((90)=(H3),IF(IF((INDEX(B1:XFD1,(A2)+(0)))=("store"),(INDEX(B1:XFD1,(A2)+(1)))=("H"),"false"),B2,H93),H93))</f>
        <v>#VALUE!</v>
      </c>
      <c r="I93" t="e">
        <f ca="1">IF((A1)=(2),1,IF((90)=(I3),IF(IF((INDEX(B1:XFD1,(A2)+(0)))=("store"),(INDEX(B1:XFD1,(A2)+(1)))=("I"),"false"),B2,I93),I93))</f>
        <v>#VALUE!</v>
      </c>
      <c r="J93" t="e">
        <f ca="1">IF((A1)=(2),1,IF((90)=(J3),IF(IF((INDEX(B1:XFD1,(A2)+(0)))=("store"),(INDEX(B1:XFD1,(A2)+(1)))=("J"),"false"),B2,J93),J93))</f>
        <v>#VALUE!</v>
      </c>
    </row>
    <row r="94" spans="1:10" x14ac:dyDescent="0.25">
      <c r="A94" t="e">
        <f ca="1">IF((A1)=(2),1,IF((91)=(A3),IF(("call")=(INDEX(B1:XFD1,(A2)+(0))),((B2)*(2))+(1),IF(("goto")=(INDEX(B1:XFD1,(A2)+(0))),((INDEX(B1:XFD1,(A2)+(1)))*(2))+(1),IF(("gotoiftrue")=(INDEX(B1:XFD1,(A2)+(0))),IF(B2,((INDEX(B1:XFD1,(A2)+(1)))*(2))+(1),(A94)+(2)),(A94)+(2)))),A94))</f>
        <v>#VALUE!</v>
      </c>
      <c r="B94" t="e">
        <f ca="1">IF((A1)=(2),1,IF((91)=(B3),IF(("push")=(INDEX(B1:XFD1,(A2)+(0))),INDEX(B1:XFD1,(A2)+(1)),IF(("load")=(INDEX(B1:XFD1,(A2)+(0))),INDEX(F2:XFD2,INDEX(B1:XFD1,(A2)+(1))),IF(("newheap")=(INDEX(B1:XFD1,(A2)+(0))),(C3)-(2),IF(("getheap")=(INDEX(B1:XFD1,(A2)+(0))),INDEX(C4:C204,(B94)+(1)),IF(("add")=(INDEX(B1:XFD1,(A2)+(0))),(INDEX(B4:B204,(B3)+(1)))+(B94),IF(("equals")=(INDEX(B1:XFD1,(A2)+(0))),(INDEX(B4:B204,(B3)+(1)))=(B94),IF(("leq")=(INDEX(B1:XFD1,(A2)+(0))),(INDEX(B4:B204,(B3)+(1)))&lt;=(B94),B94))))))),B94))</f>
        <v>#VALUE!</v>
      </c>
      <c r="C94" t="e">
        <f ca="1">IF((A1)=(2),1,IF(AND((INDEX(B1:XFD1,(A2)+(0)))=("writeheap"),(INDEX(B4:B204,(B3)+(1)))=(90)),INDEX(B4:B204,(B3)+(2)),IF((A1)=(2),1,IF((91)=(C3),C94,C94))))</f>
        <v>#VALUE!</v>
      </c>
      <c r="E94" t="e">
        <f ca="1">IF((A1)=(2),1,IF((91)=(E3),IF(("outputline")=(INDEX(B1:XFD1,(A2)+(0))),B2,E94),E94))</f>
        <v>#VALUE!</v>
      </c>
      <c r="F94" t="e">
        <f ca="1">IF((A1)=(2),1,IF((91)=(F3),IF(IF((INDEX(B1:XFD1,(A2)+(0)))=("store"),(INDEX(B1:XFD1,(A2)+(1)))=("F"),"false"),B2,F94),F94))</f>
        <v>#VALUE!</v>
      </c>
      <c r="G94" t="e">
        <f ca="1">IF((A1)=(2),1,IF((91)=(G3),IF(IF((INDEX(B1:XFD1,(A2)+(0)))=("store"),(INDEX(B1:XFD1,(A2)+(1)))=("G"),"false"),B2,G94),G94))</f>
        <v>#VALUE!</v>
      </c>
      <c r="H94" t="e">
        <f ca="1">IF((A1)=(2),1,IF((91)=(H3),IF(IF((INDEX(B1:XFD1,(A2)+(0)))=("store"),(INDEX(B1:XFD1,(A2)+(1)))=("H"),"false"),B2,H94),H94))</f>
        <v>#VALUE!</v>
      </c>
      <c r="I94" t="e">
        <f ca="1">IF((A1)=(2),1,IF((91)=(I3),IF(IF((INDEX(B1:XFD1,(A2)+(0)))=("store"),(INDEX(B1:XFD1,(A2)+(1)))=("I"),"false"),B2,I94),I94))</f>
        <v>#VALUE!</v>
      </c>
      <c r="J94" t="e">
        <f ca="1">IF((A1)=(2),1,IF((91)=(J3),IF(IF((INDEX(B1:XFD1,(A2)+(0)))=("store"),(INDEX(B1:XFD1,(A2)+(1)))=("J"),"false"),B2,J94),J94))</f>
        <v>#VALUE!</v>
      </c>
    </row>
    <row r="95" spans="1:10" x14ac:dyDescent="0.25">
      <c r="A95" t="e">
        <f ca="1">IF((A1)=(2),1,IF((92)=(A3),IF(("call")=(INDEX(B1:XFD1,(A2)+(0))),((B2)*(2))+(1),IF(("goto")=(INDEX(B1:XFD1,(A2)+(0))),((INDEX(B1:XFD1,(A2)+(1)))*(2))+(1),IF(("gotoiftrue")=(INDEX(B1:XFD1,(A2)+(0))),IF(B2,((INDEX(B1:XFD1,(A2)+(1)))*(2))+(1),(A95)+(2)),(A95)+(2)))),A95))</f>
        <v>#VALUE!</v>
      </c>
      <c r="B95" t="e">
        <f ca="1">IF((A1)=(2),1,IF((92)=(B3),IF(("push")=(INDEX(B1:XFD1,(A2)+(0))),INDEX(B1:XFD1,(A2)+(1)),IF(("load")=(INDEX(B1:XFD1,(A2)+(0))),INDEX(F2:XFD2,INDEX(B1:XFD1,(A2)+(1))),IF(("newheap")=(INDEX(B1:XFD1,(A2)+(0))),(C3)-(2),IF(("getheap")=(INDEX(B1:XFD1,(A2)+(0))),INDEX(C4:C204,(B95)+(1)),IF(("add")=(INDEX(B1:XFD1,(A2)+(0))),(INDEX(B4:B204,(B3)+(1)))+(B95),IF(("equals")=(INDEX(B1:XFD1,(A2)+(0))),(INDEX(B4:B204,(B3)+(1)))=(B95),IF(("leq")=(INDEX(B1:XFD1,(A2)+(0))),(INDEX(B4:B204,(B3)+(1)))&lt;=(B95),B95))))))),B95))</f>
        <v>#VALUE!</v>
      </c>
      <c r="C95" t="e">
        <f ca="1">IF((A1)=(2),1,IF(AND((INDEX(B1:XFD1,(A2)+(0)))=("writeheap"),(INDEX(B4:B204,(B3)+(1)))=(91)),INDEX(B4:B204,(B3)+(2)),IF((A1)=(2),1,IF((92)=(C3),C95,C95))))</f>
        <v>#VALUE!</v>
      </c>
      <c r="E95" t="e">
        <f ca="1">IF((A1)=(2),1,IF((92)=(E3),IF(("outputline")=(INDEX(B1:XFD1,(A2)+(0))),B2,E95),E95))</f>
        <v>#VALUE!</v>
      </c>
      <c r="F95" t="e">
        <f ca="1">IF((A1)=(2),1,IF((92)=(F3),IF(IF((INDEX(B1:XFD1,(A2)+(0)))=("store"),(INDEX(B1:XFD1,(A2)+(1)))=("F"),"false"),B2,F95),F95))</f>
        <v>#VALUE!</v>
      </c>
      <c r="G95" t="e">
        <f ca="1">IF((A1)=(2),1,IF((92)=(G3),IF(IF((INDEX(B1:XFD1,(A2)+(0)))=("store"),(INDEX(B1:XFD1,(A2)+(1)))=("G"),"false"),B2,G95),G95))</f>
        <v>#VALUE!</v>
      </c>
      <c r="H95" t="e">
        <f ca="1">IF((A1)=(2),1,IF((92)=(H3),IF(IF((INDEX(B1:XFD1,(A2)+(0)))=("store"),(INDEX(B1:XFD1,(A2)+(1)))=("H"),"false"),B2,H95),H95))</f>
        <v>#VALUE!</v>
      </c>
      <c r="I95" t="e">
        <f ca="1">IF((A1)=(2),1,IF((92)=(I3),IF(IF((INDEX(B1:XFD1,(A2)+(0)))=("store"),(INDEX(B1:XFD1,(A2)+(1)))=("I"),"false"),B2,I95),I95))</f>
        <v>#VALUE!</v>
      </c>
      <c r="J95" t="e">
        <f ca="1">IF((A1)=(2),1,IF((92)=(J3),IF(IF((INDEX(B1:XFD1,(A2)+(0)))=("store"),(INDEX(B1:XFD1,(A2)+(1)))=("J"),"false"),B2,J95),J95))</f>
        <v>#VALUE!</v>
      </c>
    </row>
    <row r="96" spans="1:10" x14ac:dyDescent="0.25">
      <c r="A96" t="e">
        <f ca="1">IF((A1)=(2),1,IF((93)=(A3),IF(("call")=(INDEX(B1:XFD1,(A2)+(0))),((B2)*(2))+(1),IF(("goto")=(INDEX(B1:XFD1,(A2)+(0))),((INDEX(B1:XFD1,(A2)+(1)))*(2))+(1),IF(("gotoiftrue")=(INDEX(B1:XFD1,(A2)+(0))),IF(B2,((INDEX(B1:XFD1,(A2)+(1)))*(2))+(1),(A96)+(2)),(A96)+(2)))),A96))</f>
        <v>#VALUE!</v>
      </c>
      <c r="B96" t="e">
        <f ca="1">IF((A1)=(2),1,IF((93)=(B3),IF(("push")=(INDEX(B1:XFD1,(A2)+(0))),INDEX(B1:XFD1,(A2)+(1)),IF(("load")=(INDEX(B1:XFD1,(A2)+(0))),INDEX(F2:XFD2,INDEX(B1:XFD1,(A2)+(1))),IF(("newheap")=(INDEX(B1:XFD1,(A2)+(0))),(C3)-(2),IF(("getheap")=(INDEX(B1:XFD1,(A2)+(0))),INDEX(C4:C204,(B96)+(1)),IF(("add")=(INDEX(B1:XFD1,(A2)+(0))),(INDEX(B4:B204,(B3)+(1)))+(B96),IF(("equals")=(INDEX(B1:XFD1,(A2)+(0))),(INDEX(B4:B204,(B3)+(1)))=(B96),IF(("leq")=(INDEX(B1:XFD1,(A2)+(0))),(INDEX(B4:B204,(B3)+(1)))&lt;=(B96),B96))))))),B96))</f>
        <v>#VALUE!</v>
      </c>
      <c r="C96" t="e">
        <f ca="1">IF((A1)=(2),1,IF(AND((INDEX(B1:XFD1,(A2)+(0)))=("writeheap"),(INDEX(B4:B204,(B3)+(1)))=(92)),INDEX(B4:B204,(B3)+(2)),IF((A1)=(2),1,IF((93)=(C3),C96,C96))))</f>
        <v>#VALUE!</v>
      </c>
      <c r="E96" t="e">
        <f ca="1">IF((A1)=(2),1,IF((93)=(E3),IF(("outputline")=(INDEX(B1:XFD1,(A2)+(0))),B2,E96),E96))</f>
        <v>#VALUE!</v>
      </c>
      <c r="F96" t="e">
        <f ca="1">IF((A1)=(2),1,IF((93)=(F3),IF(IF((INDEX(B1:XFD1,(A2)+(0)))=("store"),(INDEX(B1:XFD1,(A2)+(1)))=("F"),"false"),B2,F96),F96))</f>
        <v>#VALUE!</v>
      </c>
      <c r="G96" t="e">
        <f ca="1">IF((A1)=(2),1,IF((93)=(G3),IF(IF((INDEX(B1:XFD1,(A2)+(0)))=("store"),(INDEX(B1:XFD1,(A2)+(1)))=("G"),"false"),B2,G96),G96))</f>
        <v>#VALUE!</v>
      </c>
      <c r="H96" t="e">
        <f ca="1">IF((A1)=(2),1,IF((93)=(H3),IF(IF((INDEX(B1:XFD1,(A2)+(0)))=("store"),(INDEX(B1:XFD1,(A2)+(1)))=("H"),"false"),B2,H96),H96))</f>
        <v>#VALUE!</v>
      </c>
      <c r="I96" t="e">
        <f ca="1">IF((A1)=(2),1,IF((93)=(I3),IF(IF((INDEX(B1:XFD1,(A2)+(0)))=("store"),(INDEX(B1:XFD1,(A2)+(1)))=("I"),"false"),B2,I96),I96))</f>
        <v>#VALUE!</v>
      </c>
      <c r="J96" t="e">
        <f ca="1">IF((A1)=(2),1,IF((93)=(J3),IF(IF((INDEX(B1:XFD1,(A2)+(0)))=("store"),(INDEX(B1:XFD1,(A2)+(1)))=("J"),"false"),B2,J96),J96))</f>
        <v>#VALUE!</v>
      </c>
    </row>
    <row r="97" spans="1:10" x14ac:dyDescent="0.25">
      <c r="A97" t="e">
        <f ca="1">IF((A1)=(2),1,IF((94)=(A3),IF(("call")=(INDEX(B1:XFD1,(A2)+(0))),((B2)*(2))+(1),IF(("goto")=(INDEX(B1:XFD1,(A2)+(0))),((INDEX(B1:XFD1,(A2)+(1)))*(2))+(1),IF(("gotoiftrue")=(INDEX(B1:XFD1,(A2)+(0))),IF(B2,((INDEX(B1:XFD1,(A2)+(1)))*(2))+(1),(A97)+(2)),(A97)+(2)))),A97))</f>
        <v>#VALUE!</v>
      </c>
      <c r="B97" t="e">
        <f ca="1">IF((A1)=(2),1,IF((94)=(B3),IF(("push")=(INDEX(B1:XFD1,(A2)+(0))),INDEX(B1:XFD1,(A2)+(1)),IF(("load")=(INDEX(B1:XFD1,(A2)+(0))),INDEX(F2:XFD2,INDEX(B1:XFD1,(A2)+(1))),IF(("newheap")=(INDEX(B1:XFD1,(A2)+(0))),(C3)-(2),IF(("getheap")=(INDEX(B1:XFD1,(A2)+(0))),INDEX(C4:C204,(B97)+(1)),IF(("add")=(INDEX(B1:XFD1,(A2)+(0))),(INDEX(B4:B204,(B3)+(1)))+(B97),IF(("equals")=(INDEX(B1:XFD1,(A2)+(0))),(INDEX(B4:B204,(B3)+(1)))=(B97),IF(("leq")=(INDEX(B1:XFD1,(A2)+(0))),(INDEX(B4:B204,(B3)+(1)))&lt;=(B97),B97))))))),B97))</f>
        <v>#VALUE!</v>
      </c>
      <c r="C97" t="e">
        <f ca="1">IF((A1)=(2),1,IF(AND((INDEX(B1:XFD1,(A2)+(0)))=("writeheap"),(INDEX(B4:B204,(B3)+(1)))=(93)),INDEX(B4:B204,(B3)+(2)),IF((A1)=(2),1,IF((94)=(C3),C97,C97))))</f>
        <v>#VALUE!</v>
      </c>
      <c r="E97" t="e">
        <f ca="1">IF((A1)=(2),1,IF((94)=(E3),IF(("outputline")=(INDEX(B1:XFD1,(A2)+(0))),B2,E97),E97))</f>
        <v>#VALUE!</v>
      </c>
      <c r="F97" t="e">
        <f ca="1">IF((A1)=(2),1,IF((94)=(F3),IF(IF((INDEX(B1:XFD1,(A2)+(0)))=("store"),(INDEX(B1:XFD1,(A2)+(1)))=("F"),"false"),B2,F97),F97))</f>
        <v>#VALUE!</v>
      </c>
      <c r="G97" t="e">
        <f ca="1">IF((A1)=(2),1,IF((94)=(G3),IF(IF((INDEX(B1:XFD1,(A2)+(0)))=("store"),(INDEX(B1:XFD1,(A2)+(1)))=("G"),"false"),B2,G97),G97))</f>
        <v>#VALUE!</v>
      </c>
      <c r="H97" t="e">
        <f ca="1">IF((A1)=(2),1,IF((94)=(H3),IF(IF((INDEX(B1:XFD1,(A2)+(0)))=("store"),(INDEX(B1:XFD1,(A2)+(1)))=("H"),"false"),B2,H97),H97))</f>
        <v>#VALUE!</v>
      </c>
      <c r="I97" t="e">
        <f ca="1">IF((A1)=(2),1,IF((94)=(I3),IF(IF((INDEX(B1:XFD1,(A2)+(0)))=("store"),(INDEX(B1:XFD1,(A2)+(1)))=("I"),"false"),B2,I97),I97))</f>
        <v>#VALUE!</v>
      </c>
      <c r="J97" t="e">
        <f ca="1">IF((A1)=(2),1,IF((94)=(J3),IF(IF((INDEX(B1:XFD1,(A2)+(0)))=("store"),(INDEX(B1:XFD1,(A2)+(1)))=("J"),"false"),B2,J97),J97))</f>
        <v>#VALUE!</v>
      </c>
    </row>
    <row r="98" spans="1:10" x14ac:dyDescent="0.25">
      <c r="A98" t="e">
        <f ca="1">IF((A1)=(2),1,IF((95)=(A3),IF(("call")=(INDEX(B1:XFD1,(A2)+(0))),((B2)*(2))+(1),IF(("goto")=(INDEX(B1:XFD1,(A2)+(0))),((INDEX(B1:XFD1,(A2)+(1)))*(2))+(1),IF(("gotoiftrue")=(INDEX(B1:XFD1,(A2)+(0))),IF(B2,((INDEX(B1:XFD1,(A2)+(1)))*(2))+(1),(A98)+(2)),(A98)+(2)))),A98))</f>
        <v>#VALUE!</v>
      </c>
      <c r="B98" t="e">
        <f ca="1">IF((A1)=(2),1,IF((95)=(B3),IF(("push")=(INDEX(B1:XFD1,(A2)+(0))),INDEX(B1:XFD1,(A2)+(1)),IF(("load")=(INDEX(B1:XFD1,(A2)+(0))),INDEX(F2:XFD2,INDEX(B1:XFD1,(A2)+(1))),IF(("newheap")=(INDEX(B1:XFD1,(A2)+(0))),(C3)-(2),IF(("getheap")=(INDEX(B1:XFD1,(A2)+(0))),INDEX(C4:C204,(B98)+(1)),IF(("add")=(INDEX(B1:XFD1,(A2)+(0))),(INDEX(B4:B204,(B3)+(1)))+(B98),IF(("equals")=(INDEX(B1:XFD1,(A2)+(0))),(INDEX(B4:B204,(B3)+(1)))=(B98),IF(("leq")=(INDEX(B1:XFD1,(A2)+(0))),(INDEX(B4:B204,(B3)+(1)))&lt;=(B98),B98))))))),B98))</f>
        <v>#VALUE!</v>
      </c>
      <c r="C98" t="e">
        <f ca="1">IF((A1)=(2),1,IF(AND((INDEX(B1:XFD1,(A2)+(0)))=("writeheap"),(INDEX(B4:B204,(B3)+(1)))=(94)),INDEX(B4:B204,(B3)+(2)),IF((A1)=(2),1,IF((95)=(C3),C98,C98))))</f>
        <v>#VALUE!</v>
      </c>
      <c r="E98" t="e">
        <f ca="1">IF((A1)=(2),1,IF((95)=(E3),IF(("outputline")=(INDEX(B1:XFD1,(A2)+(0))),B2,E98),E98))</f>
        <v>#VALUE!</v>
      </c>
      <c r="F98" t="e">
        <f ca="1">IF((A1)=(2),1,IF((95)=(F3),IF(IF((INDEX(B1:XFD1,(A2)+(0)))=("store"),(INDEX(B1:XFD1,(A2)+(1)))=("F"),"false"),B2,F98),F98))</f>
        <v>#VALUE!</v>
      </c>
      <c r="G98" t="e">
        <f ca="1">IF((A1)=(2),1,IF((95)=(G3),IF(IF((INDEX(B1:XFD1,(A2)+(0)))=("store"),(INDEX(B1:XFD1,(A2)+(1)))=("G"),"false"),B2,G98),G98))</f>
        <v>#VALUE!</v>
      </c>
      <c r="H98" t="e">
        <f ca="1">IF((A1)=(2),1,IF((95)=(H3),IF(IF((INDEX(B1:XFD1,(A2)+(0)))=("store"),(INDEX(B1:XFD1,(A2)+(1)))=("H"),"false"),B2,H98),H98))</f>
        <v>#VALUE!</v>
      </c>
      <c r="I98" t="e">
        <f ca="1">IF((A1)=(2),1,IF((95)=(I3),IF(IF((INDEX(B1:XFD1,(A2)+(0)))=("store"),(INDEX(B1:XFD1,(A2)+(1)))=("I"),"false"),B2,I98),I98))</f>
        <v>#VALUE!</v>
      </c>
      <c r="J98" t="e">
        <f ca="1">IF((A1)=(2),1,IF((95)=(J3),IF(IF((INDEX(B1:XFD1,(A2)+(0)))=("store"),(INDEX(B1:XFD1,(A2)+(1)))=("J"),"false"),B2,J98),J98))</f>
        <v>#VALUE!</v>
      </c>
    </row>
    <row r="99" spans="1:10" x14ac:dyDescent="0.25">
      <c r="A99" t="e">
        <f ca="1">IF((A1)=(2),1,IF((96)=(A3),IF(("call")=(INDEX(B1:XFD1,(A2)+(0))),((B2)*(2))+(1),IF(("goto")=(INDEX(B1:XFD1,(A2)+(0))),((INDEX(B1:XFD1,(A2)+(1)))*(2))+(1),IF(("gotoiftrue")=(INDEX(B1:XFD1,(A2)+(0))),IF(B2,((INDEX(B1:XFD1,(A2)+(1)))*(2))+(1),(A99)+(2)),(A99)+(2)))),A99))</f>
        <v>#VALUE!</v>
      </c>
      <c r="B99" t="e">
        <f ca="1">IF((A1)=(2),1,IF((96)=(B3),IF(("push")=(INDEX(B1:XFD1,(A2)+(0))),INDEX(B1:XFD1,(A2)+(1)),IF(("load")=(INDEX(B1:XFD1,(A2)+(0))),INDEX(F2:XFD2,INDEX(B1:XFD1,(A2)+(1))),IF(("newheap")=(INDEX(B1:XFD1,(A2)+(0))),(C3)-(2),IF(("getheap")=(INDEX(B1:XFD1,(A2)+(0))),INDEX(C4:C204,(B99)+(1)),IF(("add")=(INDEX(B1:XFD1,(A2)+(0))),(INDEX(B4:B204,(B3)+(1)))+(B99),IF(("equals")=(INDEX(B1:XFD1,(A2)+(0))),(INDEX(B4:B204,(B3)+(1)))=(B99),IF(("leq")=(INDEX(B1:XFD1,(A2)+(0))),(INDEX(B4:B204,(B3)+(1)))&lt;=(B99),B99))))))),B99))</f>
        <v>#VALUE!</v>
      </c>
      <c r="C99" t="e">
        <f ca="1">IF((A1)=(2),1,IF(AND((INDEX(B1:XFD1,(A2)+(0)))=("writeheap"),(INDEX(B4:B204,(B3)+(1)))=(95)),INDEX(B4:B204,(B3)+(2)),IF((A1)=(2),1,IF((96)=(C3),C99,C99))))</f>
        <v>#VALUE!</v>
      </c>
      <c r="E99" t="e">
        <f ca="1">IF((A1)=(2),1,IF((96)=(E3),IF(("outputline")=(INDEX(B1:XFD1,(A2)+(0))),B2,E99),E99))</f>
        <v>#VALUE!</v>
      </c>
      <c r="F99" t="e">
        <f ca="1">IF((A1)=(2),1,IF((96)=(F3),IF(IF((INDEX(B1:XFD1,(A2)+(0)))=("store"),(INDEX(B1:XFD1,(A2)+(1)))=("F"),"false"),B2,F99),F99))</f>
        <v>#VALUE!</v>
      </c>
      <c r="G99" t="e">
        <f ca="1">IF((A1)=(2),1,IF((96)=(G3),IF(IF((INDEX(B1:XFD1,(A2)+(0)))=("store"),(INDEX(B1:XFD1,(A2)+(1)))=("G"),"false"),B2,G99),G99))</f>
        <v>#VALUE!</v>
      </c>
      <c r="H99" t="e">
        <f ca="1">IF((A1)=(2),1,IF((96)=(H3),IF(IF((INDEX(B1:XFD1,(A2)+(0)))=("store"),(INDEX(B1:XFD1,(A2)+(1)))=("H"),"false"),B2,H99),H99))</f>
        <v>#VALUE!</v>
      </c>
      <c r="I99" t="e">
        <f ca="1">IF((A1)=(2),1,IF((96)=(I3),IF(IF((INDEX(B1:XFD1,(A2)+(0)))=("store"),(INDEX(B1:XFD1,(A2)+(1)))=("I"),"false"),B2,I99),I99))</f>
        <v>#VALUE!</v>
      </c>
      <c r="J99" t="e">
        <f ca="1">IF((A1)=(2),1,IF((96)=(J3),IF(IF((INDEX(B1:XFD1,(A2)+(0)))=("store"),(INDEX(B1:XFD1,(A2)+(1)))=("J"),"false"),B2,J99),J99))</f>
        <v>#VALUE!</v>
      </c>
    </row>
    <row r="100" spans="1:10" x14ac:dyDescent="0.25">
      <c r="A100" t="e">
        <f ca="1">IF((A1)=(2),1,IF((97)=(A3),IF(("call")=(INDEX(B1:XFD1,(A2)+(0))),((B2)*(2))+(1),IF(("goto")=(INDEX(B1:XFD1,(A2)+(0))),((INDEX(B1:XFD1,(A2)+(1)))*(2))+(1),IF(("gotoiftrue")=(INDEX(B1:XFD1,(A2)+(0))),IF(B2,((INDEX(B1:XFD1,(A2)+(1)))*(2))+(1),(A100)+(2)),(A100)+(2)))),A100))</f>
        <v>#VALUE!</v>
      </c>
      <c r="B100" t="e">
        <f ca="1">IF((A1)=(2),1,IF((97)=(B3),IF(("push")=(INDEX(B1:XFD1,(A2)+(0))),INDEX(B1:XFD1,(A2)+(1)),IF(("load")=(INDEX(B1:XFD1,(A2)+(0))),INDEX(F2:XFD2,INDEX(B1:XFD1,(A2)+(1))),IF(("newheap")=(INDEX(B1:XFD1,(A2)+(0))),(C3)-(2),IF(("getheap")=(INDEX(B1:XFD1,(A2)+(0))),INDEX(C4:C204,(B100)+(1)),IF(("add")=(INDEX(B1:XFD1,(A2)+(0))),(INDEX(B4:B204,(B3)+(1)))+(B100),IF(("equals")=(INDEX(B1:XFD1,(A2)+(0))),(INDEX(B4:B204,(B3)+(1)))=(B100),IF(("leq")=(INDEX(B1:XFD1,(A2)+(0))),(INDEX(B4:B204,(B3)+(1)))&lt;=(B100),B100))))))),B100))</f>
        <v>#VALUE!</v>
      </c>
      <c r="C100" t="e">
        <f ca="1">IF((A1)=(2),1,IF(AND((INDEX(B1:XFD1,(A2)+(0)))=("writeheap"),(INDEX(B4:B204,(B3)+(1)))=(96)),INDEX(B4:B204,(B3)+(2)),IF((A1)=(2),1,IF((97)=(C3),C100,C100))))</f>
        <v>#VALUE!</v>
      </c>
      <c r="E100" t="e">
        <f ca="1">IF((A1)=(2),1,IF((97)=(E3),IF(("outputline")=(INDEX(B1:XFD1,(A2)+(0))),B2,E100),E100))</f>
        <v>#VALUE!</v>
      </c>
      <c r="F100" t="e">
        <f ca="1">IF((A1)=(2),1,IF((97)=(F3),IF(IF((INDEX(B1:XFD1,(A2)+(0)))=("store"),(INDEX(B1:XFD1,(A2)+(1)))=("F"),"false"),B2,F100),F100))</f>
        <v>#VALUE!</v>
      </c>
      <c r="G100" t="e">
        <f ca="1">IF((A1)=(2),1,IF((97)=(G3),IF(IF((INDEX(B1:XFD1,(A2)+(0)))=("store"),(INDEX(B1:XFD1,(A2)+(1)))=("G"),"false"),B2,G100),G100))</f>
        <v>#VALUE!</v>
      </c>
      <c r="H100" t="e">
        <f ca="1">IF((A1)=(2),1,IF((97)=(H3),IF(IF((INDEX(B1:XFD1,(A2)+(0)))=("store"),(INDEX(B1:XFD1,(A2)+(1)))=("H"),"false"),B2,H100),H100))</f>
        <v>#VALUE!</v>
      </c>
      <c r="I100" t="e">
        <f ca="1">IF((A1)=(2),1,IF((97)=(I3),IF(IF((INDEX(B1:XFD1,(A2)+(0)))=("store"),(INDEX(B1:XFD1,(A2)+(1)))=("I"),"false"),B2,I100),I100))</f>
        <v>#VALUE!</v>
      </c>
      <c r="J100" t="e">
        <f ca="1">IF((A1)=(2),1,IF((97)=(J3),IF(IF((INDEX(B1:XFD1,(A2)+(0)))=("store"),(INDEX(B1:XFD1,(A2)+(1)))=("J"),"false"),B2,J100),J100))</f>
        <v>#VALUE!</v>
      </c>
    </row>
    <row r="101" spans="1:10" x14ac:dyDescent="0.25">
      <c r="A101" t="e">
        <f ca="1">IF((A1)=(2),1,IF((98)=(A3),IF(("call")=(INDEX(B1:XFD1,(A2)+(0))),((B2)*(2))+(1),IF(("goto")=(INDEX(B1:XFD1,(A2)+(0))),((INDEX(B1:XFD1,(A2)+(1)))*(2))+(1),IF(("gotoiftrue")=(INDEX(B1:XFD1,(A2)+(0))),IF(B2,((INDEX(B1:XFD1,(A2)+(1)))*(2))+(1),(A101)+(2)),(A101)+(2)))),A101))</f>
        <v>#VALUE!</v>
      </c>
      <c r="B101" t="e">
        <f ca="1">IF((A1)=(2),1,IF((98)=(B3),IF(("push")=(INDEX(B1:XFD1,(A2)+(0))),INDEX(B1:XFD1,(A2)+(1)),IF(("load")=(INDEX(B1:XFD1,(A2)+(0))),INDEX(F2:XFD2,INDEX(B1:XFD1,(A2)+(1))),IF(("newheap")=(INDEX(B1:XFD1,(A2)+(0))),(C3)-(2),IF(("getheap")=(INDEX(B1:XFD1,(A2)+(0))),INDEX(C4:C204,(B101)+(1)),IF(("add")=(INDEX(B1:XFD1,(A2)+(0))),(INDEX(B4:B204,(B3)+(1)))+(B101),IF(("equals")=(INDEX(B1:XFD1,(A2)+(0))),(INDEX(B4:B204,(B3)+(1)))=(B101),IF(("leq")=(INDEX(B1:XFD1,(A2)+(0))),(INDEX(B4:B204,(B3)+(1)))&lt;=(B101),B101))))))),B101))</f>
        <v>#VALUE!</v>
      </c>
      <c r="C101" t="e">
        <f ca="1">IF((A1)=(2),1,IF(AND((INDEX(B1:XFD1,(A2)+(0)))=("writeheap"),(INDEX(B4:B204,(B3)+(1)))=(97)),INDEX(B4:B204,(B3)+(2)),IF((A1)=(2),1,IF((98)=(C3),C101,C101))))</f>
        <v>#VALUE!</v>
      </c>
      <c r="E101" t="e">
        <f ca="1">IF((A1)=(2),1,IF((98)=(E3),IF(("outputline")=(INDEX(B1:XFD1,(A2)+(0))),B2,E101),E101))</f>
        <v>#VALUE!</v>
      </c>
      <c r="F101" t="e">
        <f ca="1">IF((A1)=(2),1,IF((98)=(F3),IF(IF((INDEX(B1:XFD1,(A2)+(0)))=("store"),(INDEX(B1:XFD1,(A2)+(1)))=("F"),"false"),B2,F101),F101))</f>
        <v>#VALUE!</v>
      </c>
      <c r="G101" t="e">
        <f ca="1">IF((A1)=(2),1,IF((98)=(G3),IF(IF((INDEX(B1:XFD1,(A2)+(0)))=("store"),(INDEX(B1:XFD1,(A2)+(1)))=("G"),"false"),B2,G101),G101))</f>
        <v>#VALUE!</v>
      </c>
      <c r="H101" t="e">
        <f ca="1">IF((A1)=(2),1,IF((98)=(H3),IF(IF((INDEX(B1:XFD1,(A2)+(0)))=("store"),(INDEX(B1:XFD1,(A2)+(1)))=("H"),"false"),B2,H101),H101))</f>
        <v>#VALUE!</v>
      </c>
      <c r="I101" t="e">
        <f ca="1">IF((A1)=(2),1,IF((98)=(I3),IF(IF((INDEX(B1:XFD1,(A2)+(0)))=("store"),(INDEX(B1:XFD1,(A2)+(1)))=("I"),"false"),B2,I101),I101))</f>
        <v>#VALUE!</v>
      </c>
      <c r="J101" t="e">
        <f ca="1">IF((A1)=(2),1,IF((98)=(J3),IF(IF((INDEX(B1:XFD1,(A2)+(0)))=("store"),(INDEX(B1:XFD1,(A2)+(1)))=("J"),"false"),B2,J101),J101))</f>
        <v>#VALUE!</v>
      </c>
    </row>
    <row r="102" spans="1:10" x14ac:dyDescent="0.25">
      <c r="A102" t="e">
        <f ca="1">IF((A1)=(2),1,IF((99)=(A3),IF(("call")=(INDEX(B1:XFD1,(A2)+(0))),((B2)*(2))+(1),IF(("goto")=(INDEX(B1:XFD1,(A2)+(0))),((INDEX(B1:XFD1,(A2)+(1)))*(2))+(1),IF(("gotoiftrue")=(INDEX(B1:XFD1,(A2)+(0))),IF(B2,((INDEX(B1:XFD1,(A2)+(1)))*(2))+(1),(A102)+(2)),(A102)+(2)))),A102))</f>
        <v>#VALUE!</v>
      </c>
      <c r="B102" t="e">
        <f ca="1">IF((A1)=(2),1,IF((99)=(B3),IF(("push")=(INDEX(B1:XFD1,(A2)+(0))),INDEX(B1:XFD1,(A2)+(1)),IF(("load")=(INDEX(B1:XFD1,(A2)+(0))),INDEX(F2:XFD2,INDEX(B1:XFD1,(A2)+(1))),IF(("newheap")=(INDEX(B1:XFD1,(A2)+(0))),(C3)-(2),IF(("getheap")=(INDEX(B1:XFD1,(A2)+(0))),INDEX(C4:C204,(B102)+(1)),IF(("add")=(INDEX(B1:XFD1,(A2)+(0))),(INDEX(B4:B204,(B3)+(1)))+(B102),IF(("equals")=(INDEX(B1:XFD1,(A2)+(0))),(INDEX(B4:B204,(B3)+(1)))=(B102),IF(("leq")=(INDEX(B1:XFD1,(A2)+(0))),(INDEX(B4:B204,(B3)+(1)))&lt;=(B102),B102))))))),B102))</f>
        <v>#VALUE!</v>
      </c>
      <c r="C102" t="e">
        <f ca="1">IF((A1)=(2),1,IF(AND((INDEX(B1:XFD1,(A2)+(0)))=("writeheap"),(INDEX(B4:B204,(B3)+(1)))=(98)),INDEX(B4:B204,(B3)+(2)),IF((A1)=(2),1,IF((99)=(C3),C102,C102))))</f>
        <v>#VALUE!</v>
      </c>
      <c r="E102" t="e">
        <f ca="1">IF((A1)=(2),1,IF((99)=(E3),IF(("outputline")=(INDEX(B1:XFD1,(A2)+(0))),B2,E102),E102))</f>
        <v>#VALUE!</v>
      </c>
      <c r="F102" t="e">
        <f ca="1">IF((A1)=(2),1,IF((99)=(F3),IF(IF((INDEX(B1:XFD1,(A2)+(0)))=("store"),(INDEX(B1:XFD1,(A2)+(1)))=("F"),"false"),B2,F102),F102))</f>
        <v>#VALUE!</v>
      </c>
      <c r="G102" t="e">
        <f ca="1">IF((A1)=(2),1,IF((99)=(G3),IF(IF((INDEX(B1:XFD1,(A2)+(0)))=("store"),(INDEX(B1:XFD1,(A2)+(1)))=("G"),"false"),B2,G102),G102))</f>
        <v>#VALUE!</v>
      </c>
      <c r="H102" t="e">
        <f ca="1">IF((A1)=(2),1,IF((99)=(H3),IF(IF((INDEX(B1:XFD1,(A2)+(0)))=("store"),(INDEX(B1:XFD1,(A2)+(1)))=("H"),"false"),B2,H102),H102))</f>
        <v>#VALUE!</v>
      </c>
      <c r="I102" t="e">
        <f ca="1">IF((A1)=(2),1,IF((99)=(I3),IF(IF((INDEX(B1:XFD1,(A2)+(0)))=("store"),(INDEX(B1:XFD1,(A2)+(1)))=("I"),"false"),B2,I102),I102))</f>
        <v>#VALUE!</v>
      </c>
      <c r="J102" t="e">
        <f ca="1">IF((A1)=(2),1,IF((99)=(J3),IF(IF((INDEX(B1:XFD1,(A2)+(0)))=("store"),(INDEX(B1:XFD1,(A2)+(1)))=("J"),"false"),B2,J102),J102))</f>
        <v>#VALUE!</v>
      </c>
    </row>
    <row r="103" spans="1:10" x14ac:dyDescent="0.25">
      <c r="A103" t="e">
        <f ca="1">IF((A1)=(2),1,IF((100)=(A3),IF(("call")=(INDEX(B1:XFD1,(A2)+(0))),((B2)*(2))+(1),IF(("goto")=(INDEX(B1:XFD1,(A2)+(0))),((INDEX(B1:XFD1,(A2)+(1)))*(2))+(1),IF(("gotoiftrue")=(INDEX(B1:XFD1,(A2)+(0))),IF(B2,((INDEX(B1:XFD1,(A2)+(1)))*(2))+(1),(A103)+(2)),(A103)+(2)))),A103))</f>
        <v>#VALUE!</v>
      </c>
      <c r="B103" t="e">
        <f ca="1">IF((A1)=(2),1,IF((100)=(B3),IF(("push")=(INDEX(B1:XFD1,(A2)+(0))),INDEX(B1:XFD1,(A2)+(1)),IF(("load")=(INDEX(B1:XFD1,(A2)+(0))),INDEX(F2:XFD2,INDEX(B1:XFD1,(A2)+(1))),IF(("newheap")=(INDEX(B1:XFD1,(A2)+(0))),(C3)-(2),IF(("getheap")=(INDEX(B1:XFD1,(A2)+(0))),INDEX(C4:C204,(B103)+(1)),IF(("add")=(INDEX(B1:XFD1,(A2)+(0))),(INDEX(B4:B204,(B3)+(1)))+(B103),IF(("equals")=(INDEX(B1:XFD1,(A2)+(0))),(INDEX(B4:B204,(B3)+(1)))=(B103),IF(("leq")=(INDEX(B1:XFD1,(A2)+(0))),(INDEX(B4:B204,(B3)+(1)))&lt;=(B103),B103))))))),B103))</f>
        <v>#VALUE!</v>
      </c>
      <c r="C103" t="e">
        <f ca="1">IF((A1)=(2),1,IF(AND((INDEX(B1:XFD1,(A2)+(0)))=("writeheap"),(INDEX(B4:B204,(B3)+(1)))=(99)),INDEX(B4:B204,(B3)+(2)),IF((A1)=(2),1,IF((100)=(C3),C103,C103))))</f>
        <v>#VALUE!</v>
      </c>
      <c r="E103" t="e">
        <f ca="1">IF((A1)=(2),1,IF((100)=(E3),IF(("outputline")=(INDEX(B1:XFD1,(A2)+(0))),B2,E103),E103))</f>
        <v>#VALUE!</v>
      </c>
      <c r="F103" t="e">
        <f ca="1">IF((A1)=(2),1,IF((100)=(F3),IF(IF((INDEX(B1:XFD1,(A2)+(0)))=("store"),(INDEX(B1:XFD1,(A2)+(1)))=("F"),"false"),B2,F103),F103))</f>
        <v>#VALUE!</v>
      </c>
      <c r="G103" t="e">
        <f ca="1">IF((A1)=(2),1,IF((100)=(G3),IF(IF((INDEX(B1:XFD1,(A2)+(0)))=("store"),(INDEX(B1:XFD1,(A2)+(1)))=("G"),"false"),B2,G103),G103))</f>
        <v>#VALUE!</v>
      </c>
      <c r="H103" t="e">
        <f ca="1">IF((A1)=(2),1,IF((100)=(H3),IF(IF((INDEX(B1:XFD1,(A2)+(0)))=("store"),(INDEX(B1:XFD1,(A2)+(1)))=("H"),"false"),B2,H103),H103))</f>
        <v>#VALUE!</v>
      </c>
      <c r="I103" t="e">
        <f ca="1">IF((A1)=(2),1,IF((100)=(I3),IF(IF((INDEX(B1:XFD1,(A2)+(0)))=("store"),(INDEX(B1:XFD1,(A2)+(1)))=("I"),"false"),B2,I103),I103))</f>
        <v>#VALUE!</v>
      </c>
      <c r="J103" t="e">
        <f ca="1">IF((A1)=(2),1,IF((100)=(J3),IF(IF((INDEX(B1:XFD1,(A2)+(0)))=("store"),(INDEX(B1:XFD1,(A2)+(1)))=("J"),"false"),B2,J103),J103))</f>
        <v>#VALUE!</v>
      </c>
    </row>
    <row r="104" spans="1:10" x14ac:dyDescent="0.25">
      <c r="A104" t="e">
        <f ca="1">IF((A1)=(2),1,IF((101)=(A3),IF(("call")=(INDEX(B1:XFD1,(A2)+(0))),((B2)*(2))+(1),IF(("goto")=(INDEX(B1:XFD1,(A2)+(0))),((INDEX(B1:XFD1,(A2)+(1)))*(2))+(1),IF(("gotoiftrue")=(INDEX(B1:XFD1,(A2)+(0))),IF(B2,((INDEX(B1:XFD1,(A2)+(1)))*(2))+(1),(A104)+(2)),(A104)+(2)))),A104))</f>
        <v>#VALUE!</v>
      </c>
      <c r="B104" t="e">
        <f ca="1">IF((A1)=(2),1,IF((101)=(B3),IF(("push")=(INDEX(B1:XFD1,(A2)+(0))),INDEX(B1:XFD1,(A2)+(1)),IF(("load")=(INDEX(B1:XFD1,(A2)+(0))),INDEX(F2:XFD2,INDEX(B1:XFD1,(A2)+(1))),IF(("newheap")=(INDEX(B1:XFD1,(A2)+(0))),(C3)-(2),IF(("getheap")=(INDEX(B1:XFD1,(A2)+(0))),INDEX(C4:C204,(B104)+(1)),IF(("add")=(INDEX(B1:XFD1,(A2)+(0))),(INDEX(B4:B204,(B3)+(1)))+(B104),IF(("equals")=(INDEX(B1:XFD1,(A2)+(0))),(INDEX(B4:B204,(B3)+(1)))=(B104),IF(("leq")=(INDEX(B1:XFD1,(A2)+(0))),(INDEX(B4:B204,(B3)+(1)))&lt;=(B104),B104))))))),B104))</f>
        <v>#VALUE!</v>
      </c>
      <c r="C104" t="e">
        <f ca="1">IF((A1)=(2),1,IF(AND((INDEX(B1:XFD1,(A2)+(0)))=("writeheap"),(INDEX(B4:B204,(B3)+(1)))=(100)),INDEX(B4:B204,(B3)+(2)),IF((A1)=(2),1,IF((101)=(C3),C104,C104))))</f>
        <v>#VALUE!</v>
      </c>
      <c r="E104" t="e">
        <f ca="1">IF((A1)=(2),1,IF((101)=(E3),IF(("outputline")=(INDEX(B1:XFD1,(A2)+(0))),B2,E104),E104))</f>
        <v>#VALUE!</v>
      </c>
      <c r="F104" t="e">
        <f ca="1">IF((A1)=(2),1,IF((101)=(F3),IF(IF((INDEX(B1:XFD1,(A2)+(0)))=("store"),(INDEX(B1:XFD1,(A2)+(1)))=("F"),"false"),B2,F104),F104))</f>
        <v>#VALUE!</v>
      </c>
      <c r="G104" t="e">
        <f ca="1">IF((A1)=(2),1,IF((101)=(G3),IF(IF((INDEX(B1:XFD1,(A2)+(0)))=("store"),(INDEX(B1:XFD1,(A2)+(1)))=("G"),"false"),B2,G104),G104))</f>
        <v>#VALUE!</v>
      </c>
      <c r="H104" t="e">
        <f ca="1">IF((A1)=(2),1,IF((101)=(H3),IF(IF((INDEX(B1:XFD1,(A2)+(0)))=("store"),(INDEX(B1:XFD1,(A2)+(1)))=("H"),"false"),B2,H104),H104))</f>
        <v>#VALUE!</v>
      </c>
      <c r="I104" t="e">
        <f ca="1">IF((A1)=(2),1,IF((101)=(I3),IF(IF((INDEX(B1:XFD1,(A2)+(0)))=("store"),(INDEX(B1:XFD1,(A2)+(1)))=("I"),"false"),B2,I104),I104))</f>
        <v>#VALUE!</v>
      </c>
      <c r="J104" t="e">
        <f ca="1">IF((A1)=(2),1,IF((101)=(J3),IF(IF((INDEX(B1:XFD1,(A2)+(0)))=("store"),(INDEX(B1:XFD1,(A2)+(1)))=("J"),"false"),B2,J104),J104))</f>
        <v>#VALUE!</v>
      </c>
    </row>
    <row r="105" spans="1:10" x14ac:dyDescent="0.25">
      <c r="A105" t="e">
        <f ca="1">IF((A1)=(2),1,IF((102)=(A3),IF(("call")=(INDEX(B1:XFD1,(A2)+(0))),((B2)*(2))+(1),IF(("goto")=(INDEX(B1:XFD1,(A2)+(0))),((INDEX(B1:XFD1,(A2)+(1)))*(2))+(1),IF(("gotoiftrue")=(INDEX(B1:XFD1,(A2)+(0))),IF(B2,((INDEX(B1:XFD1,(A2)+(1)))*(2))+(1),(A105)+(2)),(A105)+(2)))),A105))</f>
        <v>#VALUE!</v>
      </c>
      <c r="B105" t="e">
        <f ca="1">IF((A1)=(2),1,IF((102)=(B3),IF(("push")=(INDEX(B1:XFD1,(A2)+(0))),INDEX(B1:XFD1,(A2)+(1)),IF(("load")=(INDEX(B1:XFD1,(A2)+(0))),INDEX(F2:XFD2,INDEX(B1:XFD1,(A2)+(1))),IF(("newheap")=(INDEX(B1:XFD1,(A2)+(0))),(C3)-(2),IF(("getheap")=(INDEX(B1:XFD1,(A2)+(0))),INDEX(C4:C204,(B105)+(1)),IF(("add")=(INDEX(B1:XFD1,(A2)+(0))),(INDEX(B4:B204,(B3)+(1)))+(B105),IF(("equals")=(INDEX(B1:XFD1,(A2)+(0))),(INDEX(B4:B204,(B3)+(1)))=(B105),IF(("leq")=(INDEX(B1:XFD1,(A2)+(0))),(INDEX(B4:B204,(B3)+(1)))&lt;=(B105),B105))))))),B105))</f>
        <v>#VALUE!</v>
      </c>
      <c r="C105" t="e">
        <f ca="1">IF((A1)=(2),1,IF(AND((INDEX(B1:XFD1,(A2)+(0)))=("writeheap"),(INDEX(B4:B204,(B3)+(1)))=(101)),INDEX(B4:B204,(B3)+(2)),IF((A1)=(2),1,IF((102)=(C3),C105,C105))))</f>
        <v>#VALUE!</v>
      </c>
      <c r="E105" t="e">
        <f ca="1">IF((A1)=(2),1,IF((102)=(E3),IF(("outputline")=(INDEX(B1:XFD1,(A2)+(0))),B2,E105),E105))</f>
        <v>#VALUE!</v>
      </c>
      <c r="F105" t="e">
        <f ca="1">IF((A1)=(2),1,IF((102)=(F3),IF(IF((INDEX(B1:XFD1,(A2)+(0)))=("store"),(INDEX(B1:XFD1,(A2)+(1)))=("F"),"false"),B2,F105),F105))</f>
        <v>#VALUE!</v>
      </c>
      <c r="G105" t="e">
        <f ca="1">IF((A1)=(2),1,IF((102)=(G3),IF(IF((INDEX(B1:XFD1,(A2)+(0)))=("store"),(INDEX(B1:XFD1,(A2)+(1)))=("G"),"false"),B2,G105),G105))</f>
        <v>#VALUE!</v>
      </c>
      <c r="H105" t="e">
        <f ca="1">IF((A1)=(2),1,IF((102)=(H3),IF(IF((INDEX(B1:XFD1,(A2)+(0)))=("store"),(INDEX(B1:XFD1,(A2)+(1)))=("H"),"false"),B2,H105),H105))</f>
        <v>#VALUE!</v>
      </c>
      <c r="I105" t="e">
        <f ca="1">IF((A1)=(2),1,IF((102)=(I3),IF(IF((INDEX(B1:XFD1,(A2)+(0)))=("store"),(INDEX(B1:XFD1,(A2)+(1)))=("I"),"false"),B2,I105),I105))</f>
        <v>#VALUE!</v>
      </c>
      <c r="J105" t="e">
        <f ca="1">IF((A1)=(2),1,IF((102)=(J3),IF(IF((INDEX(B1:XFD1,(A2)+(0)))=("store"),(INDEX(B1:XFD1,(A2)+(1)))=("J"),"false"),B2,J105),J105))</f>
        <v>#VALUE!</v>
      </c>
    </row>
    <row r="106" spans="1:10" x14ac:dyDescent="0.25">
      <c r="A106" t="e">
        <f ca="1">IF((A1)=(2),1,IF((103)=(A3),IF(("call")=(INDEX(B1:XFD1,(A2)+(0))),((B2)*(2))+(1),IF(("goto")=(INDEX(B1:XFD1,(A2)+(0))),((INDEX(B1:XFD1,(A2)+(1)))*(2))+(1),IF(("gotoiftrue")=(INDEX(B1:XFD1,(A2)+(0))),IF(B2,((INDEX(B1:XFD1,(A2)+(1)))*(2))+(1),(A106)+(2)),(A106)+(2)))),A106))</f>
        <v>#VALUE!</v>
      </c>
      <c r="B106" t="e">
        <f ca="1">IF((A1)=(2),1,IF((103)=(B3),IF(("push")=(INDEX(B1:XFD1,(A2)+(0))),INDEX(B1:XFD1,(A2)+(1)),IF(("load")=(INDEX(B1:XFD1,(A2)+(0))),INDEX(F2:XFD2,INDEX(B1:XFD1,(A2)+(1))),IF(("newheap")=(INDEX(B1:XFD1,(A2)+(0))),(C3)-(2),IF(("getheap")=(INDEX(B1:XFD1,(A2)+(0))),INDEX(C4:C204,(B106)+(1)),IF(("add")=(INDEX(B1:XFD1,(A2)+(0))),(INDEX(B4:B204,(B3)+(1)))+(B106),IF(("equals")=(INDEX(B1:XFD1,(A2)+(0))),(INDEX(B4:B204,(B3)+(1)))=(B106),IF(("leq")=(INDEX(B1:XFD1,(A2)+(0))),(INDEX(B4:B204,(B3)+(1)))&lt;=(B106),B106))))))),B106))</f>
        <v>#VALUE!</v>
      </c>
      <c r="C106" t="e">
        <f ca="1">IF((A1)=(2),1,IF(AND((INDEX(B1:XFD1,(A2)+(0)))=("writeheap"),(INDEX(B4:B204,(B3)+(1)))=(102)),INDEX(B4:B204,(B3)+(2)),IF((A1)=(2),1,IF((103)=(C3),C106,C106))))</f>
        <v>#VALUE!</v>
      </c>
      <c r="E106" t="e">
        <f ca="1">IF((A1)=(2),1,IF((103)=(E3),IF(("outputline")=(INDEX(B1:XFD1,(A2)+(0))),B2,E106),E106))</f>
        <v>#VALUE!</v>
      </c>
      <c r="F106" t="e">
        <f ca="1">IF((A1)=(2),1,IF((103)=(F3),IF(IF((INDEX(B1:XFD1,(A2)+(0)))=("store"),(INDEX(B1:XFD1,(A2)+(1)))=("F"),"false"),B2,F106),F106))</f>
        <v>#VALUE!</v>
      </c>
      <c r="G106" t="e">
        <f ca="1">IF((A1)=(2),1,IF((103)=(G3),IF(IF((INDEX(B1:XFD1,(A2)+(0)))=("store"),(INDEX(B1:XFD1,(A2)+(1)))=("G"),"false"),B2,G106),G106))</f>
        <v>#VALUE!</v>
      </c>
      <c r="H106" t="e">
        <f ca="1">IF((A1)=(2),1,IF((103)=(H3),IF(IF((INDEX(B1:XFD1,(A2)+(0)))=("store"),(INDEX(B1:XFD1,(A2)+(1)))=("H"),"false"),B2,H106),H106))</f>
        <v>#VALUE!</v>
      </c>
      <c r="I106" t="e">
        <f ca="1">IF((A1)=(2),1,IF((103)=(I3),IF(IF((INDEX(B1:XFD1,(A2)+(0)))=("store"),(INDEX(B1:XFD1,(A2)+(1)))=("I"),"false"),B2,I106),I106))</f>
        <v>#VALUE!</v>
      </c>
      <c r="J106" t="e">
        <f ca="1">IF((A1)=(2),1,IF((103)=(J3),IF(IF((INDEX(B1:XFD1,(A2)+(0)))=("store"),(INDEX(B1:XFD1,(A2)+(1)))=("J"),"false"),B2,J106),J106))</f>
        <v>#VALUE!</v>
      </c>
    </row>
    <row r="107" spans="1:10" x14ac:dyDescent="0.25">
      <c r="A107" t="e">
        <f ca="1">IF((A1)=(2),1,IF((104)=(A3),IF(("call")=(INDEX(B1:XFD1,(A2)+(0))),((B2)*(2))+(1),IF(("goto")=(INDEX(B1:XFD1,(A2)+(0))),((INDEX(B1:XFD1,(A2)+(1)))*(2))+(1),IF(("gotoiftrue")=(INDEX(B1:XFD1,(A2)+(0))),IF(B2,((INDEX(B1:XFD1,(A2)+(1)))*(2))+(1),(A107)+(2)),(A107)+(2)))),A107))</f>
        <v>#VALUE!</v>
      </c>
      <c r="B107" t="e">
        <f ca="1">IF((A1)=(2),1,IF((104)=(B3),IF(("push")=(INDEX(B1:XFD1,(A2)+(0))),INDEX(B1:XFD1,(A2)+(1)),IF(("load")=(INDEX(B1:XFD1,(A2)+(0))),INDEX(F2:XFD2,INDEX(B1:XFD1,(A2)+(1))),IF(("newheap")=(INDEX(B1:XFD1,(A2)+(0))),(C3)-(2),IF(("getheap")=(INDEX(B1:XFD1,(A2)+(0))),INDEX(C4:C204,(B107)+(1)),IF(("add")=(INDEX(B1:XFD1,(A2)+(0))),(INDEX(B4:B204,(B3)+(1)))+(B107),IF(("equals")=(INDEX(B1:XFD1,(A2)+(0))),(INDEX(B4:B204,(B3)+(1)))=(B107),IF(("leq")=(INDEX(B1:XFD1,(A2)+(0))),(INDEX(B4:B204,(B3)+(1)))&lt;=(B107),B107))))))),B107))</f>
        <v>#VALUE!</v>
      </c>
      <c r="C107" t="e">
        <f ca="1">IF((A1)=(2),1,IF(AND((INDEX(B1:XFD1,(A2)+(0)))=("writeheap"),(INDEX(B4:B204,(B3)+(1)))=(103)),INDEX(B4:B204,(B3)+(2)),IF((A1)=(2),1,IF((104)=(C3),C107,C107))))</f>
        <v>#VALUE!</v>
      </c>
      <c r="E107" t="e">
        <f ca="1">IF((A1)=(2),1,IF((104)=(E3),IF(("outputline")=(INDEX(B1:XFD1,(A2)+(0))),B2,E107),E107))</f>
        <v>#VALUE!</v>
      </c>
      <c r="F107" t="e">
        <f ca="1">IF((A1)=(2),1,IF((104)=(F3),IF(IF((INDEX(B1:XFD1,(A2)+(0)))=("store"),(INDEX(B1:XFD1,(A2)+(1)))=("F"),"false"),B2,F107),F107))</f>
        <v>#VALUE!</v>
      </c>
      <c r="G107" t="e">
        <f ca="1">IF((A1)=(2),1,IF((104)=(G3),IF(IF((INDEX(B1:XFD1,(A2)+(0)))=("store"),(INDEX(B1:XFD1,(A2)+(1)))=("G"),"false"),B2,G107),G107))</f>
        <v>#VALUE!</v>
      </c>
      <c r="H107" t="e">
        <f ca="1">IF((A1)=(2),1,IF((104)=(H3),IF(IF((INDEX(B1:XFD1,(A2)+(0)))=("store"),(INDEX(B1:XFD1,(A2)+(1)))=("H"),"false"),B2,H107),H107))</f>
        <v>#VALUE!</v>
      </c>
      <c r="I107" t="e">
        <f ca="1">IF((A1)=(2),1,IF((104)=(I3),IF(IF((INDEX(B1:XFD1,(A2)+(0)))=("store"),(INDEX(B1:XFD1,(A2)+(1)))=("I"),"false"),B2,I107),I107))</f>
        <v>#VALUE!</v>
      </c>
      <c r="J107" t="e">
        <f ca="1">IF((A1)=(2),1,IF((104)=(J3),IF(IF((INDEX(B1:XFD1,(A2)+(0)))=("store"),(INDEX(B1:XFD1,(A2)+(1)))=("J"),"false"),B2,J107),J107))</f>
        <v>#VALUE!</v>
      </c>
    </row>
    <row r="108" spans="1:10" x14ac:dyDescent="0.25">
      <c r="A108" t="e">
        <f ca="1">IF((A1)=(2),1,IF((105)=(A3),IF(("call")=(INDEX(B1:XFD1,(A2)+(0))),((B2)*(2))+(1),IF(("goto")=(INDEX(B1:XFD1,(A2)+(0))),((INDEX(B1:XFD1,(A2)+(1)))*(2))+(1),IF(("gotoiftrue")=(INDEX(B1:XFD1,(A2)+(0))),IF(B2,((INDEX(B1:XFD1,(A2)+(1)))*(2))+(1),(A108)+(2)),(A108)+(2)))),A108))</f>
        <v>#VALUE!</v>
      </c>
      <c r="B108" t="e">
        <f ca="1">IF((A1)=(2),1,IF((105)=(B3),IF(("push")=(INDEX(B1:XFD1,(A2)+(0))),INDEX(B1:XFD1,(A2)+(1)),IF(("load")=(INDEX(B1:XFD1,(A2)+(0))),INDEX(F2:XFD2,INDEX(B1:XFD1,(A2)+(1))),IF(("newheap")=(INDEX(B1:XFD1,(A2)+(0))),(C3)-(2),IF(("getheap")=(INDEX(B1:XFD1,(A2)+(0))),INDEX(C4:C204,(B108)+(1)),IF(("add")=(INDEX(B1:XFD1,(A2)+(0))),(INDEX(B4:B204,(B3)+(1)))+(B108),IF(("equals")=(INDEX(B1:XFD1,(A2)+(0))),(INDEX(B4:B204,(B3)+(1)))=(B108),IF(("leq")=(INDEX(B1:XFD1,(A2)+(0))),(INDEX(B4:B204,(B3)+(1)))&lt;=(B108),B108))))))),B108))</f>
        <v>#VALUE!</v>
      </c>
      <c r="C108" t="e">
        <f ca="1">IF((A1)=(2),1,IF(AND((INDEX(B1:XFD1,(A2)+(0)))=("writeheap"),(INDEX(B4:B204,(B3)+(1)))=(104)),INDEX(B4:B204,(B3)+(2)),IF((A1)=(2),1,IF((105)=(C3),C108,C108))))</f>
        <v>#VALUE!</v>
      </c>
      <c r="E108" t="e">
        <f ca="1">IF((A1)=(2),1,IF((105)=(E3),IF(("outputline")=(INDEX(B1:XFD1,(A2)+(0))),B2,E108),E108))</f>
        <v>#VALUE!</v>
      </c>
      <c r="F108" t="e">
        <f ca="1">IF((A1)=(2),1,IF((105)=(F3),IF(IF((INDEX(B1:XFD1,(A2)+(0)))=("store"),(INDEX(B1:XFD1,(A2)+(1)))=("F"),"false"),B2,F108),F108))</f>
        <v>#VALUE!</v>
      </c>
      <c r="G108" t="e">
        <f ca="1">IF((A1)=(2),1,IF((105)=(G3),IF(IF((INDEX(B1:XFD1,(A2)+(0)))=("store"),(INDEX(B1:XFD1,(A2)+(1)))=("G"),"false"),B2,G108),G108))</f>
        <v>#VALUE!</v>
      </c>
      <c r="H108" t="e">
        <f ca="1">IF((A1)=(2),1,IF((105)=(H3),IF(IF((INDEX(B1:XFD1,(A2)+(0)))=("store"),(INDEX(B1:XFD1,(A2)+(1)))=("H"),"false"),B2,H108),H108))</f>
        <v>#VALUE!</v>
      </c>
      <c r="I108" t="e">
        <f ca="1">IF((A1)=(2),1,IF((105)=(I3),IF(IF((INDEX(B1:XFD1,(A2)+(0)))=("store"),(INDEX(B1:XFD1,(A2)+(1)))=("I"),"false"),B2,I108),I108))</f>
        <v>#VALUE!</v>
      </c>
      <c r="J108" t="e">
        <f ca="1">IF((A1)=(2),1,IF((105)=(J3),IF(IF((INDEX(B1:XFD1,(A2)+(0)))=("store"),(INDEX(B1:XFD1,(A2)+(1)))=("J"),"false"),B2,J108),J108))</f>
        <v>#VALUE!</v>
      </c>
    </row>
    <row r="109" spans="1:10" x14ac:dyDescent="0.25">
      <c r="A109" t="e">
        <f ca="1">IF((A1)=(2),1,IF((106)=(A3),IF(("call")=(INDEX(B1:XFD1,(A2)+(0))),((B2)*(2))+(1),IF(("goto")=(INDEX(B1:XFD1,(A2)+(0))),((INDEX(B1:XFD1,(A2)+(1)))*(2))+(1),IF(("gotoiftrue")=(INDEX(B1:XFD1,(A2)+(0))),IF(B2,((INDEX(B1:XFD1,(A2)+(1)))*(2))+(1),(A109)+(2)),(A109)+(2)))),A109))</f>
        <v>#VALUE!</v>
      </c>
      <c r="B109" t="e">
        <f ca="1">IF((A1)=(2),1,IF((106)=(B3),IF(("push")=(INDEX(B1:XFD1,(A2)+(0))),INDEX(B1:XFD1,(A2)+(1)),IF(("load")=(INDEX(B1:XFD1,(A2)+(0))),INDEX(F2:XFD2,INDEX(B1:XFD1,(A2)+(1))),IF(("newheap")=(INDEX(B1:XFD1,(A2)+(0))),(C3)-(2),IF(("getheap")=(INDEX(B1:XFD1,(A2)+(0))),INDEX(C4:C204,(B109)+(1)),IF(("add")=(INDEX(B1:XFD1,(A2)+(0))),(INDEX(B4:B204,(B3)+(1)))+(B109),IF(("equals")=(INDEX(B1:XFD1,(A2)+(0))),(INDEX(B4:B204,(B3)+(1)))=(B109),IF(("leq")=(INDEX(B1:XFD1,(A2)+(0))),(INDEX(B4:B204,(B3)+(1)))&lt;=(B109),B109))))))),B109))</f>
        <v>#VALUE!</v>
      </c>
      <c r="C109" t="e">
        <f ca="1">IF((A1)=(2),1,IF(AND((INDEX(B1:XFD1,(A2)+(0)))=("writeheap"),(INDEX(B4:B204,(B3)+(1)))=(105)),INDEX(B4:B204,(B3)+(2)),IF((A1)=(2),1,IF((106)=(C3),C109,C109))))</f>
        <v>#VALUE!</v>
      </c>
      <c r="E109" t="e">
        <f ca="1">IF((A1)=(2),1,IF((106)=(E3),IF(("outputline")=(INDEX(B1:XFD1,(A2)+(0))),B2,E109),E109))</f>
        <v>#VALUE!</v>
      </c>
      <c r="F109" t="e">
        <f ca="1">IF((A1)=(2),1,IF((106)=(F3),IF(IF((INDEX(B1:XFD1,(A2)+(0)))=("store"),(INDEX(B1:XFD1,(A2)+(1)))=("F"),"false"),B2,F109),F109))</f>
        <v>#VALUE!</v>
      </c>
      <c r="G109" t="e">
        <f ca="1">IF((A1)=(2),1,IF((106)=(G3),IF(IF((INDEX(B1:XFD1,(A2)+(0)))=("store"),(INDEX(B1:XFD1,(A2)+(1)))=("G"),"false"),B2,G109),G109))</f>
        <v>#VALUE!</v>
      </c>
      <c r="H109" t="e">
        <f ca="1">IF((A1)=(2),1,IF((106)=(H3),IF(IF((INDEX(B1:XFD1,(A2)+(0)))=("store"),(INDEX(B1:XFD1,(A2)+(1)))=("H"),"false"),B2,H109),H109))</f>
        <v>#VALUE!</v>
      </c>
      <c r="I109" t="e">
        <f ca="1">IF((A1)=(2),1,IF((106)=(I3),IF(IF((INDEX(B1:XFD1,(A2)+(0)))=("store"),(INDEX(B1:XFD1,(A2)+(1)))=("I"),"false"),B2,I109),I109))</f>
        <v>#VALUE!</v>
      </c>
      <c r="J109" t="e">
        <f ca="1">IF((A1)=(2),1,IF((106)=(J3),IF(IF((INDEX(B1:XFD1,(A2)+(0)))=("store"),(INDEX(B1:XFD1,(A2)+(1)))=("J"),"false"),B2,J109),J109))</f>
        <v>#VALUE!</v>
      </c>
    </row>
    <row r="110" spans="1:10" x14ac:dyDescent="0.25">
      <c r="A110" t="e">
        <f ca="1">IF((A1)=(2),1,IF((107)=(A3),IF(("call")=(INDEX(B1:XFD1,(A2)+(0))),((B2)*(2))+(1),IF(("goto")=(INDEX(B1:XFD1,(A2)+(0))),((INDEX(B1:XFD1,(A2)+(1)))*(2))+(1),IF(("gotoiftrue")=(INDEX(B1:XFD1,(A2)+(0))),IF(B2,((INDEX(B1:XFD1,(A2)+(1)))*(2))+(1),(A110)+(2)),(A110)+(2)))),A110))</f>
        <v>#VALUE!</v>
      </c>
      <c r="B110" t="e">
        <f ca="1">IF((A1)=(2),1,IF((107)=(B3),IF(("push")=(INDEX(B1:XFD1,(A2)+(0))),INDEX(B1:XFD1,(A2)+(1)),IF(("load")=(INDEX(B1:XFD1,(A2)+(0))),INDEX(F2:XFD2,INDEX(B1:XFD1,(A2)+(1))),IF(("newheap")=(INDEX(B1:XFD1,(A2)+(0))),(C3)-(2),IF(("getheap")=(INDEX(B1:XFD1,(A2)+(0))),INDEX(C4:C204,(B110)+(1)),IF(("add")=(INDEX(B1:XFD1,(A2)+(0))),(INDEX(B4:B204,(B3)+(1)))+(B110),IF(("equals")=(INDEX(B1:XFD1,(A2)+(0))),(INDEX(B4:B204,(B3)+(1)))=(B110),IF(("leq")=(INDEX(B1:XFD1,(A2)+(0))),(INDEX(B4:B204,(B3)+(1)))&lt;=(B110),B110))))))),B110))</f>
        <v>#VALUE!</v>
      </c>
      <c r="C110" t="e">
        <f ca="1">IF((A1)=(2),1,IF(AND((INDEX(B1:XFD1,(A2)+(0)))=("writeheap"),(INDEX(B4:B204,(B3)+(1)))=(106)),INDEX(B4:B204,(B3)+(2)),IF((A1)=(2),1,IF((107)=(C3),C110,C110))))</f>
        <v>#VALUE!</v>
      </c>
      <c r="E110" t="e">
        <f ca="1">IF((A1)=(2),1,IF((107)=(E3),IF(("outputline")=(INDEX(B1:XFD1,(A2)+(0))),B2,E110),E110))</f>
        <v>#VALUE!</v>
      </c>
      <c r="F110" t="e">
        <f ca="1">IF((A1)=(2),1,IF((107)=(F3),IF(IF((INDEX(B1:XFD1,(A2)+(0)))=("store"),(INDEX(B1:XFD1,(A2)+(1)))=("F"),"false"),B2,F110),F110))</f>
        <v>#VALUE!</v>
      </c>
      <c r="G110" t="e">
        <f ca="1">IF((A1)=(2),1,IF((107)=(G3),IF(IF((INDEX(B1:XFD1,(A2)+(0)))=("store"),(INDEX(B1:XFD1,(A2)+(1)))=("G"),"false"),B2,G110),G110))</f>
        <v>#VALUE!</v>
      </c>
      <c r="H110" t="e">
        <f ca="1">IF((A1)=(2),1,IF((107)=(H3),IF(IF((INDEX(B1:XFD1,(A2)+(0)))=("store"),(INDEX(B1:XFD1,(A2)+(1)))=("H"),"false"),B2,H110),H110))</f>
        <v>#VALUE!</v>
      </c>
      <c r="I110" t="e">
        <f ca="1">IF((A1)=(2),1,IF((107)=(I3),IF(IF((INDEX(B1:XFD1,(A2)+(0)))=("store"),(INDEX(B1:XFD1,(A2)+(1)))=("I"),"false"),B2,I110),I110))</f>
        <v>#VALUE!</v>
      </c>
      <c r="J110" t="e">
        <f ca="1">IF((A1)=(2),1,IF((107)=(J3),IF(IF((INDEX(B1:XFD1,(A2)+(0)))=("store"),(INDEX(B1:XFD1,(A2)+(1)))=("J"),"false"),B2,J110),J110))</f>
        <v>#VALUE!</v>
      </c>
    </row>
    <row r="111" spans="1:10" x14ac:dyDescent="0.25">
      <c r="A111" t="e">
        <f ca="1">IF((A1)=(2),1,IF((108)=(A3),IF(("call")=(INDEX(B1:XFD1,(A2)+(0))),((B2)*(2))+(1),IF(("goto")=(INDEX(B1:XFD1,(A2)+(0))),((INDEX(B1:XFD1,(A2)+(1)))*(2))+(1),IF(("gotoiftrue")=(INDEX(B1:XFD1,(A2)+(0))),IF(B2,((INDEX(B1:XFD1,(A2)+(1)))*(2))+(1),(A111)+(2)),(A111)+(2)))),A111))</f>
        <v>#VALUE!</v>
      </c>
      <c r="B111" t="e">
        <f ca="1">IF((A1)=(2),1,IF((108)=(B3),IF(("push")=(INDEX(B1:XFD1,(A2)+(0))),INDEX(B1:XFD1,(A2)+(1)),IF(("load")=(INDEX(B1:XFD1,(A2)+(0))),INDEX(F2:XFD2,INDEX(B1:XFD1,(A2)+(1))),IF(("newheap")=(INDEX(B1:XFD1,(A2)+(0))),(C3)-(2),IF(("getheap")=(INDEX(B1:XFD1,(A2)+(0))),INDEX(C4:C204,(B111)+(1)),IF(("add")=(INDEX(B1:XFD1,(A2)+(0))),(INDEX(B4:B204,(B3)+(1)))+(B111),IF(("equals")=(INDEX(B1:XFD1,(A2)+(0))),(INDEX(B4:B204,(B3)+(1)))=(B111),IF(("leq")=(INDEX(B1:XFD1,(A2)+(0))),(INDEX(B4:B204,(B3)+(1)))&lt;=(B111),B111))))))),B111))</f>
        <v>#VALUE!</v>
      </c>
      <c r="C111" t="e">
        <f ca="1">IF((A1)=(2),1,IF(AND((INDEX(B1:XFD1,(A2)+(0)))=("writeheap"),(INDEX(B4:B204,(B3)+(1)))=(107)),INDEX(B4:B204,(B3)+(2)),IF((A1)=(2),1,IF((108)=(C3),C111,C111))))</f>
        <v>#VALUE!</v>
      </c>
      <c r="E111" t="e">
        <f ca="1">IF((A1)=(2),1,IF((108)=(E3),IF(("outputline")=(INDEX(B1:XFD1,(A2)+(0))),B2,E111),E111))</f>
        <v>#VALUE!</v>
      </c>
      <c r="F111" t="e">
        <f ca="1">IF((A1)=(2),1,IF((108)=(F3),IF(IF((INDEX(B1:XFD1,(A2)+(0)))=("store"),(INDEX(B1:XFD1,(A2)+(1)))=("F"),"false"),B2,F111),F111))</f>
        <v>#VALUE!</v>
      </c>
      <c r="G111" t="e">
        <f ca="1">IF((A1)=(2),1,IF((108)=(G3),IF(IF((INDEX(B1:XFD1,(A2)+(0)))=("store"),(INDEX(B1:XFD1,(A2)+(1)))=("G"),"false"),B2,G111),G111))</f>
        <v>#VALUE!</v>
      </c>
      <c r="H111" t="e">
        <f ca="1">IF((A1)=(2),1,IF((108)=(H3),IF(IF((INDEX(B1:XFD1,(A2)+(0)))=("store"),(INDEX(B1:XFD1,(A2)+(1)))=("H"),"false"),B2,H111),H111))</f>
        <v>#VALUE!</v>
      </c>
      <c r="I111" t="e">
        <f ca="1">IF((A1)=(2),1,IF((108)=(I3),IF(IF((INDEX(B1:XFD1,(A2)+(0)))=("store"),(INDEX(B1:XFD1,(A2)+(1)))=("I"),"false"),B2,I111),I111))</f>
        <v>#VALUE!</v>
      </c>
      <c r="J111" t="e">
        <f ca="1">IF((A1)=(2),1,IF((108)=(J3),IF(IF((INDEX(B1:XFD1,(A2)+(0)))=("store"),(INDEX(B1:XFD1,(A2)+(1)))=("J"),"false"),B2,J111),J111))</f>
        <v>#VALUE!</v>
      </c>
    </row>
    <row r="112" spans="1:10" x14ac:dyDescent="0.25">
      <c r="A112" t="e">
        <f ca="1">IF((A1)=(2),1,IF((109)=(A3),IF(("call")=(INDEX(B1:XFD1,(A2)+(0))),((B2)*(2))+(1),IF(("goto")=(INDEX(B1:XFD1,(A2)+(0))),((INDEX(B1:XFD1,(A2)+(1)))*(2))+(1),IF(("gotoiftrue")=(INDEX(B1:XFD1,(A2)+(0))),IF(B2,((INDEX(B1:XFD1,(A2)+(1)))*(2))+(1),(A112)+(2)),(A112)+(2)))),A112))</f>
        <v>#VALUE!</v>
      </c>
      <c r="B112" t="e">
        <f ca="1">IF((A1)=(2),1,IF((109)=(B3),IF(("push")=(INDEX(B1:XFD1,(A2)+(0))),INDEX(B1:XFD1,(A2)+(1)),IF(("load")=(INDEX(B1:XFD1,(A2)+(0))),INDEX(F2:XFD2,INDEX(B1:XFD1,(A2)+(1))),IF(("newheap")=(INDEX(B1:XFD1,(A2)+(0))),(C3)-(2),IF(("getheap")=(INDEX(B1:XFD1,(A2)+(0))),INDEX(C4:C204,(B112)+(1)),IF(("add")=(INDEX(B1:XFD1,(A2)+(0))),(INDEX(B4:B204,(B3)+(1)))+(B112),IF(("equals")=(INDEX(B1:XFD1,(A2)+(0))),(INDEX(B4:B204,(B3)+(1)))=(B112),IF(("leq")=(INDEX(B1:XFD1,(A2)+(0))),(INDEX(B4:B204,(B3)+(1)))&lt;=(B112),B112))))))),B112))</f>
        <v>#VALUE!</v>
      </c>
      <c r="C112" t="e">
        <f ca="1">IF((A1)=(2),1,IF(AND((INDEX(B1:XFD1,(A2)+(0)))=("writeheap"),(INDEX(B4:B204,(B3)+(1)))=(108)),INDEX(B4:B204,(B3)+(2)),IF((A1)=(2),1,IF((109)=(C3),C112,C112))))</f>
        <v>#VALUE!</v>
      </c>
      <c r="E112" t="e">
        <f ca="1">IF((A1)=(2),1,IF((109)=(E3),IF(("outputline")=(INDEX(B1:XFD1,(A2)+(0))),B2,E112),E112))</f>
        <v>#VALUE!</v>
      </c>
      <c r="F112" t="e">
        <f ca="1">IF((A1)=(2),1,IF((109)=(F3),IF(IF((INDEX(B1:XFD1,(A2)+(0)))=("store"),(INDEX(B1:XFD1,(A2)+(1)))=("F"),"false"),B2,F112),F112))</f>
        <v>#VALUE!</v>
      </c>
      <c r="G112" t="e">
        <f ca="1">IF((A1)=(2),1,IF((109)=(G3),IF(IF((INDEX(B1:XFD1,(A2)+(0)))=("store"),(INDEX(B1:XFD1,(A2)+(1)))=("G"),"false"),B2,G112),G112))</f>
        <v>#VALUE!</v>
      </c>
      <c r="H112" t="e">
        <f ca="1">IF((A1)=(2),1,IF((109)=(H3),IF(IF((INDEX(B1:XFD1,(A2)+(0)))=("store"),(INDEX(B1:XFD1,(A2)+(1)))=("H"),"false"),B2,H112),H112))</f>
        <v>#VALUE!</v>
      </c>
      <c r="I112" t="e">
        <f ca="1">IF((A1)=(2),1,IF((109)=(I3),IF(IF((INDEX(B1:XFD1,(A2)+(0)))=("store"),(INDEX(B1:XFD1,(A2)+(1)))=("I"),"false"),B2,I112),I112))</f>
        <v>#VALUE!</v>
      </c>
      <c r="J112" t="e">
        <f ca="1">IF((A1)=(2),1,IF((109)=(J3),IF(IF((INDEX(B1:XFD1,(A2)+(0)))=("store"),(INDEX(B1:XFD1,(A2)+(1)))=("J"),"false"),B2,J112),J112))</f>
        <v>#VALUE!</v>
      </c>
    </row>
    <row r="113" spans="1:10" x14ac:dyDescent="0.25">
      <c r="A113" t="e">
        <f ca="1">IF((A1)=(2),1,IF((110)=(A3),IF(("call")=(INDEX(B1:XFD1,(A2)+(0))),((B2)*(2))+(1),IF(("goto")=(INDEX(B1:XFD1,(A2)+(0))),((INDEX(B1:XFD1,(A2)+(1)))*(2))+(1),IF(("gotoiftrue")=(INDEX(B1:XFD1,(A2)+(0))),IF(B2,((INDEX(B1:XFD1,(A2)+(1)))*(2))+(1),(A113)+(2)),(A113)+(2)))),A113))</f>
        <v>#VALUE!</v>
      </c>
      <c r="B113" t="e">
        <f ca="1">IF((A1)=(2),1,IF((110)=(B3),IF(("push")=(INDEX(B1:XFD1,(A2)+(0))),INDEX(B1:XFD1,(A2)+(1)),IF(("load")=(INDEX(B1:XFD1,(A2)+(0))),INDEX(F2:XFD2,INDEX(B1:XFD1,(A2)+(1))),IF(("newheap")=(INDEX(B1:XFD1,(A2)+(0))),(C3)-(2),IF(("getheap")=(INDEX(B1:XFD1,(A2)+(0))),INDEX(C4:C204,(B113)+(1)),IF(("add")=(INDEX(B1:XFD1,(A2)+(0))),(INDEX(B4:B204,(B3)+(1)))+(B113),IF(("equals")=(INDEX(B1:XFD1,(A2)+(0))),(INDEX(B4:B204,(B3)+(1)))=(B113),IF(("leq")=(INDEX(B1:XFD1,(A2)+(0))),(INDEX(B4:B204,(B3)+(1)))&lt;=(B113),B113))))))),B113))</f>
        <v>#VALUE!</v>
      </c>
      <c r="C113" t="e">
        <f ca="1">IF((A1)=(2),1,IF(AND((INDEX(B1:XFD1,(A2)+(0)))=("writeheap"),(INDEX(B4:B204,(B3)+(1)))=(109)),INDEX(B4:B204,(B3)+(2)),IF((A1)=(2),1,IF((110)=(C3),C113,C113))))</f>
        <v>#VALUE!</v>
      </c>
      <c r="E113" t="e">
        <f ca="1">IF((A1)=(2),1,IF((110)=(E3),IF(("outputline")=(INDEX(B1:XFD1,(A2)+(0))),B2,E113),E113))</f>
        <v>#VALUE!</v>
      </c>
      <c r="F113" t="e">
        <f ca="1">IF((A1)=(2),1,IF((110)=(F3),IF(IF((INDEX(B1:XFD1,(A2)+(0)))=("store"),(INDEX(B1:XFD1,(A2)+(1)))=("F"),"false"),B2,F113),F113))</f>
        <v>#VALUE!</v>
      </c>
      <c r="G113" t="e">
        <f ca="1">IF((A1)=(2),1,IF((110)=(G3),IF(IF((INDEX(B1:XFD1,(A2)+(0)))=("store"),(INDEX(B1:XFD1,(A2)+(1)))=("G"),"false"),B2,G113),G113))</f>
        <v>#VALUE!</v>
      </c>
      <c r="H113" t="e">
        <f ca="1">IF((A1)=(2),1,IF((110)=(H3),IF(IF((INDEX(B1:XFD1,(A2)+(0)))=("store"),(INDEX(B1:XFD1,(A2)+(1)))=("H"),"false"),B2,H113),H113))</f>
        <v>#VALUE!</v>
      </c>
      <c r="I113" t="e">
        <f ca="1">IF((A1)=(2),1,IF((110)=(I3),IF(IF((INDEX(B1:XFD1,(A2)+(0)))=("store"),(INDEX(B1:XFD1,(A2)+(1)))=("I"),"false"),B2,I113),I113))</f>
        <v>#VALUE!</v>
      </c>
      <c r="J113" t="e">
        <f ca="1">IF((A1)=(2),1,IF((110)=(J3),IF(IF((INDEX(B1:XFD1,(A2)+(0)))=("store"),(INDEX(B1:XFD1,(A2)+(1)))=("J"),"false"),B2,J113),J113))</f>
        <v>#VALUE!</v>
      </c>
    </row>
    <row r="114" spans="1:10" x14ac:dyDescent="0.25">
      <c r="A114" t="e">
        <f ca="1">IF((A1)=(2),1,IF((111)=(A3),IF(("call")=(INDEX(B1:XFD1,(A2)+(0))),((B2)*(2))+(1),IF(("goto")=(INDEX(B1:XFD1,(A2)+(0))),((INDEX(B1:XFD1,(A2)+(1)))*(2))+(1),IF(("gotoiftrue")=(INDEX(B1:XFD1,(A2)+(0))),IF(B2,((INDEX(B1:XFD1,(A2)+(1)))*(2))+(1),(A114)+(2)),(A114)+(2)))),A114))</f>
        <v>#VALUE!</v>
      </c>
      <c r="B114" t="e">
        <f ca="1">IF((A1)=(2),1,IF((111)=(B3),IF(("push")=(INDEX(B1:XFD1,(A2)+(0))),INDEX(B1:XFD1,(A2)+(1)),IF(("load")=(INDEX(B1:XFD1,(A2)+(0))),INDEX(F2:XFD2,INDEX(B1:XFD1,(A2)+(1))),IF(("newheap")=(INDEX(B1:XFD1,(A2)+(0))),(C3)-(2),IF(("getheap")=(INDEX(B1:XFD1,(A2)+(0))),INDEX(C4:C204,(B114)+(1)),IF(("add")=(INDEX(B1:XFD1,(A2)+(0))),(INDEX(B4:B204,(B3)+(1)))+(B114),IF(("equals")=(INDEX(B1:XFD1,(A2)+(0))),(INDEX(B4:B204,(B3)+(1)))=(B114),IF(("leq")=(INDEX(B1:XFD1,(A2)+(0))),(INDEX(B4:B204,(B3)+(1)))&lt;=(B114),B114))))))),B114))</f>
        <v>#VALUE!</v>
      </c>
      <c r="C114" t="e">
        <f ca="1">IF((A1)=(2),1,IF(AND((INDEX(B1:XFD1,(A2)+(0)))=("writeheap"),(INDEX(B4:B204,(B3)+(1)))=(110)),INDEX(B4:B204,(B3)+(2)),IF((A1)=(2),1,IF((111)=(C3),C114,C114))))</f>
        <v>#VALUE!</v>
      </c>
      <c r="E114" t="e">
        <f ca="1">IF((A1)=(2),1,IF((111)=(E3),IF(("outputline")=(INDEX(B1:XFD1,(A2)+(0))),B2,E114),E114))</f>
        <v>#VALUE!</v>
      </c>
      <c r="F114" t="e">
        <f ca="1">IF((A1)=(2),1,IF((111)=(F3),IF(IF((INDEX(B1:XFD1,(A2)+(0)))=("store"),(INDEX(B1:XFD1,(A2)+(1)))=("F"),"false"),B2,F114),F114))</f>
        <v>#VALUE!</v>
      </c>
      <c r="G114" t="e">
        <f ca="1">IF((A1)=(2),1,IF((111)=(G3),IF(IF((INDEX(B1:XFD1,(A2)+(0)))=("store"),(INDEX(B1:XFD1,(A2)+(1)))=("G"),"false"),B2,G114),G114))</f>
        <v>#VALUE!</v>
      </c>
      <c r="H114" t="e">
        <f ca="1">IF((A1)=(2),1,IF((111)=(H3),IF(IF((INDEX(B1:XFD1,(A2)+(0)))=("store"),(INDEX(B1:XFD1,(A2)+(1)))=("H"),"false"),B2,H114),H114))</f>
        <v>#VALUE!</v>
      </c>
      <c r="I114" t="e">
        <f ca="1">IF((A1)=(2),1,IF((111)=(I3),IF(IF((INDEX(B1:XFD1,(A2)+(0)))=("store"),(INDEX(B1:XFD1,(A2)+(1)))=("I"),"false"),B2,I114),I114))</f>
        <v>#VALUE!</v>
      </c>
      <c r="J114" t="e">
        <f ca="1">IF((A1)=(2),1,IF((111)=(J3),IF(IF((INDEX(B1:XFD1,(A2)+(0)))=("store"),(INDEX(B1:XFD1,(A2)+(1)))=("J"),"false"),B2,J114),J114))</f>
        <v>#VALUE!</v>
      </c>
    </row>
    <row r="115" spans="1:10" x14ac:dyDescent="0.25">
      <c r="A115" t="e">
        <f ca="1">IF((A1)=(2),1,IF((112)=(A3),IF(("call")=(INDEX(B1:XFD1,(A2)+(0))),((B2)*(2))+(1),IF(("goto")=(INDEX(B1:XFD1,(A2)+(0))),((INDEX(B1:XFD1,(A2)+(1)))*(2))+(1),IF(("gotoiftrue")=(INDEX(B1:XFD1,(A2)+(0))),IF(B2,((INDEX(B1:XFD1,(A2)+(1)))*(2))+(1),(A115)+(2)),(A115)+(2)))),A115))</f>
        <v>#VALUE!</v>
      </c>
      <c r="B115" t="e">
        <f ca="1">IF((A1)=(2),1,IF((112)=(B3),IF(("push")=(INDEX(B1:XFD1,(A2)+(0))),INDEX(B1:XFD1,(A2)+(1)),IF(("load")=(INDEX(B1:XFD1,(A2)+(0))),INDEX(F2:XFD2,INDEX(B1:XFD1,(A2)+(1))),IF(("newheap")=(INDEX(B1:XFD1,(A2)+(0))),(C3)-(2),IF(("getheap")=(INDEX(B1:XFD1,(A2)+(0))),INDEX(C4:C204,(B115)+(1)),IF(("add")=(INDEX(B1:XFD1,(A2)+(0))),(INDEX(B4:B204,(B3)+(1)))+(B115),IF(("equals")=(INDEX(B1:XFD1,(A2)+(0))),(INDEX(B4:B204,(B3)+(1)))=(B115),IF(("leq")=(INDEX(B1:XFD1,(A2)+(0))),(INDEX(B4:B204,(B3)+(1)))&lt;=(B115),B115))))))),B115))</f>
        <v>#VALUE!</v>
      </c>
      <c r="C115" t="e">
        <f ca="1">IF((A1)=(2),1,IF(AND((INDEX(B1:XFD1,(A2)+(0)))=("writeheap"),(INDEX(B4:B204,(B3)+(1)))=(111)),INDEX(B4:B204,(B3)+(2)),IF((A1)=(2),1,IF((112)=(C3),C115,C115))))</f>
        <v>#VALUE!</v>
      </c>
      <c r="E115" t="e">
        <f ca="1">IF((A1)=(2),1,IF((112)=(E3),IF(("outputline")=(INDEX(B1:XFD1,(A2)+(0))),B2,E115),E115))</f>
        <v>#VALUE!</v>
      </c>
      <c r="F115" t="e">
        <f ca="1">IF((A1)=(2),1,IF((112)=(F3),IF(IF((INDEX(B1:XFD1,(A2)+(0)))=("store"),(INDEX(B1:XFD1,(A2)+(1)))=("F"),"false"),B2,F115),F115))</f>
        <v>#VALUE!</v>
      </c>
      <c r="G115" t="e">
        <f ca="1">IF((A1)=(2),1,IF((112)=(G3),IF(IF((INDEX(B1:XFD1,(A2)+(0)))=("store"),(INDEX(B1:XFD1,(A2)+(1)))=("G"),"false"),B2,G115),G115))</f>
        <v>#VALUE!</v>
      </c>
      <c r="H115" t="e">
        <f ca="1">IF((A1)=(2),1,IF((112)=(H3),IF(IF((INDEX(B1:XFD1,(A2)+(0)))=("store"),(INDEX(B1:XFD1,(A2)+(1)))=("H"),"false"),B2,H115),H115))</f>
        <v>#VALUE!</v>
      </c>
      <c r="I115" t="e">
        <f ca="1">IF((A1)=(2),1,IF((112)=(I3),IF(IF((INDEX(B1:XFD1,(A2)+(0)))=("store"),(INDEX(B1:XFD1,(A2)+(1)))=("I"),"false"),B2,I115),I115))</f>
        <v>#VALUE!</v>
      </c>
      <c r="J115" t="e">
        <f ca="1">IF((A1)=(2),1,IF((112)=(J3),IF(IF((INDEX(B1:XFD1,(A2)+(0)))=("store"),(INDEX(B1:XFD1,(A2)+(1)))=("J"),"false"),B2,J115),J115))</f>
        <v>#VALUE!</v>
      </c>
    </row>
    <row r="116" spans="1:10" x14ac:dyDescent="0.25">
      <c r="A116" t="e">
        <f ca="1">IF((A1)=(2),1,IF((113)=(A3),IF(("call")=(INDEX(B1:XFD1,(A2)+(0))),((B2)*(2))+(1),IF(("goto")=(INDEX(B1:XFD1,(A2)+(0))),((INDEX(B1:XFD1,(A2)+(1)))*(2))+(1),IF(("gotoiftrue")=(INDEX(B1:XFD1,(A2)+(0))),IF(B2,((INDEX(B1:XFD1,(A2)+(1)))*(2))+(1),(A116)+(2)),(A116)+(2)))),A116))</f>
        <v>#VALUE!</v>
      </c>
      <c r="B116" t="e">
        <f ca="1">IF((A1)=(2),1,IF((113)=(B3),IF(("push")=(INDEX(B1:XFD1,(A2)+(0))),INDEX(B1:XFD1,(A2)+(1)),IF(("load")=(INDEX(B1:XFD1,(A2)+(0))),INDEX(F2:XFD2,INDEX(B1:XFD1,(A2)+(1))),IF(("newheap")=(INDEX(B1:XFD1,(A2)+(0))),(C3)-(2),IF(("getheap")=(INDEX(B1:XFD1,(A2)+(0))),INDEX(C4:C204,(B116)+(1)),IF(("add")=(INDEX(B1:XFD1,(A2)+(0))),(INDEX(B4:B204,(B3)+(1)))+(B116),IF(("equals")=(INDEX(B1:XFD1,(A2)+(0))),(INDEX(B4:B204,(B3)+(1)))=(B116),IF(("leq")=(INDEX(B1:XFD1,(A2)+(0))),(INDEX(B4:B204,(B3)+(1)))&lt;=(B116),B116))))))),B116))</f>
        <v>#VALUE!</v>
      </c>
      <c r="C116" t="e">
        <f ca="1">IF((A1)=(2),1,IF(AND((INDEX(B1:XFD1,(A2)+(0)))=("writeheap"),(INDEX(B4:B204,(B3)+(1)))=(112)),INDEX(B4:B204,(B3)+(2)),IF((A1)=(2),1,IF((113)=(C3),C116,C116))))</f>
        <v>#VALUE!</v>
      </c>
      <c r="E116" t="e">
        <f ca="1">IF((A1)=(2),1,IF((113)=(E3),IF(("outputline")=(INDEX(B1:XFD1,(A2)+(0))),B2,E116),E116))</f>
        <v>#VALUE!</v>
      </c>
      <c r="F116" t="e">
        <f ca="1">IF((A1)=(2),1,IF((113)=(F3),IF(IF((INDEX(B1:XFD1,(A2)+(0)))=("store"),(INDEX(B1:XFD1,(A2)+(1)))=("F"),"false"),B2,F116),F116))</f>
        <v>#VALUE!</v>
      </c>
      <c r="G116" t="e">
        <f ca="1">IF((A1)=(2),1,IF((113)=(G3),IF(IF((INDEX(B1:XFD1,(A2)+(0)))=("store"),(INDEX(B1:XFD1,(A2)+(1)))=("G"),"false"),B2,G116),G116))</f>
        <v>#VALUE!</v>
      </c>
      <c r="H116" t="e">
        <f ca="1">IF((A1)=(2),1,IF((113)=(H3),IF(IF((INDEX(B1:XFD1,(A2)+(0)))=("store"),(INDEX(B1:XFD1,(A2)+(1)))=("H"),"false"),B2,H116),H116))</f>
        <v>#VALUE!</v>
      </c>
      <c r="I116" t="e">
        <f ca="1">IF((A1)=(2),1,IF((113)=(I3),IF(IF((INDEX(B1:XFD1,(A2)+(0)))=("store"),(INDEX(B1:XFD1,(A2)+(1)))=("I"),"false"),B2,I116),I116))</f>
        <v>#VALUE!</v>
      </c>
      <c r="J116" t="e">
        <f ca="1">IF((A1)=(2),1,IF((113)=(J3),IF(IF((INDEX(B1:XFD1,(A2)+(0)))=("store"),(INDEX(B1:XFD1,(A2)+(1)))=("J"),"false"),B2,J116),J116))</f>
        <v>#VALUE!</v>
      </c>
    </row>
    <row r="117" spans="1:10" x14ac:dyDescent="0.25">
      <c r="A117" t="e">
        <f ca="1">IF((A1)=(2),1,IF((114)=(A3),IF(("call")=(INDEX(B1:XFD1,(A2)+(0))),((B2)*(2))+(1),IF(("goto")=(INDEX(B1:XFD1,(A2)+(0))),((INDEX(B1:XFD1,(A2)+(1)))*(2))+(1),IF(("gotoiftrue")=(INDEX(B1:XFD1,(A2)+(0))),IF(B2,((INDEX(B1:XFD1,(A2)+(1)))*(2))+(1),(A117)+(2)),(A117)+(2)))),A117))</f>
        <v>#VALUE!</v>
      </c>
      <c r="B117" t="e">
        <f ca="1">IF((A1)=(2),1,IF((114)=(B3),IF(("push")=(INDEX(B1:XFD1,(A2)+(0))),INDEX(B1:XFD1,(A2)+(1)),IF(("load")=(INDEX(B1:XFD1,(A2)+(0))),INDEX(F2:XFD2,INDEX(B1:XFD1,(A2)+(1))),IF(("newheap")=(INDEX(B1:XFD1,(A2)+(0))),(C3)-(2),IF(("getheap")=(INDEX(B1:XFD1,(A2)+(0))),INDEX(C4:C204,(B117)+(1)),IF(("add")=(INDEX(B1:XFD1,(A2)+(0))),(INDEX(B4:B204,(B3)+(1)))+(B117),IF(("equals")=(INDEX(B1:XFD1,(A2)+(0))),(INDEX(B4:B204,(B3)+(1)))=(B117),IF(("leq")=(INDEX(B1:XFD1,(A2)+(0))),(INDEX(B4:B204,(B3)+(1)))&lt;=(B117),B117))))))),B117))</f>
        <v>#VALUE!</v>
      </c>
      <c r="C117" t="e">
        <f ca="1">IF((A1)=(2),1,IF(AND((INDEX(B1:XFD1,(A2)+(0)))=("writeheap"),(INDEX(B4:B204,(B3)+(1)))=(113)),INDEX(B4:B204,(B3)+(2)),IF((A1)=(2),1,IF((114)=(C3),C117,C117))))</f>
        <v>#VALUE!</v>
      </c>
      <c r="E117" t="e">
        <f ca="1">IF((A1)=(2),1,IF((114)=(E3),IF(("outputline")=(INDEX(B1:XFD1,(A2)+(0))),B2,E117),E117))</f>
        <v>#VALUE!</v>
      </c>
      <c r="F117" t="e">
        <f ca="1">IF((A1)=(2),1,IF((114)=(F3),IF(IF((INDEX(B1:XFD1,(A2)+(0)))=("store"),(INDEX(B1:XFD1,(A2)+(1)))=("F"),"false"),B2,F117),F117))</f>
        <v>#VALUE!</v>
      </c>
      <c r="G117" t="e">
        <f ca="1">IF((A1)=(2),1,IF((114)=(G3),IF(IF((INDEX(B1:XFD1,(A2)+(0)))=("store"),(INDEX(B1:XFD1,(A2)+(1)))=("G"),"false"),B2,G117),G117))</f>
        <v>#VALUE!</v>
      </c>
      <c r="H117" t="e">
        <f ca="1">IF((A1)=(2),1,IF((114)=(H3),IF(IF((INDEX(B1:XFD1,(A2)+(0)))=("store"),(INDEX(B1:XFD1,(A2)+(1)))=("H"),"false"),B2,H117),H117))</f>
        <v>#VALUE!</v>
      </c>
      <c r="I117" t="e">
        <f ca="1">IF((A1)=(2),1,IF((114)=(I3),IF(IF((INDEX(B1:XFD1,(A2)+(0)))=("store"),(INDEX(B1:XFD1,(A2)+(1)))=("I"),"false"),B2,I117),I117))</f>
        <v>#VALUE!</v>
      </c>
      <c r="J117" t="e">
        <f ca="1">IF((A1)=(2),1,IF((114)=(J3),IF(IF((INDEX(B1:XFD1,(A2)+(0)))=("store"),(INDEX(B1:XFD1,(A2)+(1)))=("J"),"false"),B2,J117),J117))</f>
        <v>#VALUE!</v>
      </c>
    </row>
    <row r="118" spans="1:10" x14ac:dyDescent="0.25">
      <c r="A118" t="e">
        <f ca="1">IF((A1)=(2),1,IF((115)=(A3),IF(("call")=(INDEX(B1:XFD1,(A2)+(0))),((B2)*(2))+(1),IF(("goto")=(INDEX(B1:XFD1,(A2)+(0))),((INDEX(B1:XFD1,(A2)+(1)))*(2))+(1),IF(("gotoiftrue")=(INDEX(B1:XFD1,(A2)+(0))),IF(B2,((INDEX(B1:XFD1,(A2)+(1)))*(2))+(1),(A118)+(2)),(A118)+(2)))),A118))</f>
        <v>#VALUE!</v>
      </c>
      <c r="B118" t="e">
        <f ca="1">IF((A1)=(2),1,IF((115)=(B3),IF(("push")=(INDEX(B1:XFD1,(A2)+(0))),INDEX(B1:XFD1,(A2)+(1)),IF(("load")=(INDEX(B1:XFD1,(A2)+(0))),INDEX(F2:XFD2,INDEX(B1:XFD1,(A2)+(1))),IF(("newheap")=(INDEX(B1:XFD1,(A2)+(0))),(C3)-(2),IF(("getheap")=(INDEX(B1:XFD1,(A2)+(0))),INDEX(C4:C204,(B118)+(1)),IF(("add")=(INDEX(B1:XFD1,(A2)+(0))),(INDEX(B4:B204,(B3)+(1)))+(B118),IF(("equals")=(INDEX(B1:XFD1,(A2)+(0))),(INDEX(B4:B204,(B3)+(1)))=(B118),IF(("leq")=(INDEX(B1:XFD1,(A2)+(0))),(INDEX(B4:B204,(B3)+(1)))&lt;=(B118),B118))))))),B118))</f>
        <v>#VALUE!</v>
      </c>
      <c r="C118" t="e">
        <f ca="1">IF((A1)=(2),1,IF(AND((INDEX(B1:XFD1,(A2)+(0)))=("writeheap"),(INDEX(B4:B204,(B3)+(1)))=(114)),INDEX(B4:B204,(B3)+(2)),IF((A1)=(2),1,IF((115)=(C3),C118,C118))))</f>
        <v>#VALUE!</v>
      </c>
      <c r="E118" t="e">
        <f ca="1">IF((A1)=(2),1,IF((115)=(E3),IF(("outputline")=(INDEX(B1:XFD1,(A2)+(0))),B2,E118),E118))</f>
        <v>#VALUE!</v>
      </c>
      <c r="F118" t="e">
        <f ca="1">IF((A1)=(2),1,IF((115)=(F3),IF(IF((INDEX(B1:XFD1,(A2)+(0)))=("store"),(INDEX(B1:XFD1,(A2)+(1)))=("F"),"false"),B2,F118),F118))</f>
        <v>#VALUE!</v>
      </c>
      <c r="G118" t="e">
        <f ca="1">IF((A1)=(2),1,IF((115)=(G3),IF(IF((INDEX(B1:XFD1,(A2)+(0)))=("store"),(INDEX(B1:XFD1,(A2)+(1)))=("G"),"false"),B2,G118),G118))</f>
        <v>#VALUE!</v>
      </c>
      <c r="H118" t="e">
        <f ca="1">IF((A1)=(2),1,IF((115)=(H3),IF(IF((INDEX(B1:XFD1,(A2)+(0)))=("store"),(INDEX(B1:XFD1,(A2)+(1)))=("H"),"false"),B2,H118),H118))</f>
        <v>#VALUE!</v>
      </c>
      <c r="I118" t="e">
        <f ca="1">IF((A1)=(2),1,IF((115)=(I3),IF(IF((INDEX(B1:XFD1,(A2)+(0)))=("store"),(INDEX(B1:XFD1,(A2)+(1)))=("I"),"false"),B2,I118),I118))</f>
        <v>#VALUE!</v>
      </c>
      <c r="J118" t="e">
        <f ca="1">IF((A1)=(2),1,IF((115)=(J3),IF(IF((INDEX(B1:XFD1,(A2)+(0)))=("store"),(INDEX(B1:XFD1,(A2)+(1)))=("J"),"false"),B2,J118),J118))</f>
        <v>#VALUE!</v>
      </c>
    </row>
    <row r="119" spans="1:10" x14ac:dyDescent="0.25">
      <c r="A119" t="e">
        <f ca="1">IF((A1)=(2),1,IF((116)=(A3),IF(("call")=(INDEX(B1:XFD1,(A2)+(0))),((B2)*(2))+(1),IF(("goto")=(INDEX(B1:XFD1,(A2)+(0))),((INDEX(B1:XFD1,(A2)+(1)))*(2))+(1),IF(("gotoiftrue")=(INDEX(B1:XFD1,(A2)+(0))),IF(B2,((INDEX(B1:XFD1,(A2)+(1)))*(2))+(1),(A119)+(2)),(A119)+(2)))),A119))</f>
        <v>#VALUE!</v>
      </c>
      <c r="B119" t="e">
        <f ca="1">IF((A1)=(2),1,IF((116)=(B3),IF(("push")=(INDEX(B1:XFD1,(A2)+(0))),INDEX(B1:XFD1,(A2)+(1)),IF(("load")=(INDEX(B1:XFD1,(A2)+(0))),INDEX(F2:XFD2,INDEX(B1:XFD1,(A2)+(1))),IF(("newheap")=(INDEX(B1:XFD1,(A2)+(0))),(C3)-(2),IF(("getheap")=(INDEX(B1:XFD1,(A2)+(0))),INDEX(C4:C204,(B119)+(1)),IF(("add")=(INDEX(B1:XFD1,(A2)+(0))),(INDEX(B4:B204,(B3)+(1)))+(B119),IF(("equals")=(INDEX(B1:XFD1,(A2)+(0))),(INDEX(B4:B204,(B3)+(1)))=(B119),IF(("leq")=(INDEX(B1:XFD1,(A2)+(0))),(INDEX(B4:B204,(B3)+(1)))&lt;=(B119),B119))))))),B119))</f>
        <v>#VALUE!</v>
      </c>
      <c r="C119" t="e">
        <f ca="1">IF((A1)=(2),1,IF(AND((INDEX(B1:XFD1,(A2)+(0)))=("writeheap"),(INDEX(B4:B204,(B3)+(1)))=(115)),INDEX(B4:B204,(B3)+(2)),IF((A1)=(2),1,IF((116)=(C3),C119,C119))))</f>
        <v>#VALUE!</v>
      </c>
      <c r="E119" t="e">
        <f ca="1">IF((A1)=(2),1,IF((116)=(E3),IF(("outputline")=(INDEX(B1:XFD1,(A2)+(0))),B2,E119),E119))</f>
        <v>#VALUE!</v>
      </c>
      <c r="F119" t="e">
        <f ca="1">IF((A1)=(2),1,IF((116)=(F3),IF(IF((INDEX(B1:XFD1,(A2)+(0)))=("store"),(INDEX(B1:XFD1,(A2)+(1)))=("F"),"false"),B2,F119),F119))</f>
        <v>#VALUE!</v>
      </c>
      <c r="G119" t="e">
        <f ca="1">IF((A1)=(2),1,IF((116)=(G3),IF(IF((INDEX(B1:XFD1,(A2)+(0)))=("store"),(INDEX(B1:XFD1,(A2)+(1)))=("G"),"false"),B2,G119),G119))</f>
        <v>#VALUE!</v>
      </c>
      <c r="H119" t="e">
        <f ca="1">IF((A1)=(2),1,IF((116)=(H3),IF(IF((INDEX(B1:XFD1,(A2)+(0)))=("store"),(INDEX(B1:XFD1,(A2)+(1)))=("H"),"false"),B2,H119),H119))</f>
        <v>#VALUE!</v>
      </c>
      <c r="I119" t="e">
        <f ca="1">IF((A1)=(2),1,IF((116)=(I3),IF(IF((INDEX(B1:XFD1,(A2)+(0)))=("store"),(INDEX(B1:XFD1,(A2)+(1)))=("I"),"false"),B2,I119),I119))</f>
        <v>#VALUE!</v>
      </c>
      <c r="J119" t="e">
        <f ca="1">IF((A1)=(2),1,IF((116)=(J3),IF(IF((INDEX(B1:XFD1,(A2)+(0)))=("store"),(INDEX(B1:XFD1,(A2)+(1)))=("J"),"false"),B2,J119),J119))</f>
        <v>#VALUE!</v>
      </c>
    </row>
    <row r="120" spans="1:10" x14ac:dyDescent="0.25">
      <c r="A120" t="e">
        <f ca="1">IF((A1)=(2),1,IF((117)=(A3),IF(("call")=(INDEX(B1:XFD1,(A2)+(0))),((B2)*(2))+(1),IF(("goto")=(INDEX(B1:XFD1,(A2)+(0))),((INDEX(B1:XFD1,(A2)+(1)))*(2))+(1),IF(("gotoiftrue")=(INDEX(B1:XFD1,(A2)+(0))),IF(B2,((INDEX(B1:XFD1,(A2)+(1)))*(2))+(1),(A120)+(2)),(A120)+(2)))),A120))</f>
        <v>#VALUE!</v>
      </c>
      <c r="B120" t="e">
        <f ca="1">IF((A1)=(2),1,IF((117)=(B3),IF(("push")=(INDEX(B1:XFD1,(A2)+(0))),INDEX(B1:XFD1,(A2)+(1)),IF(("load")=(INDEX(B1:XFD1,(A2)+(0))),INDEX(F2:XFD2,INDEX(B1:XFD1,(A2)+(1))),IF(("newheap")=(INDEX(B1:XFD1,(A2)+(0))),(C3)-(2),IF(("getheap")=(INDEX(B1:XFD1,(A2)+(0))),INDEX(C4:C204,(B120)+(1)),IF(("add")=(INDEX(B1:XFD1,(A2)+(0))),(INDEX(B4:B204,(B3)+(1)))+(B120),IF(("equals")=(INDEX(B1:XFD1,(A2)+(0))),(INDEX(B4:B204,(B3)+(1)))=(B120),IF(("leq")=(INDEX(B1:XFD1,(A2)+(0))),(INDEX(B4:B204,(B3)+(1)))&lt;=(B120),B120))))))),B120))</f>
        <v>#VALUE!</v>
      </c>
      <c r="C120" t="e">
        <f ca="1">IF((A1)=(2),1,IF(AND((INDEX(B1:XFD1,(A2)+(0)))=("writeheap"),(INDEX(B4:B204,(B3)+(1)))=(116)),INDEX(B4:B204,(B3)+(2)),IF((A1)=(2),1,IF((117)=(C3),C120,C120))))</f>
        <v>#VALUE!</v>
      </c>
      <c r="E120" t="e">
        <f ca="1">IF((A1)=(2),1,IF((117)=(E3),IF(("outputline")=(INDEX(B1:XFD1,(A2)+(0))),B2,E120),E120))</f>
        <v>#VALUE!</v>
      </c>
      <c r="F120" t="e">
        <f ca="1">IF((A1)=(2),1,IF((117)=(F3),IF(IF((INDEX(B1:XFD1,(A2)+(0)))=("store"),(INDEX(B1:XFD1,(A2)+(1)))=("F"),"false"),B2,F120),F120))</f>
        <v>#VALUE!</v>
      </c>
      <c r="G120" t="e">
        <f ca="1">IF((A1)=(2),1,IF((117)=(G3),IF(IF((INDEX(B1:XFD1,(A2)+(0)))=("store"),(INDEX(B1:XFD1,(A2)+(1)))=("G"),"false"),B2,G120),G120))</f>
        <v>#VALUE!</v>
      </c>
      <c r="H120" t="e">
        <f ca="1">IF((A1)=(2),1,IF((117)=(H3),IF(IF((INDEX(B1:XFD1,(A2)+(0)))=("store"),(INDEX(B1:XFD1,(A2)+(1)))=("H"),"false"),B2,H120),H120))</f>
        <v>#VALUE!</v>
      </c>
      <c r="I120" t="e">
        <f ca="1">IF((A1)=(2),1,IF((117)=(I3),IF(IF((INDEX(B1:XFD1,(A2)+(0)))=("store"),(INDEX(B1:XFD1,(A2)+(1)))=("I"),"false"),B2,I120),I120))</f>
        <v>#VALUE!</v>
      </c>
      <c r="J120" t="e">
        <f ca="1">IF((A1)=(2),1,IF((117)=(J3),IF(IF((INDEX(B1:XFD1,(A2)+(0)))=("store"),(INDEX(B1:XFD1,(A2)+(1)))=("J"),"false"),B2,J120),J120))</f>
        <v>#VALUE!</v>
      </c>
    </row>
    <row r="121" spans="1:10" x14ac:dyDescent="0.25">
      <c r="A121" t="e">
        <f ca="1">IF((A1)=(2),1,IF((118)=(A3),IF(("call")=(INDEX(B1:XFD1,(A2)+(0))),((B2)*(2))+(1),IF(("goto")=(INDEX(B1:XFD1,(A2)+(0))),((INDEX(B1:XFD1,(A2)+(1)))*(2))+(1),IF(("gotoiftrue")=(INDEX(B1:XFD1,(A2)+(0))),IF(B2,((INDEX(B1:XFD1,(A2)+(1)))*(2))+(1),(A121)+(2)),(A121)+(2)))),A121))</f>
        <v>#VALUE!</v>
      </c>
      <c r="B121" t="e">
        <f ca="1">IF((A1)=(2),1,IF((118)=(B3),IF(("push")=(INDEX(B1:XFD1,(A2)+(0))),INDEX(B1:XFD1,(A2)+(1)),IF(("load")=(INDEX(B1:XFD1,(A2)+(0))),INDEX(F2:XFD2,INDEX(B1:XFD1,(A2)+(1))),IF(("newheap")=(INDEX(B1:XFD1,(A2)+(0))),(C3)-(2),IF(("getheap")=(INDEX(B1:XFD1,(A2)+(0))),INDEX(C4:C204,(B121)+(1)),IF(("add")=(INDEX(B1:XFD1,(A2)+(0))),(INDEX(B4:B204,(B3)+(1)))+(B121),IF(("equals")=(INDEX(B1:XFD1,(A2)+(0))),(INDEX(B4:B204,(B3)+(1)))=(B121),IF(("leq")=(INDEX(B1:XFD1,(A2)+(0))),(INDEX(B4:B204,(B3)+(1)))&lt;=(B121),B121))))))),B121))</f>
        <v>#VALUE!</v>
      </c>
      <c r="C121" t="e">
        <f ca="1">IF((A1)=(2),1,IF(AND((INDEX(B1:XFD1,(A2)+(0)))=("writeheap"),(INDEX(B4:B204,(B3)+(1)))=(117)),INDEX(B4:B204,(B3)+(2)),IF((A1)=(2),1,IF((118)=(C3),C121,C121))))</f>
        <v>#VALUE!</v>
      </c>
      <c r="E121" t="e">
        <f ca="1">IF((A1)=(2),1,IF((118)=(E3),IF(("outputline")=(INDEX(B1:XFD1,(A2)+(0))),B2,E121),E121))</f>
        <v>#VALUE!</v>
      </c>
      <c r="F121" t="e">
        <f ca="1">IF((A1)=(2),1,IF((118)=(F3),IF(IF((INDEX(B1:XFD1,(A2)+(0)))=("store"),(INDEX(B1:XFD1,(A2)+(1)))=("F"),"false"),B2,F121),F121))</f>
        <v>#VALUE!</v>
      </c>
      <c r="G121" t="e">
        <f ca="1">IF((A1)=(2),1,IF((118)=(G3),IF(IF((INDEX(B1:XFD1,(A2)+(0)))=("store"),(INDEX(B1:XFD1,(A2)+(1)))=("G"),"false"),B2,G121),G121))</f>
        <v>#VALUE!</v>
      </c>
      <c r="H121" t="e">
        <f ca="1">IF((A1)=(2),1,IF((118)=(H3),IF(IF((INDEX(B1:XFD1,(A2)+(0)))=("store"),(INDEX(B1:XFD1,(A2)+(1)))=("H"),"false"),B2,H121),H121))</f>
        <v>#VALUE!</v>
      </c>
      <c r="I121" t="e">
        <f ca="1">IF((A1)=(2),1,IF((118)=(I3),IF(IF((INDEX(B1:XFD1,(A2)+(0)))=("store"),(INDEX(B1:XFD1,(A2)+(1)))=("I"),"false"),B2,I121),I121))</f>
        <v>#VALUE!</v>
      </c>
      <c r="J121" t="e">
        <f ca="1">IF((A1)=(2),1,IF((118)=(J3),IF(IF((INDEX(B1:XFD1,(A2)+(0)))=("store"),(INDEX(B1:XFD1,(A2)+(1)))=("J"),"false"),B2,J121),J121))</f>
        <v>#VALUE!</v>
      </c>
    </row>
    <row r="122" spans="1:10" x14ac:dyDescent="0.25">
      <c r="A122" t="e">
        <f ca="1">IF((A1)=(2),1,IF((119)=(A3),IF(("call")=(INDEX(B1:XFD1,(A2)+(0))),((B2)*(2))+(1),IF(("goto")=(INDEX(B1:XFD1,(A2)+(0))),((INDEX(B1:XFD1,(A2)+(1)))*(2))+(1),IF(("gotoiftrue")=(INDEX(B1:XFD1,(A2)+(0))),IF(B2,((INDEX(B1:XFD1,(A2)+(1)))*(2))+(1),(A122)+(2)),(A122)+(2)))),A122))</f>
        <v>#VALUE!</v>
      </c>
      <c r="B122" t="e">
        <f ca="1">IF((A1)=(2),1,IF((119)=(B3),IF(("push")=(INDEX(B1:XFD1,(A2)+(0))),INDEX(B1:XFD1,(A2)+(1)),IF(("load")=(INDEX(B1:XFD1,(A2)+(0))),INDEX(F2:XFD2,INDEX(B1:XFD1,(A2)+(1))),IF(("newheap")=(INDEX(B1:XFD1,(A2)+(0))),(C3)-(2),IF(("getheap")=(INDEX(B1:XFD1,(A2)+(0))),INDEX(C4:C204,(B122)+(1)),IF(("add")=(INDEX(B1:XFD1,(A2)+(0))),(INDEX(B4:B204,(B3)+(1)))+(B122),IF(("equals")=(INDEX(B1:XFD1,(A2)+(0))),(INDEX(B4:B204,(B3)+(1)))=(B122),IF(("leq")=(INDEX(B1:XFD1,(A2)+(0))),(INDEX(B4:B204,(B3)+(1)))&lt;=(B122),B122))))))),B122))</f>
        <v>#VALUE!</v>
      </c>
      <c r="C122" t="e">
        <f ca="1">IF((A1)=(2),1,IF(AND((INDEX(B1:XFD1,(A2)+(0)))=("writeheap"),(INDEX(B4:B204,(B3)+(1)))=(118)),INDEX(B4:B204,(B3)+(2)),IF((A1)=(2),1,IF((119)=(C3),C122,C122))))</f>
        <v>#VALUE!</v>
      </c>
      <c r="E122" t="e">
        <f ca="1">IF((A1)=(2),1,IF((119)=(E3),IF(("outputline")=(INDEX(B1:XFD1,(A2)+(0))),B2,E122),E122))</f>
        <v>#VALUE!</v>
      </c>
      <c r="F122" t="e">
        <f ca="1">IF((A1)=(2),1,IF((119)=(F3),IF(IF((INDEX(B1:XFD1,(A2)+(0)))=("store"),(INDEX(B1:XFD1,(A2)+(1)))=("F"),"false"),B2,F122),F122))</f>
        <v>#VALUE!</v>
      </c>
      <c r="G122" t="e">
        <f ca="1">IF((A1)=(2),1,IF((119)=(G3),IF(IF((INDEX(B1:XFD1,(A2)+(0)))=("store"),(INDEX(B1:XFD1,(A2)+(1)))=("G"),"false"),B2,G122),G122))</f>
        <v>#VALUE!</v>
      </c>
      <c r="H122" t="e">
        <f ca="1">IF((A1)=(2),1,IF((119)=(H3),IF(IF((INDEX(B1:XFD1,(A2)+(0)))=("store"),(INDEX(B1:XFD1,(A2)+(1)))=("H"),"false"),B2,H122),H122))</f>
        <v>#VALUE!</v>
      </c>
      <c r="I122" t="e">
        <f ca="1">IF((A1)=(2),1,IF((119)=(I3),IF(IF((INDEX(B1:XFD1,(A2)+(0)))=("store"),(INDEX(B1:XFD1,(A2)+(1)))=("I"),"false"),B2,I122),I122))</f>
        <v>#VALUE!</v>
      </c>
      <c r="J122" t="e">
        <f ca="1">IF((A1)=(2),1,IF((119)=(J3),IF(IF((INDEX(B1:XFD1,(A2)+(0)))=("store"),(INDEX(B1:XFD1,(A2)+(1)))=("J"),"false"),B2,J122),J122))</f>
        <v>#VALUE!</v>
      </c>
    </row>
    <row r="123" spans="1:10" x14ac:dyDescent="0.25">
      <c r="A123" t="e">
        <f ca="1">IF((A1)=(2),1,IF((120)=(A3),IF(("call")=(INDEX(B1:XFD1,(A2)+(0))),((B2)*(2))+(1),IF(("goto")=(INDEX(B1:XFD1,(A2)+(0))),((INDEX(B1:XFD1,(A2)+(1)))*(2))+(1),IF(("gotoiftrue")=(INDEX(B1:XFD1,(A2)+(0))),IF(B2,((INDEX(B1:XFD1,(A2)+(1)))*(2))+(1),(A123)+(2)),(A123)+(2)))),A123))</f>
        <v>#VALUE!</v>
      </c>
      <c r="B123" t="e">
        <f ca="1">IF((A1)=(2),1,IF((120)=(B3),IF(("push")=(INDEX(B1:XFD1,(A2)+(0))),INDEX(B1:XFD1,(A2)+(1)),IF(("load")=(INDEX(B1:XFD1,(A2)+(0))),INDEX(F2:XFD2,INDEX(B1:XFD1,(A2)+(1))),IF(("newheap")=(INDEX(B1:XFD1,(A2)+(0))),(C3)-(2),IF(("getheap")=(INDEX(B1:XFD1,(A2)+(0))),INDEX(C4:C204,(B123)+(1)),IF(("add")=(INDEX(B1:XFD1,(A2)+(0))),(INDEX(B4:B204,(B3)+(1)))+(B123),IF(("equals")=(INDEX(B1:XFD1,(A2)+(0))),(INDEX(B4:B204,(B3)+(1)))=(B123),IF(("leq")=(INDEX(B1:XFD1,(A2)+(0))),(INDEX(B4:B204,(B3)+(1)))&lt;=(B123),B123))))))),B123))</f>
        <v>#VALUE!</v>
      </c>
      <c r="C123" t="e">
        <f ca="1">IF((A1)=(2),1,IF(AND((INDEX(B1:XFD1,(A2)+(0)))=("writeheap"),(INDEX(B4:B204,(B3)+(1)))=(119)),INDEX(B4:B204,(B3)+(2)),IF((A1)=(2),1,IF((120)=(C3),C123,C123))))</f>
        <v>#VALUE!</v>
      </c>
      <c r="E123" t="e">
        <f ca="1">IF((A1)=(2),1,IF((120)=(E3),IF(("outputline")=(INDEX(B1:XFD1,(A2)+(0))),B2,E123),E123))</f>
        <v>#VALUE!</v>
      </c>
      <c r="F123" t="e">
        <f ca="1">IF((A1)=(2),1,IF((120)=(F3),IF(IF((INDEX(B1:XFD1,(A2)+(0)))=("store"),(INDEX(B1:XFD1,(A2)+(1)))=("F"),"false"),B2,F123),F123))</f>
        <v>#VALUE!</v>
      </c>
      <c r="G123" t="e">
        <f ca="1">IF((A1)=(2),1,IF((120)=(G3),IF(IF((INDEX(B1:XFD1,(A2)+(0)))=("store"),(INDEX(B1:XFD1,(A2)+(1)))=("G"),"false"),B2,G123),G123))</f>
        <v>#VALUE!</v>
      </c>
      <c r="H123" t="e">
        <f ca="1">IF((A1)=(2),1,IF((120)=(H3),IF(IF((INDEX(B1:XFD1,(A2)+(0)))=("store"),(INDEX(B1:XFD1,(A2)+(1)))=("H"),"false"),B2,H123),H123))</f>
        <v>#VALUE!</v>
      </c>
      <c r="I123" t="e">
        <f ca="1">IF((A1)=(2),1,IF((120)=(I3),IF(IF((INDEX(B1:XFD1,(A2)+(0)))=("store"),(INDEX(B1:XFD1,(A2)+(1)))=("I"),"false"),B2,I123),I123))</f>
        <v>#VALUE!</v>
      </c>
      <c r="J123" t="e">
        <f ca="1">IF((A1)=(2),1,IF((120)=(J3),IF(IF((INDEX(B1:XFD1,(A2)+(0)))=("store"),(INDEX(B1:XFD1,(A2)+(1)))=("J"),"false"),B2,J123),J123))</f>
        <v>#VALUE!</v>
      </c>
    </row>
    <row r="124" spans="1:10" x14ac:dyDescent="0.25">
      <c r="A124" t="e">
        <f ca="1">IF((A1)=(2),1,IF((121)=(A3),IF(("call")=(INDEX(B1:XFD1,(A2)+(0))),((B2)*(2))+(1),IF(("goto")=(INDEX(B1:XFD1,(A2)+(0))),((INDEX(B1:XFD1,(A2)+(1)))*(2))+(1),IF(("gotoiftrue")=(INDEX(B1:XFD1,(A2)+(0))),IF(B2,((INDEX(B1:XFD1,(A2)+(1)))*(2))+(1),(A124)+(2)),(A124)+(2)))),A124))</f>
        <v>#VALUE!</v>
      </c>
      <c r="B124" t="e">
        <f ca="1">IF((A1)=(2),1,IF((121)=(B3),IF(("push")=(INDEX(B1:XFD1,(A2)+(0))),INDEX(B1:XFD1,(A2)+(1)),IF(("load")=(INDEX(B1:XFD1,(A2)+(0))),INDEX(F2:XFD2,INDEX(B1:XFD1,(A2)+(1))),IF(("newheap")=(INDEX(B1:XFD1,(A2)+(0))),(C3)-(2),IF(("getheap")=(INDEX(B1:XFD1,(A2)+(0))),INDEX(C4:C204,(B124)+(1)),IF(("add")=(INDEX(B1:XFD1,(A2)+(0))),(INDEX(B4:B204,(B3)+(1)))+(B124),IF(("equals")=(INDEX(B1:XFD1,(A2)+(0))),(INDEX(B4:B204,(B3)+(1)))=(B124),IF(("leq")=(INDEX(B1:XFD1,(A2)+(0))),(INDEX(B4:B204,(B3)+(1)))&lt;=(B124),B124))))))),B124))</f>
        <v>#VALUE!</v>
      </c>
      <c r="C124" t="e">
        <f ca="1">IF((A1)=(2),1,IF(AND((INDEX(B1:XFD1,(A2)+(0)))=("writeheap"),(INDEX(B4:B204,(B3)+(1)))=(120)),INDEX(B4:B204,(B3)+(2)),IF((A1)=(2),1,IF((121)=(C3),C124,C124))))</f>
        <v>#VALUE!</v>
      </c>
      <c r="E124" t="e">
        <f ca="1">IF((A1)=(2),1,IF((121)=(E3),IF(("outputline")=(INDEX(B1:XFD1,(A2)+(0))),B2,E124),E124))</f>
        <v>#VALUE!</v>
      </c>
      <c r="F124" t="e">
        <f ca="1">IF((A1)=(2),1,IF((121)=(F3),IF(IF((INDEX(B1:XFD1,(A2)+(0)))=("store"),(INDEX(B1:XFD1,(A2)+(1)))=("F"),"false"),B2,F124),F124))</f>
        <v>#VALUE!</v>
      </c>
      <c r="G124" t="e">
        <f ca="1">IF((A1)=(2),1,IF((121)=(G3),IF(IF((INDEX(B1:XFD1,(A2)+(0)))=("store"),(INDEX(B1:XFD1,(A2)+(1)))=("G"),"false"),B2,G124),G124))</f>
        <v>#VALUE!</v>
      </c>
      <c r="H124" t="e">
        <f ca="1">IF((A1)=(2),1,IF((121)=(H3),IF(IF((INDEX(B1:XFD1,(A2)+(0)))=("store"),(INDEX(B1:XFD1,(A2)+(1)))=("H"),"false"),B2,H124),H124))</f>
        <v>#VALUE!</v>
      </c>
      <c r="I124" t="e">
        <f ca="1">IF((A1)=(2),1,IF((121)=(I3),IF(IF((INDEX(B1:XFD1,(A2)+(0)))=("store"),(INDEX(B1:XFD1,(A2)+(1)))=("I"),"false"),B2,I124),I124))</f>
        <v>#VALUE!</v>
      </c>
      <c r="J124" t="e">
        <f ca="1">IF((A1)=(2),1,IF((121)=(J3),IF(IF((INDEX(B1:XFD1,(A2)+(0)))=("store"),(INDEX(B1:XFD1,(A2)+(1)))=("J"),"false"),B2,J124),J124))</f>
        <v>#VALUE!</v>
      </c>
    </row>
    <row r="125" spans="1:10" x14ac:dyDescent="0.25">
      <c r="A125" t="e">
        <f ca="1">IF((A1)=(2),1,IF((122)=(A3),IF(("call")=(INDEX(B1:XFD1,(A2)+(0))),((B2)*(2))+(1),IF(("goto")=(INDEX(B1:XFD1,(A2)+(0))),((INDEX(B1:XFD1,(A2)+(1)))*(2))+(1),IF(("gotoiftrue")=(INDEX(B1:XFD1,(A2)+(0))),IF(B2,((INDEX(B1:XFD1,(A2)+(1)))*(2))+(1),(A125)+(2)),(A125)+(2)))),A125))</f>
        <v>#VALUE!</v>
      </c>
      <c r="B125" t="e">
        <f ca="1">IF((A1)=(2),1,IF((122)=(B3),IF(("push")=(INDEX(B1:XFD1,(A2)+(0))),INDEX(B1:XFD1,(A2)+(1)),IF(("load")=(INDEX(B1:XFD1,(A2)+(0))),INDEX(F2:XFD2,INDEX(B1:XFD1,(A2)+(1))),IF(("newheap")=(INDEX(B1:XFD1,(A2)+(0))),(C3)-(2),IF(("getheap")=(INDEX(B1:XFD1,(A2)+(0))),INDEX(C4:C204,(B125)+(1)),IF(("add")=(INDEX(B1:XFD1,(A2)+(0))),(INDEX(B4:B204,(B3)+(1)))+(B125),IF(("equals")=(INDEX(B1:XFD1,(A2)+(0))),(INDEX(B4:B204,(B3)+(1)))=(B125),IF(("leq")=(INDEX(B1:XFD1,(A2)+(0))),(INDEX(B4:B204,(B3)+(1)))&lt;=(B125),B125))))))),B125))</f>
        <v>#VALUE!</v>
      </c>
      <c r="C125" t="e">
        <f ca="1">IF((A1)=(2),1,IF(AND((INDEX(B1:XFD1,(A2)+(0)))=("writeheap"),(INDEX(B4:B204,(B3)+(1)))=(121)),INDEX(B4:B204,(B3)+(2)),IF((A1)=(2),1,IF((122)=(C3),C125,C125))))</f>
        <v>#VALUE!</v>
      </c>
      <c r="E125" t="e">
        <f ca="1">IF((A1)=(2),1,IF((122)=(E3),IF(("outputline")=(INDEX(B1:XFD1,(A2)+(0))),B2,E125),E125))</f>
        <v>#VALUE!</v>
      </c>
      <c r="F125" t="e">
        <f ca="1">IF((A1)=(2),1,IF((122)=(F3),IF(IF((INDEX(B1:XFD1,(A2)+(0)))=("store"),(INDEX(B1:XFD1,(A2)+(1)))=("F"),"false"),B2,F125),F125))</f>
        <v>#VALUE!</v>
      </c>
      <c r="G125" t="e">
        <f ca="1">IF((A1)=(2),1,IF((122)=(G3),IF(IF((INDEX(B1:XFD1,(A2)+(0)))=("store"),(INDEX(B1:XFD1,(A2)+(1)))=("G"),"false"),B2,G125),G125))</f>
        <v>#VALUE!</v>
      </c>
      <c r="H125" t="e">
        <f ca="1">IF((A1)=(2),1,IF((122)=(H3),IF(IF((INDEX(B1:XFD1,(A2)+(0)))=("store"),(INDEX(B1:XFD1,(A2)+(1)))=("H"),"false"),B2,H125),H125))</f>
        <v>#VALUE!</v>
      </c>
      <c r="I125" t="e">
        <f ca="1">IF((A1)=(2),1,IF((122)=(I3),IF(IF((INDEX(B1:XFD1,(A2)+(0)))=("store"),(INDEX(B1:XFD1,(A2)+(1)))=("I"),"false"),B2,I125),I125))</f>
        <v>#VALUE!</v>
      </c>
      <c r="J125" t="e">
        <f ca="1">IF((A1)=(2),1,IF((122)=(J3),IF(IF((INDEX(B1:XFD1,(A2)+(0)))=("store"),(INDEX(B1:XFD1,(A2)+(1)))=("J"),"false"),B2,J125),J125))</f>
        <v>#VALUE!</v>
      </c>
    </row>
    <row r="126" spans="1:10" x14ac:dyDescent="0.25">
      <c r="A126" t="e">
        <f ca="1">IF((A1)=(2),1,IF((123)=(A3),IF(("call")=(INDEX(B1:XFD1,(A2)+(0))),((B2)*(2))+(1),IF(("goto")=(INDEX(B1:XFD1,(A2)+(0))),((INDEX(B1:XFD1,(A2)+(1)))*(2))+(1),IF(("gotoiftrue")=(INDEX(B1:XFD1,(A2)+(0))),IF(B2,((INDEX(B1:XFD1,(A2)+(1)))*(2))+(1),(A126)+(2)),(A126)+(2)))),A126))</f>
        <v>#VALUE!</v>
      </c>
      <c r="B126" t="e">
        <f ca="1">IF((A1)=(2),1,IF((123)=(B3),IF(("push")=(INDEX(B1:XFD1,(A2)+(0))),INDEX(B1:XFD1,(A2)+(1)),IF(("load")=(INDEX(B1:XFD1,(A2)+(0))),INDEX(F2:XFD2,INDEX(B1:XFD1,(A2)+(1))),IF(("newheap")=(INDEX(B1:XFD1,(A2)+(0))),(C3)-(2),IF(("getheap")=(INDEX(B1:XFD1,(A2)+(0))),INDEX(C4:C204,(B126)+(1)),IF(("add")=(INDEX(B1:XFD1,(A2)+(0))),(INDEX(B4:B204,(B3)+(1)))+(B126),IF(("equals")=(INDEX(B1:XFD1,(A2)+(0))),(INDEX(B4:B204,(B3)+(1)))=(B126),IF(("leq")=(INDEX(B1:XFD1,(A2)+(0))),(INDEX(B4:B204,(B3)+(1)))&lt;=(B126),B126))))))),B126))</f>
        <v>#VALUE!</v>
      </c>
      <c r="C126" t="e">
        <f ca="1">IF((A1)=(2),1,IF(AND((INDEX(B1:XFD1,(A2)+(0)))=("writeheap"),(INDEX(B4:B204,(B3)+(1)))=(122)),INDEX(B4:B204,(B3)+(2)),IF((A1)=(2),1,IF((123)=(C3),C126,C126))))</f>
        <v>#VALUE!</v>
      </c>
      <c r="E126" t="e">
        <f ca="1">IF((A1)=(2),1,IF((123)=(E3),IF(("outputline")=(INDEX(B1:XFD1,(A2)+(0))),B2,E126),E126))</f>
        <v>#VALUE!</v>
      </c>
      <c r="F126" t="e">
        <f ca="1">IF((A1)=(2),1,IF((123)=(F3),IF(IF((INDEX(B1:XFD1,(A2)+(0)))=("store"),(INDEX(B1:XFD1,(A2)+(1)))=("F"),"false"),B2,F126),F126))</f>
        <v>#VALUE!</v>
      </c>
      <c r="G126" t="e">
        <f ca="1">IF((A1)=(2),1,IF((123)=(G3),IF(IF((INDEX(B1:XFD1,(A2)+(0)))=("store"),(INDEX(B1:XFD1,(A2)+(1)))=("G"),"false"),B2,G126),G126))</f>
        <v>#VALUE!</v>
      </c>
      <c r="H126" t="e">
        <f ca="1">IF((A1)=(2),1,IF((123)=(H3),IF(IF((INDEX(B1:XFD1,(A2)+(0)))=("store"),(INDEX(B1:XFD1,(A2)+(1)))=("H"),"false"),B2,H126),H126))</f>
        <v>#VALUE!</v>
      </c>
      <c r="I126" t="e">
        <f ca="1">IF((A1)=(2),1,IF((123)=(I3),IF(IF((INDEX(B1:XFD1,(A2)+(0)))=("store"),(INDEX(B1:XFD1,(A2)+(1)))=("I"),"false"),B2,I126),I126))</f>
        <v>#VALUE!</v>
      </c>
      <c r="J126" t="e">
        <f ca="1">IF((A1)=(2),1,IF((123)=(J3),IF(IF((INDEX(B1:XFD1,(A2)+(0)))=("store"),(INDEX(B1:XFD1,(A2)+(1)))=("J"),"false"),B2,J126),J126))</f>
        <v>#VALUE!</v>
      </c>
    </row>
    <row r="127" spans="1:10" x14ac:dyDescent="0.25">
      <c r="A127" t="e">
        <f ca="1">IF((A1)=(2),1,IF((124)=(A3),IF(("call")=(INDEX(B1:XFD1,(A2)+(0))),((B2)*(2))+(1),IF(("goto")=(INDEX(B1:XFD1,(A2)+(0))),((INDEX(B1:XFD1,(A2)+(1)))*(2))+(1),IF(("gotoiftrue")=(INDEX(B1:XFD1,(A2)+(0))),IF(B2,((INDEX(B1:XFD1,(A2)+(1)))*(2))+(1),(A127)+(2)),(A127)+(2)))),A127))</f>
        <v>#VALUE!</v>
      </c>
      <c r="B127" t="e">
        <f ca="1">IF((A1)=(2),1,IF((124)=(B3),IF(("push")=(INDEX(B1:XFD1,(A2)+(0))),INDEX(B1:XFD1,(A2)+(1)),IF(("load")=(INDEX(B1:XFD1,(A2)+(0))),INDEX(F2:XFD2,INDEX(B1:XFD1,(A2)+(1))),IF(("newheap")=(INDEX(B1:XFD1,(A2)+(0))),(C3)-(2),IF(("getheap")=(INDEX(B1:XFD1,(A2)+(0))),INDEX(C4:C204,(B127)+(1)),IF(("add")=(INDEX(B1:XFD1,(A2)+(0))),(INDEX(B4:B204,(B3)+(1)))+(B127),IF(("equals")=(INDEX(B1:XFD1,(A2)+(0))),(INDEX(B4:B204,(B3)+(1)))=(B127),IF(("leq")=(INDEX(B1:XFD1,(A2)+(0))),(INDEX(B4:B204,(B3)+(1)))&lt;=(B127),B127))))))),B127))</f>
        <v>#VALUE!</v>
      </c>
      <c r="C127" t="e">
        <f ca="1">IF((A1)=(2),1,IF(AND((INDEX(B1:XFD1,(A2)+(0)))=("writeheap"),(INDEX(B4:B204,(B3)+(1)))=(123)),INDEX(B4:B204,(B3)+(2)),IF((A1)=(2),1,IF((124)=(C3),C127,C127))))</f>
        <v>#VALUE!</v>
      </c>
      <c r="E127" t="e">
        <f ca="1">IF((A1)=(2),1,IF((124)=(E3),IF(("outputline")=(INDEX(B1:XFD1,(A2)+(0))),B2,E127),E127))</f>
        <v>#VALUE!</v>
      </c>
      <c r="F127" t="e">
        <f ca="1">IF((A1)=(2),1,IF((124)=(F3),IF(IF((INDEX(B1:XFD1,(A2)+(0)))=("store"),(INDEX(B1:XFD1,(A2)+(1)))=("F"),"false"),B2,F127),F127))</f>
        <v>#VALUE!</v>
      </c>
      <c r="G127" t="e">
        <f ca="1">IF((A1)=(2),1,IF((124)=(G3),IF(IF((INDEX(B1:XFD1,(A2)+(0)))=("store"),(INDEX(B1:XFD1,(A2)+(1)))=("G"),"false"),B2,G127),G127))</f>
        <v>#VALUE!</v>
      </c>
      <c r="H127" t="e">
        <f ca="1">IF((A1)=(2),1,IF((124)=(H3),IF(IF((INDEX(B1:XFD1,(A2)+(0)))=("store"),(INDEX(B1:XFD1,(A2)+(1)))=("H"),"false"),B2,H127),H127))</f>
        <v>#VALUE!</v>
      </c>
      <c r="I127" t="e">
        <f ca="1">IF((A1)=(2),1,IF((124)=(I3),IF(IF((INDEX(B1:XFD1,(A2)+(0)))=("store"),(INDEX(B1:XFD1,(A2)+(1)))=("I"),"false"),B2,I127),I127))</f>
        <v>#VALUE!</v>
      </c>
      <c r="J127" t="e">
        <f ca="1">IF((A1)=(2),1,IF((124)=(J3),IF(IF((INDEX(B1:XFD1,(A2)+(0)))=("store"),(INDEX(B1:XFD1,(A2)+(1)))=("J"),"false"),B2,J127),J127))</f>
        <v>#VALUE!</v>
      </c>
    </row>
    <row r="128" spans="1:10" x14ac:dyDescent="0.25">
      <c r="A128" t="e">
        <f ca="1">IF((A1)=(2),1,IF((125)=(A3),IF(("call")=(INDEX(B1:XFD1,(A2)+(0))),((B2)*(2))+(1),IF(("goto")=(INDEX(B1:XFD1,(A2)+(0))),((INDEX(B1:XFD1,(A2)+(1)))*(2))+(1),IF(("gotoiftrue")=(INDEX(B1:XFD1,(A2)+(0))),IF(B2,((INDEX(B1:XFD1,(A2)+(1)))*(2))+(1),(A128)+(2)),(A128)+(2)))),A128))</f>
        <v>#VALUE!</v>
      </c>
      <c r="B128" t="e">
        <f ca="1">IF((A1)=(2),1,IF((125)=(B3),IF(("push")=(INDEX(B1:XFD1,(A2)+(0))),INDEX(B1:XFD1,(A2)+(1)),IF(("load")=(INDEX(B1:XFD1,(A2)+(0))),INDEX(F2:XFD2,INDEX(B1:XFD1,(A2)+(1))),IF(("newheap")=(INDEX(B1:XFD1,(A2)+(0))),(C3)-(2),IF(("getheap")=(INDEX(B1:XFD1,(A2)+(0))),INDEX(C4:C204,(B128)+(1)),IF(("add")=(INDEX(B1:XFD1,(A2)+(0))),(INDEX(B4:B204,(B3)+(1)))+(B128),IF(("equals")=(INDEX(B1:XFD1,(A2)+(0))),(INDEX(B4:B204,(B3)+(1)))=(B128),IF(("leq")=(INDEX(B1:XFD1,(A2)+(0))),(INDEX(B4:B204,(B3)+(1)))&lt;=(B128),B128))))))),B128))</f>
        <v>#VALUE!</v>
      </c>
      <c r="C128" t="e">
        <f ca="1">IF((A1)=(2),1,IF(AND((INDEX(B1:XFD1,(A2)+(0)))=("writeheap"),(INDEX(B4:B204,(B3)+(1)))=(124)),INDEX(B4:B204,(B3)+(2)),IF((A1)=(2),1,IF((125)=(C3),C128,C128))))</f>
        <v>#VALUE!</v>
      </c>
      <c r="E128" t="e">
        <f ca="1">IF((A1)=(2),1,IF((125)=(E3),IF(("outputline")=(INDEX(B1:XFD1,(A2)+(0))),B2,E128),E128))</f>
        <v>#VALUE!</v>
      </c>
      <c r="F128" t="e">
        <f ca="1">IF((A1)=(2),1,IF((125)=(F3),IF(IF((INDEX(B1:XFD1,(A2)+(0)))=("store"),(INDEX(B1:XFD1,(A2)+(1)))=("F"),"false"),B2,F128),F128))</f>
        <v>#VALUE!</v>
      </c>
      <c r="G128" t="e">
        <f ca="1">IF((A1)=(2),1,IF((125)=(G3),IF(IF((INDEX(B1:XFD1,(A2)+(0)))=("store"),(INDEX(B1:XFD1,(A2)+(1)))=("G"),"false"),B2,G128),G128))</f>
        <v>#VALUE!</v>
      </c>
      <c r="H128" t="e">
        <f ca="1">IF((A1)=(2),1,IF((125)=(H3),IF(IF((INDEX(B1:XFD1,(A2)+(0)))=("store"),(INDEX(B1:XFD1,(A2)+(1)))=("H"),"false"),B2,H128),H128))</f>
        <v>#VALUE!</v>
      </c>
      <c r="I128" t="e">
        <f ca="1">IF((A1)=(2),1,IF((125)=(I3),IF(IF((INDEX(B1:XFD1,(A2)+(0)))=("store"),(INDEX(B1:XFD1,(A2)+(1)))=("I"),"false"),B2,I128),I128))</f>
        <v>#VALUE!</v>
      </c>
      <c r="J128" t="e">
        <f ca="1">IF((A1)=(2),1,IF((125)=(J3),IF(IF((INDEX(B1:XFD1,(A2)+(0)))=("store"),(INDEX(B1:XFD1,(A2)+(1)))=("J"),"false"),B2,J128),J128))</f>
        <v>#VALUE!</v>
      </c>
    </row>
    <row r="129" spans="1:10" x14ac:dyDescent="0.25">
      <c r="A129" t="e">
        <f ca="1">IF((A1)=(2),1,IF((126)=(A3),IF(("call")=(INDEX(B1:XFD1,(A2)+(0))),((B2)*(2))+(1),IF(("goto")=(INDEX(B1:XFD1,(A2)+(0))),((INDEX(B1:XFD1,(A2)+(1)))*(2))+(1),IF(("gotoiftrue")=(INDEX(B1:XFD1,(A2)+(0))),IF(B2,((INDEX(B1:XFD1,(A2)+(1)))*(2))+(1),(A129)+(2)),(A129)+(2)))),A129))</f>
        <v>#VALUE!</v>
      </c>
      <c r="B129" t="e">
        <f ca="1">IF((A1)=(2),1,IF((126)=(B3),IF(("push")=(INDEX(B1:XFD1,(A2)+(0))),INDEX(B1:XFD1,(A2)+(1)),IF(("load")=(INDEX(B1:XFD1,(A2)+(0))),INDEX(F2:XFD2,INDEX(B1:XFD1,(A2)+(1))),IF(("newheap")=(INDEX(B1:XFD1,(A2)+(0))),(C3)-(2),IF(("getheap")=(INDEX(B1:XFD1,(A2)+(0))),INDEX(C4:C204,(B129)+(1)),IF(("add")=(INDEX(B1:XFD1,(A2)+(0))),(INDEX(B4:B204,(B3)+(1)))+(B129),IF(("equals")=(INDEX(B1:XFD1,(A2)+(0))),(INDEX(B4:B204,(B3)+(1)))=(B129),IF(("leq")=(INDEX(B1:XFD1,(A2)+(0))),(INDEX(B4:B204,(B3)+(1)))&lt;=(B129),B129))))))),B129))</f>
        <v>#VALUE!</v>
      </c>
      <c r="C129" t="e">
        <f ca="1">IF((A1)=(2),1,IF(AND((INDEX(B1:XFD1,(A2)+(0)))=("writeheap"),(INDEX(B4:B204,(B3)+(1)))=(125)),INDEX(B4:B204,(B3)+(2)),IF((A1)=(2),1,IF((126)=(C3),C129,C129))))</f>
        <v>#VALUE!</v>
      </c>
      <c r="E129" t="e">
        <f ca="1">IF((A1)=(2),1,IF((126)=(E3),IF(("outputline")=(INDEX(B1:XFD1,(A2)+(0))),B2,E129),E129))</f>
        <v>#VALUE!</v>
      </c>
      <c r="F129" t="e">
        <f ca="1">IF((A1)=(2),1,IF((126)=(F3),IF(IF((INDEX(B1:XFD1,(A2)+(0)))=("store"),(INDEX(B1:XFD1,(A2)+(1)))=("F"),"false"),B2,F129),F129))</f>
        <v>#VALUE!</v>
      </c>
      <c r="G129" t="e">
        <f ca="1">IF((A1)=(2),1,IF((126)=(G3),IF(IF((INDEX(B1:XFD1,(A2)+(0)))=("store"),(INDEX(B1:XFD1,(A2)+(1)))=("G"),"false"),B2,G129),G129))</f>
        <v>#VALUE!</v>
      </c>
      <c r="H129" t="e">
        <f ca="1">IF((A1)=(2),1,IF((126)=(H3),IF(IF((INDEX(B1:XFD1,(A2)+(0)))=("store"),(INDEX(B1:XFD1,(A2)+(1)))=("H"),"false"),B2,H129),H129))</f>
        <v>#VALUE!</v>
      </c>
      <c r="I129" t="e">
        <f ca="1">IF((A1)=(2),1,IF((126)=(I3),IF(IF((INDEX(B1:XFD1,(A2)+(0)))=("store"),(INDEX(B1:XFD1,(A2)+(1)))=("I"),"false"),B2,I129),I129))</f>
        <v>#VALUE!</v>
      </c>
      <c r="J129" t="e">
        <f ca="1">IF((A1)=(2),1,IF((126)=(J3),IF(IF((INDEX(B1:XFD1,(A2)+(0)))=("store"),(INDEX(B1:XFD1,(A2)+(1)))=("J"),"false"),B2,J129),J129))</f>
        <v>#VALUE!</v>
      </c>
    </row>
    <row r="130" spans="1:10" x14ac:dyDescent="0.25">
      <c r="A130" t="e">
        <f ca="1">IF((A1)=(2),1,IF((127)=(A3),IF(("call")=(INDEX(B1:XFD1,(A2)+(0))),((B2)*(2))+(1),IF(("goto")=(INDEX(B1:XFD1,(A2)+(0))),((INDEX(B1:XFD1,(A2)+(1)))*(2))+(1),IF(("gotoiftrue")=(INDEX(B1:XFD1,(A2)+(0))),IF(B2,((INDEX(B1:XFD1,(A2)+(1)))*(2))+(1),(A130)+(2)),(A130)+(2)))),A130))</f>
        <v>#VALUE!</v>
      </c>
      <c r="B130" t="e">
        <f ca="1">IF((A1)=(2),1,IF((127)=(B3),IF(("push")=(INDEX(B1:XFD1,(A2)+(0))),INDEX(B1:XFD1,(A2)+(1)),IF(("load")=(INDEX(B1:XFD1,(A2)+(0))),INDEX(F2:XFD2,INDEX(B1:XFD1,(A2)+(1))),IF(("newheap")=(INDEX(B1:XFD1,(A2)+(0))),(C3)-(2),IF(("getheap")=(INDEX(B1:XFD1,(A2)+(0))),INDEX(C4:C204,(B130)+(1)),IF(("add")=(INDEX(B1:XFD1,(A2)+(0))),(INDEX(B4:B204,(B3)+(1)))+(B130),IF(("equals")=(INDEX(B1:XFD1,(A2)+(0))),(INDEX(B4:B204,(B3)+(1)))=(B130),IF(("leq")=(INDEX(B1:XFD1,(A2)+(0))),(INDEX(B4:B204,(B3)+(1)))&lt;=(B130),B130))))))),B130))</f>
        <v>#VALUE!</v>
      </c>
      <c r="C130" t="e">
        <f ca="1">IF((A1)=(2),1,IF(AND((INDEX(B1:XFD1,(A2)+(0)))=("writeheap"),(INDEX(B4:B204,(B3)+(1)))=(126)),INDEX(B4:B204,(B3)+(2)),IF((A1)=(2),1,IF((127)=(C3),C130,C130))))</f>
        <v>#VALUE!</v>
      </c>
      <c r="E130" t="e">
        <f ca="1">IF((A1)=(2),1,IF((127)=(E3),IF(("outputline")=(INDEX(B1:XFD1,(A2)+(0))),B2,E130),E130))</f>
        <v>#VALUE!</v>
      </c>
      <c r="F130" t="e">
        <f ca="1">IF((A1)=(2),1,IF((127)=(F3),IF(IF((INDEX(B1:XFD1,(A2)+(0)))=("store"),(INDEX(B1:XFD1,(A2)+(1)))=("F"),"false"),B2,F130),F130))</f>
        <v>#VALUE!</v>
      </c>
      <c r="G130" t="e">
        <f ca="1">IF((A1)=(2),1,IF((127)=(G3),IF(IF((INDEX(B1:XFD1,(A2)+(0)))=("store"),(INDEX(B1:XFD1,(A2)+(1)))=("G"),"false"),B2,G130),G130))</f>
        <v>#VALUE!</v>
      </c>
      <c r="H130" t="e">
        <f ca="1">IF((A1)=(2),1,IF((127)=(H3),IF(IF((INDEX(B1:XFD1,(A2)+(0)))=("store"),(INDEX(B1:XFD1,(A2)+(1)))=("H"),"false"),B2,H130),H130))</f>
        <v>#VALUE!</v>
      </c>
      <c r="I130" t="e">
        <f ca="1">IF((A1)=(2),1,IF((127)=(I3),IF(IF((INDEX(B1:XFD1,(A2)+(0)))=("store"),(INDEX(B1:XFD1,(A2)+(1)))=("I"),"false"),B2,I130),I130))</f>
        <v>#VALUE!</v>
      </c>
      <c r="J130" t="e">
        <f ca="1">IF((A1)=(2),1,IF((127)=(J3),IF(IF((INDEX(B1:XFD1,(A2)+(0)))=("store"),(INDEX(B1:XFD1,(A2)+(1)))=("J"),"false"),B2,J130),J130))</f>
        <v>#VALUE!</v>
      </c>
    </row>
    <row r="131" spans="1:10" x14ac:dyDescent="0.25">
      <c r="A131" t="e">
        <f ca="1">IF((A1)=(2),1,IF((128)=(A3),IF(("call")=(INDEX(B1:XFD1,(A2)+(0))),((B2)*(2))+(1),IF(("goto")=(INDEX(B1:XFD1,(A2)+(0))),((INDEX(B1:XFD1,(A2)+(1)))*(2))+(1),IF(("gotoiftrue")=(INDEX(B1:XFD1,(A2)+(0))),IF(B2,((INDEX(B1:XFD1,(A2)+(1)))*(2))+(1),(A131)+(2)),(A131)+(2)))),A131))</f>
        <v>#VALUE!</v>
      </c>
      <c r="B131" t="e">
        <f ca="1">IF((A1)=(2),1,IF((128)=(B3),IF(("push")=(INDEX(B1:XFD1,(A2)+(0))),INDEX(B1:XFD1,(A2)+(1)),IF(("load")=(INDEX(B1:XFD1,(A2)+(0))),INDEX(F2:XFD2,INDEX(B1:XFD1,(A2)+(1))),IF(("newheap")=(INDEX(B1:XFD1,(A2)+(0))),(C3)-(2),IF(("getheap")=(INDEX(B1:XFD1,(A2)+(0))),INDEX(C4:C204,(B131)+(1)),IF(("add")=(INDEX(B1:XFD1,(A2)+(0))),(INDEX(B4:B204,(B3)+(1)))+(B131),IF(("equals")=(INDEX(B1:XFD1,(A2)+(0))),(INDEX(B4:B204,(B3)+(1)))=(B131),IF(("leq")=(INDEX(B1:XFD1,(A2)+(0))),(INDEX(B4:B204,(B3)+(1)))&lt;=(B131),B131))))))),B131))</f>
        <v>#VALUE!</v>
      </c>
      <c r="C131" t="e">
        <f ca="1">IF((A1)=(2),1,IF(AND((INDEX(B1:XFD1,(A2)+(0)))=("writeheap"),(INDEX(B4:B204,(B3)+(1)))=(127)),INDEX(B4:B204,(B3)+(2)),IF((A1)=(2),1,IF((128)=(C3),C131,C131))))</f>
        <v>#VALUE!</v>
      </c>
      <c r="E131" t="e">
        <f ca="1">IF((A1)=(2),1,IF((128)=(E3),IF(("outputline")=(INDEX(B1:XFD1,(A2)+(0))),B2,E131),E131))</f>
        <v>#VALUE!</v>
      </c>
      <c r="F131" t="e">
        <f ca="1">IF((A1)=(2),1,IF((128)=(F3),IF(IF((INDEX(B1:XFD1,(A2)+(0)))=("store"),(INDEX(B1:XFD1,(A2)+(1)))=("F"),"false"),B2,F131),F131))</f>
        <v>#VALUE!</v>
      </c>
      <c r="G131" t="e">
        <f ca="1">IF((A1)=(2),1,IF((128)=(G3),IF(IF((INDEX(B1:XFD1,(A2)+(0)))=("store"),(INDEX(B1:XFD1,(A2)+(1)))=("G"),"false"),B2,G131),G131))</f>
        <v>#VALUE!</v>
      </c>
      <c r="H131" t="e">
        <f ca="1">IF((A1)=(2),1,IF((128)=(H3),IF(IF((INDEX(B1:XFD1,(A2)+(0)))=("store"),(INDEX(B1:XFD1,(A2)+(1)))=("H"),"false"),B2,H131),H131))</f>
        <v>#VALUE!</v>
      </c>
      <c r="I131" t="e">
        <f ca="1">IF((A1)=(2),1,IF((128)=(I3),IF(IF((INDEX(B1:XFD1,(A2)+(0)))=("store"),(INDEX(B1:XFD1,(A2)+(1)))=("I"),"false"),B2,I131),I131))</f>
        <v>#VALUE!</v>
      </c>
      <c r="J131" t="e">
        <f ca="1">IF((A1)=(2),1,IF((128)=(J3),IF(IF((INDEX(B1:XFD1,(A2)+(0)))=("store"),(INDEX(B1:XFD1,(A2)+(1)))=("J"),"false"),B2,J131),J131))</f>
        <v>#VALUE!</v>
      </c>
    </row>
    <row r="132" spans="1:10" x14ac:dyDescent="0.25">
      <c r="A132" t="e">
        <f ca="1">IF((A1)=(2),1,IF((129)=(A3),IF(("call")=(INDEX(B1:XFD1,(A2)+(0))),((B2)*(2))+(1),IF(("goto")=(INDEX(B1:XFD1,(A2)+(0))),((INDEX(B1:XFD1,(A2)+(1)))*(2))+(1),IF(("gotoiftrue")=(INDEX(B1:XFD1,(A2)+(0))),IF(B2,((INDEX(B1:XFD1,(A2)+(1)))*(2))+(1),(A132)+(2)),(A132)+(2)))),A132))</f>
        <v>#VALUE!</v>
      </c>
      <c r="B132" t="e">
        <f ca="1">IF((A1)=(2),1,IF((129)=(B3),IF(("push")=(INDEX(B1:XFD1,(A2)+(0))),INDEX(B1:XFD1,(A2)+(1)),IF(("load")=(INDEX(B1:XFD1,(A2)+(0))),INDEX(F2:XFD2,INDEX(B1:XFD1,(A2)+(1))),IF(("newheap")=(INDEX(B1:XFD1,(A2)+(0))),(C3)-(2),IF(("getheap")=(INDEX(B1:XFD1,(A2)+(0))),INDEX(C4:C204,(B132)+(1)),IF(("add")=(INDEX(B1:XFD1,(A2)+(0))),(INDEX(B4:B204,(B3)+(1)))+(B132),IF(("equals")=(INDEX(B1:XFD1,(A2)+(0))),(INDEX(B4:B204,(B3)+(1)))=(B132),IF(("leq")=(INDEX(B1:XFD1,(A2)+(0))),(INDEX(B4:B204,(B3)+(1)))&lt;=(B132),B132))))))),B132))</f>
        <v>#VALUE!</v>
      </c>
      <c r="C132" t="e">
        <f ca="1">IF((A1)=(2),1,IF(AND((INDEX(B1:XFD1,(A2)+(0)))=("writeheap"),(INDEX(B4:B204,(B3)+(1)))=(128)),INDEX(B4:B204,(B3)+(2)),IF((A1)=(2),1,IF((129)=(C3),C132,C132))))</f>
        <v>#VALUE!</v>
      </c>
      <c r="E132" t="e">
        <f ca="1">IF((A1)=(2),1,IF((129)=(E3),IF(("outputline")=(INDEX(B1:XFD1,(A2)+(0))),B2,E132),E132))</f>
        <v>#VALUE!</v>
      </c>
      <c r="F132" t="e">
        <f ca="1">IF((A1)=(2),1,IF((129)=(F3),IF(IF((INDEX(B1:XFD1,(A2)+(0)))=("store"),(INDEX(B1:XFD1,(A2)+(1)))=("F"),"false"),B2,F132),F132))</f>
        <v>#VALUE!</v>
      </c>
      <c r="G132" t="e">
        <f ca="1">IF((A1)=(2),1,IF((129)=(G3),IF(IF((INDEX(B1:XFD1,(A2)+(0)))=("store"),(INDEX(B1:XFD1,(A2)+(1)))=("G"),"false"),B2,G132),G132))</f>
        <v>#VALUE!</v>
      </c>
      <c r="H132" t="e">
        <f ca="1">IF((A1)=(2),1,IF((129)=(H3),IF(IF((INDEX(B1:XFD1,(A2)+(0)))=("store"),(INDEX(B1:XFD1,(A2)+(1)))=("H"),"false"),B2,H132),H132))</f>
        <v>#VALUE!</v>
      </c>
      <c r="I132" t="e">
        <f ca="1">IF((A1)=(2),1,IF((129)=(I3),IF(IF((INDEX(B1:XFD1,(A2)+(0)))=("store"),(INDEX(B1:XFD1,(A2)+(1)))=("I"),"false"),B2,I132),I132))</f>
        <v>#VALUE!</v>
      </c>
      <c r="J132" t="e">
        <f ca="1">IF((A1)=(2),1,IF((129)=(J3),IF(IF((INDEX(B1:XFD1,(A2)+(0)))=("store"),(INDEX(B1:XFD1,(A2)+(1)))=("J"),"false"),B2,J132),J132))</f>
        <v>#VALUE!</v>
      </c>
    </row>
    <row r="133" spans="1:10" x14ac:dyDescent="0.25">
      <c r="A133" t="e">
        <f ca="1">IF((A1)=(2),1,IF((130)=(A3),IF(("call")=(INDEX(B1:XFD1,(A2)+(0))),((B2)*(2))+(1),IF(("goto")=(INDEX(B1:XFD1,(A2)+(0))),((INDEX(B1:XFD1,(A2)+(1)))*(2))+(1),IF(("gotoiftrue")=(INDEX(B1:XFD1,(A2)+(0))),IF(B2,((INDEX(B1:XFD1,(A2)+(1)))*(2))+(1),(A133)+(2)),(A133)+(2)))),A133))</f>
        <v>#VALUE!</v>
      </c>
      <c r="B133" t="e">
        <f ca="1">IF((A1)=(2),1,IF((130)=(B3),IF(("push")=(INDEX(B1:XFD1,(A2)+(0))),INDEX(B1:XFD1,(A2)+(1)),IF(("load")=(INDEX(B1:XFD1,(A2)+(0))),INDEX(F2:XFD2,INDEX(B1:XFD1,(A2)+(1))),IF(("newheap")=(INDEX(B1:XFD1,(A2)+(0))),(C3)-(2),IF(("getheap")=(INDEX(B1:XFD1,(A2)+(0))),INDEX(C4:C204,(B133)+(1)),IF(("add")=(INDEX(B1:XFD1,(A2)+(0))),(INDEX(B4:B204,(B3)+(1)))+(B133),IF(("equals")=(INDEX(B1:XFD1,(A2)+(0))),(INDEX(B4:B204,(B3)+(1)))=(B133),IF(("leq")=(INDEX(B1:XFD1,(A2)+(0))),(INDEX(B4:B204,(B3)+(1)))&lt;=(B133),B133))))))),B133))</f>
        <v>#VALUE!</v>
      </c>
      <c r="C133" t="e">
        <f ca="1">IF((A1)=(2),1,IF(AND((INDEX(B1:XFD1,(A2)+(0)))=("writeheap"),(INDEX(B4:B204,(B3)+(1)))=(129)),INDEX(B4:B204,(B3)+(2)),IF((A1)=(2),1,IF((130)=(C3),C133,C133))))</f>
        <v>#VALUE!</v>
      </c>
      <c r="E133" t="e">
        <f ca="1">IF((A1)=(2),1,IF((130)=(E3),IF(("outputline")=(INDEX(B1:XFD1,(A2)+(0))),B2,E133),E133))</f>
        <v>#VALUE!</v>
      </c>
      <c r="F133" t="e">
        <f ca="1">IF((A1)=(2),1,IF((130)=(F3),IF(IF((INDEX(B1:XFD1,(A2)+(0)))=("store"),(INDEX(B1:XFD1,(A2)+(1)))=("F"),"false"),B2,F133),F133))</f>
        <v>#VALUE!</v>
      </c>
      <c r="G133" t="e">
        <f ca="1">IF((A1)=(2),1,IF((130)=(G3),IF(IF((INDEX(B1:XFD1,(A2)+(0)))=("store"),(INDEX(B1:XFD1,(A2)+(1)))=("G"),"false"),B2,G133),G133))</f>
        <v>#VALUE!</v>
      </c>
      <c r="H133" t="e">
        <f ca="1">IF((A1)=(2),1,IF((130)=(H3),IF(IF((INDEX(B1:XFD1,(A2)+(0)))=("store"),(INDEX(B1:XFD1,(A2)+(1)))=("H"),"false"),B2,H133),H133))</f>
        <v>#VALUE!</v>
      </c>
      <c r="I133" t="e">
        <f ca="1">IF((A1)=(2),1,IF((130)=(I3),IF(IF((INDEX(B1:XFD1,(A2)+(0)))=("store"),(INDEX(B1:XFD1,(A2)+(1)))=("I"),"false"),B2,I133),I133))</f>
        <v>#VALUE!</v>
      </c>
      <c r="J133" t="e">
        <f ca="1">IF((A1)=(2),1,IF((130)=(J3),IF(IF((INDEX(B1:XFD1,(A2)+(0)))=("store"),(INDEX(B1:XFD1,(A2)+(1)))=("J"),"false"),B2,J133),J133))</f>
        <v>#VALUE!</v>
      </c>
    </row>
    <row r="134" spans="1:10" x14ac:dyDescent="0.25">
      <c r="A134" t="e">
        <f ca="1">IF((A1)=(2),1,IF((131)=(A3),IF(("call")=(INDEX(B1:XFD1,(A2)+(0))),((B2)*(2))+(1),IF(("goto")=(INDEX(B1:XFD1,(A2)+(0))),((INDEX(B1:XFD1,(A2)+(1)))*(2))+(1),IF(("gotoiftrue")=(INDEX(B1:XFD1,(A2)+(0))),IF(B2,((INDEX(B1:XFD1,(A2)+(1)))*(2))+(1),(A134)+(2)),(A134)+(2)))),A134))</f>
        <v>#VALUE!</v>
      </c>
      <c r="B134" t="e">
        <f ca="1">IF((A1)=(2),1,IF((131)=(B3),IF(("push")=(INDEX(B1:XFD1,(A2)+(0))),INDEX(B1:XFD1,(A2)+(1)),IF(("load")=(INDEX(B1:XFD1,(A2)+(0))),INDEX(F2:XFD2,INDEX(B1:XFD1,(A2)+(1))),IF(("newheap")=(INDEX(B1:XFD1,(A2)+(0))),(C3)-(2),IF(("getheap")=(INDEX(B1:XFD1,(A2)+(0))),INDEX(C4:C204,(B134)+(1)),IF(("add")=(INDEX(B1:XFD1,(A2)+(0))),(INDEX(B4:B204,(B3)+(1)))+(B134),IF(("equals")=(INDEX(B1:XFD1,(A2)+(0))),(INDEX(B4:B204,(B3)+(1)))=(B134),IF(("leq")=(INDEX(B1:XFD1,(A2)+(0))),(INDEX(B4:B204,(B3)+(1)))&lt;=(B134),B134))))))),B134))</f>
        <v>#VALUE!</v>
      </c>
      <c r="C134" t="e">
        <f ca="1">IF((A1)=(2),1,IF(AND((INDEX(B1:XFD1,(A2)+(0)))=("writeheap"),(INDEX(B4:B204,(B3)+(1)))=(130)),INDEX(B4:B204,(B3)+(2)),IF((A1)=(2),1,IF((131)=(C3),C134,C134))))</f>
        <v>#VALUE!</v>
      </c>
      <c r="E134" t="e">
        <f ca="1">IF((A1)=(2),1,IF((131)=(E3),IF(("outputline")=(INDEX(B1:XFD1,(A2)+(0))),B2,E134),E134))</f>
        <v>#VALUE!</v>
      </c>
      <c r="F134" t="e">
        <f ca="1">IF((A1)=(2),1,IF((131)=(F3),IF(IF((INDEX(B1:XFD1,(A2)+(0)))=("store"),(INDEX(B1:XFD1,(A2)+(1)))=("F"),"false"),B2,F134),F134))</f>
        <v>#VALUE!</v>
      </c>
      <c r="G134" t="e">
        <f ca="1">IF((A1)=(2),1,IF((131)=(G3),IF(IF((INDEX(B1:XFD1,(A2)+(0)))=("store"),(INDEX(B1:XFD1,(A2)+(1)))=("G"),"false"),B2,G134),G134))</f>
        <v>#VALUE!</v>
      </c>
      <c r="H134" t="e">
        <f ca="1">IF((A1)=(2),1,IF((131)=(H3),IF(IF((INDEX(B1:XFD1,(A2)+(0)))=("store"),(INDEX(B1:XFD1,(A2)+(1)))=("H"),"false"),B2,H134),H134))</f>
        <v>#VALUE!</v>
      </c>
      <c r="I134" t="e">
        <f ca="1">IF((A1)=(2),1,IF((131)=(I3),IF(IF((INDEX(B1:XFD1,(A2)+(0)))=("store"),(INDEX(B1:XFD1,(A2)+(1)))=("I"),"false"),B2,I134),I134))</f>
        <v>#VALUE!</v>
      </c>
      <c r="J134" t="e">
        <f ca="1">IF((A1)=(2),1,IF((131)=(J3),IF(IF((INDEX(B1:XFD1,(A2)+(0)))=("store"),(INDEX(B1:XFD1,(A2)+(1)))=("J"),"false"),B2,J134),J134))</f>
        <v>#VALUE!</v>
      </c>
    </row>
    <row r="135" spans="1:10" x14ac:dyDescent="0.25">
      <c r="A135" t="e">
        <f ca="1">IF((A1)=(2),1,IF((132)=(A3),IF(("call")=(INDEX(B1:XFD1,(A2)+(0))),((B2)*(2))+(1),IF(("goto")=(INDEX(B1:XFD1,(A2)+(0))),((INDEX(B1:XFD1,(A2)+(1)))*(2))+(1),IF(("gotoiftrue")=(INDEX(B1:XFD1,(A2)+(0))),IF(B2,((INDEX(B1:XFD1,(A2)+(1)))*(2))+(1),(A135)+(2)),(A135)+(2)))),A135))</f>
        <v>#VALUE!</v>
      </c>
      <c r="B135" t="e">
        <f ca="1">IF((A1)=(2),1,IF((132)=(B3),IF(("push")=(INDEX(B1:XFD1,(A2)+(0))),INDEX(B1:XFD1,(A2)+(1)),IF(("load")=(INDEX(B1:XFD1,(A2)+(0))),INDEX(F2:XFD2,INDEX(B1:XFD1,(A2)+(1))),IF(("newheap")=(INDEX(B1:XFD1,(A2)+(0))),(C3)-(2),IF(("getheap")=(INDEX(B1:XFD1,(A2)+(0))),INDEX(C4:C204,(B135)+(1)),IF(("add")=(INDEX(B1:XFD1,(A2)+(0))),(INDEX(B4:B204,(B3)+(1)))+(B135),IF(("equals")=(INDEX(B1:XFD1,(A2)+(0))),(INDEX(B4:B204,(B3)+(1)))=(B135),IF(("leq")=(INDEX(B1:XFD1,(A2)+(0))),(INDEX(B4:B204,(B3)+(1)))&lt;=(B135),B135))))))),B135))</f>
        <v>#VALUE!</v>
      </c>
      <c r="C135" t="e">
        <f ca="1">IF((A1)=(2),1,IF(AND((INDEX(B1:XFD1,(A2)+(0)))=("writeheap"),(INDEX(B4:B204,(B3)+(1)))=(131)),INDEX(B4:B204,(B3)+(2)),IF((A1)=(2),1,IF((132)=(C3),C135,C135))))</f>
        <v>#VALUE!</v>
      </c>
      <c r="E135" t="e">
        <f ca="1">IF((A1)=(2),1,IF((132)=(E3),IF(("outputline")=(INDEX(B1:XFD1,(A2)+(0))),B2,E135),E135))</f>
        <v>#VALUE!</v>
      </c>
      <c r="F135" t="e">
        <f ca="1">IF((A1)=(2),1,IF((132)=(F3),IF(IF((INDEX(B1:XFD1,(A2)+(0)))=("store"),(INDEX(B1:XFD1,(A2)+(1)))=("F"),"false"),B2,F135),F135))</f>
        <v>#VALUE!</v>
      </c>
      <c r="G135" t="e">
        <f ca="1">IF((A1)=(2),1,IF((132)=(G3),IF(IF((INDEX(B1:XFD1,(A2)+(0)))=("store"),(INDEX(B1:XFD1,(A2)+(1)))=("G"),"false"),B2,G135),G135))</f>
        <v>#VALUE!</v>
      </c>
      <c r="H135" t="e">
        <f ca="1">IF((A1)=(2),1,IF((132)=(H3),IF(IF((INDEX(B1:XFD1,(A2)+(0)))=("store"),(INDEX(B1:XFD1,(A2)+(1)))=("H"),"false"),B2,H135),H135))</f>
        <v>#VALUE!</v>
      </c>
      <c r="I135" t="e">
        <f ca="1">IF((A1)=(2),1,IF((132)=(I3),IF(IF((INDEX(B1:XFD1,(A2)+(0)))=("store"),(INDEX(B1:XFD1,(A2)+(1)))=("I"),"false"),B2,I135),I135))</f>
        <v>#VALUE!</v>
      </c>
      <c r="J135" t="e">
        <f ca="1">IF((A1)=(2),1,IF((132)=(J3),IF(IF((INDEX(B1:XFD1,(A2)+(0)))=("store"),(INDEX(B1:XFD1,(A2)+(1)))=("J"),"false"),B2,J135),J135))</f>
        <v>#VALUE!</v>
      </c>
    </row>
    <row r="136" spans="1:10" x14ac:dyDescent="0.25">
      <c r="A136" t="e">
        <f ca="1">IF((A1)=(2),1,IF((133)=(A3),IF(("call")=(INDEX(B1:XFD1,(A2)+(0))),((B2)*(2))+(1),IF(("goto")=(INDEX(B1:XFD1,(A2)+(0))),((INDEX(B1:XFD1,(A2)+(1)))*(2))+(1),IF(("gotoiftrue")=(INDEX(B1:XFD1,(A2)+(0))),IF(B2,((INDEX(B1:XFD1,(A2)+(1)))*(2))+(1),(A136)+(2)),(A136)+(2)))),A136))</f>
        <v>#VALUE!</v>
      </c>
      <c r="B136" t="e">
        <f ca="1">IF((A1)=(2),1,IF((133)=(B3),IF(("push")=(INDEX(B1:XFD1,(A2)+(0))),INDEX(B1:XFD1,(A2)+(1)),IF(("load")=(INDEX(B1:XFD1,(A2)+(0))),INDEX(F2:XFD2,INDEX(B1:XFD1,(A2)+(1))),IF(("newheap")=(INDEX(B1:XFD1,(A2)+(0))),(C3)-(2),IF(("getheap")=(INDEX(B1:XFD1,(A2)+(0))),INDEX(C4:C204,(B136)+(1)),IF(("add")=(INDEX(B1:XFD1,(A2)+(0))),(INDEX(B4:B204,(B3)+(1)))+(B136),IF(("equals")=(INDEX(B1:XFD1,(A2)+(0))),(INDEX(B4:B204,(B3)+(1)))=(B136),IF(("leq")=(INDEX(B1:XFD1,(A2)+(0))),(INDEX(B4:B204,(B3)+(1)))&lt;=(B136),B136))))))),B136))</f>
        <v>#VALUE!</v>
      </c>
      <c r="C136" t="e">
        <f ca="1">IF((A1)=(2),1,IF(AND((INDEX(B1:XFD1,(A2)+(0)))=("writeheap"),(INDEX(B4:B204,(B3)+(1)))=(132)),INDEX(B4:B204,(B3)+(2)),IF((A1)=(2),1,IF((133)=(C3),C136,C136))))</f>
        <v>#VALUE!</v>
      </c>
      <c r="E136" t="e">
        <f ca="1">IF((A1)=(2),1,IF((133)=(E3),IF(("outputline")=(INDEX(B1:XFD1,(A2)+(0))),B2,E136),E136))</f>
        <v>#VALUE!</v>
      </c>
      <c r="F136" t="e">
        <f ca="1">IF((A1)=(2),1,IF((133)=(F3),IF(IF((INDEX(B1:XFD1,(A2)+(0)))=("store"),(INDEX(B1:XFD1,(A2)+(1)))=("F"),"false"),B2,F136),F136))</f>
        <v>#VALUE!</v>
      </c>
      <c r="G136" t="e">
        <f ca="1">IF((A1)=(2),1,IF((133)=(G3),IF(IF((INDEX(B1:XFD1,(A2)+(0)))=("store"),(INDEX(B1:XFD1,(A2)+(1)))=("G"),"false"),B2,G136),G136))</f>
        <v>#VALUE!</v>
      </c>
      <c r="H136" t="e">
        <f ca="1">IF((A1)=(2),1,IF((133)=(H3),IF(IF((INDEX(B1:XFD1,(A2)+(0)))=("store"),(INDEX(B1:XFD1,(A2)+(1)))=("H"),"false"),B2,H136),H136))</f>
        <v>#VALUE!</v>
      </c>
      <c r="I136" t="e">
        <f ca="1">IF((A1)=(2),1,IF((133)=(I3),IF(IF((INDEX(B1:XFD1,(A2)+(0)))=("store"),(INDEX(B1:XFD1,(A2)+(1)))=("I"),"false"),B2,I136),I136))</f>
        <v>#VALUE!</v>
      </c>
      <c r="J136" t="e">
        <f ca="1">IF((A1)=(2),1,IF((133)=(J3),IF(IF((INDEX(B1:XFD1,(A2)+(0)))=("store"),(INDEX(B1:XFD1,(A2)+(1)))=("J"),"false"),B2,J136),J136))</f>
        <v>#VALUE!</v>
      </c>
    </row>
    <row r="137" spans="1:10" x14ac:dyDescent="0.25">
      <c r="A137" t="e">
        <f ca="1">IF((A1)=(2),1,IF((134)=(A3),IF(("call")=(INDEX(B1:XFD1,(A2)+(0))),((B2)*(2))+(1),IF(("goto")=(INDEX(B1:XFD1,(A2)+(0))),((INDEX(B1:XFD1,(A2)+(1)))*(2))+(1),IF(("gotoiftrue")=(INDEX(B1:XFD1,(A2)+(0))),IF(B2,((INDEX(B1:XFD1,(A2)+(1)))*(2))+(1),(A137)+(2)),(A137)+(2)))),A137))</f>
        <v>#VALUE!</v>
      </c>
      <c r="B137" t="e">
        <f ca="1">IF((A1)=(2),1,IF((134)=(B3),IF(("push")=(INDEX(B1:XFD1,(A2)+(0))),INDEX(B1:XFD1,(A2)+(1)),IF(("load")=(INDEX(B1:XFD1,(A2)+(0))),INDEX(F2:XFD2,INDEX(B1:XFD1,(A2)+(1))),IF(("newheap")=(INDEX(B1:XFD1,(A2)+(0))),(C3)-(2),IF(("getheap")=(INDEX(B1:XFD1,(A2)+(0))),INDEX(C4:C204,(B137)+(1)),IF(("add")=(INDEX(B1:XFD1,(A2)+(0))),(INDEX(B4:B204,(B3)+(1)))+(B137),IF(("equals")=(INDEX(B1:XFD1,(A2)+(0))),(INDEX(B4:B204,(B3)+(1)))=(B137),IF(("leq")=(INDEX(B1:XFD1,(A2)+(0))),(INDEX(B4:B204,(B3)+(1)))&lt;=(B137),B137))))))),B137))</f>
        <v>#VALUE!</v>
      </c>
      <c r="C137" t="e">
        <f ca="1">IF((A1)=(2),1,IF(AND((INDEX(B1:XFD1,(A2)+(0)))=("writeheap"),(INDEX(B4:B204,(B3)+(1)))=(133)),INDEX(B4:B204,(B3)+(2)),IF((A1)=(2),1,IF((134)=(C3),C137,C137))))</f>
        <v>#VALUE!</v>
      </c>
      <c r="E137" t="e">
        <f ca="1">IF((A1)=(2),1,IF((134)=(E3),IF(("outputline")=(INDEX(B1:XFD1,(A2)+(0))),B2,E137),E137))</f>
        <v>#VALUE!</v>
      </c>
      <c r="F137" t="e">
        <f ca="1">IF((A1)=(2),1,IF((134)=(F3),IF(IF((INDEX(B1:XFD1,(A2)+(0)))=("store"),(INDEX(B1:XFD1,(A2)+(1)))=("F"),"false"),B2,F137),F137))</f>
        <v>#VALUE!</v>
      </c>
      <c r="G137" t="e">
        <f ca="1">IF((A1)=(2),1,IF((134)=(G3),IF(IF((INDEX(B1:XFD1,(A2)+(0)))=("store"),(INDEX(B1:XFD1,(A2)+(1)))=("G"),"false"),B2,G137),G137))</f>
        <v>#VALUE!</v>
      </c>
      <c r="H137" t="e">
        <f ca="1">IF((A1)=(2),1,IF((134)=(H3),IF(IF((INDEX(B1:XFD1,(A2)+(0)))=("store"),(INDEX(B1:XFD1,(A2)+(1)))=("H"),"false"),B2,H137),H137))</f>
        <v>#VALUE!</v>
      </c>
      <c r="I137" t="e">
        <f ca="1">IF((A1)=(2),1,IF((134)=(I3),IF(IF((INDEX(B1:XFD1,(A2)+(0)))=("store"),(INDEX(B1:XFD1,(A2)+(1)))=("I"),"false"),B2,I137),I137))</f>
        <v>#VALUE!</v>
      </c>
      <c r="J137" t="e">
        <f ca="1">IF((A1)=(2),1,IF((134)=(J3),IF(IF((INDEX(B1:XFD1,(A2)+(0)))=("store"),(INDEX(B1:XFD1,(A2)+(1)))=("J"),"false"),B2,J137),J137))</f>
        <v>#VALUE!</v>
      </c>
    </row>
    <row r="138" spans="1:10" x14ac:dyDescent="0.25">
      <c r="A138" t="e">
        <f ca="1">IF((A1)=(2),1,IF((135)=(A3),IF(("call")=(INDEX(B1:XFD1,(A2)+(0))),((B2)*(2))+(1),IF(("goto")=(INDEX(B1:XFD1,(A2)+(0))),((INDEX(B1:XFD1,(A2)+(1)))*(2))+(1),IF(("gotoiftrue")=(INDEX(B1:XFD1,(A2)+(0))),IF(B2,((INDEX(B1:XFD1,(A2)+(1)))*(2))+(1),(A138)+(2)),(A138)+(2)))),A138))</f>
        <v>#VALUE!</v>
      </c>
      <c r="B138" t="e">
        <f ca="1">IF((A1)=(2),1,IF((135)=(B3),IF(("push")=(INDEX(B1:XFD1,(A2)+(0))),INDEX(B1:XFD1,(A2)+(1)),IF(("load")=(INDEX(B1:XFD1,(A2)+(0))),INDEX(F2:XFD2,INDEX(B1:XFD1,(A2)+(1))),IF(("newheap")=(INDEX(B1:XFD1,(A2)+(0))),(C3)-(2),IF(("getheap")=(INDEX(B1:XFD1,(A2)+(0))),INDEX(C4:C204,(B138)+(1)),IF(("add")=(INDEX(B1:XFD1,(A2)+(0))),(INDEX(B4:B204,(B3)+(1)))+(B138),IF(("equals")=(INDEX(B1:XFD1,(A2)+(0))),(INDEX(B4:B204,(B3)+(1)))=(B138),IF(("leq")=(INDEX(B1:XFD1,(A2)+(0))),(INDEX(B4:B204,(B3)+(1)))&lt;=(B138),B138))))))),B138))</f>
        <v>#VALUE!</v>
      </c>
      <c r="C138" t="e">
        <f ca="1">IF((A1)=(2),1,IF(AND((INDEX(B1:XFD1,(A2)+(0)))=("writeheap"),(INDEX(B4:B204,(B3)+(1)))=(134)),INDEX(B4:B204,(B3)+(2)),IF((A1)=(2),1,IF((135)=(C3),C138,C138))))</f>
        <v>#VALUE!</v>
      </c>
      <c r="E138" t="e">
        <f ca="1">IF((A1)=(2),1,IF((135)=(E3),IF(("outputline")=(INDEX(B1:XFD1,(A2)+(0))),B2,E138),E138))</f>
        <v>#VALUE!</v>
      </c>
      <c r="F138" t="e">
        <f ca="1">IF((A1)=(2),1,IF((135)=(F3),IF(IF((INDEX(B1:XFD1,(A2)+(0)))=("store"),(INDEX(B1:XFD1,(A2)+(1)))=("F"),"false"),B2,F138),F138))</f>
        <v>#VALUE!</v>
      </c>
      <c r="G138" t="e">
        <f ca="1">IF((A1)=(2),1,IF((135)=(G3),IF(IF((INDEX(B1:XFD1,(A2)+(0)))=("store"),(INDEX(B1:XFD1,(A2)+(1)))=("G"),"false"),B2,G138),G138))</f>
        <v>#VALUE!</v>
      </c>
      <c r="H138" t="e">
        <f ca="1">IF((A1)=(2),1,IF((135)=(H3),IF(IF((INDEX(B1:XFD1,(A2)+(0)))=("store"),(INDEX(B1:XFD1,(A2)+(1)))=("H"),"false"),B2,H138),H138))</f>
        <v>#VALUE!</v>
      </c>
      <c r="I138" t="e">
        <f ca="1">IF((A1)=(2),1,IF((135)=(I3),IF(IF((INDEX(B1:XFD1,(A2)+(0)))=("store"),(INDEX(B1:XFD1,(A2)+(1)))=("I"),"false"),B2,I138),I138))</f>
        <v>#VALUE!</v>
      </c>
      <c r="J138" t="e">
        <f ca="1">IF((A1)=(2),1,IF((135)=(J3),IF(IF((INDEX(B1:XFD1,(A2)+(0)))=("store"),(INDEX(B1:XFD1,(A2)+(1)))=("J"),"false"),B2,J138),J138))</f>
        <v>#VALUE!</v>
      </c>
    </row>
    <row r="139" spans="1:10" x14ac:dyDescent="0.25">
      <c r="A139" t="e">
        <f ca="1">IF((A1)=(2),1,IF((136)=(A3),IF(("call")=(INDEX(B1:XFD1,(A2)+(0))),((B2)*(2))+(1),IF(("goto")=(INDEX(B1:XFD1,(A2)+(0))),((INDEX(B1:XFD1,(A2)+(1)))*(2))+(1),IF(("gotoiftrue")=(INDEX(B1:XFD1,(A2)+(0))),IF(B2,((INDEX(B1:XFD1,(A2)+(1)))*(2))+(1),(A139)+(2)),(A139)+(2)))),A139))</f>
        <v>#VALUE!</v>
      </c>
      <c r="B139" t="e">
        <f ca="1">IF((A1)=(2),1,IF((136)=(B3),IF(("push")=(INDEX(B1:XFD1,(A2)+(0))),INDEX(B1:XFD1,(A2)+(1)),IF(("load")=(INDEX(B1:XFD1,(A2)+(0))),INDEX(F2:XFD2,INDEX(B1:XFD1,(A2)+(1))),IF(("newheap")=(INDEX(B1:XFD1,(A2)+(0))),(C3)-(2),IF(("getheap")=(INDEX(B1:XFD1,(A2)+(0))),INDEX(C4:C204,(B139)+(1)),IF(("add")=(INDEX(B1:XFD1,(A2)+(0))),(INDEX(B4:B204,(B3)+(1)))+(B139),IF(("equals")=(INDEX(B1:XFD1,(A2)+(0))),(INDEX(B4:B204,(B3)+(1)))=(B139),IF(("leq")=(INDEX(B1:XFD1,(A2)+(0))),(INDEX(B4:B204,(B3)+(1)))&lt;=(B139),B139))))))),B139))</f>
        <v>#VALUE!</v>
      </c>
      <c r="C139" t="e">
        <f ca="1">IF((A1)=(2),1,IF(AND((INDEX(B1:XFD1,(A2)+(0)))=("writeheap"),(INDEX(B4:B204,(B3)+(1)))=(135)),INDEX(B4:B204,(B3)+(2)),IF((A1)=(2),1,IF((136)=(C3),C139,C139))))</f>
        <v>#VALUE!</v>
      </c>
      <c r="E139" t="e">
        <f ca="1">IF((A1)=(2),1,IF((136)=(E3),IF(("outputline")=(INDEX(B1:XFD1,(A2)+(0))),B2,E139),E139))</f>
        <v>#VALUE!</v>
      </c>
      <c r="F139" t="e">
        <f ca="1">IF((A1)=(2),1,IF((136)=(F3),IF(IF((INDEX(B1:XFD1,(A2)+(0)))=("store"),(INDEX(B1:XFD1,(A2)+(1)))=("F"),"false"),B2,F139),F139))</f>
        <v>#VALUE!</v>
      </c>
      <c r="G139" t="e">
        <f ca="1">IF((A1)=(2),1,IF((136)=(G3),IF(IF((INDEX(B1:XFD1,(A2)+(0)))=("store"),(INDEX(B1:XFD1,(A2)+(1)))=("G"),"false"),B2,G139),G139))</f>
        <v>#VALUE!</v>
      </c>
      <c r="H139" t="e">
        <f ca="1">IF((A1)=(2),1,IF((136)=(H3),IF(IF((INDEX(B1:XFD1,(A2)+(0)))=("store"),(INDEX(B1:XFD1,(A2)+(1)))=("H"),"false"),B2,H139),H139))</f>
        <v>#VALUE!</v>
      </c>
      <c r="I139" t="e">
        <f ca="1">IF((A1)=(2),1,IF((136)=(I3),IF(IF((INDEX(B1:XFD1,(A2)+(0)))=("store"),(INDEX(B1:XFD1,(A2)+(1)))=("I"),"false"),B2,I139),I139))</f>
        <v>#VALUE!</v>
      </c>
      <c r="J139" t="e">
        <f ca="1">IF((A1)=(2),1,IF((136)=(J3),IF(IF((INDEX(B1:XFD1,(A2)+(0)))=("store"),(INDEX(B1:XFD1,(A2)+(1)))=("J"),"false"),B2,J139),J139))</f>
        <v>#VALUE!</v>
      </c>
    </row>
    <row r="140" spans="1:10" x14ac:dyDescent="0.25">
      <c r="A140" t="e">
        <f ca="1">IF((A1)=(2),1,IF((137)=(A3),IF(("call")=(INDEX(B1:XFD1,(A2)+(0))),((B2)*(2))+(1),IF(("goto")=(INDEX(B1:XFD1,(A2)+(0))),((INDEX(B1:XFD1,(A2)+(1)))*(2))+(1),IF(("gotoiftrue")=(INDEX(B1:XFD1,(A2)+(0))),IF(B2,((INDEX(B1:XFD1,(A2)+(1)))*(2))+(1),(A140)+(2)),(A140)+(2)))),A140))</f>
        <v>#VALUE!</v>
      </c>
      <c r="B140" t="e">
        <f ca="1">IF((A1)=(2),1,IF((137)=(B3),IF(("push")=(INDEX(B1:XFD1,(A2)+(0))),INDEX(B1:XFD1,(A2)+(1)),IF(("load")=(INDEX(B1:XFD1,(A2)+(0))),INDEX(F2:XFD2,INDEX(B1:XFD1,(A2)+(1))),IF(("newheap")=(INDEX(B1:XFD1,(A2)+(0))),(C3)-(2),IF(("getheap")=(INDEX(B1:XFD1,(A2)+(0))),INDEX(C4:C204,(B140)+(1)),IF(("add")=(INDEX(B1:XFD1,(A2)+(0))),(INDEX(B4:B204,(B3)+(1)))+(B140),IF(("equals")=(INDEX(B1:XFD1,(A2)+(0))),(INDEX(B4:B204,(B3)+(1)))=(B140),IF(("leq")=(INDEX(B1:XFD1,(A2)+(0))),(INDEX(B4:B204,(B3)+(1)))&lt;=(B140),B140))))))),B140))</f>
        <v>#VALUE!</v>
      </c>
      <c r="C140" t="e">
        <f ca="1">IF((A1)=(2),1,IF(AND((INDEX(B1:XFD1,(A2)+(0)))=("writeheap"),(INDEX(B4:B204,(B3)+(1)))=(136)),INDEX(B4:B204,(B3)+(2)),IF((A1)=(2),1,IF((137)=(C3),C140,C140))))</f>
        <v>#VALUE!</v>
      </c>
      <c r="E140" t="e">
        <f ca="1">IF((A1)=(2),1,IF((137)=(E3),IF(("outputline")=(INDEX(B1:XFD1,(A2)+(0))),B2,E140),E140))</f>
        <v>#VALUE!</v>
      </c>
      <c r="F140" t="e">
        <f ca="1">IF((A1)=(2),1,IF((137)=(F3),IF(IF((INDEX(B1:XFD1,(A2)+(0)))=("store"),(INDEX(B1:XFD1,(A2)+(1)))=("F"),"false"),B2,F140),F140))</f>
        <v>#VALUE!</v>
      </c>
      <c r="G140" t="e">
        <f ca="1">IF((A1)=(2),1,IF((137)=(G3),IF(IF((INDEX(B1:XFD1,(A2)+(0)))=("store"),(INDEX(B1:XFD1,(A2)+(1)))=("G"),"false"),B2,G140),G140))</f>
        <v>#VALUE!</v>
      </c>
      <c r="H140" t="e">
        <f ca="1">IF((A1)=(2),1,IF((137)=(H3),IF(IF((INDEX(B1:XFD1,(A2)+(0)))=("store"),(INDEX(B1:XFD1,(A2)+(1)))=("H"),"false"),B2,H140),H140))</f>
        <v>#VALUE!</v>
      </c>
      <c r="I140" t="e">
        <f ca="1">IF((A1)=(2),1,IF((137)=(I3),IF(IF((INDEX(B1:XFD1,(A2)+(0)))=("store"),(INDEX(B1:XFD1,(A2)+(1)))=("I"),"false"),B2,I140),I140))</f>
        <v>#VALUE!</v>
      </c>
      <c r="J140" t="e">
        <f ca="1">IF((A1)=(2),1,IF((137)=(J3),IF(IF((INDEX(B1:XFD1,(A2)+(0)))=("store"),(INDEX(B1:XFD1,(A2)+(1)))=("J"),"false"),B2,J140),J140))</f>
        <v>#VALUE!</v>
      </c>
    </row>
    <row r="141" spans="1:10" x14ac:dyDescent="0.25">
      <c r="A141" t="e">
        <f ca="1">IF((A1)=(2),1,IF((138)=(A3),IF(("call")=(INDEX(B1:XFD1,(A2)+(0))),((B2)*(2))+(1),IF(("goto")=(INDEX(B1:XFD1,(A2)+(0))),((INDEX(B1:XFD1,(A2)+(1)))*(2))+(1),IF(("gotoiftrue")=(INDEX(B1:XFD1,(A2)+(0))),IF(B2,((INDEX(B1:XFD1,(A2)+(1)))*(2))+(1),(A141)+(2)),(A141)+(2)))),A141))</f>
        <v>#VALUE!</v>
      </c>
      <c r="B141" t="e">
        <f ca="1">IF((A1)=(2),1,IF((138)=(B3),IF(("push")=(INDEX(B1:XFD1,(A2)+(0))),INDEX(B1:XFD1,(A2)+(1)),IF(("load")=(INDEX(B1:XFD1,(A2)+(0))),INDEX(F2:XFD2,INDEX(B1:XFD1,(A2)+(1))),IF(("newheap")=(INDEX(B1:XFD1,(A2)+(0))),(C3)-(2),IF(("getheap")=(INDEX(B1:XFD1,(A2)+(0))),INDEX(C4:C204,(B141)+(1)),IF(("add")=(INDEX(B1:XFD1,(A2)+(0))),(INDEX(B4:B204,(B3)+(1)))+(B141),IF(("equals")=(INDEX(B1:XFD1,(A2)+(0))),(INDEX(B4:B204,(B3)+(1)))=(B141),IF(("leq")=(INDEX(B1:XFD1,(A2)+(0))),(INDEX(B4:B204,(B3)+(1)))&lt;=(B141),B141))))))),B141))</f>
        <v>#VALUE!</v>
      </c>
      <c r="C141" t="e">
        <f ca="1">IF((A1)=(2),1,IF(AND((INDEX(B1:XFD1,(A2)+(0)))=("writeheap"),(INDEX(B4:B204,(B3)+(1)))=(137)),INDEX(B4:B204,(B3)+(2)),IF((A1)=(2),1,IF((138)=(C3),C141,C141))))</f>
        <v>#VALUE!</v>
      </c>
      <c r="E141" t="e">
        <f ca="1">IF((A1)=(2),1,IF((138)=(E3),IF(("outputline")=(INDEX(B1:XFD1,(A2)+(0))),B2,E141),E141))</f>
        <v>#VALUE!</v>
      </c>
      <c r="F141" t="e">
        <f ca="1">IF((A1)=(2),1,IF((138)=(F3),IF(IF((INDEX(B1:XFD1,(A2)+(0)))=("store"),(INDEX(B1:XFD1,(A2)+(1)))=("F"),"false"),B2,F141),F141))</f>
        <v>#VALUE!</v>
      </c>
      <c r="G141" t="e">
        <f ca="1">IF((A1)=(2),1,IF((138)=(G3),IF(IF((INDEX(B1:XFD1,(A2)+(0)))=("store"),(INDEX(B1:XFD1,(A2)+(1)))=("G"),"false"),B2,G141),G141))</f>
        <v>#VALUE!</v>
      </c>
      <c r="H141" t="e">
        <f ca="1">IF((A1)=(2),1,IF((138)=(H3),IF(IF((INDEX(B1:XFD1,(A2)+(0)))=("store"),(INDEX(B1:XFD1,(A2)+(1)))=("H"),"false"),B2,H141),H141))</f>
        <v>#VALUE!</v>
      </c>
      <c r="I141" t="e">
        <f ca="1">IF((A1)=(2),1,IF((138)=(I3),IF(IF((INDEX(B1:XFD1,(A2)+(0)))=("store"),(INDEX(B1:XFD1,(A2)+(1)))=("I"),"false"),B2,I141),I141))</f>
        <v>#VALUE!</v>
      </c>
      <c r="J141" t="e">
        <f ca="1">IF((A1)=(2),1,IF((138)=(J3),IF(IF((INDEX(B1:XFD1,(A2)+(0)))=("store"),(INDEX(B1:XFD1,(A2)+(1)))=("J"),"false"),B2,J141),J141))</f>
        <v>#VALUE!</v>
      </c>
    </row>
    <row r="142" spans="1:10" x14ac:dyDescent="0.25">
      <c r="A142" t="e">
        <f ca="1">IF((A1)=(2),1,IF((139)=(A3),IF(("call")=(INDEX(B1:XFD1,(A2)+(0))),((B2)*(2))+(1),IF(("goto")=(INDEX(B1:XFD1,(A2)+(0))),((INDEX(B1:XFD1,(A2)+(1)))*(2))+(1),IF(("gotoiftrue")=(INDEX(B1:XFD1,(A2)+(0))),IF(B2,((INDEX(B1:XFD1,(A2)+(1)))*(2))+(1),(A142)+(2)),(A142)+(2)))),A142))</f>
        <v>#VALUE!</v>
      </c>
      <c r="B142" t="e">
        <f ca="1">IF((A1)=(2),1,IF((139)=(B3),IF(("push")=(INDEX(B1:XFD1,(A2)+(0))),INDEX(B1:XFD1,(A2)+(1)),IF(("load")=(INDEX(B1:XFD1,(A2)+(0))),INDEX(F2:XFD2,INDEX(B1:XFD1,(A2)+(1))),IF(("newheap")=(INDEX(B1:XFD1,(A2)+(0))),(C3)-(2),IF(("getheap")=(INDEX(B1:XFD1,(A2)+(0))),INDEX(C4:C204,(B142)+(1)),IF(("add")=(INDEX(B1:XFD1,(A2)+(0))),(INDEX(B4:B204,(B3)+(1)))+(B142),IF(("equals")=(INDEX(B1:XFD1,(A2)+(0))),(INDEX(B4:B204,(B3)+(1)))=(B142),IF(("leq")=(INDEX(B1:XFD1,(A2)+(0))),(INDEX(B4:B204,(B3)+(1)))&lt;=(B142),B142))))))),B142))</f>
        <v>#VALUE!</v>
      </c>
      <c r="C142" t="e">
        <f ca="1">IF((A1)=(2),1,IF(AND((INDEX(B1:XFD1,(A2)+(0)))=("writeheap"),(INDEX(B4:B204,(B3)+(1)))=(138)),INDEX(B4:B204,(B3)+(2)),IF((A1)=(2),1,IF((139)=(C3),C142,C142))))</f>
        <v>#VALUE!</v>
      </c>
      <c r="E142" t="e">
        <f ca="1">IF((A1)=(2),1,IF((139)=(E3),IF(("outputline")=(INDEX(B1:XFD1,(A2)+(0))),B2,E142),E142))</f>
        <v>#VALUE!</v>
      </c>
      <c r="F142" t="e">
        <f ca="1">IF((A1)=(2),1,IF((139)=(F3),IF(IF((INDEX(B1:XFD1,(A2)+(0)))=("store"),(INDEX(B1:XFD1,(A2)+(1)))=("F"),"false"),B2,F142),F142))</f>
        <v>#VALUE!</v>
      </c>
      <c r="G142" t="e">
        <f ca="1">IF((A1)=(2),1,IF((139)=(G3),IF(IF((INDEX(B1:XFD1,(A2)+(0)))=("store"),(INDEX(B1:XFD1,(A2)+(1)))=("G"),"false"),B2,G142),G142))</f>
        <v>#VALUE!</v>
      </c>
      <c r="H142" t="e">
        <f ca="1">IF((A1)=(2),1,IF((139)=(H3),IF(IF((INDEX(B1:XFD1,(A2)+(0)))=("store"),(INDEX(B1:XFD1,(A2)+(1)))=("H"),"false"),B2,H142),H142))</f>
        <v>#VALUE!</v>
      </c>
      <c r="I142" t="e">
        <f ca="1">IF((A1)=(2),1,IF((139)=(I3),IF(IF((INDEX(B1:XFD1,(A2)+(0)))=("store"),(INDEX(B1:XFD1,(A2)+(1)))=("I"),"false"),B2,I142),I142))</f>
        <v>#VALUE!</v>
      </c>
      <c r="J142" t="e">
        <f ca="1">IF((A1)=(2),1,IF((139)=(J3),IF(IF((INDEX(B1:XFD1,(A2)+(0)))=("store"),(INDEX(B1:XFD1,(A2)+(1)))=("J"),"false"),B2,J142),J142))</f>
        <v>#VALUE!</v>
      </c>
    </row>
    <row r="143" spans="1:10" x14ac:dyDescent="0.25">
      <c r="A143" t="e">
        <f ca="1">IF((A1)=(2),1,IF((140)=(A3),IF(("call")=(INDEX(B1:XFD1,(A2)+(0))),((B2)*(2))+(1),IF(("goto")=(INDEX(B1:XFD1,(A2)+(0))),((INDEX(B1:XFD1,(A2)+(1)))*(2))+(1),IF(("gotoiftrue")=(INDEX(B1:XFD1,(A2)+(0))),IF(B2,((INDEX(B1:XFD1,(A2)+(1)))*(2))+(1),(A143)+(2)),(A143)+(2)))),A143))</f>
        <v>#VALUE!</v>
      </c>
      <c r="B143" t="e">
        <f ca="1">IF((A1)=(2),1,IF((140)=(B3),IF(("push")=(INDEX(B1:XFD1,(A2)+(0))),INDEX(B1:XFD1,(A2)+(1)),IF(("load")=(INDEX(B1:XFD1,(A2)+(0))),INDEX(F2:XFD2,INDEX(B1:XFD1,(A2)+(1))),IF(("newheap")=(INDEX(B1:XFD1,(A2)+(0))),(C3)-(2),IF(("getheap")=(INDEX(B1:XFD1,(A2)+(0))),INDEX(C4:C204,(B143)+(1)),IF(("add")=(INDEX(B1:XFD1,(A2)+(0))),(INDEX(B4:B204,(B3)+(1)))+(B143),IF(("equals")=(INDEX(B1:XFD1,(A2)+(0))),(INDEX(B4:B204,(B3)+(1)))=(B143),IF(("leq")=(INDEX(B1:XFD1,(A2)+(0))),(INDEX(B4:B204,(B3)+(1)))&lt;=(B143),B143))))))),B143))</f>
        <v>#VALUE!</v>
      </c>
      <c r="C143" t="e">
        <f ca="1">IF((A1)=(2),1,IF(AND((INDEX(B1:XFD1,(A2)+(0)))=("writeheap"),(INDEX(B4:B204,(B3)+(1)))=(139)),INDEX(B4:B204,(B3)+(2)),IF((A1)=(2),1,IF((140)=(C3),C143,C143))))</f>
        <v>#VALUE!</v>
      </c>
      <c r="E143" t="e">
        <f ca="1">IF((A1)=(2),1,IF((140)=(E3),IF(("outputline")=(INDEX(B1:XFD1,(A2)+(0))),B2,E143),E143))</f>
        <v>#VALUE!</v>
      </c>
      <c r="F143" t="e">
        <f ca="1">IF((A1)=(2),1,IF((140)=(F3),IF(IF((INDEX(B1:XFD1,(A2)+(0)))=("store"),(INDEX(B1:XFD1,(A2)+(1)))=("F"),"false"),B2,F143),F143))</f>
        <v>#VALUE!</v>
      </c>
      <c r="G143" t="e">
        <f ca="1">IF((A1)=(2),1,IF((140)=(G3),IF(IF((INDEX(B1:XFD1,(A2)+(0)))=("store"),(INDEX(B1:XFD1,(A2)+(1)))=("G"),"false"),B2,G143),G143))</f>
        <v>#VALUE!</v>
      </c>
      <c r="H143" t="e">
        <f ca="1">IF((A1)=(2),1,IF((140)=(H3),IF(IF((INDEX(B1:XFD1,(A2)+(0)))=("store"),(INDEX(B1:XFD1,(A2)+(1)))=("H"),"false"),B2,H143),H143))</f>
        <v>#VALUE!</v>
      </c>
      <c r="I143" t="e">
        <f ca="1">IF((A1)=(2),1,IF((140)=(I3),IF(IF((INDEX(B1:XFD1,(A2)+(0)))=("store"),(INDEX(B1:XFD1,(A2)+(1)))=("I"),"false"),B2,I143),I143))</f>
        <v>#VALUE!</v>
      </c>
      <c r="J143" t="e">
        <f ca="1">IF((A1)=(2),1,IF((140)=(J3),IF(IF((INDEX(B1:XFD1,(A2)+(0)))=("store"),(INDEX(B1:XFD1,(A2)+(1)))=("J"),"false"),B2,J143),J143))</f>
        <v>#VALUE!</v>
      </c>
    </row>
    <row r="144" spans="1:10" x14ac:dyDescent="0.25">
      <c r="A144" t="e">
        <f ca="1">IF((A1)=(2),1,IF((141)=(A3),IF(("call")=(INDEX(B1:XFD1,(A2)+(0))),((B2)*(2))+(1),IF(("goto")=(INDEX(B1:XFD1,(A2)+(0))),((INDEX(B1:XFD1,(A2)+(1)))*(2))+(1),IF(("gotoiftrue")=(INDEX(B1:XFD1,(A2)+(0))),IF(B2,((INDEX(B1:XFD1,(A2)+(1)))*(2))+(1),(A144)+(2)),(A144)+(2)))),A144))</f>
        <v>#VALUE!</v>
      </c>
      <c r="B144" t="e">
        <f ca="1">IF((A1)=(2),1,IF((141)=(B3),IF(("push")=(INDEX(B1:XFD1,(A2)+(0))),INDEX(B1:XFD1,(A2)+(1)),IF(("load")=(INDEX(B1:XFD1,(A2)+(0))),INDEX(F2:XFD2,INDEX(B1:XFD1,(A2)+(1))),IF(("newheap")=(INDEX(B1:XFD1,(A2)+(0))),(C3)-(2),IF(("getheap")=(INDEX(B1:XFD1,(A2)+(0))),INDEX(C4:C204,(B144)+(1)),IF(("add")=(INDEX(B1:XFD1,(A2)+(0))),(INDEX(B4:B204,(B3)+(1)))+(B144),IF(("equals")=(INDEX(B1:XFD1,(A2)+(0))),(INDEX(B4:B204,(B3)+(1)))=(B144),IF(("leq")=(INDEX(B1:XFD1,(A2)+(0))),(INDEX(B4:B204,(B3)+(1)))&lt;=(B144),B144))))))),B144))</f>
        <v>#VALUE!</v>
      </c>
      <c r="C144" t="e">
        <f ca="1">IF((A1)=(2),1,IF(AND((INDEX(B1:XFD1,(A2)+(0)))=("writeheap"),(INDEX(B4:B204,(B3)+(1)))=(140)),INDEX(B4:B204,(B3)+(2)),IF((A1)=(2),1,IF((141)=(C3),C144,C144))))</f>
        <v>#VALUE!</v>
      </c>
      <c r="E144" t="e">
        <f ca="1">IF((A1)=(2),1,IF((141)=(E3),IF(("outputline")=(INDEX(B1:XFD1,(A2)+(0))),B2,E144),E144))</f>
        <v>#VALUE!</v>
      </c>
      <c r="F144" t="e">
        <f ca="1">IF((A1)=(2),1,IF((141)=(F3),IF(IF((INDEX(B1:XFD1,(A2)+(0)))=("store"),(INDEX(B1:XFD1,(A2)+(1)))=("F"),"false"),B2,F144),F144))</f>
        <v>#VALUE!</v>
      </c>
      <c r="G144" t="e">
        <f ca="1">IF((A1)=(2),1,IF((141)=(G3),IF(IF((INDEX(B1:XFD1,(A2)+(0)))=("store"),(INDEX(B1:XFD1,(A2)+(1)))=("G"),"false"),B2,G144),G144))</f>
        <v>#VALUE!</v>
      </c>
      <c r="H144" t="e">
        <f ca="1">IF((A1)=(2),1,IF((141)=(H3),IF(IF((INDEX(B1:XFD1,(A2)+(0)))=("store"),(INDEX(B1:XFD1,(A2)+(1)))=("H"),"false"),B2,H144),H144))</f>
        <v>#VALUE!</v>
      </c>
      <c r="I144" t="e">
        <f ca="1">IF((A1)=(2),1,IF((141)=(I3),IF(IF((INDEX(B1:XFD1,(A2)+(0)))=("store"),(INDEX(B1:XFD1,(A2)+(1)))=("I"),"false"),B2,I144),I144))</f>
        <v>#VALUE!</v>
      </c>
      <c r="J144" t="e">
        <f ca="1">IF((A1)=(2),1,IF((141)=(J3),IF(IF((INDEX(B1:XFD1,(A2)+(0)))=("store"),(INDEX(B1:XFD1,(A2)+(1)))=("J"),"false"),B2,J144),J144))</f>
        <v>#VALUE!</v>
      </c>
    </row>
    <row r="145" spans="1:10" x14ac:dyDescent="0.25">
      <c r="A145" t="e">
        <f ca="1">IF((A1)=(2),1,IF((142)=(A3),IF(("call")=(INDEX(B1:XFD1,(A2)+(0))),((B2)*(2))+(1),IF(("goto")=(INDEX(B1:XFD1,(A2)+(0))),((INDEX(B1:XFD1,(A2)+(1)))*(2))+(1),IF(("gotoiftrue")=(INDEX(B1:XFD1,(A2)+(0))),IF(B2,((INDEX(B1:XFD1,(A2)+(1)))*(2))+(1),(A145)+(2)),(A145)+(2)))),A145))</f>
        <v>#VALUE!</v>
      </c>
      <c r="B145" t="e">
        <f ca="1">IF((A1)=(2),1,IF((142)=(B3),IF(("push")=(INDEX(B1:XFD1,(A2)+(0))),INDEX(B1:XFD1,(A2)+(1)),IF(("load")=(INDEX(B1:XFD1,(A2)+(0))),INDEX(F2:XFD2,INDEX(B1:XFD1,(A2)+(1))),IF(("newheap")=(INDEX(B1:XFD1,(A2)+(0))),(C3)-(2),IF(("getheap")=(INDEX(B1:XFD1,(A2)+(0))),INDEX(C4:C204,(B145)+(1)),IF(("add")=(INDEX(B1:XFD1,(A2)+(0))),(INDEX(B4:B204,(B3)+(1)))+(B145),IF(("equals")=(INDEX(B1:XFD1,(A2)+(0))),(INDEX(B4:B204,(B3)+(1)))=(B145),IF(("leq")=(INDEX(B1:XFD1,(A2)+(0))),(INDEX(B4:B204,(B3)+(1)))&lt;=(B145),B145))))))),B145))</f>
        <v>#VALUE!</v>
      </c>
      <c r="C145" t="e">
        <f ca="1">IF((A1)=(2),1,IF(AND((INDEX(B1:XFD1,(A2)+(0)))=("writeheap"),(INDEX(B4:B204,(B3)+(1)))=(141)),INDEX(B4:B204,(B3)+(2)),IF((A1)=(2),1,IF((142)=(C3),C145,C145))))</f>
        <v>#VALUE!</v>
      </c>
      <c r="E145" t="e">
        <f ca="1">IF((A1)=(2),1,IF((142)=(E3),IF(("outputline")=(INDEX(B1:XFD1,(A2)+(0))),B2,E145),E145))</f>
        <v>#VALUE!</v>
      </c>
      <c r="F145" t="e">
        <f ca="1">IF((A1)=(2),1,IF((142)=(F3),IF(IF((INDEX(B1:XFD1,(A2)+(0)))=("store"),(INDEX(B1:XFD1,(A2)+(1)))=("F"),"false"),B2,F145),F145))</f>
        <v>#VALUE!</v>
      </c>
      <c r="G145" t="e">
        <f ca="1">IF((A1)=(2),1,IF((142)=(G3),IF(IF((INDEX(B1:XFD1,(A2)+(0)))=("store"),(INDEX(B1:XFD1,(A2)+(1)))=("G"),"false"),B2,G145),G145))</f>
        <v>#VALUE!</v>
      </c>
      <c r="H145" t="e">
        <f ca="1">IF((A1)=(2),1,IF((142)=(H3),IF(IF((INDEX(B1:XFD1,(A2)+(0)))=("store"),(INDEX(B1:XFD1,(A2)+(1)))=("H"),"false"),B2,H145),H145))</f>
        <v>#VALUE!</v>
      </c>
      <c r="I145" t="e">
        <f ca="1">IF((A1)=(2),1,IF((142)=(I3),IF(IF((INDEX(B1:XFD1,(A2)+(0)))=("store"),(INDEX(B1:XFD1,(A2)+(1)))=("I"),"false"),B2,I145),I145))</f>
        <v>#VALUE!</v>
      </c>
      <c r="J145" t="e">
        <f ca="1">IF((A1)=(2),1,IF((142)=(J3),IF(IF((INDEX(B1:XFD1,(A2)+(0)))=("store"),(INDEX(B1:XFD1,(A2)+(1)))=("J"),"false"),B2,J145),J145))</f>
        <v>#VALUE!</v>
      </c>
    </row>
    <row r="146" spans="1:10" x14ac:dyDescent="0.25">
      <c r="A146" t="e">
        <f ca="1">IF((A1)=(2),1,IF((143)=(A3),IF(("call")=(INDEX(B1:XFD1,(A2)+(0))),((B2)*(2))+(1),IF(("goto")=(INDEX(B1:XFD1,(A2)+(0))),((INDEX(B1:XFD1,(A2)+(1)))*(2))+(1),IF(("gotoiftrue")=(INDEX(B1:XFD1,(A2)+(0))),IF(B2,((INDEX(B1:XFD1,(A2)+(1)))*(2))+(1),(A146)+(2)),(A146)+(2)))),A146))</f>
        <v>#VALUE!</v>
      </c>
      <c r="B146" t="e">
        <f ca="1">IF((A1)=(2),1,IF((143)=(B3),IF(("push")=(INDEX(B1:XFD1,(A2)+(0))),INDEX(B1:XFD1,(A2)+(1)),IF(("load")=(INDEX(B1:XFD1,(A2)+(0))),INDEX(F2:XFD2,INDEX(B1:XFD1,(A2)+(1))),IF(("newheap")=(INDEX(B1:XFD1,(A2)+(0))),(C3)-(2),IF(("getheap")=(INDEX(B1:XFD1,(A2)+(0))),INDEX(C4:C204,(B146)+(1)),IF(("add")=(INDEX(B1:XFD1,(A2)+(0))),(INDEX(B4:B204,(B3)+(1)))+(B146),IF(("equals")=(INDEX(B1:XFD1,(A2)+(0))),(INDEX(B4:B204,(B3)+(1)))=(B146),IF(("leq")=(INDEX(B1:XFD1,(A2)+(0))),(INDEX(B4:B204,(B3)+(1)))&lt;=(B146),B146))))))),B146))</f>
        <v>#VALUE!</v>
      </c>
      <c r="C146" t="e">
        <f ca="1">IF((A1)=(2),1,IF(AND((INDEX(B1:XFD1,(A2)+(0)))=("writeheap"),(INDEX(B4:B204,(B3)+(1)))=(142)),INDEX(B4:B204,(B3)+(2)),IF((A1)=(2),1,IF((143)=(C3),C146,C146))))</f>
        <v>#VALUE!</v>
      </c>
      <c r="E146" t="e">
        <f ca="1">IF((A1)=(2),1,IF((143)=(E3),IF(("outputline")=(INDEX(B1:XFD1,(A2)+(0))),B2,E146),E146))</f>
        <v>#VALUE!</v>
      </c>
      <c r="F146" t="e">
        <f ca="1">IF((A1)=(2),1,IF((143)=(F3),IF(IF((INDEX(B1:XFD1,(A2)+(0)))=("store"),(INDEX(B1:XFD1,(A2)+(1)))=("F"),"false"),B2,F146),F146))</f>
        <v>#VALUE!</v>
      </c>
      <c r="G146" t="e">
        <f ca="1">IF((A1)=(2),1,IF((143)=(G3),IF(IF((INDEX(B1:XFD1,(A2)+(0)))=("store"),(INDEX(B1:XFD1,(A2)+(1)))=("G"),"false"),B2,G146),G146))</f>
        <v>#VALUE!</v>
      </c>
      <c r="H146" t="e">
        <f ca="1">IF((A1)=(2),1,IF((143)=(H3),IF(IF((INDEX(B1:XFD1,(A2)+(0)))=("store"),(INDEX(B1:XFD1,(A2)+(1)))=("H"),"false"),B2,H146),H146))</f>
        <v>#VALUE!</v>
      </c>
      <c r="I146" t="e">
        <f ca="1">IF((A1)=(2),1,IF((143)=(I3),IF(IF((INDEX(B1:XFD1,(A2)+(0)))=("store"),(INDEX(B1:XFD1,(A2)+(1)))=("I"),"false"),B2,I146),I146))</f>
        <v>#VALUE!</v>
      </c>
      <c r="J146" t="e">
        <f ca="1">IF((A1)=(2),1,IF((143)=(J3),IF(IF((INDEX(B1:XFD1,(A2)+(0)))=("store"),(INDEX(B1:XFD1,(A2)+(1)))=("J"),"false"),B2,J146),J146))</f>
        <v>#VALUE!</v>
      </c>
    </row>
    <row r="147" spans="1:10" x14ac:dyDescent="0.25">
      <c r="A147" t="e">
        <f ca="1">IF((A1)=(2),1,IF((144)=(A3),IF(("call")=(INDEX(B1:XFD1,(A2)+(0))),((B2)*(2))+(1),IF(("goto")=(INDEX(B1:XFD1,(A2)+(0))),((INDEX(B1:XFD1,(A2)+(1)))*(2))+(1),IF(("gotoiftrue")=(INDEX(B1:XFD1,(A2)+(0))),IF(B2,((INDEX(B1:XFD1,(A2)+(1)))*(2))+(1),(A147)+(2)),(A147)+(2)))),A147))</f>
        <v>#VALUE!</v>
      </c>
      <c r="B147" t="e">
        <f ca="1">IF((A1)=(2),1,IF((144)=(B3),IF(("push")=(INDEX(B1:XFD1,(A2)+(0))),INDEX(B1:XFD1,(A2)+(1)),IF(("load")=(INDEX(B1:XFD1,(A2)+(0))),INDEX(F2:XFD2,INDEX(B1:XFD1,(A2)+(1))),IF(("newheap")=(INDEX(B1:XFD1,(A2)+(0))),(C3)-(2),IF(("getheap")=(INDEX(B1:XFD1,(A2)+(0))),INDEX(C4:C204,(B147)+(1)),IF(("add")=(INDEX(B1:XFD1,(A2)+(0))),(INDEX(B4:B204,(B3)+(1)))+(B147),IF(("equals")=(INDEX(B1:XFD1,(A2)+(0))),(INDEX(B4:B204,(B3)+(1)))=(B147),IF(("leq")=(INDEX(B1:XFD1,(A2)+(0))),(INDEX(B4:B204,(B3)+(1)))&lt;=(B147),B147))))))),B147))</f>
        <v>#VALUE!</v>
      </c>
      <c r="C147" t="e">
        <f ca="1">IF((A1)=(2),1,IF(AND((INDEX(B1:XFD1,(A2)+(0)))=("writeheap"),(INDEX(B4:B204,(B3)+(1)))=(143)),INDEX(B4:B204,(B3)+(2)),IF((A1)=(2),1,IF((144)=(C3),C147,C147))))</f>
        <v>#VALUE!</v>
      </c>
      <c r="E147" t="e">
        <f ca="1">IF((A1)=(2),1,IF((144)=(E3),IF(("outputline")=(INDEX(B1:XFD1,(A2)+(0))),B2,E147),E147))</f>
        <v>#VALUE!</v>
      </c>
      <c r="F147" t="e">
        <f ca="1">IF((A1)=(2),1,IF((144)=(F3),IF(IF((INDEX(B1:XFD1,(A2)+(0)))=("store"),(INDEX(B1:XFD1,(A2)+(1)))=("F"),"false"),B2,F147),F147))</f>
        <v>#VALUE!</v>
      </c>
      <c r="G147" t="e">
        <f ca="1">IF((A1)=(2),1,IF((144)=(G3),IF(IF((INDEX(B1:XFD1,(A2)+(0)))=("store"),(INDEX(B1:XFD1,(A2)+(1)))=("G"),"false"),B2,G147),G147))</f>
        <v>#VALUE!</v>
      </c>
      <c r="H147" t="e">
        <f ca="1">IF((A1)=(2),1,IF((144)=(H3),IF(IF((INDEX(B1:XFD1,(A2)+(0)))=("store"),(INDEX(B1:XFD1,(A2)+(1)))=("H"),"false"),B2,H147),H147))</f>
        <v>#VALUE!</v>
      </c>
      <c r="I147" t="e">
        <f ca="1">IF((A1)=(2),1,IF((144)=(I3),IF(IF((INDEX(B1:XFD1,(A2)+(0)))=("store"),(INDEX(B1:XFD1,(A2)+(1)))=("I"),"false"),B2,I147),I147))</f>
        <v>#VALUE!</v>
      </c>
      <c r="J147" t="e">
        <f ca="1">IF((A1)=(2),1,IF((144)=(J3),IF(IF((INDEX(B1:XFD1,(A2)+(0)))=("store"),(INDEX(B1:XFD1,(A2)+(1)))=("J"),"false"),B2,J147),J147))</f>
        <v>#VALUE!</v>
      </c>
    </row>
    <row r="148" spans="1:10" x14ac:dyDescent="0.25">
      <c r="A148" t="e">
        <f ca="1">IF((A1)=(2),1,IF((145)=(A3),IF(("call")=(INDEX(B1:XFD1,(A2)+(0))),((B2)*(2))+(1),IF(("goto")=(INDEX(B1:XFD1,(A2)+(0))),((INDEX(B1:XFD1,(A2)+(1)))*(2))+(1),IF(("gotoiftrue")=(INDEX(B1:XFD1,(A2)+(0))),IF(B2,((INDEX(B1:XFD1,(A2)+(1)))*(2))+(1),(A148)+(2)),(A148)+(2)))),A148))</f>
        <v>#VALUE!</v>
      </c>
      <c r="B148" t="e">
        <f ca="1">IF((A1)=(2),1,IF((145)=(B3),IF(("push")=(INDEX(B1:XFD1,(A2)+(0))),INDEX(B1:XFD1,(A2)+(1)),IF(("load")=(INDEX(B1:XFD1,(A2)+(0))),INDEX(F2:XFD2,INDEX(B1:XFD1,(A2)+(1))),IF(("newheap")=(INDEX(B1:XFD1,(A2)+(0))),(C3)-(2),IF(("getheap")=(INDEX(B1:XFD1,(A2)+(0))),INDEX(C4:C204,(B148)+(1)),IF(("add")=(INDEX(B1:XFD1,(A2)+(0))),(INDEX(B4:B204,(B3)+(1)))+(B148),IF(("equals")=(INDEX(B1:XFD1,(A2)+(0))),(INDEX(B4:B204,(B3)+(1)))=(B148),IF(("leq")=(INDEX(B1:XFD1,(A2)+(0))),(INDEX(B4:B204,(B3)+(1)))&lt;=(B148),B148))))))),B148))</f>
        <v>#VALUE!</v>
      </c>
      <c r="C148" t="e">
        <f ca="1">IF((A1)=(2),1,IF(AND((INDEX(B1:XFD1,(A2)+(0)))=("writeheap"),(INDEX(B4:B204,(B3)+(1)))=(144)),INDEX(B4:B204,(B3)+(2)),IF((A1)=(2),1,IF((145)=(C3),C148,C148))))</f>
        <v>#VALUE!</v>
      </c>
      <c r="E148" t="e">
        <f ca="1">IF((A1)=(2),1,IF((145)=(E3),IF(("outputline")=(INDEX(B1:XFD1,(A2)+(0))),B2,E148),E148))</f>
        <v>#VALUE!</v>
      </c>
      <c r="F148" t="e">
        <f ca="1">IF((A1)=(2),1,IF((145)=(F3),IF(IF((INDEX(B1:XFD1,(A2)+(0)))=("store"),(INDEX(B1:XFD1,(A2)+(1)))=("F"),"false"),B2,F148),F148))</f>
        <v>#VALUE!</v>
      </c>
      <c r="G148" t="e">
        <f ca="1">IF((A1)=(2),1,IF((145)=(G3),IF(IF((INDEX(B1:XFD1,(A2)+(0)))=("store"),(INDEX(B1:XFD1,(A2)+(1)))=("G"),"false"),B2,G148),G148))</f>
        <v>#VALUE!</v>
      </c>
      <c r="H148" t="e">
        <f ca="1">IF((A1)=(2),1,IF((145)=(H3),IF(IF((INDEX(B1:XFD1,(A2)+(0)))=("store"),(INDEX(B1:XFD1,(A2)+(1)))=("H"),"false"),B2,H148),H148))</f>
        <v>#VALUE!</v>
      </c>
      <c r="I148" t="e">
        <f ca="1">IF((A1)=(2),1,IF((145)=(I3),IF(IF((INDEX(B1:XFD1,(A2)+(0)))=("store"),(INDEX(B1:XFD1,(A2)+(1)))=("I"),"false"),B2,I148),I148))</f>
        <v>#VALUE!</v>
      </c>
      <c r="J148" t="e">
        <f ca="1">IF((A1)=(2),1,IF((145)=(J3),IF(IF((INDEX(B1:XFD1,(A2)+(0)))=("store"),(INDEX(B1:XFD1,(A2)+(1)))=("J"),"false"),B2,J148),J148))</f>
        <v>#VALUE!</v>
      </c>
    </row>
    <row r="149" spans="1:10" x14ac:dyDescent="0.25">
      <c r="A149" t="e">
        <f ca="1">IF((A1)=(2),1,IF((146)=(A3),IF(("call")=(INDEX(B1:XFD1,(A2)+(0))),((B2)*(2))+(1),IF(("goto")=(INDEX(B1:XFD1,(A2)+(0))),((INDEX(B1:XFD1,(A2)+(1)))*(2))+(1),IF(("gotoiftrue")=(INDEX(B1:XFD1,(A2)+(0))),IF(B2,((INDEX(B1:XFD1,(A2)+(1)))*(2))+(1),(A149)+(2)),(A149)+(2)))),A149))</f>
        <v>#VALUE!</v>
      </c>
      <c r="B149" t="e">
        <f ca="1">IF((A1)=(2),1,IF((146)=(B3),IF(("push")=(INDEX(B1:XFD1,(A2)+(0))),INDEX(B1:XFD1,(A2)+(1)),IF(("load")=(INDEX(B1:XFD1,(A2)+(0))),INDEX(F2:XFD2,INDEX(B1:XFD1,(A2)+(1))),IF(("newheap")=(INDEX(B1:XFD1,(A2)+(0))),(C3)-(2),IF(("getheap")=(INDEX(B1:XFD1,(A2)+(0))),INDEX(C4:C204,(B149)+(1)),IF(("add")=(INDEX(B1:XFD1,(A2)+(0))),(INDEX(B4:B204,(B3)+(1)))+(B149),IF(("equals")=(INDEX(B1:XFD1,(A2)+(0))),(INDEX(B4:B204,(B3)+(1)))=(B149),IF(("leq")=(INDEX(B1:XFD1,(A2)+(0))),(INDEX(B4:B204,(B3)+(1)))&lt;=(B149),B149))))))),B149))</f>
        <v>#VALUE!</v>
      </c>
      <c r="C149" t="e">
        <f ca="1">IF((A1)=(2),1,IF(AND((INDEX(B1:XFD1,(A2)+(0)))=("writeheap"),(INDEX(B4:B204,(B3)+(1)))=(145)),INDEX(B4:B204,(B3)+(2)),IF((A1)=(2),1,IF((146)=(C3),C149,C149))))</f>
        <v>#VALUE!</v>
      </c>
      <c r="E149" t="e">
        <f ca="1">IF((A1)=(2),1,IF((146)=(E3),IF(("outputline")=(INDEX(B1:XFD1,(A2)+(0))),B2,E149),E149))</f>
        <v>#VALUE!</v>
      </c>
      <c r="F149" t="e">
        <f ca="1">IF((A1)=(2),1,IF((146)=(F3),IF(IF((INDEX(B1:XFD1,(A2)+(0)))=("store"),(INDEX(B1:XFD1,(A2)+(1)))=("F"),"false"),B2,F149),F149))</f>
        <v>#VALUE!</v>
      </c>
      <c r="G149" t="e">
        <f ca="1">IF((A1)=(2),1,IF((146)=(G3),IF(IF((INDEX(B1:XFD1,(A2)+(0)))=("store"),(INDEX(B1:XFD1,(A2)+(1)))=("G"),"false"),B2,G149),G149))</f>
        <v>#VALUE!</v>
      </c>
      <c r="H149" t="e">
        <f ca="1">IF((A1)=(2),1,IF((146)=(H3),IF(IF((INDEX(B1:XFD1,(A2)+(0)))=("store"),(INDEX(B1:XFD1,(A2)+(1)))=("H"),"false"),B2,H149),H149))</f>
        <v>#VALUE!</v>
      </c>
      <c r="I149" t="e">
        <f ca="1">IF((A1)=(2),1,IF((146)=(I3),IF(IF((INDEX(B1:XFD1,(A2)+(0)))=("store"),(INDEX(B1:XFD1,(A2)+(1)))=("I"),"false"),B2,I149),I149))</f>
        <v>#VALUE!</v>
      </c>
      <c r="J149" t="e">
        <f ca="1">IF((A1)=(2),1,IF((146)=(J3),IF(IF((INDEX(B1:XFD1,(A2)+(0)))=("store"),(INDEX(B1:XFD1,(A2)+(1)))=("J"),"false"),B2,J149),J149))</f>
        <v>#VALUE!</v>
      </c>
    </row>
    <row r="150" spans="1:10" x14ac:dyDescent="0.25">
      <c r="A150" t="e">
        <f ca="1">IF((A1)=(2),1,IF((147)=(A3),IF(("call")=(INDEX(B1:XFD1,(A2)+(0))),((B2)*(2))+(1),IF(("goto")=(INDEX(B1:XFD1,(A2)+(0))),((INDEX(B1:XFD1,(A2)+(1)))*(2))+(1),IF(("gotoiftrue")=(INDEX(B1:XFD1,(A2)+(0))),IF(B2,((INDEX(B1:XFD1,(A2)+(1)))*(2))+(1),(A150)+(2)),(A150)+(2)))),A150))</f>
        <v>#VALUE!</v>
      </c>
      <c r="B150" t="e">
        <f ca="1">IF((A1)=(2),1,IF((147)=(B3),IF(("push")=(INDEX(B1:XFD1,(A2)+(0))),INDEX(B1:XFD1,(A2)+(1)),IF(("load")=(INDEX(B1:XFD1,(A2)+(0))),INDEX(F2:XFD2,INDEX(B1:XFD1,(A2)+(1))),IF(("newheap")=(INDEX(B1:XFD1,(A2)+(0))),(C3)-(2),IF(("getheap")=(INDEX(B1:XFD1,(A2)+(0))),INDEX(C4:C204,(B150)+(1)),IF(("add")=(INDEX(B1:XFD1,(A2)+(0))),(INDEX(B4:B204,(B3)+(1)))+(B150),IF(("equals")=(INDEX(B1:XFD1,(A2)+(0))),(INDEX(B4:B204,(B3)+(1)))=(B150),IF(("leq")=(INDEX(B1:XFD1,(A2)+(0))),(INDEX(B4:B204,(B3)+(1)))&lt;=(B150),B150))))))),B150))</f>
        <v>#VALUE!</v>
      </c>
      <c r="C150" t="e">
        <f ca="1">IF((A1)=(2),1,IF(AND((INDEX(B1:XFD1,(A2)+(0)))=("writeheap"),(INDEX(B4:B204,(B3)+(1)))=(146)),INDEX(B4:B204,(B3)+(2)),IF((A1)=(2),1,IF((147)=(C3),C150,C150))))</f>
        <v>#VALUE!</v>
      </c>
      <c r="E150" t="e">
        <f ca="1">IF((A1)=(2),1,IF((147)=(E3),IF(("outputline")=(INDEX(B1:XFD1,(A2)+(0))),B2,E150),E150))</f>
        <v>#VALUE!</v>
      </c>
      <c r="F150" t="e">
        <f ca="1">IF((A1)=(2),1,IF((147)=(F3),IF(IF((INDEX(B1:XFD1,(A2)+(0)))=("store"),(INDEX(B1:XFD1,(A2)+(1)))=("F"),"false"),B2,F150),F150))</f>
        <v>#VALUE!</v>
      </c>
      <c r="G150" t="e">
        <f ca="1">IF((A1)=(2),1,IF((147)=(G3),IF(IF((INDEX(B1:XFD1,(A2)+(0)))=("store"),(INDEX(B1:XFD1,(A2)+(1)))=("G"),"false"),B2,G150),G150))</f>
        <v>#VALUE!</v>
      </c>
      <c r="H150" t="e">
        <f ca="1">IF((A1)=(2),1,IF((147)=(H3),IF(IF((INDEX(B1:XFD1,(A2)+(0)))=("store"),(INDEX(B1:XFD1,(A2)+(1)))=("H"),"false"),B2,H150),H150))</f>
        <v>#VALUE!</v>
      </c>
      <c r="I150" t="e">
        <f ca="1">IF((A1)=(2),1,IF((147)=(I3),IF(IF((INDEX(B1:XFD1,(A2)+(0)))=("store"),(INDEX(B1:XFD1,(A2)+(1)))=("I"),"false"),B2,I150),I150))</f>
        <v>#VALUE!</v>
      </c>
      <c r="J150" t="e">
        <f ca="1">IF((A1)=(2),1,IF((147)=(J3),IF(IF((INDEX(B1:XFD1,(A2)+(0)))=("store"),(INDEX(B1:XFD1,(A2)+(1)))=("J"),"false"),B2,J150),J150))</f>
        <v>#VALUE!</v>
      </c>
    </row>
    <row r="151" spans="1:10" x14ac:dyDescent="0.25">
      <c r="A151" t="e">
        <f ca="1">IF((A1)=(2),1,IF((148)=(A3),IF(("call")=(INDEX(B1:XFD1,(A2)+(0))),((B2)*(2))+(1),IF(("goto")=(INDEX(B1:XFD1,(A2)+(0))),((INDEX(B1:XFD1,(A2)+(1)))*(2))+(1),IF(("gotoiftrue")=(INDEX(B1:XFD1,(A2)+(0))),IF(B2,((INDEX(B1:XFD1,(A2)+(1)))*(2))+(1),(A151)+(2)),(A151)+(2)))),A151))</f>
        <v>#VALUE!</v>
      </c>
      <c r="B151" t="e">
        <f ca="1">IF((A1)=(2),1,IF((148)=(B3),IF(("push")=(INDEX(B1:XFD1,(A2)+(0))),INDEX(B1:XFD1,(A2)+(1)),IF(("load")=(INDEX(B1:XFD1,(A2)+(0))),INDEX(F2:XFD2,INDEX(B1:XFD1,(A2)+(1))),IF(("newheap")=(INDEX(B1:XFD1,(A2)+(0))),(C3)-(2),IF(("getheap")=(INDEX(B1:XFD1,(A2)+(0))),INDEX(C4:C204,(B151)+(1)),IF(("add")=(INDEX(B1:XFD1,(A2)+(0))),(INDEX(B4:B204,(B3)+(1)))+(B151),IF(("equals")=(INDEX(B1:XFD1,(A2)+(0))),(INDEX(B4:B204,(B3)+(1)))=(B151),IF(("leq")=(INDEX(B1:XFD1,(A2)+(0))),(INDEX(B4:B204,(B3)+(1)))&lt;=(B151),B151))))))),B151))</f>
        <v>#VALUE!</v>
      </c>
      <c r="C151" t="e">
        <f ca="1">IF((A1)=(2),1,IF(AND((INDEX(B1:XFD1,(A2)+(0)))=("writeheap"),(INDEX(B4:B204,(B3)+(1)))=(147)),INDEX(B4:B204,(B3)+(2)),IF((A1)=(2),1,IF((148)=(C3),C151,C151))))</f>
        <v>#VALUE!</v>
      </c>
      <c r="E151" t="e">
        <f ca="1">IF((A1)=(2),1,IF((148)=(E3),IF(("outputline")=(INDEX(B1:XFD1,(A2)+(0))),B2,E151),E151))</f>
        <v>#VALUE!</v>
      </c>
      <c r="F151" t="e">
        <f ca="1">IF((A1)=(2),1,IF((148)=(F3),IF(IF((INDEX(B1:XFD1,(A2)+(0)))=("store"),(INDEX(B1:XFD1,(A2)+(1)))=("F"),"false"),B2,F151),F151))</f>
        <v>#VALUE!</v>
      </c>
      <c r="G151" t="e">
        <f ca="1">IF((A1)=(2),1,IF((148)=(G3),IF(IF((INDEX(B1:XFD1,(A2)+(0)))=("store"),(INDEX(B1:XFD1,(A2)+(1)))=("G"),"false"),B2,G151),G151))</f>
        <v>#VALUE!</v>
      </c>
      <c r="H151" t="e">
        <f ca="1">IF((A1)=(2),1,IF((148)=(H3),IF(IF((INDEX(B1:XFD1,(A2)+(0)))=("store"),(INDEX(B1:XFD1,(A2)+(1)))=("H"),"false"),B2,H151),H151))</f>
        <v>#VALUE!</v>
      </c>
      <c r="I151" t="e">
        <f ca="1">IF((A1)=(2),1,IF((148)=(I3),IF(IF((INDEX(B1:XFD1,(A2)+(0)))=("store"),(INDEX(B1:XFD1,(A2)+(1)))=("I"),"false"),B2,I151),I151))</f>
        <v>#VALUE!</v>
      </c>
      <c r="J151" t="e">
        <f ca="1">IF((A1)=(2),1,IF((148)=(J3),IF(IF((INDEX(B1:XFD1,(A2)+(0)))=("store"),(INDEX(B1:XFD1,(A2)+(1)))=("J"),"false"),B2,J151),J151))</f>
        <v>#VALUE!</v>
      </c>
    </row>
    <row r="152" spans="1:10" x14ac:dyDescent="0.25">
      <c r="A152" t="e">
        <f ca="1">IF((A1)=(2),1,IF((149)=(A3),IF(("call")=(INDEX(B1:XFD1,(A2)+(0))),((B2)*(2))+(1),IF(("goto")=(INDEX(B1:XFD1,(A2)+(0))),((INDEX(B1:XFD1,(A2)+(1)))*(2))+(1),IF(("gotoiftrue")=(INDEX(B1:XFD1,(A2)+(0))),IF(B2,((INDEX(B1:XFD1,(A2)+(1)))*(2))+(1),(A152)+(2)),(A152)+(2)))),A152))</f>
        <v>#VALUE!</v>
      </c>
      <c r="B152" t="e">
        <f ca="1">IF((A1)=(2),1,IF((149)=(B3),IF(("push")=(INDEX(B1:XFD1,(A2)+(0))),INDEX(B1:XFD1,(A2)+(1)),IF(("load")=(INDEX(B1:XFD1,(A2)+(0))),INDEX(F2:XFD2,INDEX(B1:XFD1,(A2)+(1))),IF(("newheap")=(INDEX(B1:XFD1,(A2)+(0))),(C3)-(2),IF(("getheap")=(INDEX(B1:XFD1,(A2)+(0))),INDEX(C4:C204,(B152)+(1)),IF(("add")=(INDEX(B1:XFD1,(A2)+(0))),(INDEX(B4:B204,(B3)+(1)))+(B152),IF(("equals")=(INDEX(B1:XFD1,(A2)+(0))),(INDEX(B4:B204,(B3)+(1)))=(B152),IF(("leq")=(INDEX(B1:XFD1,(A2)+(0))),(INDEX(B4:B204,(B3)+(1)))&lt;=(B152),B152))))))),B152))</f>
        <v>#VALUE!</v>
      </c>
      <c r="C152" t="e">
        <f ca="1">IF((A1)=(2),1,IF(AND((INDEX(B1:XFD1,(A2)+(0)))=("writeheap"),(INDEX(B4:B204,(B3)+(1)))=(148)),INDEX(B4:B204,(B3)+(2)),IF((A1)=(2),1,IF((149)=(C3),C152,C152))))</f>
        <v>#VALUE!</v>
      </c>
      <c r="E152" t="e">
        <f ca="1">IF((A1)=(2),1,IF((149)=(E3),IF(("outputline")=(INDEX(B1:XFD1,(A2)+(0))),B2,E152),E152))</f>
        <v>#VALUE!</v>
      </c>
      <c r="F152" t="e">
        <f ca="1">IF((A1)=(2),1,IF((149)=(F3),IF(IF((INDEX(B1:XFD1,(A2)+(0)))=("store"),(INDEX(B1:XFD1,(A2)+(1)))=("F"),"false"),B2,F152),F152))</f>
        <v>#VALUE!</v>
      </c>
      <c r="G152" t="e">
        <f ca="1">IF((A1)=(2),1,IF((149)=(G3),IF(IF((INDEX(B1:XFD1,(A2)+(0)))=("store"),(INDEX(B1:XFD1,(A2)+(1)))=("G"),"false"),B2,G152),G152))</f>
        <v>#VALUE!</v>
      </c>
      <c r="H152" t="e">
        <f ca="1">IF((A1)=(2),1,IF((149)=(H3),IF(IF((INDEX(B1:XFD1,(A2)+(0)))=("store"),(INDEX(B1:XFD1,(A2)+(1)))=("H"),"false"),B2,H152),H152))</f>
        <v>#VALUE!</v>
      </c>
      <c r="I152" t="e">
        <f ca="1">IF((A1)=(2),1,IF((149)=(I3),IF(IF((INDEX(B1:XFD1,(A2)+(0)))=("store"),(INDEX(B1:XFD1,(A2)+(1)))=("I"),"false"),B2,I152),I152))</f>
        <v>#VALUE!</v>
      </c>
      <c r="J152" t="e">
        <f ca="1">IF((A1)=(2),1,IF((149)=(J3),IF(IF((INDEX(B1:XFD1,(A2)+(0)))=("store"),(INDEX(B1:XFD1,(A2)+(1)))=("J"),"false"),B2,J152),J152))</f>
        <v>#VALUE!</v>
      </c>
    </row>
    <row r="153" spans="1:10" x14ac:dyDescent="0.25">
      <c r="A153" t="e">
        <f ca="1">IF((A1)=(2),1,IF((150)=(A3),IF(("call")=(INDEX(B1:XFD1,(A2)+(0))),((B2)*(2))+(1),IF(("goto")=(INDEX(B1:XFD1,(A2)+(0))),((INDEX(B1:XFD1,(A2)+(1)))*(2))+(1),IF(("gotoiftrue")=(INDEX(B1:XFD1,(A2)+(0))),IF(B2,((INDEX(B1:XFD1,(A2)+(1)))*(2))+(1),(A153)+(2)),(A153)+(2)))),A153))</f>
        <v>#VALUE!</v>
      </c>
      <c r="B153" t="e">
        <f ca="1">IF((A1)=(2),1,IF((150)=(B3),IF(("push")=(INDEX(B1:XFD1,(A2)+(0))),INDEX(B1:XFD1,(A2)+(1)),IF(("load")=(INDEX(B1:XFD1,(A2)+(0))),INDEX(F2:XFD2,INDEX(B1:XFD1,(A2)+(1))),IF(("newheap")=(INDEX(B1:XFD1,(A2)+(0))),(C3)-(2),IF(("getheap")=(INDEX(B1:XFD1,(A2)+(0))),INDEX(C4:C204,(B153)+(1)),IF(("add")=(INDEX(B1:XFD1,(A2)+(0))),(INDEX(B4:B204,(B3)+(1)))+(B153),IF(("equals")=(INDEX(B1:XFD1,(A2)+(0))),(INDEX(B4:B204,(B3)+(1)))=(B153),IF(("leq")=(INDEX(B1:XFD1,(A2)+(0))),(INDEX(B4:B204,(B3)+(1)))&lt;=(B153),B153))))))),B153))</f>
        <v>#VALUE!</v>
      </c>
      <c r="C153" t="e">
        <f ca="1">IF((A1)=(2),1,IF(AND((INDEX(B1:XFD1,(A2)+(0)))=("writeheap"),(INDEX(B4:B204,(B3)+(1)))=(149)),INDEX(B4:B204,(B3)+(2)),IF((A1)=(2),1,IF((150)=(C3),C153,C153))))</f>
        <v>#VALUE!</v>
      </c>
      <c r="E153" t="e">
        <f ca="1">IF((A1)=(2),1,IF((150)=(E3),IF(("outputline")=(INDEX(B1:XFD1,(A2)+(0))),B2,E153),E153))</f>
        <v>#VALUE!</v>
      </c>
      <c r="F153" t="e">
        <f ca="1">IF((A1)=(2),1,IF((150)=(F3),IF(IF((INDEX(B1:XFD1,(A2)+(0)))=("store"),(INDEX(B1:XFD1,(A2)+(1)))=("F"),"false"),B2,F153),F153))</f>
        <v>#VALUE!</v>
      </c>
      <c r="G153" t="e">
        <f ca="1">IF((A1)=(2),1,IF((150)=(G3),IF(IF((INDEX(B1:XFD1,(A2)+(0)))=("store"),(INDEX(B1:XFD1,(A2)+(1)))=("G"),"false"),B2,G153),G153))</f>
        <v>#VALUE!</v>
      </c>
      <c r="H153" t="e">
        <f ca="1">IF((A1)=(2),1,IF((150)=(H3),IF(IF((INDEX(B1:XFD1,(A2)+(0)))=("store"),(INDEX(B1:XFD1,(A2)+(1)))=("H"),"false"),B2,H153),H153))</f>
        <v>#VALUE!</v>
      </c>
      <c r="I153" t="e">
        <f ca="1">IF((A1)=(2),1,IF((150)=(I3),IF(IF((INDEX(B1:XFD1,(A2)+(0)))=("store"),(INDEX(B1:XFD1,(A2)+(1)))=("I"),"false"),B2,I153),I153))</f>
        <v>#VALUE!</v>
      </c>
      <c r="J153" t="e">
        <f ca="1">IF((A1)=(2),1,IF((150)=(J3),IF(IF((INDEX(B1:XFD1,(A2)+(0)))=("store"),(INDEX(B1:XFD1,(A2)+(1)))=("J"),"false"),B2,J153),J153))</f>
        <v>#VALUE!</v>
      </c>
    </row>
    <row r="154" spans="1:10" x14ac:dyDescent="0.25">
      <c r="A154" t="e">
        <f ca="1">IF((A1)=(2),1,IF((151)=(A3),IF(("call")=(INDEX(B1:XFD1,(A2)+(0))),((B2)*(2))+(1),IF(("goto")=(INDEX(B1:XFD1,(A2)+(0))),((INDEX(B1:XFD1,(A2)+(1)))*(2))+(1),IF(("gotoiftrue")=(INDEX(B1:XFD1,(A2)+(0))),IF(B2,((INDEX(B1:XFD1,(A2)+(1)))*(2))+(1),(A154)+(2)),(A154)+(2)))),A154))</f>
        <v>#VALUE!</v>
      </c>
      <c r="B154" t="e">
        <f ca="1">IF((A1)=(2),1,IF((151)=(B3),IF(("push")=(INDEX(B1:XFD1,(A2)+(0))),INDEX(B1:XFD1,(A2)+(1)),IF(("load")=(INDEX(B1:XFD1,(A2)+(0))),INDEX(F2:XFD2,INDEX(B1:XFD1,(A2)+(1))),IF(("newheap")=(INDEX(B1:XFD1,(A2)+(0))),(C3)-(2),IF(("getheap")=(INDEX(B1:XFD1,(A2)+(0))),INDEX(C4:C204,(B154)+(1)),IF(("add")=(INDEX(B1:XFD1,(A2)+(0))),(INDEX(B4:B204,(B3)+(1)))+(B154),IF(("equals")=(INDEX(B1:XFD1,(A2)+(0))),(INDEX(B4:B204,(B3)+(1)))=(B154),IF(("leq")=(INDEX(B1:XFD1,(A2)+(0))),(INDEX(B4:B204,(B3)+(1)))&lt;=(B154),B154))))))),B154))</f>
        <v>#VALUE!</v>
      </c>
      <c r="C154" t="e">
        <f ca="1">IF((A1)=(2),1,IF(AND((INDEX(B1:XFD1,(A2)+(0)))=("writeheap"),(INDEX(B4:B204,(B3)+(1)))=(150)),INDEX(B4:B204,(B3)+(2)),IF((A1)=(2),1,IF((151)=(C3),C154,C154))))</f>
        <v>#VALUE!</v>
      </c>
      <c r="E154" t="e">
        <f ca="1">IF((A1)=(2),1,IF((151)=(E3),IF(("outputline")=(INDEX(B1:XFD1,(A2)+(0))),B2,E154),E154))</f>
        <v>#VALUE!</v>
      </c>
      <c r="F154" t="e">
        <f ca="1">IF((A1)=(2),1,IF((151)=(F3),IF(IF((INDEX(B1:XFD1,(A2)+(0)))=("store"),(INDEX(B1:XFD1,(A2)+(1)))=("F"),"false"),B2,F154),F154))</f>
        <v>#VALUE!</v>
      </c>
      <c r="G154" t="e">
        <f ca="1">IF((A1)=(2),1,IF((151)=(G3),IF(IF((INDEX(B1:XFD1,(A2)+(0)))=("store"),(INDEX(B1:XFD1,(A2)+(1)))=("G"),"false"),B2,G154),G154))</f>
        <v>#VALUE!</v>
      </c>
      <c r="H154" t="e">
        <f ca="1">IF((A1)=(2),1,IF((151)=(H3),IF(IF((INDEX(B1:XFD1,(A2)+(0)))=("store"),(INDEX(B1:XFD1,(A2)+(1)))=("H"),"false"),B2,H154),H154))</f>
        <v>#VALUE!</v>
      </c>
      <c r="I154" t="e">
        <f ca="1">IF((A1)=(2),1,IF((151)=(I3),IF(IF((INDEX(B1:XFD1,(A2)+(0)))=("store"),(INDEX(B1:XFD1,(A2)+(1)))=("I"),"false"),B2,I154),I154))</f>
        <v>#VALUE!</v>
      </c>
      <c r="J154" t="e">
        <f ca="1">IF((A1)=(2),1,IF((151)=(J3),IF(IF((INDEX(B1:XFD1,(A2)+(0)))=("store"),(INDEX(B1:XFD1,(A2)+(1)))=("J"),"false"),B2,J154),J154))</f>
        <v>#VALUE!</v>
      </c>
    </row>
    <row r="155" spans="1:10" x14ac:dyDescent="0.25">
      <c r="A155" t="e">
        <f ca="1">IF((A1)=(2),1,IF((152)=(A3),IF(("call")=(INDEX(B1:XFD1,(A2)+(0))),((B2)*(2))+(1),IF(("goto")=(INDEX(B1:XFD1,(A2)+(0))),((INDEX(B1:XFD1,(A2)+(1)))*(2))+(1),IF(("gotoiftrue")=(INDEX(B1:XFD1,(A2)+(0))),IF(B2,((INDEX(B1:XFD1,(A2)+(1)))*(2))+(1),(A155)+(2)),(A155)+(2)))),A155))</f>
        <v>#VALUE!</v>
      </c>
      <c r="B155" t="e">
        <f ca="1">IF((A1)=(2),1,IF((152)=(B3),IF(("push")=(INDEX(B1:XFD1,(A2)+(0))),INDEX(B1:XFD1,(A2)+(1)),IF(("load")=(INDEX(B1:XFD1,(A2)+(0))),INDEX(F2:XFD2,INDEX(B1:XFD1,(A2)+(1))),IF(("newheap")=(INDEX(B1:XFD1,(A2)+(0))),(C3)-(2),IF(("getheap")=(INDEX(B1:XFD1,(A2)+(0))),INDEX(C4:C204,(B155)+(1)),IF(("add")=(INDEX(B1:XFD1,(A2)+(0))),(INDEX(B4:B204,(B3)+(1)))+(B155),IF(("equals")=(INDEX(B1:XFD1,(A2)+(0))),(INDEX(B4:B204,(B3)+(1)))=(B155),IF(("leq")=(INDEX(B1:XFD1,(A2)+(0))),(INDEX(B4:B204,(B3)+(1)))&lt;=(B155),B155))))))),B155))</f>
        <v>#VALUE!</v>
      </c>
      <c r="C155" t="e">
        <f ca="1">IF((A1)=(2),1,IF(AND((INDEX(B1:XFD1,(A2)+(0)))=("writeheap"),(INDEX(B4:B204,(B3)+(1)))=(151)),INDEX(B4:B204,(B3)+(2)),IF((A1)=(2),1,IF((152)=(C3),C155,C155))))</f>
        <v>#VALUE!</v>
      </c>
      <c r="E155" t="e">
        <f ca="1">IF((A1)=(2),1,IF((152)=(E3),IF(("outputline")=(INDEX(B1:XFD1,(A2)+(0))),B2,E155),E155))</f>
        <v>#VALUE!</v>
      </c>
      <c r="F155" t="e">
        <f ca="1">IF((A1)=(2),1,IF((152)=(F3),IF(IF((INDEX(B1:XFD1,(A2)+(0)))=("store"),(INDEX(B1:XFD1,(A2)+(1)))=("F"),"false"),B2,F155),F155))</f>
        <v>#VALUE!</v>
      </c>
      <c r="G155" t="e">
        <f ca="1">IF((A1)=(2),1,IF((152)=(G3),IF(IF((INDEX(B1:XFD1,(A2)+(0)))=("store"),(INDEX(B1:XFD1,(A2)+(1)))=("G"),"false"),B2,G155),G155))</f>
        <v>#VALUE!</v>
      </c>
      <c r="H155" t="e">
        <f ca="1">IF((A1)=(2),1,IF((152)=(H3),IF(IF((INDEX(B1:XFD1,(A2)+(0)))=("store"),(INDEX(B1:XFD1,(A2)+(1)))=("H"),"false"),B2,H155),H155))</f>
        <v>#VALUE!</v>
      </c>
      <c r="I155" t="e">
        <f ca="1">IF((A1)=(2),1,IF((152)=(I3),IF(IF((INDEX(B1:XFD1,(A2)+(0)))=("store"),(INDEX(B1:XFD1,(A2)+(1)))=("I"),"false"),B2,I155),I155))</f>
        <v>#VALUE!</v>
      </c>
      <c r="J155" t="e">
        <f ca="1">IF((A1)=(2),1,IF((152)=(J3),IF(IF((INDEX(B1:XFD1,(A2)+(0)))=("store"),(INDEX(B1:XFD1,(A2)+(1)))=("J"),"false"),B2,J155),J155))</f>
        <v>#VALUE!</v>
      </c>
    </row>
    <row r="156" spans="1:10" x14ac:dyDescent="0.25">
      <c r="A156" t="e">
        <f ca="1">IF((A1)=(2),1,IF((153)=(A3),IF(("call")=(INDEX(B1:XFD1,(A2)+(0))),((B2)*(2))+(1),IF(("goto")=(INDEX(B1:XFD1,(A2)+(0))),((INDEX(B1:XFD1,(A2)+(1)))*(2))+(1),IF(("gotoiftrue")=(INDEX(B1:XFD1,(A2)+(0))),IF(B2,((INDEX(B1:XFD1,(A2)+(1)))*(2))+(1),(A156)+(2)),(A156)+(2)))),A156))</f>
        <v>#VALUE!</v>
      </c>
      <c r="B156" t="e">
        <f ca="1">IF((A1)=(2),1,IF((153)=(B3),IF(("push")=(INDEX(B1:XFD1,(A2)+(0))),INDEX(B1:XFD1,(A2)+(1)),IF(("load")=(INDEX(B1:XFD1,(A2)+(0))),INDEX(F2:XFD2,INDEX(B1:XFD1,(A2)+(1))),IF(("newheap")=(INDEX(B1:XFD1,(A2)+(0))),(C3)-(2),IF(("getheap")=(INDEX(B1:XFD1,(A2)+(0))),INDEX(C4:C204,(B156)+(1)),IF(("add")=(INDEX(B1:XFD1,(A2)+(0))),(INDEX(B4:B204,(B3)+(1)))+(B156),IF(("equals")=(INDEX(B1:XFD1,(A2)+(0))),(INDEX(B4:B204,(B3)+(1)))=(B156),IF(("leq")=(INDEX(B1:XFD1,(A2)+(0))),(INDEX(B4:B204,(B3)+(1)))&lt;=(B156),B156))))))),B156))</f>
        <v>#VALUE!</v>
      </c>
      <c r="C156" t="e">
        <f ca="1">IF((A1)=(2),1,IF(AND((INDEX(B1:XFD1,(A2)+(0)))=("writeheap"),(INDEX(B4:B204,(B3)+(1)))=(152)),INDEX(B4:B204,(B3)+(2)),IF((A1)=(2),1,IF((153)=(C3),C156,C156))))</f>
        <v>#VALUE!</v>
      </c>
      <c r="E156" t="e">
        <f ca="1">IF((A1)=(2),1,IF((153)=(E3),IF(("outputline")=(INDEX(B1:XFD1,(A2)+(0))),B2,E156),E156))</f>
        <v>#VALUE!</v>
      </c>
      <c r="F156" t="e">
        <f ca="1">IF((A1)=(2),1,IF((153)=(F3),IF(IF((INDEX(B1:XFD1,(A2)+(0)))=("store"),(INDEX(B1:XFD1,(A2)+(1)))=("F"),"false"),B2,F156),F156))</f>
        <v>#VALUE!</v>
      </c>
      <c r="G156" t="e">
        <f ca="1">IF((A1)=(2),1,IF((153)=(G3),IF(IF((INDEX(B1:XFD1,(A2)+(0)))=("store"),(INDEX(B1:XFD1,(A2)+(1)))=("G"),"false"),B2,G156),G156))</f>
        <v>#VALUE!</v>
      </c>
      <c r="H156" t="e">
        <f ca="1">IF((A1)=(2),1,IF((153)=(H3),IF(IF((INDEX(B1:XFD1,(A2)+(0)))=("store"),(INDEX(B1:XFD1,(A2)+(1)))=("H"),"false"),B2,H156),H156))</f>
        <v>#VALUE!</v>
      </c>
      <c r="I156" t="e">
        <f ca="1">IF((A1)=(2),1,IF((153)=(I3),IF(IF((INDEX(B1:XFD1,(A2)+(0)))=("store"),(INDEX(B1:XFD1,(A2)+(1)))=("I"),"false"),B2,I156),I156))</f>
        <v>#VALUE!</v>
      </c>
      <c r="J156" t="e">
        <f ca="1">IF((A1)=(2),1,IF((153)=(J3),IF(IF((INDEX(B1:XFD1,(A2)+(0)))=("store"),(INDEX(B1:XFD1,(A2)+(1)))=("J"),"false"),B2,J156),J156))</f>
        <v>#VALUE!</v>
      </c>
    </row>
    <row r="157" spans="1:10" x14ac:dyDescent="0.25">
      <c r="A157" t="e">
        <f ca="1">IF((A1)=(2),1,IF((154)=(A3),IF(("call")=(INDEX(B1:XFD1,(A2)+(0))),((B2)*(2))+(1),IF(("goto")=(INDEX(B1:XFD1,(A2)+(0))),((INDEX(B1:XFD1,(A2)+(1)))*(2))+(1),IF(("gotoiftrue")=(INDEX(B1:XFD1,(A2)+(0))),IF(B2,((INDEX(B1:XFD1,(A2)+(1)))*(2))+(1),(A157)+(2)),(A157)+(2)))),A157))</f>
        <v>#VALUE!</v>
      </c>
      <c r="B157" t="e">
        <f ca="1">IF((A1)=(2),1,IF((154)=(B3),IF(("push")=(INDEX(B1:XFD1,(A2)+(0))),INDEX(B1:XFD1,(A2)+(1)),IF(("load")=(INDEX(B1:XFD1,(A2)+(0))),INDEX(F2:XFD2,INDEX(B1:XFD1,(A2)+(1))),IF(("newheap")=(INDEX(B1:XFD1,(A2)+(0))),(C3)-(2),IF(("getheap")=(INDEX(B1:XFD1,(A2)+(0))),INDEX(C4:C204,(B157)+(1)),IF(("add")=(INDEX(B1:XFD1,(A2)+(0))),(INDEX(B4:B204,(B3)+(1)))+(B157),IF(("equals")=(INDEX(B1:XFD1,(A2)+(0))),(INDEX(B4:B204,(B3)+(1)))=(B157),IF(("leq")=(INDEX(B1:XFD1,(A2)+(0))),(INDEX(B4:B204,(B3)+(1)))&lt;=(B157),B157))))))),B157))</f>
        <v>#VALUE!</v>
      </c>
      <c r="C157" t="e">
        <f ca="1">IF((A1)=(2),1,IF(AND((INDEX(B1:XFD1,(A2)+(0)))=("writeheap"),(INDEX(B4:B204,(B3)+(1)))=(153)),INDEX(B4:B204,(B3)+(2)),IF((A1)=(2),1,IF((154)=(C3),C157,C157))))</f>
        <v>#VALUE!</v>
      </c>
      <c r="E157" t="e">
        <f ca="1">IF((A1)=(2),1,IF((154)=(E3),IF(("outputline")=(INDEX(B1:XFD1,(A2)+(0))),B2,E157),E157))</f>
        <v>#VALUE!</v>
      </c>
      <c r="F157" t="e">
        <f ca="1">IF((A1)=(2),1,IF((154)=(F3),IF(IF((INDEX(B1:XFD1,(A2)+(0)))=("store"),(INDEX(B1:XFD1,(A2)+(1)))=("F"),"false"),B2,F157),F157))</f>
        <v>#VALUE!</v>
      </c>
      <c r="G157" t="e">
        <f ca="1">IF((A1)=(2),1,IF((154)=(G3),IF(IF((INDEX(B1:XFD1,(A2)+(0)))=("store"),(INDEX(B1:XFD1,(A2)+(1)))=("G"),"false"),B2,G157),G157))</f>
        <v>#VALUE!</v>
      </c>
      <c r="H157" t="e">
        <f ca="1">IF((A1)=(2),1,IF((154)=(H3),IF(IF((INDEX(B1:XFD1,(A2)+(0)))=("store"),(INDEX(B1:XFD1,(A2)+(1)))=("H"),"false"),B2,H157),H157))</f>
        <v>#VALUE!</v>
      </c>
      <c r="I157" t="e">
        <f ca="1">IF((A1)=(2),1,IF((154)=(I3),IF(IF((INDEX(B1:XFD1,(A2)+(0)))=("store"),(INDEX(B1:XFD1,(A2)+(1)))=("I"),"false"),B2,I157),I157))</f>
        <v>#VALUE!</v>
      </c>
      <c r="J157" t="e">
        <f ca="1">IF((A1)=(2),1,IF((154)=(J3),IF(IF((INDEX(B1:XFD1,(A2)+(0)))=("store"),(INDEX(B1:XFD1,(A2)+(1)))=("J"),"false"),B2,J157),J157))</f>
        <v>#VALUE!</v>
      </c>
    </row>
    <row r="158" spans="1:10" x14ac:dyDescent="0.25">
      <c r="A158" t="e">
        <f ca="1">IF((A1)=(2),1,IF((155)=(A3),IF(("call")=(INDEX(B1:XFD1,(A2)+(0))),((B2)*(2))+(1),IF(("goto")=(INDEX(B1:XFD1,(A2)+(0))),((INDEX(B1:XFD1,(A2)+(1)))*(2))+(1),IF(("gotoiftrue")=(INDEX(B1:XFD1,(A2)+(0))),IF(B2,((INDEX(B1:XFD1,(A2)+(1)))*(2))+(1),(A158)+(2)),(A158)+(2)))),A158))</f>
        <v>#VALUE!</v>
      </c>
      <c r="B158" t="e">
        <f ca="1">IF((A1)=(2),1,IF((155)=(B3),IF(("push")=(INDEX(B1:XFD1,(A2)+(0))),INDEX(B1:XFD1,(A2)+(1)),IF(("load")=(INDEX(B1:XFD1,(A2)+(0))),INDEX(F2:XFD2,INDEX(B1:XFD1,(A2)+(1))),IF(("newheap")=(INDEX(B1:XFD1,(A2)+(0))),(C3)-(2),IF(("getheap")=(INDEX(B1:XFD1,(A2)+(0))),INDEX(C4:C204,(B158)+(1)),IF(("add")=(INDEX(B1:XFD1,(A2)+(0))),(INDEX(B4:B204,(B3)+(1)))+(B158),IF(("equals")=(INDEX(B1:XFD1,(A2)+(0))),(INDEX(B4:B204,(B3)+(1)))=(B158),IF(("leq")=(INDEX(B1:XFD1,(A2)+(0))),(INDEX(B4:B204,(B3)+(1)))&lt;=(B158),B158))))))),B158))</f>
        <v>#VALUE!</v>
      </c>
      <c r="C158" t="e">
        <f ca="1">IF((A1)=(2),1,IF(AND((INDEX(B1:XFD1,(A2)+(0)))=("writeheap"),(INDEX(B4:B204,(B3)+(1)))=(154)),INDEX(B4:B204,(B3)+(2)),IF((A1)=(2),1,IF((155)=(C3),C158,C158))))</f>
        <v>#VALUE!</v>
      </c>
      <c r="E158" t="e">
        <f ca="1">IF((A1)=(2),1,IF((155)=(E3),IF(("outputline")=(INDEX(B1:XFD1,(A2)+(0))),B2,E158),E158))</f>
        <v>#VALUE!</v>
      </c>
      <c r="F158" t="e">
        <f ca="1">IF((A1)=(2),1,IF((155)=(F3),IF(IF((INDEX(B1:XFD1,(A2)+(0)))=("store"),(INDEX(B1:XFD1,(A2)+(1)))=("F"),"false"),B2,F158),F158))</f>
        <v>#VALUE!</v>
      </c>
      <c r="G158" t="e">
        <f ca="1">IF((A1)=(2),1,IF((155)=(G3),IF(IF((INDEX(B1:XFD1,(A2)+(0)))=("store"),(INDEX(B1:XFD1,(A2)+(1)))=("G"),"false"),B2,G158),G158))</f>
        <v>#VALUE!</v>
      </c>
      <c r="H158" t="e">
        <f ca="1">IF((A1)=(2),1,IF((155)=(H3),IF(IF((INDEX(B1:XFD1,(A2)+(0)))=("store"),(INDEX(B1:XFD1,(A2)+(1)))=("H"),"false"),B2,H158),H158))</f>
        <v>#VALUE!</v>
      </c>
      <c r="I158" t="e">
        <f ca="1">IF((A1)=(2),1,IF((155)=(I3),IF(IF((INDEX(B1:XFD1,(A2)+(0)))=("store"),(INDEX(B1:XFD1,(A2)+(1)))=("I"),"false"),B2,I158),I158))</f>
        <v>#VALUE!</v>
      </c>
      <c r="J158" t="e">
        <f ca="1">IF((A1)=(2),1,IF((155)=(J3),IF(IF((INDEX(B1:XFD1,(A2)+(0)))=("store"),(INDEX(B1:XFD1,(A2)+(1)))=("J"),"false"),B2,J158),J158))</f>
        <v>#VALUE!</v>
      </c>
    </row>
    <row r="159" spans="1:10" x14ac:dyDescent="0.25">
      <c r="A159" t="e">
        <f ca="1">IF((A1)=(2),1,IF((156)=(A3),IF(("call")=(INDEX(B1:XFD1,(A2)+(0))),((B2)*(2))+(1),IF(("goto")=(INDEX(B1:XFD1,(A2)+(0))),((INDEX(B1:XFD1,(A2)+(1)))*(2))+(1),IF(("gotoiftrue")=(INDEX(B1:XFD1,(A2)+(0))),IF(B2,((INDEX(B1:XFD1,(A2)+(1)))*(2))+(1),(A159)+(2)),(A159)+(2)))),A159))</f>
        <v>#VALUE!</v>
      </c>
      <c r="B159" t="e">
        <f ca="1">IF((A1)=(2),1,IF((156)=(B3),IF(("push")=(INDEX(B1:XFD1,(A2)+(0))),INDEX(B1:XFD1,(A2)+(1)),IF(("load")=(INDEX(B1:XFD1,(A2)+(0))),INDEX(F2:XFD2,INDEX(B1:XFD1,(A2)+(1))),IF(("newheap")=(INDEX(B1:XFD1,(A2)+(0))),(C3)-(2),IF(("getheap")=(INDEX(B1:XFD1,(A2)+(0))),INDEX(C4:C204,(B159)+(1)),IF(("add")=(INDEX(B1:XFD1,(A2)+(0))),(INDEX(B4:B204,(B3)+(1)))+(B159),IF(("equals")=(INDEX(B1:XFD1,(A2)+(0))),(INDEX(B4:B204,(B3)+(1)))=(B159),IF(("leq")=(INDEX(B1:XFD1,(A2)+(0))),(INDEX(B4:B204,(B3)+(1)))&lt;=(B159),B159))))))),B159))</f>
        <v>#VALUE!</v>
      </c>
      <c r="C159" t="e">
        <f ca="1">IF((A1)=(2),1,IF(AND((INDEX(B1:XFD1,(A2)+(0)))=("writeheap"),(INDEX(B4:B204,(B3)+(1)))=(155)),INDEX(B4:B204,(B3)+(2)),IF((A1)=(2),1,IF((156)=(C3),C159,C159))))</f>
        <v>#VALUE!</v>
      </c>
      <c r="E159" t="e">
        <f ca="1">IF((A1)=(2),1,IF((156)=(E3),IF(("outputline")=(INDEX(B1:XFD1,(A2)+(0))),B2,E159),E159))</f>
        <v>#VALUE!</v>
      </c>
      <c r="F159" t="e">
        <f ca="1">IF((A1)=(2),1,IF((156)=(F3),IF(IF((INDEX(B1:XFD1,(A2)+(0)))=("store"),(INDEX(B1:XFD1,(A2)+(1)))=("F"),"false"),B2,F159),F159))</f>
        <v>#VALUE!</v>
      </c>
      <c r="G159" t="e">
        <f ca="1">IF((A1)=(2),1,IF((156)=(G3),IF(IF((INDEX(B1:XFD1,(A2)+(0)))=("store"),(INDEX(B1:XFD1,(A2)+(1)))=("G"),"false"),B2,G159),G159))</f>
        <v>#VALUE!</v>
      </c>
      <c r="H159" t="e">
        <f ca="1">IF((A1)=(2),1,IF((156)=(H3),IF(IF((INDEX(B1:XFD1,(A2)+(0)))=("store"),(INDEX(B1:XFD1,(A2)+(1)))=("H"),"false"),B2,H159),H159))</f>
        <v>#VALUE!</v>
      </c>
      <c r="I159" t="e">
        <f ca="1">IF((A1)=(2),1,IF((156)=(I3),IF(IF((INDEX(B1:XFD1,(A2)+(0)))=("store"),(INDEX(B1:XFD1,(A2)+(1)))=("I"),"false"),B2,I159),I159))</f>
        <v>#VALUE!</v>
      </c>
      <c r="J159" t="e">
        <f ca="1">IF((A1)=(2),1,IF((156)=(J3),IF(IF((INDEX(B1:XFD1,(A2)+(0)))=("store"),(INDEX(B1:XFD1,(A2)+(1)))=("J"),"false"),B2,J159),J159))</f>
        <v>#VALUE!</v>
      </c>
    </row>
    <row r="160" spans="1:10" x14ac:dyDescent="0.25">
      <c r="A160" t="e">
        <f ca="1">IF((A1)=(2),1,IF((157)=(A3),IF(("call")=(INDEX(B1:XFD1,(A2)+(0))),((B2)*(2))+(1),IF(("goto")=(INDEX(B1:XFD1,(A2)+(0))),((INDEX(B1:XFD1,(A2)+(1)))*(2))+(1),IF(("gotoiftrue")=(INDEX(B1:XFD1,(A2)+(0))),IF(B2,((INDEX(B1:XFD1,(A2)+(1)))*(2))+(1),(A160)+(2)),(A160)+(2)))),A160))</f>
        <v>#VALUE!</v>
      </c>
      <c r="B160" t="e">
        <f ca="1">IF((A1)=(2),1,IF((157)=(B3),IF(("push")=(INDEX(B1:XFD1,(A2)+(0))),INDEX(B1:XFD1,(A2)+(1)),IF(("load")=(INDEX(B1:XFD1,(A2)+(0))),INDEX(F2:XFD2,INDEX(B1:XFD1,(A2)+(1))),IF(("newheap")=(INDEX(B1:XFD1,(A2)+(0))),(C3)-(2),IF(("getheap")=(INDEX(B1:XFD1,(A2)+(0))),INDEX(C4:C204,(B160)+(1)),IF(("add")=(INDEX(B1:XFD1,(A2)+(0))),(INDEX(B4:B204,(B3)+(1)))+(B160),IF(("equals")=(INDEX(B1:XFD1,(A2)+(0))),(INDEX(B4:B204,(B3)+(1)))=(B160),IF(("leq")=(INDEX(B1:XFD1,(A2)+(0))),(INDEX(B4:B204,(B3)+(1)))&lt;=(B160),B160))))))),B160))</f>
        <v>#VALUE!</v>
      </c>
      <c r="C160" t="e">
        <f ca="1">IF((A1)=(2),1,IF(AND((INDEX(B1:XFD1,(A2)+(0)))=("writeheap"),(INDEX(B4:B204,(B3)+(1)))=(156)),INDEX(B4:B204,(B3)+(2)),IF((A1)=(2),1,IF((157)=(C3),C160,C160))))</f>
        <v>#VALUE!</v>
      </c>
      <c r="E160" t="e">
        <f ca="1">IF((A1)=(2),1,IF((157)=(E3),IF(("outputline")=(INDEX(B1:XFD1,(A2)+(0))),B2,E160),E160))</f>
        <v>#VALUE!</v>
      </c>
      <c r="F160" t="e">
        <f ca="1">IF((A1)=(2),1,IF((157)=(F3),IF(IF((INDEX(B1:XFD1,(A2)+(0)))=("store"),(INDEX(B1:XFD1,(A2)+(1)))=("F"),"false"),B2,F160),F160))</f>
        <v>#VALUE!</v>
      </c>
      <c r="G160" t="e">
        <f ca="1">IF((A1)=(2),1,IF((157)=(G3),IF(IF((INDEX(B1:XFD1,(A2)+(0)))=("store"),(INDEX(B1:XFD1,(A2)+(1)))=("G"),"false"),B2,G160),G160))</f>
        <v>#VALUE!</v>
      </c>
      <c r="H160" t="e">
        <f ca="1">IF((A1)=(2),1,IF((157)=(H3),IF(IF((INDEX(B1:XFD1,(A2)+(0)))=("store"),(INDEX(B1:XFD1,(A2)+(1)))=("H"),"false"),B2,H160),H160))</f>
        <v>#VALUE!</v>
      </c>
      <c r="I160" t="e">
        <f ca="1">IF((A1)=(2),1,IF((157)=(I3),IF(IF((INDEX(B1:XFD1,(A2)+(0)))=("store"),(INDEX(B1:XFD1,(A2)+(1)))=("I"),"false"),B2,I160),I160))</f>
        <v>#VALUE!</v>
      </c>
      <c r="J160" t="e">
        <f ca="1">IF((A1)=(2),1,IF((157)=(J3),IF(IF((INDEX(B1:XFD1,(A2)+(0)))=("store"),(INDEX(B1:XFD1,(A2)+(1)))=("J"),"false"),B2,J160),J160))</f>
        <v>#VALUE!</v>
      </c>
    </row>
    <row r="161" spans="1:10" x14ac:dyDescent="0.25">
      <c r="A161" t="e">
        <f ca="1">IF((A1)=(2),1,IF((158)=(A3),IF(("call")=(INDEX(B1:XFD1,(A2)+(0))),((B2)*(2))+(1),IF(("goto")=(INDEX(B1:XFD1,(A2)+(0))),((INDEX(B1:XFD1,(A2)+(1)))*(2))+(1),IF(("gotoiftrue")=(INDEX(B1:XFD1,(A2)+(0))),IF(B2,((INDEX(B1:XFD1,(A2)+(1)))*(2))+(1),(A161)+(2)),(A161)+(2)))),A161))</f>
        <v>#VALUE!</v>
      </c>
      <c r="B161" t="e">
        <f ca="1">IF((A1)=(2),1,IF((158)=(B3),IF(("push")=(INDEX(B1:XFD1,(A2)+(0))),INDEX(B1:XFD1,(A2)+(1)),IF(("load")=(INDEX(B1:XFD1,(A2)+(0))),INDEX(F2:XFD2,INDEX(B1:XFD1,(A2)+(1))),IF(("newheap")=(INDEX(B1:XFD1,(A2)+(0))),(C3)-(2),IF(("getheap")=(INDEX(B1:XFD1,(A2)+(0))),INDEX(C4:C204,(B161)+(1)),IF(("add")=(INDEX(B1:XFD1,(A2)+(0))),(INDEX(B4:B204,(B3)+(1)))+(B161),IF(("equals")=(INDEX(B1:XFD1,(A2)+(0))),(INDEX(B4:B204,(B3)+(1)))=(B161),IF(("leq")=(INDEX(B1:XFD1,(A2)+(0))),(INDEX(B4:B204,(B3)+(1)))&lt;=(B161),B161))))))),B161))</f>
        <v>#VALUE!</v>
      </c>
      <c r="C161" t="e">
        <f ca="1">IF((A1)=(2),1,IF(AND((INDEX(B1:XFD1,(A2)+(0)))=("writeheap"),(INDEX(B4:B204,(B3)+(1)))=(157)),INDEX(B4:B204,(B3)+(2)),IF((A1)=(2),1,IF((158)=(C3),C161,C161))))</f>
        <v>#VALUE!</v>
      </c>
      <c r="E161" t="e">
        <f ca="1">IF((A1)=(2),1,IF((158)=(E3),IF(("outputline")=(INDEX(B1:XFD1,(A2)+(0))),B2,E161),E161))</f>
        <v>#VALUE!</v>
      </c>
      <c r="F161" t="e">
        <f ca="1">IF((A1)=(2),1,IF((158)=(F3),IF(IF((INDEX(B1:XFD1,(A2)+(0)))=("store"),(INDEX(B1:XFD1,(A2)+(1)))=("F"),"false"),B2,F161),F161))</f>
        <v>#VALUE!</v>
      </c>
      <c r="G161" t="e">
        <f ca="1">IF((A1)=(2),1,IF((158)=(G3),IF(IF((INDEX(B1:XFD1,(A2)+(0)))=("store"),(INDEX(B1:XFD1,(A2)+(1)))=("G"),"false"),B2,G161),G161))</f>
        <v>#VALUE!</v>
      </c>
      <c r="H161" t="e">
        <f ca="1">IF((A1)=(2),1,IF((158)=(H3),IF(IF((INDEX(B1:XFD1,(A2)+(0)))=("store"),(INDEX(B1:XFD1,(A2)+(1)))=("H"),"false"),B2,H161),H161))</f>
        <v>#VALUE!</v>
      </c>
      <c r="I161" t="e">
        <f ca="1">IF((A1)=(2),1,IF((158)=(I3),IF(IF((INDEX(B1:XFD1,(A2)+(0)))=("store"),(INDEX(B1:XFD1,(A2)+(1)))=("I"),"false"),B2,I161),I161))</f>
        <v>#VALUE!</v>
      </c>
      <c r="J161" t="e">
        <f ca="1">IF((A1)=(2),1,IF((158)=(J3),IF(IF((INDEX(B1:XFD1,(A2)+(0)))=("store"),(INDEX(B1:XFD1,(A2)+(1)))=("J"),"false"),B2,J161),J161))</f>
        <v>#VALUE!</v>
      </c>
    </row>
    <row r="162" spans="1:10" x14ac:dyDescent="0.25">
      <c r="A162" t="e">
        <f ca="1">IF((A1)=(2),1,IF((159)=(A3),IF(("call")=(INDEX(B1:XFD1,(A2)+(0))),((B2)*(2))+(1),IF(("goto")=(INDEX(B1:XFD1,(A2)+(0))),((INDEX(B1:XFD1,(A2)+(1)))*(2))+(1),IF(("gotoiftrue")=(INDEX(B1:XFD1,(A2)+(0))),IF(B2,((INDEX(B1:XFD1,(A2)+(1)))*(2))+(1),(A162)+(2)),(A162)+(2)))),A162))</f>
        <v>#VALUE!</v>
      </c>
      <c r="B162" t="e">
        <f ca="1">IF((A1)=(2),1,IF((159)=(B3),IF(("push")=(INDEX(B1:XFD1,(A2)+(0))),INDEX(B1:XFD1,(A2)+(1)),IF(("load")=(INDEX(B1:XFD1,(A2)+(0))),INDEX(F2:XFD2,INDEX(B1:XFD1,(A2)+(1))),IF(("newheap")=(INDEX(B1:XFD1,(A2)+(0))),(C3)-(2),IF(("getheap")=(INDEX(B1:XFD1,(A2)+(0))),INDEX(C4:C204,(B162)+(1)),IF(("add")=(INDEX(B1:XFD1,(A2)+(0))),(INDEX(B4:B204,(B3)+(1)))+(B162),IF(("equals")=(INDEX(B1:XFD1,(A2)+(0))),(INDEX(B4:B204,(B3)+(1)))=(B162),IF(("leq")=(INDEX(B1:XFD1,(A2)+(0))),(INDEX(B4:B204,(B3)+(1)))&lt;=(B162),B162))))))),B162))</f>
        <v>#VALUE!</v>
      </c>
      <c r="C162" t="e">
        <f ca="1">IF((A1)=(2),1,IF(AND((INDEX(B1:XFD1,(A2)+(0)))=("writeheap"),(INDEX(B4:B204,(B3)+(1)))=(158)),INDEX(B4:B204,(B3)+(2)),IF((A1)=(2),1,IF((159)=(C3),C162,C162))))</f>
        <v>#VALUE!</v>
      </c>
      <c r="E162" t="e">
        <f ca="1">IF((A1)=(2),1,IF((159)=(E3),IF(("outputline")=(INDEX(B1:XFD1,(A2)+(0))),B2,E162),E162))</f>
        <v>#VALUE!</v>
      </c>
      <c r="F162" t="e">
        <f ca="1">IF((A1)=(2),1,IF((159)=(F3),IF(IF((INDEX(B1:XFD1,(A2)+(0)))=("store"),(INDEX(B1:XFD1,(A2)+(1)))=("F"),"false"),B2,F162),F162))</f>
        <v>#VALUE!</v>
      </c>
      <c r="G162" t="e">
        <f ca="1">IF((A1)=(2),1,IF((159)=(G3),IF(IF((INDEX(B1:XFD1,(A2)+(0)))=("store"),(INDEX(B1:XFD1,(A2)+(1)))=("G"),"false"),B2,G162),G162))</f>
        <v>#VALUE!</v>
      </c>
      <c r="H162" t="e">
        <f ca="1">IF((A1)=(2),1,IF((159)=(H3),IF(IF((INDEX(B1:XFD1,(A2)+(0)))=("store"),(INDEX(B1:XFD1,(A2)+(1)))=("H"),"false"),B2,H162),H162))</f>
        <v>#VALUE!</v>
      </c>
      <c r="I162" t="e">
        <f ca="1">IF((A1)=(2),1,IF((159)=(I3),IF(IF((INDEX(B1:XFD1,(A2)+(0)))=("store"),(INDEX(B1:XFD1,(A2)+(1)))=("I"),"false"),B2,I162),I162))</f>
        <v>#VALUE!</v>
      </c>
      <c r="J162" t="e">
        <f ca="1">IF((A1)=(2),1,IF((159)=(J3),IF(IF((INDEX(B1:XFD1,(A2)+(0)))=("store"),(INDEX(B1:XFD1,(A2)+(1)))=("J"),"false"),B2,J162),J162))</f>
        <v>#VALUE!</v>
      </c>
    </row>
    <row r="163" spans="1:10" x14ac:dyDescent="0.25">
      <c r="A163" t="e">
        <f ca="1">IF((A1)=(2),1,IF((160)=(A3),IF(("call")=(INDEX(B1:XFD1,(A2)+(0))),((B2)*(2))+(1),IF(("goto")=(INDEX(B1:XFD1,(A2)+(0))),((INDEX(B1:XFD1,(A2)+(1)))*(2))+(1),IF(("gotoiftrue")=(INDEX(B1:XFD1,(A2)+(0))),IF(B2,((INDEX(B1:XFD1,(A2)+(1)))*(2))+(1),(A163)+(2)),(A163)+(2)))),A163))</f>
        <v>#VALUE!</v>
      </c>
      <c r="B163" t="e">
        <f ca="1">IF((A1)=(2),1,IF((160)=(B3),IF(("push")=(INDEX(B1:XFD1,(A2)+(0))),INDEX(B1:XFD1,(A2)+(1)),IF(("load")=(INDEX(B1:XFD1,(A2)+(0))),INDEX(F2:XFD2,INDEX(B1:XFD1,(A2)+(1))),IF(("newheap")=(INDEX(B1:XFD1,(A2)+(0))),(C3)-(2),IF(("getheap")=(INDEX(B1:XFD1,(A2)+(0))),INDEX(C4:C204,(B163)+(1)),IF(("add")=(INDEX(B1:XFD1,(A2)+(0))),(INDEX(B4:B204,(B3)+(1)))+(B163),IF(("equals")=(INDEX(B1:XFD1,(A2)+(0))),(INDEX(B4:B204,(B3)+(1)))=(B163),IF(("leq")=(INDEX(B1:XFD1,(A2)+(0))),(INDEX(B4:B204,(B3)+(1)))&lt;=(B163),B163))))))),B163))</f>
        <v>#VALUE!</v>
      </c>
      <c r="C163" t="e">
        <f ca="1">IF((A1)=(2),1,IF(AND((INDEX(B1:XFD1,(A2)+(0)))=("writeheap"),(INDEX(B4:B204,(B3)+(1)))=(159)),INDEX(B4:B204,(B3)+(2)),IF((A1)=(2),1,IF((160)=(C3),C163,C163))))</f>
        <v>#VALUE!</v>
      </c>
      <c r="E163" t="e">
        <f ca="1">IF((A1)=(2),1,IF((160)=(E3),IF(("outputline")=(INDEX(B1:XFD1,(A2)+(0))),B2,E163),E163))</f>
        <v>#VALUE!</v>
      </c>
      <c r="F163" t="e">
        <f ca="1">IF((A1)=(2),1,IF((160)=(F3),IF(IF((INDEX(B1:XFD1,(A2)+(0)))=("store"),(INDEX(B1:XFD1,(A2)+(1)))=("F"),"false"),B2,F163),F163))</f>
        <v>#VALUE!</v>
      </c>
      <c r="G163" t="e">
        <f ca="1">IF((A1)=(2),1,IF((160)=(G3),IF(IF((INDEX(B1:XFD1,(A2)+(0)))=("store"),(INDEX(B1:XFD1,(A2)+(1)))=("G"),"false"),B2,G163),G163))</f>
        <v>#VALUE!</v>
      </c>
      <c r="H163" t="e">
        <f ca="1">IF((A1)=(2),1,IF((160)=(H3),IF(IF((INDEX(B1:XFD1,(A2)+(0)))=("store"),(INDEX(B1:XFD1,(A2)+(1)))=("H"),"false"),B2,H163),H163))</f>
        <v>#VALUE!</v>
      </c>
      <c r="I163" t="e">
        <f ca="1">IF((A1)=(2),1,IF((160)=(I3),IF(IF((INDEX(B1:XFD1,(A2)+(0)))=("store"),(INDEX(B1:XFD1,(A2)+(1)))=("I"),"false"),B2,I163),I163))</f>
        <v>#VALUE!</v>
      </c>
      <c r="J163" t="e">
        <f ca="1">IF((A1)=(2),1,IF((160)=(J3),IF(IF((INDEX(B1:XFD1,(A2)+(0)))=("store"),(INDEX(B1:XFD1,(A2)+(1)))=("J"),"false"),B2,J163),J163))</f>
        <v>#VALUE!</v>
      </c>
    </row>
    <row r="164" spans="1:10" x14ac:dyDescent="0.25">
      <c r="A164" t="e">
        <f ca="1">IF((A1)=(2),1,IF((161)=(A3),IF(("call")=(INDEX(B1:XFD1,(A2)+(0))),((B2)*(2))+(1),IF(("goto")=(INDEX(B1:XFD1,(A2)+(0))),((INDEX(B1:XFD1,(A2)+(1)))*(2))+(1),IF(("gotoiftrue")=(INDEX(B1:XFD1,(A2)+(0))),IF(B2,((INDEX(B1:XFD1,(A2)+(1)))*(2))+(1),(A164)+(2)),(A164)+(2)))),A164))</f>
        <v>#VALUE!</v>
      </c>
      <c r="B164" t="e">
        <f ca="1">IF((A1)=(2),1,IF((161)=(B3),IF(("push")=(INDEX(B1:XFD1,(A2)+(0))),INDEX(B1:XFD1,(A2)+(1)),IF(("load")=(INDEX(B1:XFD1,(A2)+(0))),INDEX(F2:XFD2,INDEX(B1:XFD1,(A2)+(1))),IF(("newheap")=(INDEX(B1:XFD1,(A2)+(0))),(C3)-(2),IF(("getheap")=(INDEX(B1:XFD1,(A2)+(0))),INDEX(C4:C204,(B164)+(1)),IF(("add")=(INDEX(B1:XFD1,(A2)+(0))),(INDEX(B4:B204,(B3)+(1)))+(B164),IF(("equals")=(INDEX(B1:XFD1,(A2)+(0))),(INDEX(B4:B204,(B3)+(1)))=(B164),IF(("leq")=(INDEX(B1:XFD1,(A2)+(0))),(INDEX(B4:B204,(B3)+(1)))&lt;=(B164),B164))))))),B164))</f>
        <v>#VALUE!</v>
      </c>
      <c r="C164" t="e">
        <f ca="1">IF((A1)=(2),1,IF(AND((INDEX(B1:XFD1,(A2)+(0)))=("writeheap"),(INDEX(B4:B204,(B3)+(1)))=(160)),INDEX(B4:B204,(B3)+(2)),IF((A1)=(2),1,IF((161)=(C3),C164,C164))))</f>
        <v>#VALUE!</v>
      </c>
      <c r="E164" t="e">
        <f ca="1">IF((A1)=(2),1,IF((161)=(E3),IF(("outputline")=(INDEX(B1:XFD1,(A2)+(0))),B2,E164),E164))</f>
        <v>#VALUE!</v>
      </c>
      <c r="F164" t="e">
        <f ca="1">IF((A1)=(2),1,IF((161)=(F3),IF(IF((INDEX(B1:XFD1,(A2)+(0)))=("store"),(INDEX(B1:XFD1,(A2)+(1)))=("F"),"false"),B2,F164),F164))</f>
        <v>#VALUE!</v>
      </c>
      <c r="G164" t="e">
        <f ca="1">IF((A1)=(2),1,IF((161)=(G3),IF(IF((INDEX(B1:XFD1,(A2)+(0)))=("store"),(INDEX(B1:XFD1,(A2)+(1)))=("G"),"false"),B2,G164),G164))</f>
        <v>#VALUE!</v>
      </c>
      <c r="H164" t="e">
        <f ca="1">IF((A1)=(2),1,IF((161)=(H3),IF(IF((INDEX(B1:XFD1,(A2)+(0)))=("store"),(INDEX(B1:XFD1,(A2)+(1)))=("H"),"false"),B2,H164),H164))</f>
        <v>#VALUE!</v>
      </c>
      <c r="I164" t="e">
        <f ca="1">IF((A1)=(2),1,IF((161)=(I3),IF(IF((INDEX(B1:XFD1,(A2)+(0)))=("store"),(INDEX(B1:XFD1,(A2)+(1)))=("I"),"false"),B2,I164),I164))</f>
        <v>#VALUE!</v>
      </c>
      <c r="J164" t="e">
        <f ca="1">IF((A1)=(2),1,IF((161)=(J3),IF(IF((INDEX(B1:XFD1,(A2)+(0)))=("store"),(INDEX(B1:XFD1,(A2)+(1)))=("J"),"false"),B2,J164),J164))</f>
        <v>#VALUE!</v>
      </c>
    </row>
    <row r="165" spans="1:10" x14ac:dyDescent="0.25">
      <c r="A165" t="e">
        <f ca="1">IF((A1)=(2),1,IF((162)=(A3),IF(("call")=(INDEX(B1:XFD1,(A2)+(0))),((B2)*(2))+(1),IF(("goto")=(INDEX(B1:XFD1,(A2)+(0))),((INDEX(B1:XFD1,(A2)+(1)))*(2))+(1),IF(("gotoiftrue")=(INDEX(B1:XFD1,(A2)+(0))),IF(B2,((INDEX(B1:XFD1,(A2)+(1)))*(2))+(1),(A165)+(2)),(A165)+(2)))),A165))</f>
        <v>#VALUE!</v>
      </c>
      <c r="B165" t="e">
        <f ca="1">IF((A1)=(2),1,IF((162)=(B3),IF(("push")=(INDEX(B1:XFD1,(A2)+(0))),INDEX(B1:XFD1,(A2)+(1)),IF(("load")=(INDEX(B1:XFD1,(A2)+(0))),INDEX(F2:XFD2,INDEX(B1:XFD1,(A2)+(1))),IF(("newheap")=(INDEX(B1:XFD1,(A2)+(0))),(C3)-(2),IF(("getheap")=(INDEX(B1:XFD1,(A2)+(0))),INDEX(C4:C204,(B165)+(1)),IF(("add")=(INDEX(B1:XFD1,(A2)+(0))),(INDEX(B4:B204,(B3)+(1)))+(B165),IF(("equals")=(INDEX(B1:XFD1,(A2)+(0))),(INDEX(B4:B204,(B3)+(1)))=(B165),IF(("leq")=(INDEX(B1:XFD1,(A2)+(0))),(INDEX(B4:B204,(B3)+(1)))&lt;=(B165),B165))))))),B165))</f>
        <v>#VALUE!</v>
      </c>
      <c r="C165" t="e">
        <f ca="1">IF((A1)=(2),1,IF(AND((INDEX(B1:XFD1,(A2)+(0)))=("writeheap"),(INDEX(B4:B204,(B3)+(1)))=(161)),INDEX(B4:B204,(B3)+(2)),IF((A1)=(2),1,IF((162)=(C3),C165,C165))))</f>
        <v>#VALUE!</v>
      </c>
      <c r="E165" t="e">
        <f ca="1">IF((A1)=(2),1,IF((162)=(E3),IF(("outputline")=(INDEX(B1:XFD1,(A2)+(0))),B2,E165),E165))</f>
        <v>#VALUE!</v>
      </c>
      <c r="F165" t="e">
        <f ca="1">IF((A1)=(2),1,IF((162)=(F3),IF(IF((INDEX(B1:XFD1,(A2)+(0)))=("store"),(INDEX(B1:XFD1,(A2)+(1)))=("F"),"false"),B2,F165),F165))</f>
        <v>#VALUE!</v>
      </c>
      <c r="G165" t="e">
        <f ca="1">IF((A1)=(2),1,IF((162)=(G3),IF(IF((INDEX(B1:XFD1,(A2)+(0)))=("store"),(INDEX(B1:XFD1,(A2)+(1)))=("G"),"false"),B2,G165),G165))</f>
        <v>#VALUE!</v>
      </c>
      <c r="H165" t="e">
        <f ca="1">IF((A1)=(2),1,IF((162)=(H3),IF(IF((INDEX(B1:XFD1,(A2)+(0)))=("store"),(INDEX(B1:XFD1,(A2)+(1)))=("H"),"false"),B2,H165),H165))</f>
        <v>#VALUE!</v>
      </c>
      <c r="I165" t="e">
        <f ca="1">IF((A1)=(2),1,IF((162)=(I3),IF(IF((INDEX(B1:XFD1,(A2)+(0)))=("store"),(INDEX(B1:XFD1,(A2)+(1)))=("I"),"false"),B2,I165),I165))</f>
        <v>#VALUE!</v>
      </c>
      <c r="J165" t="e">
        <f ca="1">IF((A1)=(2),1,IF((162)=(J3),IF(IF((INDEX(B1:XFD1,(A2)+(0)))=("store"),(INDEX(B1:XFD1,(A2)+(1)))=("J"),"false"),B2,J165),J165))</f>
        <v>#VALUE!</v>
      </c>
    </row>
    <row r="166" spans="1:10" x14ac:dyDescent="0.25">
      <c r="A166" t="e">
        <f ca="1">IF((A1)=(2),1,IF((163)=(A3),IF(("call")=(INDEX(B1:XFD1,(A2)+(0))),((B2)*(2))+(1),IF(("goto")=(INDEX(B1:XFD1,(A2)+(0))),((INDEX(B1:XFD1,(A2)+(1)))*(2))+(1),IF(("gotoiftrue")=(INDEX(B1:XFD1,(A2)+(0))),IF(B2,((INDEX(B1:XFD1,(A2)+(1)))*(2))+(1),(A166)+(2)),(A166)+(2)))),A166))</f>
        <v>#VALUE!</v>
      </c>
      <c r="B166" t="e">
        <f ca="1">IF((A1)=(2),1,IF((163)=(B3),IF(("push")=(INDEX(B1:XFD1,(A2)+(0))),INDEX(B1:XFD1,(A2)+(1)),IF(("load")=(INDEX(B1:XFD1,(A2)+(0))),INDEX(F2:XFD2,INDEX(B1:XFD1,(A2)+(1))),IF(("newheap")=(INDEX(B1:XFD1,(A2)+(0))),(C3)-(2),IF(("getheap")=(INDEX(B1:XFD1,(A2)+(0))),INDEX(C4:C204,(B166)+(1)),IF(("add")=(INDEX(B1:XFD1,(A2)+(0))),(INDEX(B4:B204,(B3)+(1)))+(B166),IF(("equals")=(INDEX(B1:XFD1,(A2)+(0))),(INDEX(B4:B204,(B3)+(1)))=(B166),IF(("leq")=(INDEX(B1:XFD1,(A2)+(0))),(INDEX(B4:B204,(B3)+(1)))&lt;=(B166),B166))))))),B166))</f>
        <v>#VALUE!</v>
      </c>
      <c r="C166" t="e">
        <f ca="1">IF((A1)=(2),1,IF(AND((INDEX(B1:XFD1,(A2)+(0)))=("writeheap"),(INDEX(B4:B204,(B3)+(1)))=(162)),INDEX(B4:B204,(B3)+(2)),IF((A1)=(2),1,IF((163)=(C3),C166,C166))))</f>
        <v>#VALUE!</v>
      </c>
      <c r="E166" t="e">
        <f ca="1">IF((A1)=(2),1,IF((163)=(E3),IF(("outputline")=(INDEX(B1:XFD1,(A2)+(0))),B2,E166),E166))</f>
        <v>#VALUE!</v>
      </c>
      <c r="F166" t="e">
        <f ca="1">IF((A1)=(2),1,IF((163)=(F3),IF(IF((INDEX(B1:XFD1,(A2)+(0)))=("store"),(INDEX(B1:XFD1,(A2)+(1)))=("F"),"false"),B2,F166),F166))</f>
        <v>#VALUE!</v>
      </c>
      <c r="G166" t="e">
        <f ca="1">IF((A1)=(2),1,IF((163)=(G3),IF(IF((INDEX(B1:XFD1,(A2)+(0)))=("store"),(INDEX(B1:XFD1,(A2)+(1)))=("G"),"false"),B2,G166),G166))</f>
        <v>#VALUE!</v>
      </c>
      <c r="H166" t="e">
        <f ca="1">IF((A1)=(2),1,IF((163)=(H3),IF(IF((INDEX(B1:XFD1,(A2)+(0)))=("store"),(INDEX(B1:XFD1,(A2)+(1)))=("H"),"false"),B2,H166),H166))</f>
        <v>#VALUE!</v>
      </c>
      <c r="I166" t="e">
        <f ca="1">IF((A1)=(2),1,IF((163)=(I3),IF(IF((INDEX(B1:XFD1,(A2)+(0)))=("store"),(INDEX(B1:XFD1,(A2)+(1)))=("I"),"false"),B2,I166),I166))</f>
        <v>#VALUE!</v>
      </c>
      <c r="J166" t="e">
        <f ca="1">IF((A1)=(2),1,IF((163)=(J3),IF(IF((INDEX(B1:XFD1,(A2)+(0)))=("store"),(INDEX(B1:XFD1,(A2)+(1)))=("J"),"false"),B2,J166),J166))</f>
        <v>#VALUE!</v>
      </c>
    </row>
    <row r="167" spans="1:10" x14ac:dyDescent="0.25">
      <c r="A167" t="e">
        <f ca="1">IF((A1)=(2),1,IF((164)=(A3),IF(("call")=(INDEX(B1:XFD1,(A2)+(0))),((B2)*(2))+(1),IF(("goto")=(INDEX(B1:XFD1,(A2)+(0))),((INDEX(B1:XFD1,(A2)+(1)))*(2))+(1),IF(("gotoiftrue")=(INDEX(B1:XFD1,(A2)+(0))),IF(B2,((INDEX(B1:XFD1,(A2)+(1)))*(2))+(1),(A167)+(2)),(A167)+(2)))),A167))</f>
        <v>#VALUE!</v>
      </c>
      <c r="B167" t="e">
        <f ca="1">IF((A1)=(2),1,IF((164)=(B3),IF(("push")=(INDEX(B1:XFD1,(A2)+(0))),INDEX(B1:XFD1,(A2)+(1)),IF(("load")=(INDEX(B1:XFD1,(A2)+(0))),INDEX(F2:XFD2,INDEX(B1:XFD1,(A2)+(1))),IF(("newheap")=(INDEX(B1:XFD1,(A2)+(0))),(C3)-(2),IF(("getheap")=(INDEX(B1:XFD1,(A2)+(0))),INDEX(C4:C204,(B167)+(1)),IF(("add")=(INDEX(B1:XFD1,(A2)+(0))),(INDEX(B4:B204,(B3)+(1)))+(B167),IF(("equals")=(INDEX(B1:XFD1,(A2)+(0))),(INDEX(B4:B204,(B3)+(1)))=(B167),IF(("leq")=(INDEX(B1:XFD1,(A2)+(0))),(INDEX(B4:B204,(B3)+(1)))&lt;=(B167),B167))))))),B167))</f>
        <v>#VALUE!</v>
      </c>
      <c r="C167" t="e">
        <f ca="1">IF((A1)=(2),1,IF(AND((INDEX(B1:XFD1,(A2)+(0)))=("writeheap"),(INDEX(B4:B204,(B3)+(1)))=(163)),INDEX(B4:B204,(B3)+(2)),IF((A1)=(2),1,IF((164)=(C3),C167,C167))))</f>
        <v>#VALUE!</v>
      </c>
      <c r="E167" t="e">
        <f ca="1">IF((A1)=(2),1,IF((164)=(E3),IF(("outputline")=(INDEX(B1:XFD1,(A2)+(0))),B2,E167),E167))</f>
        <v>#VALUE!</v>
      </c>
      <c r="F167" t="e">
        <f ca="1">IF((A1)=(2),1,IF((164)=(F3),IF(IF((INDEX(B1:XFD1,(A2)+(0)))=("store"),(INDEX(B1:XFD1,(A2)+(1)))=("F"),"false"),B2,F167),F167))</f>
        <v>#VALUE!</v>
      </c>
      <c r="G167" t="e">
        <f ca="1">IF((A1)=(2),1,IF((164)=(G3),IF(IF((INDEX(B1:XFD1,(A2)+(0)))=("store"),(INDEX(B1:XFD1,(A2)+(1)))=("G"),"false"),B2,G167),G167))</f>
        <v>#VALUE!</v>
      </c>
      <c r="H167" t="e">
        <f ca="1">IF((A1)=(2),1,IF((164)=(H3),IF(IF((INDEX(B1:XFD1,(A2)+(0)))=("store"),(INDEX(B1:XFD1,(A2)+(1)))=("H"),"false"),B2,H167),H167))</f>
        <v>#VALUE!</v>
      </c>
      <c r="I167" t="e">
        <f ca="1">IF((A1)=(2),1,IF((164)=(I3),IF(IF((INDEX(B1:XFD1,(A2)+(0)))=("store"),(INDEX(B1:XFD1,(A2)+(1)))=("I"),"false"),B2,I167),I167))</f>
        <v>#VALUE!</v>
      </c>
      <c r="J167" t="e">
        <f ca="1">IF((A1)=(2),1,IF((164)=(J3),IF(IF((INDEX(B1:XFD1,(A2)+(0)))=("store"),(INDEX(B1:XFD1,(A2)+(1)))=("J"),"false"),B2,J167),J167))</f>
        <v>#VALUE!</v>
      </c>
    </row>
    <row r="168" spans="1:10" x14ac:dyDescent="0.25">
      <c r="A168" t="e">
        <f ca="1">IF((A1)=(2),1,IF((165)=(A3),IF(("call")=(INDEX(B1:XFD1,(A2)+(0))),((B2)*(2))+(1),IF(("goto")=(INDEX(B1:XFD1,(A2)+(0))),((INDEX(B1:XFD1,(A2)+(1)))*(2))+(1),IF(("gotoiftrue")=(INDEX(B1:XFD1,(A2)+(0))),IF(B2,((INDEX(B1:XFD1,(A2)+(1)))*(2))+(1),(A168)+(2)),(A168)+(2)))),A168))</f>
        <v>#VALUE!</v>
      </c>
      <c r="B168" t="e">
        <f ca="1">IF((A1)=(2),1,IF((165)=(B3),IF(("push")=(INDEX(B1:XFD1,(A2)+(0))),INDEX(B1:XFD1,(A2)+(1)),IF(("load")=(INDEX(B1:XFD1,(A2)+(0))),INDEX(F2:XFD2,INDEX(B1:XFD1,(A2)+(1))),IF(("newheap")=(INDEX(B1:XFD1,(A2)+(0))),(C3)-(2),IF(("getheap")=(INDEX(B1:XFD1,(A2)+(0))),INDEX(C4:C204,(B168)+(1)),IF(("add")=(INDEX(B1:XFD1,(A2)+(0))),(INDEX(B4:B204,(B3)+(1)))+(B168),IF(("equals")=(INDEX(B1:XFD1,(A2)+(0))),(INDEX(B4:B204,(B3)+(1)))=(B168),IF(("leq")=(INDEX(B1:XFD1,(A2)+(0))),(INDEX(B4:B204,(B3)+(1)))&lt;=(B168),B168))))))),B168))</f>
        <v>#VALUE!</v>
      </c>
      <c r="C168" t="e">
        <f ca="1">IF((A1)=(2),1,IF(AND((INDEX(B1:XFD1,(A2)+(0)))=("writeheap"),(INDEX(B4:B204,(B3)+(1)))=(164)),INDEX(B4:B204,(B3)+(2)),IF((A1)=(2),1,IF((165)=(C3),C168,C168))))</f>
        <v>#VALUE!</v>
      </c>
      <c r="E168" t="e">
        <f ca="1">IF((A1)=(2),1,IF((165)=(E3),IF(("outputline")=(INDEX(B1:XFD1,(A2)+(0))),B2,E168),E168))</f>
        <v>#VALUE!</v>
      </c>
      <c r="F168" t="e">
        <f ca="1">IF((A1)=(2),1,IF((165)=(F3),IF(IF((INDEX(B1:XFD1,(A2)+(0)))=("store"),(INDEX(B1:XFD1,(A2)+(1)))=("F"),"false"),B2,F168),F168))</f>
        <v>#VALUE!</v>
      </c>
      <c r="G168" t="e">
        <f ca="1">IF((A1)=(2),1,IF((165)=(G3),IF(IF((INDEX(B1:XFD1,(A2)+(0)))=("store"),(INDEX(B1:XFD1,(A2)+(1)))=("G"),"false"),B2,G168),G168))</f>
        <v>#VALUE!</v>
      </c>
      <c r="H168" t="e">
        <f ca="1">IF((A1)=(2),1,IF((165)=(H3),IF(IF((INDEX(B1:XFD1,(A2)+(0)))=("store"),(INDEX(B1:XFD1,(A2)+(1)))=("H"),"false"),B2,H168),H168))</f>
        <v>#VALUE!</v>
      </c>
      <c r="I168" t="e">
        <f ca="1">IF((A1)=(2),1,IF((165)=(I3),IF(IF((INDEX(B1:XFD1,(A2)+(0)))=("store"),(INDEX(B1:XFD1,(A2)+(1)))=("I"),"false"),B2,I168),I168))</f>
        <v>#VALUE!</v>
      </c>
      <c r="J168" t="e">
        <f ca="1">IF((A1)=(2),1,IF((165)=(J3),IF(IF((INDEX(B1:XFD1,(A2)+(0)))=("store"),(INDEX(B1:XFD1,(A2)+(1)))=("J"),"false"),B2,J168),J168))</f>
        <v>#VALUE!</v>
      </c>
    </row>
    <row r="169" spans="1:10" x14ac:dyDescent="0.25">
      <c r="A169" t="e">
        <f ca="1">IF((A1)=(2),1,IF((166)=(A3),IF(("call")=(INDEX(B1:XFD1,(A2)+(0))),((B2)*(2))+(1),IF(("goto")=(INDEX(B1:XFD1,(A2)+(0))),((INDEX(B1:XFD1,(A2)+(1)))*(2))+(1),IF(("gotoiftrue")=(INDEX(B1:XFD1,(A2)+(0))),IF(B2,((INDEX(B1:XFD1,(A2)+(1)))*(2))+(1),(A169)+(2)),(A169)+(2)))),A169))</f>
        <v>#VALUE!</v>
      </c>
      <c r="B169" t="e">
        <f ca="1">IF((A1)=(2),1,IF((166)=(B3),IF(("push")=(INDEX(B1:XFD1,(A2)+(0))),INDEX(B1:XFD1,(A2)+(1)),IF(("load")=(INDEX(B1:XFD1,(A2)+(0))),INDEX(F2:XFD2,INDEX(B1:XFD1,(A2)+(1))),IF(("newheap")=(INDEX(B1:XFD1,(A2)+(0))),(C3)-(2),IF(("getheap")=(INDEX(B1:XFD1,(A2)+(0))),INDEX(C4:C204,(B169)+(1)),IF(("add")=(INDEX(B1:XFD1,(A2)+(0))),(INDEX(B4:B204,(B3)+(1)))+(B169),IF(("equals")=(INDEX(B1:XFD1,(A2)+(0))),(INDEX(B4:B204,(B3)+(1)))=(B169),IF(("leq")=(INDEX(B1:XFD1,(A2)+(0))),(INDEX(B4:B204,(B3)+(1)))&lt;=(B169),B169))))))),B169))</f>
        <v>#VALUE!</v>
      </c>
      <c r="C169" t="e">
        <f ca="1">IF((A1)=(2),1,IF(AND((INDEX(B1:XFD1,(A2)+(0)))=("writeheap"),(INDEX(B4:B204,(B3)+(1)))=(165)),INDEX(B4:B204,(B3)+(2)),IF((A1)=(2),1,IF((166)=(C3),C169,C169))))</f>
        <v>#VALUE!</v>
      </c>
      <c r="E169" t="e">
        <f ca="1">IF((A1)=(2),1,IF((166)=(E3),IF(("outputline")=(INDEX(B1:XFD1,(A2)+(0))),B2,E169),E169))</f>
        <v>#VALUE!</v>
      </c>
      <c r="F169" t="e">
        <f ca="1">IF((A1)=(2),1,IF((166)=(F3),IF(IF((INDEX(B1:XFD1,(A2)+(0)))=("store"),(INDEX(B1:XFD1,(A2)+(1)))=("F"),"false"),B2,F169),F169))</f>
        <v>#VALUE!</v>
      </c>
      <c r="G169" t="e">
        <f ca="1">IF((A1)=(2),1,IF((166)=(G3),IF(IF((INDEX(B1:XFD1,(A2)+(0)))=("store"),(INDEX(B1:XFD1,(A2)+(1)))=("G"),"false"),B2,G169),G169))</f>
        <v>#VALUE!</v>
      </c>
      <c r="H169" t="e">
        <f ca="1">IF((A1)=(2),1,IF((166)=(H3),IF(IF((INDEX(B1:XFD1,(A2)+(0)))=("store"),(INDEX(B1:XFD1,(A2)+(1)))=("H"),"false"),B2,H169),H169))</f>
        <v>#VALUE!</v>
      </c>
      <c r="I169" t="e">
        <f ca="1">IF((A1)=(2),1,IF((166)=(I3),IF(IF((INDEX(B1:XFD1,(A2)+(0)))=("store"),(INDEX(B1:XFD1,(A2)+(1)))=("I"),"false"),B2,I169),I169))</f>
        <v>#VALUE!</v>
      </c>
      <c r="J169" t="e">
        <f ca="1">IF((A1)=(2),1,IF((166)=(J3),IF(IF((INDEX(B1:XFD1,(A2)+(0)))=("store"),(INDEX(B1:XFD1,(A2)+(1)))=("J"),"false"),B2,J169),J169))</f>
        <v>#VALUE!</v>
      </c>
    </row>
    <row r="170" spans="1:10" x14ac:dyDescent="0.25">
      <c r="A170" t="e">
        <f ca="1">IF((A1)=(2),1,IF((167)=(A3),IF(("call")=(INDEX(B1:XFD1,(A2)+(0))),((B2)*(2))+(1),IF(("goto")=(INDEX(B1:XFD1,(A2)+(0))),((INDEX(B1:XFD1,(A2)+(1)))*(2))+(1),IF(("gotoiftrue")=(INDEX(B1:XFD1,(A2)+(0))),IF(B2,((INDEX(B1:XFD1,(A2)+(1)))*(2))+(1),(A170)+(2)),(A170)+(2)))),A170))</f>
        <v>#VALUE!</v>
      </c>
      <c r="B170" t="e">
        <f ca="1">IF((A1)=(2),1,IF((167)=(B3),IF(("push")=(INDEX(B1:XFD1,(A2)+(0))),INDEX(B1:XFD1,(A2)+(1)),IF(("load")=(INDEX(B1:XFD1,(A2)+(0))),INDEX(F2:XFD2,INDEX(B1:XFD1,(A2)+(1))),IF(("newheap")=(INDEX(B1:XFD1,(A2)+(0))),(C3)-(2),IF(("getheap")=(INDEX(B1:XFD1,(A2)+(0))),INDEX(C4:C204,(B170)+(1)),IF(("add")=(INDEX(B1:XFD1,(A2)+(0))),(INDEX(B4:B204,(B3)+(1)))+(B170),IF(("equals")=(INDEX(B1:XFD1,(A2)+(0))),(INDEX(B4:B204,(B3)+(1)))=(B170),IF(("leq")=(INDEX(B1:XFD1,(A2)+(0))),(INDEX(B4:B204,(B3)+(1)))&lt;=(B170),B170))))))),B170))</f>
        <v>#VALUE!</v>
      </c>
      <c r="C170" t="e">
        <f ca="1">IF((A1)=(2),1,IF(AND((INDEX(B1:XFD1,(A2)+(0)))=("writeheap"),(INDEX(B4:B204,(B3)+(1)))=(166)),INDEX(B4:B204,(B3)+(2)),IF((A1)=(2),1,IF((167)=(C3),C170,C170))))</f>
        <v>#VALUE!</v>
      </c>
      <c r="E170" t="e">
        <f ca="1">IF((A1)=(2),1,IF((167)=(E3),IF(("outputline")=(INDEX(B1:XFD1,(A2)+(0))),B2,E170),E170))</f>
        <v>#VALUE!</v>
      </c>
      <c r="F170" t="e">
        <f ca="1">IF((A1)=(2),1,IF((167)=(F3),IF(IF((INDEX(B1:XFD1,(A2)+(0)))=("store"),(INDEX(B1:XFD1,(A2)+(1)))=("F"),"false"),B2,F170),F170))</f>
        <v>#VALUE!</v>
      </c>
      <c r="G170" t="e">
        <f ca="1">IF((A1)=(2),1,IF((167)=(G3),IF(IF((INDEX(B1:XFD1,(A2)+(0)))=("store"),(INDEX(B1:XFD1,(A2)+(1)))=("G"),"false"),B2,G170),G170))</f>
        <v>#VALUE!</v>
      </c>
      <c r="H170" t="e">
        <f ca="1">IF((A1)=(2),1,IF((167)=(H3),IF(IF((INDEX(B1:XFD1,(A2)+(0)))=("store"),(INDEX(B1:XFD1,(A2)+(1)))=("H"),"false"),B2,H170),H170))</f>
        <v>#VALUE!</v>
      </c>
      <c r="I170" t="e">
        <f ca="1">IF((A1)=(2),1,IF((167)=(I3),IF(IF((INDEX(B1:XFD1,(A2)+(0)))=("store"),(INDEX(B1:XFD1,(A2)+(1)))=("I"),"false"),B2,I170),I170))</f>
        <v>#VALUE!</v>
      </c>
      <c r="J170" t="e">
        <f ca="1">IF((A1)=(2),1,IF((167)=(J3),IF(IF((INDEX(B1:XFD1,(A2)+(0)))=("store"),(INDEX(B1:XFD1,(A2)+(1)))=("J"),"false"),B2,J170),J170))</f>
        <v>#VALUE!</v>
      </c>
    </row>
    <row r="171" spans="1:10" x14ac:dyDescent="0.25">
      <c r="A171" t="e">
        <f ca="1">IF((A1)=(2),1,IF((168)=(A3),IF(("call")=(INDEX(B1:XFD1,(A2)+(0))),((B2)*(2))+(1),IF(("goto")=(INDEX(B1:XFD1,(A2)+(0))),((INDEX(B1:XFD1,(A2)+(1)))*(2))+(1),IF(("gotoiftrue")=(INDEX(B1:XFD1,(A2)+(0))),IF(B2,((INDEX(B1:XFD1,(A2)+(1)))*(2))+(1),(A171)+(2)),(A171)+(2)))),A171))</f>
        <v>#VALUE!</v>
      </c>
      <c r="B171" t="e">
        <f ca="1">IF((A1)=(2),1,IF((168)=(B3),IF(("push")=(INDEX(B1:XFD1,(A2)+(0))),INDEX(B1:XFD1,(A2)+(1)),IF(("load")=(INDEX(B1:XFD1,(A2)+(0))),INDEX(F2:XFD2,INDEX(B1:XFD1,(A2)+(1))),IF(("newheap")=(INDEX(B1:XFD1,(A2)+(0))),(C3)-(2),IF(("getheap")=(INDEX(B1:XFD1,(A2)+(0))),INDEX(C4:C204,(B171)+(1)),IF(("add")=(INDEX(B1:XFD1,(A2)+(0))),(INDEX(B4:B204,(B3)+(1)))+(B171),IF(("equals")=(INDEX(B1:XFD1,(A2)+(0))),(INDEX(B4:B204,(B3)+(1)))=(B171),IF(("leq")=(INDEX(B1:XFD1,(A2)+(0))),(INDEX(B4:B204,(B3)+(1)))&lt;=(B171),B171))))))),B171))</f>
        <v>#VALUE!</v>
      </c>
      <c r="C171" t="e">
        <f ca="1">IF((A1)=(2),1,IF(AND((INDEX(B1:XFD1,(A2)+(0)))=("writeheap"),(INDEX(B4:B204,(B3)+(1)))=(167)),INDEX(B4:B204,(B3)+(2)),IF((A1)=(2),1,IF((168)=(C3),C171,C171))))</f>
        <v>#VALUE!</v>
      </c>
      <c r="E171" t="e">
        <f ca="1">IF((A1)=(2),1,IF((168)=(E3),IF(("outputline")=(INDEX(B1:XFD1,(A2)+(0))),B2,E171),E171))</f>
        <v>#VALUE!</v>
      </c>
      <c r="F171" t="e">
        <f ca="1">IF((A1)=(2),1,IF((168)=(F3),IF(IF((INDEX(B1:XFD1,(A2)+(0)))=("store"),(INDEX(B1:XFD1,(A2)+(1)))=("F"),"false"),B2,F171),F171))</f>
        <v>#VALUE!</v>
      </c>
      <c r="G171" t="e">
        <f ca="1">IF((A1)=(2),1,IF((168)=(G3),IF(IF((INDEX(B1:XFD1,(A2)+(0)))=("store"),(INDEX(B1:XFD1,(A2)+(1)))=("G"),"false"),B2,G171),G171))</f>
        <v>#VALUE!</v>
      </c>
      <c r="H171" t="e">
        <f ca="1">IF((A1)=(2),1,IF((168)=(H3),IF(IF((INDEX(B1:XFD1,(A2)+(0)))=("store"),(INDEX(B1:XFD1,(A2)+(1)))=("H"),"false"),B2,H171),H171))</f>
        <v>#VALUE!</v>
      </c>
      <c r="I171" t="e">
        <f ca="1">IF((A1)=(2),1,IF((168)=(I3),IF(IF((INDEX(B1:XFD1,(A2)+(0)))=("store"),(INDEX(B1:XFD1,(A2)+(1)))=("I"),"false"),B2,I171),I171))</f>
        <v>#VALUE!</v>
      </c>
      <c r="J171" t="e">
        <f ca="1">IF((A1)=(2),1,IF((168)=(J3),IF(IF((INDEX(B1:XFD1,(A2)+(0)))=("store"),(INDEX(B1:XFD1,(A2)+(1)))=("J"),"false"),B2,J171),J171))</f>
        <v>#VALUE!</v>
      </c>
    </row>
    <row r="172" spans="1:10" x14ac:dyDescent="0.25">
      <c r="A172" t="e">
        <f ca="1">IF((A1)=(2),1,IF((169)=(A3),IF(("call")=(INDEX(B1:XFD1,(A2)+(0))),((B2)*(2))+(1),IF(("goto")=(INDEX(B1:XFD1,(A2)+(0))),((INDEX(B1:XFD1,(A2)+(1)))*(2))+(1),IF(("gotoiftrue")=(INDEX(B1:XFD1,(A2)+(0))),IF(B2,((INDEX(B1:XFD1,(A2)+(1)))*(2))+(1),(A172)+(2)),(A172)+(2)))),A172))</f>
        <v>#VALUE!</v>
      </c>
      <c r="B172" t="e">
        <f ca="1">IF((A1)=(2),1,IF((169)=(B3),IF(("push")=(INDEX(B1:XFD1,(A2)+(0))),INDEX(B1:XFD1,(A2)+(1)),IF(("load")=(INDEX(B1:XFD1,(A2)+(0))),INDEX(F2:XFD2,INDEX(B1:XFD1,(A2)+(1))),IF(("newheap")=(INDEX(B1:XFD1,(A2)+(0))),(C3)-(2),IF(("getheap")=(INDEX(B1:XFD1,(A2)+(0))),INDEX(C4:C204,(B172)+(1)),IF(("add")=(INDEX(B1:XFD1,(A2)+(0))),(INDEX(B4:B204,(B3)+(1)))+(B172),IF(("equals")=(INDEX(B1:XFD1,(A2)+(0))),(INDEX(B4:B204,(B3)+(1)))=(B172),IF(("leq")=(INDEX(B1:XFD1,(A2)+(0))),(INDEX(B4:B204,(B3)+(1)))&lt;=(B172),B172))))))),B172))</f>
        <v>#VALUE!</v>
      </c>
      <c r="C172" t="e">
        <f ca="1">IF((A1)=(2),1,IF(AND((INDEX(B1:XFD1,(A2)+(0)))=("writeheap"),(INDEX(B4:B204,(B3)+(1)))=(168)),INDEX(B4:B204,(B3)+(2)),IF((A1)=(2),1,IF((169)=(C3),C172,C172))))</f>
        <v>#VALUE!</v>
      </c>
      <c r="E172" t="e">
        <f ca="1">IF((A1)=(2),1,IF((169)=(E3),IF(("outputline")=(INDEX(B1:XFD1,(A2)+(0))),B2,E172),E172))</f>
        <v>#VALUE!</v>
      </c>
      <c r="F172" t="e">
        <f ca="1">IF((A1)=(2),1,IF((169)=(F3),IF(IF((INDEX(B1:XFD1,(A2)+(0)))=("store"),(INDEX(B1:XFD1,(A2)+(1)))=("F"),"false"),B2,F172),F172))</f>
        <v>#VALUE!</v>
      </c>
      <c r="G172" t="e">
        <f ca="1">IF((A1)=(2),1,IF((169)=(G3),IF(IF((INDEX(B1:XFD1,(A2)+(0)))=("store"),(INDEX(B1:XFD1,(A2)+(1)))=("G"),"false"),B2,G172),G172))</f>
        <v>#VALUE!</v>
      </c>
      <c r="H172" t="e">
        <f ca="1">IF((A1)=(2),1,IF((169)=(H3),IF(IF((INDEX(B1:XFD1,(A2)+(0)))=("store"),(INDEX(B1:XFD1,(A2)+(1)))=("H"),"false"),B2,H172),H172))</f>
        <v>#VALUE!</v>
      </c>
      <c r="I172" t="e">
        <f ca="1">IF((A1)=(2),1,IF((169)=(I3),IF(IF((INDEX(B1:XFD1,(A2)+(0)))=("store"),(INDEX(B1:XFD1,(A2)+(1)))=("I"),"false"),B2,I172),I172))</f>
        <v>#VALUE!</v>
      </c>
      <c r="J172" t="e">
        <f ca="1">IF((A1)=(2),1,IF((169)=(J3),IF(IF((INDEX(B1:XFD1,(A2)+(0)))=("store"),(INDEX(B1:XFD1,(A2)+(1)))=("J"),"false"),B2,J172),J172))</f>
        <v>#VALUE!</v>
      </c>
    </row>
    <row r="173" spans="1:10" x14ac:dyDescent="0.25">
      <c r="A173" t="e">
        <f ca="1">IF((A1)=(2),1,IF((170)=(A3),IF(("call")=(INDEX(B1:XFD1,(A2)+(0))),((B2)*(2))+(1),IF(("goto")=(INDEX(B1:XFD1,(A2)+(0))),((INDEX(B1:XFD1,(A2)+(1)))*(2))+(1),IF(("gotoiftrue")=(INDEX(B1:XFD1,(A2)+(0))),IF(B2,((INDEX(B1:XFD1,(A2)+(1)))*(2))+(1),(A173)+(2)),(A173)+(2)))),A173))</f>
        <v>#VALUE!</v>
      </c>
      <c r="B173" t="e">
        <f ca="1">IF((A1)=(2),1,IF((170)=(B3),IF(("push")=(INDEX(B1:XFD1,(A2)+(0))),INDEX(B1:XFD1,(A2)+(1)),IF(("load")=(INDEX(B1:XFD1,(A2)+(0))),INDEX(F2:XFD2,INDEX(B1:XFD1,(A2)+(1))),IF(("newheap")=(INDEX(B1:XFD1,(A2)+(0))),(C3)-(2),IF(("getheap")=(INDEX(B1:XFD1,(A2)+(0))),INDEX(C4:C204,(B173)+(1)),IF(("add")=(INDEX(B1:XFD1,(A2)+(0))),(INDEX(B4:B204,(B3)+(1)))+(B173),IF(("equals")=(INDEX(B1:XFD1,(A2)+(0))),(INDEX(B4:B204,(B3)+(1)))=(B173),IF(("leq")=(INDEX(B1:XFD1,(A2)+(0))),(INDEX(B4:B204,(B3)+(1)))&lt;=(B173),B173))))))),B173))</f>
        <v>#VALUE!</v>
      </c>
      <c r="C173" t="e">
        <f ca="1">IF((A1)=(2),1,IF(AND((INDEX(B1:XFD1,(A2)+(0)))=("writeheap"),(INDEX(B4:B204,(B3)+(1)))=(169)),INDEX(B4:B204,(B3)+(2)),IF((A1)=(2),1,IF((170)=(C3),C173,C173))))</f>
        <v>#VALUE!</v>
      </c>
      <c r="E173" t="e">
        <f ca="1">IF((A1)=(2),1,IF((170)=(E3),IF(("outputline")=(INDEX(B1:XFD1,(A2)+(0))),B2,E173),E173))</f>
        <v>#VALUE!</v>
      </c>
      <c r="F173" t="e">
        <f ca="1">IF((A1)=(2),1,IF((170)=(F3),IF(IF((INDEX(B1:XFD1,(A2)+(0)))=("store"),(INDEX(B1:XFD1,(A2)+(1)))=("F"),"false"),B2,F173),F173))</f>
        <v>#VALUE!</v>
      </c>
      <c r="G173" t="e">
        <f ca="1">IF((A1)=(2),1,IF((170)=(G3),IF(IF((INDEX(B1:XFD1,(A2)+(0)))=("store"),(INDEX(B1:XFD1,(A2)+(1)))=("G"),"false"),B2,G173),G173))</f>
        <v>#VALUE!</v>
      </c>
      <c r="H173" t="e">
        <f ca="1">IF((A1)=(2),1,IF((170)=(H3),IF(IF((INDEX(B1:XFD1,(A2)+(0)))=("store"),(INDEX(B1:XFD1,(A2)+(1)))=("H"),"false"),B2,H173),H173))</f>
        <v>#VALUE!</v>
      </c>
      <c r="I173" t="e">
        <f ca="1">IF((A1)=(2),1,IF((170)=(I3),IF(IF((INDEX(B1:XFD1,(A2)+(0)))=("store"),(INDEX(B1:XFD1,(A2)+(1)))=("I"),"false"),B2,I173),I173))</f>
        <v>#VALUE!</v>
      </c>
      <c r="J173" t="e">
        <f ca="1">IF((A1)=(2),1,IF((170)=(J3),IF(IF((INDEX(B1:XFD1,(A2)+(0)))=("store"),(INDEX(B1:XFD1,(A2)+(1)))=("J"),"false"),B2,J173),J173))</f>
        <v>#VALUE!</v>
      </c>
    </row>
    <row r="174" spans="1:10" x14ac:dyDescent="0.25">
      <c r="A174" t="e">
        <f ca="1">IF((A1)=(2),1,IF((171)=(A3),IF(("call")=(INDEX(B1:XFD1,(A2)+(0))),((B2)*(2))+(1),IF(("goto")=(INDEX(B1:XFD1,(A2)+(0))),((INDEX(B1:XFD1,(A2)+(1)))*(2))+(1),IF(("gotoiftrue")=(INDEX(B1:XFD1,(A2)+(0))),IF(B2,((INDEX(B1:XFD1,(A2)+(1)))*(2))+(1),(A174)+(2)),(A174)+(2)))),A174))</f>
        <v>#VALUE!</v>
      </c>
      <c r="B174" t="e">
        <f ca="1">IF((A1)=(2),1,IF((171)=(B3),IF(("push")=(INDEX(B1:XFD1,(A2)+(0))),INDEX(B1:XFD1,(A2)+(1)),IF(("load")=(INDEX(B1:XFD1,(A2)+(0))),INDEX(F2:XFD2,INDEX(B1:XFD1,(A2)+(1))),IF(("newheap")=(INDEX(B1:XFD1,(A2)+(0))),(C3)-(2),IF(("getheap")=(INDEX(B1:XFD1,(A2)+(0))),INDEX(C4:C204,(B174)+(1)),IF(("add")=(INDEX(B1:XFD1,(A2)+(0))),(INDEX(B4:B204,(B3)+(1)))+(B174),IF(("equals")=(INDEX(B1:XFD1,(A2)+(0))),(INDEX(B4:B204,(B3)+(1)))=(B174),IF(("leq")=(INDEX(B1:XFD1,(A2)+(0))),(INDEX(B4:B204,(B3)+(1)))&lt;=(B174),B174))))))),B174))</f>
        <v>#VALUE!</v>
      </c>
      <c r="C174" t="e">
        <f ca="1">IF((A1)=(2),1,IF(AND((INDEX(B1:XFD1,(A2)+(0)))=("writeheap"),(INDEX(B4:B204,(B3)+(1)))=(170)),INDEX(B4:B204,(B3)+(2)),IF((A1)=(2),1,IF((171)=(C3),C174,C174))))</f>
        <v>#VALUE!</v>
      </c>
      <c r="E174" t="e">
        <f ca="1">IF((A1)=(2),1,IF((171)=(E3),IF(("outputline")=(INDEX(B1:XFD1,(A2)+(0))),B2,E174),E174))</f>
        <v>#VALUE!</v>
      </c>
      <c r="F174" t="e">
        <f ca="1">IF((A1)=(2),1,IF((171)=(F3),IF(IF((INDEX(B1:XFD1,(A2)+(0)))=("store"),(INDEX(B1:XFD1,(A2)+(1)))=("F"),"false"),B2,F174),F174))</f>
        <v>#VALUE!</v>
      </c>
      <c r="G174" t="e">
        <f ca="1">IF((A1)=(2),1,IF((171)=(G3),IF(IF((INDEX(B1:XFD1,(A2)+(0)))=("store"),(INDEX(B1:XFD1,(A2)+(1)))=("G"),"false"),B2,G174),G174))</f>
        <v>#VALUE!</v>
      </c>
      <c r="H174" t="e">
        <f ca="1">IF((A1)=(2),1,IF((171)=(H3),IF(IF((INDEX(B1:XFD1,(A2)+(0)))=("store"),(INDEX(B1:XFD1,(A2)+(1)))=("H"),"false"),B2,H174),H174))</f>
        <v>#VALUE!</v>
      </c>
      <c r="I174" t="e">
        <f ca="1">IF((A1)=(2),1,IF((171)=(I3),IF(IF((INDEX(B1:XFD1,(A2)+(0)))=("store"),(INDEX(B1:XFD1,(A2)+(1)))=("I"),"false"),B2,I174),I174))</f>
        <v>#VALUE!</v>
      </c>
      <c r="J174" t="e">
        <f ca="1">IF((A1)=(2),1,IF((171)=(J3),IF(IF((INDEX(B1:XFD1,(A2)+(0)))=("store"),(INDEX(B1:XFD1,(A2)+(1)))=("J"),"false"),B2,J174),J174))</f>
        <v>#VALUE!</v>
      </c>
    </row>
    <row r="175" spans="1:10" x14ac:dyDescent="0.25">
      <c r="A175" t="e">
        <f ca="1">IF((A1)=(2),1,IF((172)=(A3),IF(("call")=(INDEX(B1:XFD1,(A2)+(0))),((B2)*(2))+(1),IF(("goto")=(INDEX(B1:XFD1,(A2)+(0))),((INDEX(B1:XFD1,(A2)+(1)))*(2))+(1),IF(("gotoiftrue")=(INDEX(B1:XFD1,(A2)+(0))),IF(B2,((INDEX(B1:XFD1,(A2)+(1)))*(2))+(1),(A175)+(2)),(A175)+(2)))),A175))</f>
        <v>#VALUE!</v>
      </c>
      <c r="B175" t="e">
        <f ca="1">IF((A1)=(2),1,IF((172)=(B3),IF(("push")=(INDEX(B1:XFD1,(A2)+(0))),INDEX(B1:XFD1,(A2)+(1)),IF(("load")=(INDEX(B1:XFD1,(A2)+(0))),INDEX(F2:XFD2,INDEX(B1:XFD1,(A2)+(1))),IF(("newheap")=(INDEX(B1:XFD1,(A2)+(0))),(C3)-(2),IF(("getheap")=(INDEX(B1:XFD1,(A2)+(0))),INDEX(C4:C204,(B175)+(1)),IF(("add")=(INDEX(B1:XFD1,(A2)+(0))),(INDEX(B4:B204,(B3)+(1)))+(B175),IF(("equals")=(INDEX(B1:XFD1,(A2)+(0))),(INDEX(B4:B204,(B3)+(1)))=(B175),IF(("leq")=(INDEX(B1:XFD1,(A2)+(0))),(INDEX(B4:B204,(B3)+(1)))&lt;=(B175),B175))))))),B175))</f>
        <v>#VALUE!</v>
      </c>
      <c r="C175" t="e">
        <f ca="1">IF((A1)=(2),1,IF(AND((INDEX(B1:XFD1,(A2)+(0)))=("writeheap"),(INDEX(B4:B204,(B3)+(1)))=(171)),INDEX(B4:B204,(B3)+(2)),IF((A1)=(2),1,IF((172)=(C3),C175,C175))))</f>
        <v>#VALUE!</v>
      </c>
      <c r="E175" t="e">
        <f ca="1">IF((A1)=(2),1,IF((172)=(E3),IF(("outputline")=(INDEX(B1:XFD1,(A2)+(0))),B2,E175),E175))</f>
        <v>#VALUE!</v>
      </c>
      <c r="F175" t="e">
        <f ca="1">IF((A1)=(2),1,IF((172)=(F3),IF(IF((INDEX(B1:XFD1,(A2)+(0)))=("store"),(INDEX(B1:XFD1,(A2)+(1)))=("F"),"false"),B2,F175),F175))</f>
        <v>#VALUE!</v>
      </c>
      <c r="G175" t="e">
        <f ca="1">IF((A1)=(2),1,IF((172)=(G3),IF(IF((INDEX(B1:XFD1,(A2)+(0)))=("store"),(INDEX(B1:XFD1,(A2)+(1)))=("G"),"false"),B2,G175),G175))</f>
        <v>#VALUE!</v>
      </c>
      <c r="H175" t="e">
        <f ca="1">IF((A1)=(2),1,IF((172)=(H3),IF(IF((INDEX(B1:XFD1,(A2)+(0)))=("store"),(INDEX(B1:XFD1,(A2)+(1)))=("H"),"false"),B2,H175),H175))</f>
        <v>#VALUE!</v>
      </c>
      <c r="I175" t="e">
        <f ca="1">IF((A1)=(2),1,IF((172)=(I3),IF(IF((INDEX(B1:XFD1,(A2)+(0)))=("store"),(INDEX(B1:XFD1,(A2)+(1)))=("I"),"false"),B2,I175),I175))</f>
        <v>#VALUE!</v>
      </c>
      <c r="J175" t="e">
        <f ca="1">IF((A1)=(2),1,IF((172)=(J3),IF(IF((INDEX(B1:XFD1,(A2)+(0)))=("store"),(INDEX(B1:XFD1,(A2)+(1)))=("J"),"false"),B2,J175),J175))</f>
        <v>#VALUE!</v>
      </c>
    </row>
    <row r="176" spans="1:10" x14ac:dyDescent="0.25">
      <c r="A176" t="e">
        <f ca="1">IF((A1)=(2),1,IF((173)=(A3),IF(("call")=(INDEX(B1:XFD1,(A2)+(0))),((B2)*(2))+(1),IF(("goto")=(INDEX(B1:XFD1,(A2)+(0))),((INDEX(B1:XFD1,(A2)+(1)))*(2))+(1),IF(("gotoiftrue")=(INDEX(B1:XFD1,(A2)+(0))),IF(B2,((INDEX(B1:XFD1,(A2)+(1)))*(2))+(1),(A176)+(2)),(A176)+(2)))),A176))</f>
        <v>#VALUE!</v>
      </c>
      <c r="B176" t="e">
        <f ca="1">IF((A1)=(2),1,IF((173)=(B3),IF(("push")=(INDEX(B1:XFD1,(A2)+(0))),INDEX(B1:XFD1,(A2)+(1)),IF(("load")=(INDEX(B1:XFD1,(A2)+(0))),INDEX(F2:XFD2,INDEX(B1:XFD1,(A2)+(1))),IF(("newheap")=(INDEX(B1:XFD1,(A2)+(0))),(C3)-(2),IF(("getheap")=(INDEX(B1:XFD1,(A2)+(0))),INDEX(C4:C204,(B176)+(1)),IF(("add")=(INDEX(B1:XFD1,(A2)+(0))),(INDEX(B4:B204,(B3)+(1)))+(B176),IF(("equals")=(INDEX(B1:XFD1,(A2)+(0))),(INDEX(B4:B204,(B3)+(1)))=(B176),IF(("leq")=(INDEX(B1:XFD1,(A2)+(0))),(INDEX(B4:B204,(B3)+(1)))&lt;=(B176),B176))))))),B176))</f>
        <v>#VALUE!</v>
      </c>
      <c r="C176" t="e">
        <f ca="1">IF((A1)=(2),1,IF(AND((INDEX(B1:XFD1,(A2)+(0)))=("writeheap"),(INDEX(B4:B204,(B3)+(1)))=(172)),INDEX(B4:B204,(B3)+(2)),IF((A1)=(2),1,IF((173)=(C3),C176,C176))))</f>
        <v>#VALUE!</v>
      </c>
      <c r="E176" t="e">
        <f ca="1">IF((A1)=(2),1,IF((173)=(E3),IF(("outputline")=(INDEX(B1:XFD1,(A2)+(0))),B2,E176),E176))</f>
        <v>#VALUE!</v>
      </c>
      <c r="F176" t="e">
        <f ca="1">IF((A1)=(2),1,IF((173)=(F3),IF(IF((INDEX(B1:XFD1,(A2)+(0)))=("store"),(INDEX(B1:XFD1,(A2)+(1)))=("F"),"false"),B2,F176),F176))</f>
        <v>#VALUE!</v>
      </c>
      <c r="G176" t="e">
        <f ca="1">IF((A1)=(2),1,IF((173)=(G3),IF(IF((INDEX(B1:XFD1,(A2)+(0)))=("store"),(INDEX(B1:XFD1,(A2)+(1)))=("G"),"false"),B2,G176),G176))</f>
        <v>#VALUE!</v>
      </c>
      <c r="H176" t="e">
        <f ca="1">IF((A1)=(2),1,IF((173)=(H3),IF(IF((INDEX(B1:XFD1,(A2)+(0)))=("store"),(INDEX(B1:XFD1,(A2)+(1)))=("H"),"false"),B2,H176),H176))</f>
        <v>#VALUE!</v>
      </c>
      <c r="I176" t="e">
        <f ca="1">IF((A1)=(2),1,IF((173)=(I3),IF(IF((INDEX(B1:XFD1,(A2)+(0)))=("store"),(INDEX(B1:XFD1,(A2)+(1)))=("I"),"false"),B2,I176),I176))</f>
        <v>#VALUE!</v>
      </c>
      <c r="J176" t="e">
        <f ca="1">IF((A1)=(2),1,IF((173)=(J3),IF(IF((INDEX(B1:XFD1,(A2)+(0)))=("store"),(INDEX(B1:XFD1,(A2)+(1)))=("J"),"false"),B2,J176),J176))</f>
        <v>#VALUE!</v>
      </c>
    </row>
    <row r="177" spans="1:10" x14ac:dyDescent="0.25">
      <c r="A177" t="e">
        <f ca="1">IF((A1)=(2),1,IF((174)=(A3),IF(("call")=(INDEX(B1:XFD1,(A2)+(0))),((B2)*(2))+(1),IF(("goto")=(INDEX(B1:XFD1,(A2)+(0))),((INDEX(B1:XFD1,(A2)+(1)))*(2))+(1),IF(("gotoiftrue")=(INDEX(B1:XFD1,(A2)+(0))),IF(B2,((INDEX(B1:XFD1,(A2)+(1)))*(2))+(1),(A177)+(2)),(A177)+(2)))),A177))</f>
        <v>#VALUE!</v>
      </c>
      <c r="B177" t="e">
        <f ca="1">IF((A1)=(2),1,IF((174)=(B3),IF(("push")=(INDEX(B1:XFD1,(A2)+(0))),INDEX(B1:XFD1,(A2)+(1)),IF(("load")=(INDEX(B1:XFD1,(A2)+(0))),INDEX(F2:XFD2,INDEX(B1:XFD1,(A2)+(1))),IF(("newheap")=(INDEX(B1:XFD1,(A2)+(0))),(C3)-(2),IF(("getheap")=(INDEX(B1:XFD1,(A2)+(0))),INDEX(C4:C204,(B177)+(1)),IF(("add")=(INDEX(B1:XFD1,(A2)+(0))),(INDEX(B4:B204,(B3)+(1)))+(B177),IF(("equals")=(INDEX(B1:XFD1,(A2)+(0))),(INDEX(B4:B204,(B3)+(1)))=(B177),IF(("leq")=(INDEX(B1:XFD1,(A2)+(0))),(INDEX(B4:B204,(B3)+(1)))&lt;=(B177),B177))))))),B177))</f>
        <v>#VALUE!</v>
      </c>
      <c r="C177" t="e">
        <f ca="1">IF((A1)=(2),1,IF(AND((INDEX(B1:XFD1,(A2)+(0)))=("writeheap"),(INDEX(B4:B204,(B3)+(1)))=(173)),INDEX(B4:B204,(B3)+(2)),IF((A1)=(2),1,IF((174)=(C3),C177,C177))))</f>
        <v>#VALUE!</v>
      </c>
      <c r="E177" t="e">
        <f ca="1">IF((A1)=(2),1,IF((174)=(E3),IF(("outputline")=(INDEX(B1:XFD1,(A2)+(0))),B2,E177),E177))</f>
        <v>#VALUE!</v>
      </c>
      <c r="F177" t="e">
        <f ca="1">IF((A1)=(2),1,IF((174)=(F3),IF(IF((INDEX(B1:XFD1,(A2)+(0)))=("store"),(INDEX(B1:XFD1,(A2)+(1)))=("F"),"false"),B2,F177),F177))</f>
        <v>#VALUE!</v>
      </c>
      <c r="G177" t="e">
        <f ca="1">IF((A1)=(2),1,IF((174)=(G3),IF(IF((INDEX(B1:XFD1,(A2)+(0)))=("store"),(INDEX(B1:XFD1,(A2)+(1)))=("G"),"false"),B2,G177),G177))</f>
        <v>#VALUE!</v>
      </c>
      <c r="H177" t="e">
        <f ca="1">IF((A1)=(2),1,IF((174)=(H3),IF(IF((INDEX(B1:XFD1,(A2)+(0)))=("store"),(INDEX(B1:XFD1,(A2)+(1)))=("H"),"false"),B2,H177),H177))</f>
        <v>#VALUE!</v>
      </c>
      <c r="I177" t="e">
        <f ca="1">IF((A1)=(2),1,IF((174)=(I3),IF(IF((INDEX(B1:XFD1,(A2)+(0)))=("store"),(INDEX(B1:XFD1,(A2)+(1)))=("I"),"false"),B2,I177),I177))</f>
        <v>#VALUE!</v>
      </c>
      <c r="J177" t="e">
        <f ca="1">IF((A1)=(2),1,IF((174)=(J3),IF(IF((INDEX(B1:XFD1,(A2)+(0)))=("store"),(INDEX(B1:XFD1,(A2)+(1)))=("J"),"false"),B2,J177),J177))</f>
        <v>#VALUE!</v>
      </c>
    </row>
    <row r="178" spans="1:10" x14ac:dyDescent="0.25">
      <c r="A178" t="e">
        <f ca="1">IF((A1)=(2),1,IF((175)=(A3),IF(("call")=(INDEX(B1:XFD1,(A2)+(0))),((B2)*(2))+(1),IF(("goto")=(INDEX(B1:XFD1,(A2)+(0))),((INDEX(B1:XFD1,(A2)+(1)))*(2))+(1),IF(("gotoiftrue")=(INDEX(B1:XFD1,(A2)+(0))),IF(B2,((INDEX(B1:XFD1,(A2)+(1)))*(2))+(1),(A178)+(2)),(A178)+(2)))),A178))</f>
        <v>#VALUE!</v>
      </c>
      <c r="B178" t="e">
        <f ca="1">IF((A1)=(2),1,IF((175)=(B3),IF(("push")=(INDEX(B1:XFD1,(A2)+(0))),INDEX(B1:XFD1,(A2)+(1)),IF(("load")=(INDEX(B1:XFD1,(A2)+(0))),INDEX(F2:XFD2,INDEX(B1:XFD1,(A2)+(1))),IF(("newheap")=(INDEX(B1:XFD1,(A2)+(0))),(C3)-(2),IF(("getheap")=(INDEX(B1:XFD1,(A2)+(0))),INDEX(C4:C204,(B178)+(1)),IF(("add")=(INDEX(B1:XFD1,(A2)+(0))),(INDEX(B4:B204,(B3)+(1)))+(B178),IF(("equals")=(INDEX(B1:XFD1,(A2)+(0))),(INDEX(B4:B204,(B3)+(1)))=(B178),IF(("leq")=(INDEX(B1:XFD1,(A2)+(0))),(INDEX(B4:B204,(B3)+(1)))&lt;=(B178),B178))))))),B178))</f>
        <v>#VALUE!</v>
      </c>
      <c r="C178" t="e">
        <f ca="1">IF((A1)=(2),1,IF(AND((INDEX(B1:XFD1,(A2)+(0)))=("writeheap"),(INDEX(B4:B204,(B3)+(1)))=(174)),INDEX(B4:B204,(B3)+(2)),IF((A1)=(2),1,IF((175)=(C3),C178,C178))))</f>
        <v>#VALUE!</v>
      </c>
      <c r="E178" t="e">
        <f ca="1">IF((A1)=(2),1,IF((175)=(E3),IF(("outputline")=(INDEX(B1:XFD1,(A2)+(0))),B2,E178),E178))</f>
        <v>#VALUE!</v>
      </c>
      <c r="F178" t="e">
        <f ca="1">IF((A1)=(2),1,IF((175)=(F3),IF(IF((INDEX(B1:XFD1,(A2)+(0)))=("store"),(INDEX(B1:XFD1,(A2)+(1)))=("F"),"false"),B2,F178),F178))</f>
        <v>#VALUE!</v>
      </c>
      <c r="G178" t="e">
        <f ca="1">IF((A1)=(2),1,IF((175)=(G3),IF(IF((INDEX(B1:XFD1,(A2)+(0)))=("store"),(INDEX(B1:XFD1,(A2)+(1)))=("G"),"false"),B2,G178),G178))</f>
        <v>#VALUE!</v>
      </c>
      <c r="H178" t="e">
        <f ca="1">IF((A1)=(2),1,IF((175)=(H3),IF(IF((INDEX(B1:XFD1,(A2)+(0)))=("store"),(INDEX(B1:XFD1,(A2)+(1)))=("H"),"false"),B2,H178),H178))</f>
        <v>#VALUE!</v>
      </c>
      <c r="I178" t="e">
        <f ca="1">IF((A1)=(2),1,IF((175)=(I3),IF(IF((INDEX(B1:XFD1,(A2)+(0)))=("store"),(INDEX(B1:XFD1,(A2)+(1)))=("I"),"false"),B2,I178),I178))</f>
        <v>#VALUE!</v>
      </c>
      <c r="J178" t="e">
        <f ca="1">IF((A1)=(2),1,IF((175)=(J3),IF(IF((INDEX(B1:XFD1,(A2)+(0)))=("store"),(INDEX(B1:XFD1,(A2)+(1)))=("J"),"false"),B2,J178),J178))</f>
        <v>#VALUE!</v>
      </c>
    </row>
    <row r="179" spans="1:10" x14ac:dyDescent="0.25">
      <c r="A179" t="e">
        <f ca="1">IF((A1)=(2),1,IF((176)=(A3),IF(("call")=(INDEX(B1:XFD1,(A2)+(0))),((B2)*(2))+(1),IF(("goto")=(INDEX(B1:XFD1,(A2)+(0))),((INDEX(B1:XFD1,(A2)+(1)))*(2))+(1),IF(("gotoiftrue")=(INDEX(B1:XFD1,(A2)+(0))),IF(B2,((INDEX(B1:XFD1,(A2)+(1)))*(2))+(1),(A179)+(2)),(A179)+(2)))),A179))</f>
        <v>#VALUE!</v>
      </c>
      <c r="B179" t="e">
        <f ca="1">IF((A1)=(2),1,IF((176)=(B3),IF(("push")=(INDEX(B1:XFD1,(A2)+(0))),INDEX(B1:XFD1,(A2)+(1)),IF(("load")=(INDEX(B1:XFD1,(A2)+(0))),INDEX(F2:XFD2,INDEX(B1:XFD1,(A2)+(1))),IF(("newheap")=(INDEX(B1:XFD1,(A2)+(0))),(C3)-(2),IF(("getheap")=(INDEX(B1:XFD1,(A2)+(0))),INDEX(C4:C204,(B179)+(1)),IF(("add")=(INDEX(B1:XFD1,(A2)+(0))),(INDEX(B4:B204,(B3)+(1)))+(B179),IF(("equals")=(INDEX(B1:XFD1,(A2)+(0))),(INDEX(B4:B204,(B3)+(1)))=(B179),IF(("leq")=(INDEX(B1:XFD1,(A2)+(0))),(INDEX(B4:B204,(B3)+(1)))&lt;=(B179),B179))))))),B179))</f>
        <v>#VALUE!</v>
      </c>
      <c r="C179" t="e">
        <f ca="1">IF((A1)=(2),1,IF(AND((INDEX(B1:XFD1,(A2)+(0)))=("writeheap"),(INDEX(B4:B204,(B3)+(1)))=(175)),INDEX(B4:B204,(B3)+(2)),IF((A1)=(2),1,IF((176)=(C3),C179,C179))))</f>
        <v>#VALUE!</v>
      </c>
      <c r="E179" t="e">
        <f ca="1">IF((A1)=(2),1,IF((176)=(E3),IF(("outputline")=(INDEX(B1:XFD1,(A2)+(0))),B2,E179),E179))</f>
        <v>#VALUE!</v>
      </c>
      <c r="F179" t="e">
        <f ca="1">IF((A1)=(2),1,IF((176)=(F3),IF(IF((INDEX(B1:XFD1,(A2)+(0)))=("store"),(INDEX(B1:XFD1,(A2)+(1)))=("F"),"false"),B2,F179),F179))</f>
        <v>#VALUE!</v>
      </c>
      <c r="G179" t="e">
        <f ca="1">IF((A1)=(2),1,IF((176)=(G3),IF(IF((INDEX(B1:XFD1,(A2)+(0)))=("store"),(INDEX(B1:XFD1,(A2)+(1)))=("G"),"false"),B2,G179),G179))</f>
        <v>#VALUE!</v>
      </c>
      <c r="H179" t="e">
        <f ca="1">IF((A1)=(2),1,IF((176)=(H3),IF(IF((INDEX(B1:XFD1,(A2)+(0)))=("store"),(INDEX(B1:XFD1,(A2)+(1)))=("H"),"false"),B2,H179),H179))</f>
        <v>#VALUE!</v>
      </c>
      <c r="I179" t="e">
        <f ca="1">IF((A1)=(2),1,IF((176)=(I3),IF(IF((INDEX(B1:XFD1,(A2)+(0)))=("store"),(INDEX(B1:XFD1,(A2)+(1)))=("I"),"false"),B2,I179),I179))</f>
        <v>#VALUE!</v>
      </c>
      <c r="J179" t="e">
        <f ca="1">IF((A1)=(2),1,IF((176)=(J3),IF(IF((INDEX(B1:XFD1,(A2)+(0)))=("store"),(INDEX(B1:XFD1,(A2)+(1)))=("J"),"false"),B2,J179),J179))</f>
        <v>#VALUE!</v>
      </c>
    </row>
    <row r="180" spans="1:10" x14ac:dyDescent="0.25">
      <c r="A180" t="e">
        <f ca="1">IF((A1)=(2),1,IF((177)=(A3),IF(("call")=(INDEX(B1:XFD1,(A2)+(0))),((B2)*(2))+(1),IF(("goto")=(INDEX(B1:XFD1,(A2)+(0))),((INDEX(B1:XFD1,(A2)+(1)))*(2))+(1),IF(("gotoiftrue")=(INDEX(B1:XFD1,(A2)+(0))),IF(B2,((INDEX(B1:XFD1,(A2)+(1)))*(2))+(1),(A180)+(2)),(A180)+(2)))),A180))</f>
        <v>#VALUE!</v>
      </c>
      <c r="B180" t="e">
        <f ca="1">IF((A1)=(2),1,IF((177)=(B3),IF(("push")=(INDEX(B1:XFD1,(A2)+(0))),INDEX(B1:XFD1,(A2)+(1)),IF(("load")=(INDEX(B1:XFD1,(A2)+(0))),INDEX(F2:XFD2,INDEX(B1:XFD1,(A2)+(1))),IF(("newheap")=(INDEX(B1:XFD1,(A2)+(0))),(C3)-(2),IF(("getheap")=(INDEX(B1:XFD1,(A2)+(0))),INDEX(C4:C204,(B180)+(1)),IF(("add")=(INDEX(B1:XFD1,(A2)+(0))),(INDEX(B4:B204,(B3)+(1)))+(B180),IF(("equals")=(INDEX(B1:XFD1,(A2)+(0))),(INDEX(B4:B204,(B3)+(1)))=(B180),IF(("leq")=(INDEX(B1:XFD1,(A2)+(0))),(INDEX(B4:B204,(B3)+(1)))&lt;=(B180),B180))))))),B180))</f>
        <v>#VALUE!</v>
      </c>
      <c r="C180" t="e">
        <f ca="1">IF((A1)=(2),1,IF(AND((INDEX(B1:XFD1,(A2)+(0)))=("writeheap"),(INDEX(B4:B204,(B3)+(1)))=(176)),INDEX(B4:B204,(B3)+(2)),IF((A1)=(2),1,IF((177)=(C3),C180,C180))))</f>
        <v>#VALUE!</v>
      </c>
      <c r="E180" t="e">
        <f ca="1">IF((A1)=(2),1,IF((177)=(E3),IF(("outputline")=(INDEX(B1:XFD1,(A2)+(0))),B2,E180),E180))</f>
        <v>#VALUE!</v>
      </c>
      <c r="F180" t="e">
        <f ca="1">IF((A1)=(2),1,IF((177)=(F3),IF(IF((INDEX(B1:XFD1,(A2)+(0)))=("store"),(INDEX(B1:XFD1,(A2)+(1)))=("F"),"false"),B2,F180),F180))</f>
        <v>#VALUE!</v>
      </c>
      <c r="G180" t="e">
        <f ca="1">IF((A1)=(2),1,IF((177)=(G3),IF(IF((INDEX(B1:XFD1,(A2)+(0)))=("store"),(INDEX(B1:XFD1,(A2)+(1)))=("G"),"false"),B2,G180),G180))</f>
        <v>#VALUE!</v>
      </c>
      <c r="H180" t="e">
        <f ca="1">IF((A1)=(2),1,IF((177)=(H3),IF(IF((INDEX(B1:XFD1,(A2)+(0)))=("store"),(INDEX(B1:XFD1,(A2)+(1)))=("H"),"false"),B2,H180),H180))</f>
        <v>#VALUE!</v>
      </c>
      <c r="I180" t="e">
        <f ca="1">IF((A1)=(2),1,IF((177)=(I3),IF(IF((INDEX(B1:XFD1,(A2)+(0)))=("store"),(INDEX(B1:XFD1,(A2)+(1)))=("I"),"false"),B2,I180),I180))</f>
        <v>#VALUE!</v>
      </c>
      <c r="J180" t="e">
        <f ca="1">IF((A1)=(2),1,IF((177)=(J3),IF(IF((INDEX(B1:XFD1,(A2)+(0)))=("store"),(INDEX(B1:XFD1,(A2)+(1)))=("J"),"false"),B2,J180),J180))</f>
        <v>#VALUE!</v>
      </c>
    </row>
    <row r="181" spans="1:10" x14ac:dyDescent="0.25">
      <c r="A181" t="e">
        <f ca="1">IF((A1)=(2),1,IF((178)=(A3),IF(("call")=(INDEX(B1:XFD1,(A2)+(0))),((B2)*(2))+(1),IF(("goto")=(INDEX(B1:XFD1,(A2)+(0))),((INDEX(B1:XFD1,(A2)+(1)))*(2))+(1),IF(("gotoiftrue")=(INDEX(B1:XFD1,(A2)+(0))),IF(B2,((INDEX(B1:XFD1,(A2)+(1)))*(2))+(1),(A181)+(2)),(A181)+(2)))),A181))</f>
        <v>#VALUE!</v>
      </c>
      <c r="B181" t="e">
        <f ca="1">IF((A1)=(2),1,IF((178)=(B3),IF(("push")=(INDEX(B1:XFD1,(A2)+(0))),INDEX(B1:XFD1,(A2)+(1)),IF(("load")=(INDEX(B1:XFD1,(A2)+(0))),INDEX(F2:XFD2,INDEX(B1:XFD1,(A2)+(1))),IF(("newheap")=(INDEX(B1:XFD1,(A2)+(0))),(C3)-(2),IF(("getheap")=(INDEX(B1:XFD1,(A2)+(0))),INDEX(C4:C204,(B181)+(1)),IF(("add")=(INDEX(B1:XFD1,(A2)+(0))),(INDEX(B4:B204,(B3)+(1)))+(B181),IF(("equals")=(INDEX(B1:XFD1,(A2)+(0))),(INDEX(B4:B204,(B3)+(1)))=(B181),IF(("leq")=(INDEX(B1:XFD1,(A2)+(0))),(INDEX(B4:B204,(B3)+(1)))&lt;=(B181),B181))))))),B181))</f>
        <v>#VALUE!</v>
      </c>
      <c r="C181" t="e">
        <f ca="1">IF((A1)=(2),1,IF(AND((INDEX(B1:XFD1,(A2)+(0)))=("writeheap"),(INDEX(B4:B204,(B3)+(1)))=(177)),INDEX(B4:B204,(B3)+(2)),IF((A1)=(2),1,IF((178)=(C3),C181,C181))))</f>
        <v>#VALUE!</v>
      </c>
      <c r="E181" t="e">
        <f ca="1">IF((A1)=(2),1,IF((178)=(E3),IF(("outputline")=(INDEX(B1:XFD1,(A2)+(0))),B2,E181),E181))</f>
        <v>#VALUE!</v>
      </c>
      <c r="F181" t="e">
        <f ca="1">IF((A1)=(2),1,IF((178)=(F3),IF(IF((INDEX(B1:XFD1,(A2)+(0)))=("store"),(INDEX(B1:XFD1,(A2)+(1)))=("F"),"false"),B2,F181),F181))</f>
        <v>#VALUE!</v>
      </c>
      <c r="G181" t="e">
        <f ca="1">IF((A1)=(2),1,IF((178)=(G3),IF(IF((INDEX(B1:XFD1,(A2)+(0)))=("store"),(INDEX(B1:XFD1,(A2)+(1)))=("G"),"false"),B2,G181),G181))</f>
        <v>#VALUE!</v>
      </c>
      <c r="H181" t="e">
        <f ca="1">IF((A1)=(2),1,IF((178)=(H3),IF(IF((INDEX(B1:XFD1,(A2)+(0)))=("store"),(INDEX(B1:XFD1,(A2)+(1)))=("H"),"false"),B2,H181),H181))</f>
        <v>#VALUE!</v>
      </c>
      <c r="I181" t="e">
        <f ca="1">IF((A1)=(2),1,IF((178)=(I3),IF(IF((INDEX(B1:XFD1,(A2)+(0)))=("store"),(INDEX(B1:XFD1,(A2)+(1)))=("I"),"false"),B2,I181),I181))</f>
        <v>#VALUE!</v>
      </c>
      <c r="J181" t="e">
        <f ca="1">IF((A1)=(2),1,IF((178)=(J3),IF(IF((INDEX(B1:XFD1,(A2)+(0)))=("store"),(INDEX(B1:XFD1,(A2)+(1)))=("J"),"false"),B2,J181),J181))</f>
        <v>#VALUE!</v>
      </c>
    </row>
    <row r="182" spans="1:10" x14ac:dyDescent="0.25">
      <c r="A182" t="e">
        <f ca="1">IF((A1)=(2),1,IF((179)=(A3),IF(("call")=(INDEX(B1:XFD1,(A2)+(0))),((B2)*(2))+(1),IF(("goto")=(INDEX(B1:XFD1,(A2)+(0))),((INDEX(B1:XFD1,(A2)+(1)))*(2))+(1),IF(("gotoiftrue")=(INDEX(B1:XFD1,(A2)+(0))),IF(B2,((INDEX(B1:XFD1,(A2)+(1)))*(2))+(1),(A182)+(2)),(A182)+(2)))),A182))</f>
        <v>#VALUE!</v>
      </c>
      <c r="B182" t="e">
        <f ca="1">IF((A1)=(2),1,IF((179)=(B3),IF(("push")=(INDEX(B1:XFD1,(A2)+(0))),INDEX(B1:XFD1,(A2)+(1)),IF(("load")=(INDEX(B1:XFD1,(A2)+(0))),INDEX(F2:XFD2,INDEX(B1:XFD1,(A2)+(1))),IF(("newheap")=(INDEX(B1:XFD1,(A2)+(0))),(C3)-(2),IF(("getheap")=(INDEX(B1:XFD1,(A2)+(0))),INDEX(C4:C204,(B182)+(1)),IF(("add")=(INDEX(B1:XFD1,(A2)+(0))),(INDEX(B4:B204,(B3)+(1)))+(B182),IF(("equals")=(INDEX(B1:XFD1,(A2)+(0))),(INDEX(B4:B204,(B3)+(1)))=(B182),IF(("leq")=(INDEX(B1:XFD1,(A2)+(0))),(INDEX(B4:B204,(B3)+(1)))&lt;=(B182),B182))))))),B182))</f>
        <v>#VALUE!</v>
      </c>
      <c r="C182" t="e">
        <f ca="1">IF((A1)=(2),1,IF(AND((INDEX(B1:XFD1,(A2)+(0)))=("writeheap"),(INDEX(B4:B204,(B3)+(1)))=(178)),INDEX(B4:B204,(B3)+(2)),IF((A1)=(2),1,IF((179)=(C3),C182,C182))))</f>
        <v>#VALUE!</v>
      </c>
      <c r="E182" t="e">
        <f ca="1">IF((A1)=(2),1,IF((179)=(E3),IF(("outputline")=(INDEX(B1:XFD1,(A2)+(0))),B2,E182),E182))</f>
        <v>#VALUE!</v>
      </c>
      <c r="F182" t="e">
        <f ca="1">IF((A1)=(2),1,IF((179)=(F3),IF(IF((INDEX(B1:XFD1,(A2)+(0)))=("store"),(INDEX(B1:XFD1,(A2)+(1)))=("F"),"false"),B2,F182),F182))</f>
        <v>#VALUE!</v>
      </c>
      <c r="G182" t="e">
        <f ca="1">IF((A1)=(2),1,IF((179)=(G3),IF(IF((INDEX(B1:XFD1,(A2)+(0)))=("store"),(INDEX(B1:XFD1,(A2)+(1)))=("G"),"false"),B2,G182),G182))</f>
        <v>#VALUE!</v>
      </c>
      <c r="H182" t="e">
        <f ca="1">IF((A1)=(2),1,IF((179)=(H3),IF(IF((INDEX(B1:XFD1,(A2)+(0)))=("store"),(INDEX(B1:XFD1,(A2)+(1)))=("H"),"false"),B2,H182),H182))</f>
        <v>#VALUE!</v>
      </c>
      <c r="I182" t="e">
        <f ca="1">IF((A1)=(2),1,IF((179)=(I3),IF(IF((INDEX(B1:XFD1,(A2)+(0)))=("store"),(INDEX(B1:XFD1,(A2)+(1)))=("I"),"false"),B2,I182),I182))</f>
        <v>#VALUE!</v>
      </c>
      <c r="J182" t="e">
        <f ca="1">IF((A1)=(2),1,IF((179)=(J3),IF(IF((INDEX(B1:XFD1,(A2)+(0)))=("store"),(INDEX(B1:XFD1,(A2)+(1)))=("J"),"false"),B2,J182),J182))</f>
        <v>#VALUE!</v>
      </c>
    </row>
    <row r="183" spans="1:10" x14ac:dyDescent="0.25">
      <c r="A183" t="e">
        <f ca="1">IF((A1)=(2),1,IF((180)=(A3),IF(("call")=(INDEX(B1:XFD1,(A2)+(0))),((B2)*(2))+(1),IF(("goto")=(INDEX(B1:XFD1,(A2)+(0))),((INDEX(B1:XFD1,(A2)+(1)))*(2))+(1),IF(("gotoiftrue")=(INDEX(B1:XFD1,(A2)+(0))),IF(B2,((INDEX(B1:XFD1,(A2)+(1)))*(2))+(1),(A183)+(2)),(A183)+(2)))),A183))</f>
        <v>#VALUE!</v>
      </c>
      <c r="B183" t="e">
        <f ca="1">IF((A1)=(2),1,IF((180)=(B3),IF(("push")=(INDEX(B1:XFD1,(A2)+(0))),INDEX(B1:XFD1,(A2)+(1)),IF(("load")=(INDEX(B1:XFD1,(A2)+(0))),INDEX(F2:XFD2,INDEX(B1:XFD1,(A2)+(1))),IF(("newheap")=(INDEX(B1:XFD1,(A2)+(0))),(C3)-(2),IF(("getheap")=(INDEX(B1:XFD1,(A2)+(0))),INDEX(C4:C204,(B183)+(1)),IF(("add")=(INDEX(B1:XFD1,(A2)+(0))),(INDEX(B4:B204,(B3)+(1)))+(B183),IF(("equals")=(INDEX(B1:XFD1,(A2)+(0))),(INDEX(B4:B204,(B3)+(1)))=(B183),IF(("leq")=(INDEX(B1:XFD1,(A2)+(0))),(INDEX(B4:B204,(B3)+(1)))&lt;=(B183),B183))))))),B183))</f>
        <v>#VALUE!</v>
      </c>
      <c r="C183" t="e">
        <f ca="1">IF((A1)=(2),1,IF(AND((INDEX(B1:XFD1,(A2)+(0)))=("writeheap"),(INDEX(B4:B204,(B3)+(1)))=(179)),INDEX(B4:B204,(B3)+(2)),IF((A1)=(2),1,IF((180)=(C3),C183,C183))))</f>
        <v>#VALUE!</v>
      </c>
      <c r="E183" t="e">
        <f ca="1">IF((A1)=(2),1,IF((180)=(E3),IF(("outputline")=(INDEX(B1:XFD1,(A2)+(0))),B2,E183),E183))</f>
        <v>#VALUE!</v>
      </c>
      <c r="F183" t="e">
        <f ca="1">IF((A1)=(2),1,IF((180)=(F3),IF(IF((INDEX(B1:XFD1,(A2)+(0)))=("store"),(INDEX(B1:XFD1,(A2)+(1)))=("F"),"false"),B2,F183),F183))</f>
        <v>#VALUE!</v>
      </c>
      <c r="G183" t="e">
        <f ca="1">IF((A1)=(2),1,IF((180)=(G3),IF(IF((INDEX(B1:XFD1,(A2)+(0)))=("store"),(INDEX(B1:XFD1,(A2)+(1)))=("G"),"false"),B2,G183),G183))</f>
        <v>#VALUE!</v>
      </c>
      <c r="H183" t="e">
        <f ca="1">IF((A1)=(2),1,IF((180)=(H3),IF(IF((INDEX(B1:XFD1,(A2)+(0)))=("store"),(INDEX(B1:XFD1,(A2)+(1)))=("H"),"false"),B2,H183),H183))</f>
        <v>#VALUE!</v>
      </c>
      <c r="I183" t="e">
        <f ca="1">IF((A1)=(2),1,IF((180)=(I3),IF(IF((INDEX(B1:XFD1,(A2)+(0)))=("store"),(INDEX(B1:XFD1,(A2)+(1)))=("I"),"false"),B2,I183),I183))</f>
        <v>#VALUE!</v>
      </c>
      <c r="J183" t="e">
        <f ca="1">IF((A1)=(2),1,IF((180)=(J3),IF(IF((INDEX(B1:XFD1,(A2)+(0)))=("store"),(INDEX(B1:XFD1,(A2)+(1)))=("J"),"false"),B2,J183),J183))</f>
        <v>#VALUE!</v>
      </c>
    </row>
    <row r="184" spans="1:10" x14ac:dyDescent="0.25">
      <c r="A184" t="e">
        <f ca="1">IF((A1)=(2),1,IF((181)=(A3),IF(("call")=(INDEX(B1:XFD1,(A2)+(0))),((B2)*(2))+(1),IF(("goto")=(INDEX(B1:XFD1,(A2)+(0))),((INDEX(B1:XFD1,(A2)+(1)))*(2))+(1),IF(("gotoiftrue")=(INDEX(B1:XFD1,(A2)+(0))),IF(B2,((INDEX(B1:XFD1,(A2)+(1)))*(2))+(1),(A184)+(2)),(A184)+(2)))),A184))</f>
        <v>#VALUE!</v>
      </c>
      <c r="B184" t="e">
        <f ca="1">IF((A1)=(2),1,IF((181)=(B3),IF(("push")=(INDEX(B1:XFD1,(A2)+(0))),INDEX(B1:XFD1,(A2)+(1)),IF(("load")=(INDEX(B1:XFD1,(A2)+(0))),INDEX(F2:XFD2,INDEX(B1:XFD1,(A2)+(1))),IF(("newheap")=(INDEX(B1:XFD1,(A2)+(0))),(C3)-(2),IF(("getheap")=(INDEX(B1:XFD1,(A2)+(0))),INDEX(C4:C204,(B184)+(1)),IF(("add")=(INDEX(B1:XFD1,(A2)+(0))),(INDEX(B4:B204,(B3)+(1)))+(B184),IF(("equals")=(INDEX(B1:XFD1,(A2)+(0))),(INDEX(B4:B204,(B3)+(1)))=(B184),IF(("leq")=(INDEX(B1:XFD1,(A2)+(0))),(INDEX(B4:B204,(B3)+(1)))&lt;=(B184),B184))))))),B184))</f>
        <v>#VALUE!</v>
      </c>
      <c r="C184" t="e">
        <f ca="1">IF((A1)=(2),1,IF(AND((INDEX(B1:XFD1,(A2)+(0)))=("writeheap"),(INDEX(B4:B204,(B3)+(1)))=(180)),INDEX(B4:B204,(B3)+(2)),IF((A1)=(2),1,IF((181)=(C3),C184,C184))))</f>
        <v>#VALUE!</v>
      </c>
      <c r="E184" t="e">
        <f ca="1">IF((A1)=(2),1,IF((181)=(E3),IF(("outputline")=(INDEX(B1:XFD1,(A2)+(0))),B2,E184),E184))</f>
        <v>#VALUE!</v>
      </c>
      <c r="F184" t="e">
        <f ca="1">IF((A1)=(2),1,IF((181)=(F3),IF(IF((INDEX(B1:XFD1,(A2)+(0)))=("store"),(INDEX(B1:XFD1,(A2)+(1)))=("F"),"false"),B2,F184),F184))</f>
        <v>#VALUE!</v>
      </c>
      <c r="G184" t="e">
        <f ca="1">IF((A1)=(2),1,IF((181)=(G3),IF(IF((INDEX(B1:XFD1,(A2)+(0)))=("store"),(INDEX(B1:XFD1,(A2)+(1)))=("G"),"false"),B2,G184),G184))</f>
        <v>#VALUE!</v>
      </c>
      <c r="H184" t="e">
        <f ca="1">IF((A1)=(2),1,IF((181)=(H3),IF(IF((INDEX(B1:XFD1,(A2)+(0)))=("store"),(INDEX(B1:XFD1,(A2)+(1)))=("H"),"false"),B2,H184),H184))</f>
        <v>#VALUE!</v>
      </c>
      <c r="I184" t="e">
        <f ca="1">IF((A1)=(2),1,IF((181)=(I3),IF(IF((INDEX(B1:XFD1,(A2)+(0)))=("store"),(INDEX(B1:XFD1,(A2)+(1)))=("I"),"false"),B2,I184),I184))</f>
        <v>#VALUE!</v>
      </c>
      <c r="J184" t="e">
        <f ca="1">IF((A1)=(2),1,IF((181)=(J3),IF(IF((INDEX(B1:XFD1,(A2)+(0)))=("store"),(INDEX(B1:XFD1,(A2)+(1)))=("J"),"false"),B2,J184),J184))</f>
        <v>#VALUE!</v>
      </c>
    </row>
    <row r="185" spans="1:10" x14ac:dyDescent="0.25">
      <c r="A185" t="e">
        <f ca="1">IF((A1)=(2),1,IF((182)=(A3),IF(("call")=(INDEX(B1:XFD1,(A2)+(0))),((B2)*(2))+(1),IF(("goto")=(INDEX(B1:XFD1,(A2)+(0))),((INDEX(B1:XFD1,(A2)+(1)))*(2))+(1),IF(("gotoiftrue")=(INDEX(B1:XFD1,(A2)+(0))),IF(B2,((INDEX(B1:XFD1,(A2)+(1)))*(2))+(1),(A185)+(2)),(A185)+(2)))),A185))</f>
        <v>#VALUE!</v>
      </c>
      <c r="B185" t="e">
        <f ca="1">IF((A1)=(2),1,IF((182)=(B3),IF(("push")=(INDEX(B1:XFD1,(A2)+(0))),INDEX(B1:XFD1,(A2)+(1)),IF(("load")=(INDEX(B1:XFD1,(A2)+(0))),INDEX(F2:XFD2,INDEX(B1:XFD1,(A2)+(1))),IF(("newheap")=(INDEX(B1:XFD1,(A2)+(0))),(C3)-(2),IF(("getheap")=(INDEX(B1:XFD1,(A2)+(0))),INDEX(C4:C204,(B185)+(1)),IF(("add")=(INDEX(B1:XFD1,(A2)+(0))),(INDEX(B4:B204,(B3)+(1)))+(B185),IF(("equals")=(INDEX(B1:XFD1,(A2)+(0))),(INDEX(B4:B204,(B3)+(1)))=(B185),IF(("leq")=(INDEX(B1:XFD1,(A2)+(0))),(INDEX(B4:B204,(B3)+(1)))&lt;=(B185),B185))))))),B185))</f>
        <v>#VALUE!</v>
      </c>
      <c r="C185" t="e">
        <f ca="1">IF((A1)=(2),1,IF(AND((INDEX(B1:XFD1,(A2)+(0)))=("writeheap"),(INDEX(B4:B204,(B3)+(1)))=(181)),INDEX(B4:B204,(B3)+(2)),IF((A1)=(2),1,IF((182)=(C3),C185,C185))))</f>
        <v>#VALUE!</v>
      </c>
      <c r="E185" t="e">
        <f ca="1">IF((A1)=(2),1,IF((182)=(E3),IF(("outputline")=(INDEX(B1:XFD1,(A2)+(0))),B2,E185),E185))</f>
        <v>#VALUE!</v>
      </c>
      <c r="F185" t="e">
        <f ca="1">IF((A1)=(2),1,IF((182)=(F3),IF(IF((INDEX(B1:XFD1,(A2)+(0)))=("store"),(INDEX(B1:XFD1,(A2)+(1)))=("F"),"false"),B2,F185),F185))</f>
        <v>#VALUE!</v>
      </c>
      <c r="G185" t="e">
        <f ca="1">IF((A1)=(2),1,IF((182)=(G3),IF(IF((INDEX(B1:XFD1,(A2)+(0)))=("store"),(INDEX(B1:XFD1,(A2)+(1)))=("G"),"false"),B2,G185),G185))</f>
        <v>#VALUE!</v>
      </c>
      <c r="H185" t="e">
        <f ca="1">IF((A1)=(2),1,IF((182)=(H3),IF(IF((INDEX(B1:XFD1,(A2)+(0)))=("store"),(INDEX(B1:XFD1,(A2)+(1)))=("H"),"false"),B2,H185),H185))</f>
        <v>#VALUE!</v>
      </c>
      <c r="I185" t="e">
        <f ca="1">IF((A1)=(2),1,IF((182)=(I3),IF(IF((INDEX(B1:XFD1,(A2)+(0)))=("store"),(INDEX(B1:XFD1,(A2)+(1)))=("I"),"false"),B2,I185),I185))</f>
        <v>#VALUE!</v>
      </c>
      <c r="J185" t="e">
        <f ca="1">IF((A1)=(2),1,IF((182)=(J3),IF(IF((INDEX(B1:XFD1,(A2)+(0)))=("store"),(INDEX(B1:XFD1,(A2)+(1)))=("J"),"false"),B2,J185),J185))</f>
        <v>#VALUE!</v>
      </c>
    </row>
    <row r="186" spans="1:10" x14ac:dyDescent="0.25">
      <c r="A186" t="e">
        <f ca="1">IF((A1)=(2),1,IF((183)=(A3),IF(("call")=(INDEX(B1:XFD1,(A2)+(0))),((B2)*(2))+(1),IF(("goto")=(INDEX(B1:XFD1,(A2)+(0))),((INDEX(B1:XFD1,(A2)+(1)))*(2))+(1),IF(("gotoiftrue")=(INDEX(B1:XFD1,(A2)+(0))),IF(B2,((INDEX(B1:XFD1,(A2)+(1)))*(2))+(1),(A186)+(2)),(A186)+(2)))),A186))</f>
        <v>#VALUE!</v>
      </c>
      <c r="B186" t="e">
        <f ca="1">IF((A1)=(2),1,IF((183)=(B3),IF(("push")=(INDEX(B1:XFD1,(A2)+(0))),INDEX(B1:XFD1,(A2)+(1)),IF(("load")=(INDEX(B1:XFD1,(A2)+(0))),INDEX(F2:XFD2,INDEX(B1:XFD1,(A2)+(1))),IF(("newheap")=(INDEX(B1:XFD1,(A2)+(0))),(C3)-(2),IF(("getheap")=(INDEX(B1:XFD1,(A2)+(0))),INDEX(C4:C204,(B186)+(1)),IF(("add")=(INDEX(B1:XFD1,(A2)+(0))),(INDEX(B4:B204,(B3)+(1)))+(B186),IF(("equals")=(INDEX(B1:XFD1,(A2)+(0))),(INDEX(B4:B204,(B3)+(1)))=(B186),IF(("leq")=(INDEX(B1:XFD1,(A2)+(0))),(INDEX(B4:B204,(B3)+(1)))&lt;=(B186),B186))))))),B186))</f>
        <v>#VALUE!</v>
      </c>
      <c r="C186" t="e">
        <f ca="1">IF((A1)=(2),1,IF(AND((INDEX(B1:XFD1,(A2)+(0)))=("writeheap"),(INDEX(B4:B204,(B3)+(1)))=(182)),INDEX(B4:B204,(B3)+(2)),IF((A1)=(2),1,IF((183)=(C3),C186,C186))))</f>
        <v>#VALUE!</v>
      </c>
      <c r="E186" t="e">
        <f ca="1">IF((A1)=(2),1,IF((183)=(E3),IF(("outputline")=(INDEX(B1:XFD1,(A2)+(0))),B2,E186),E186))</f>
        <v>#VALUE!</v>
      </c>
      <c r="F186" t="e">
        <f ca="1">IF((A1)=(2),1,IF((183)=(F3),IF(IF((INDEX(B1:XFD1,(A2)+(0)))=("store"),(INDEX(B1:XFD1,(A2)+(1)))=("F"),"false"),B2,F186),F186))</f>
        <v>#VALUE!</v>
      </c>
      <c r="G186" t="e">
        <f ca="1">IF((A1)=(2),1,IF((183)=(G3),IF(IF((INDEX(B1:XFD1,(A2)+(0)))=("store"),(INDEX(B1:XFD1,(A2)+(1)))=("G"),"false"),B2,G186),G186))</f>
        <v>#VALUE!</v>
      </c>
      <c r="H186" t="e">
        <f ca="1">IF((A1)=(2),1,IF((183)=(H3),IF(IF((INDEX(B1:XFD1,(A2)+(0)))=("store"),(INDEX(B1:XFD1,(A2)+(1)))=("H"),"false"),B2,H186),H186))</f>
        <v>#VALUE!</v>
      </c>
      <c r="I186" t="e">
        <f ca="1">IF((A1)=(2),1,IF((183)=(I3),IF(IF((INDEX(B1:XFD1,(A2)+(0)))=("store"),(INDEX(B1:XFD1,(A2)+(1)))=("I"),"false"),B2,I186),I186))</f>
        <v>#VALUE!</v>
      </c>
      <c r="J186" t="e">
        <f ca="1">IF((A1)=(2),1,IF((183)=(J3),IF(IF((INDEX(B1:XFD1,(A2)+(0)))=("store"),(INDEX(B1:XFD1,(A2)+(1)))=("J"),"false"),B2,J186),J186))</f>
        <v>#VALUE!</v>
      </c>
    </row>
    <row r="187" spans="1:10" x14ac:dyDescent="0.25">
      <c r="A187" t="e">
        <f ca="1">IF((A1)=(2),1,IF((184)=(A3),IF(("call")=(INDEX(B1:XFD1,(A2)+(0))),((B2)*(2))+(1),IF(("goto")=(INDEX(B1:XFD1,(A2)+(0))),((INDEX(B1:XFD1,(A2)+(1)))*(2))+(1),IF(("gotoiftrue")=(INDEX(B1:XFD1,(A2)+(0))),IF(B2,((INDEX(B1:XFD1,(A2)+(1)))*(2))+(1),(A187)+(2)),(A187)+(2)))),A187))</f>
        <v>#VALUE!</v>
      </c>
      <c r="B187" t="e">
        <f ca="1">IF((A1)=(2),1,IF((184)=(B3),IF(("push")=(INDEX(B1:XFD1,(A2)+(0))),INDEX(B1:XFD1,(A2)+(1)),IF(("load")=(INDEX(B1:XFD1,(A2)+(0))),INDEX(F2:XFD2,INDEX(B1:XFD1,(A2)+(1))),IF(("newheap")=(INDEX(B1:XFD1,(A2)+(0))),(C3)-(2),IF(("getheap")=(INDEX(B1:XFD1,(A2)+(0))),INDEX(C4:C204,(B187)+(1)),IF(("add")=(INDEX(B1:XFD1,(A2)+(0))),(INDEX(B4:B204,(B3)+(1)))+(B187),IF(("equals")=(INDEX(B1:XFD1,(A2)+(0))),(INDEX(B4:B204,(B3)+(1)))=(B187),IF(("leq")=(INDEX(B1:XFD1,(A2)+(0))),(INDEX(B4:B204,(B3)+(1)))&lt;=(B187),B187))))))),B187))</f>
        <v>#VALUE!</v>
      </c>
      <c r="C187" t="e">
        <f ca="1">IF((A1)=(2),1,IF(AND((INDEX(B1:XFD1,(A2)+(0)))=("writeheap"),(INDEX(B4:B204,(B3)+(1)))=(183)),INDEX(B4:B204,(B3)+(2)),IF((A1)=(2),1,IF((184)=(C3),C187,C187))))</f>
        <v>#VALUE!</v>
      </c>
      <c r="E187" t="e">
        <f ca="1">IF((A1)=(2),1,IF((184)=(E3),IF(("outputline")=(INDEX(B1:XFD1,(A2)+(0))),B2,E187),E187))</f>
        <v>#VALUE!</v>
      </c>
      <c r="F187" t="e">
        <f ca="1">IF((A1)=(2),1,IF((184)=(F3),IF(IF((INDEX(B1:XFD1,(A2)+(0)))=("store"),(INDEX(B1:XFD1,(A2)+(1)))=("F"),"false"),B2,F187),F187))</f>
        <v>#VALUE!</v>
      </c>
      <c r="G187" t="e">
        <f ca="1">IF((A1)=(2),1,IF((184)=(G3),IF(IF((INDEX(B1:XFD1,(A2)+(0)))=("store"),(INDEX(B1:XFD1,(A2)+(1)))=("G"),"false"),B2,G187),G187))</f>
        <v>#VALUE!</v>
      </c>
      <c r="H187" t="e">
        <f ca="1">IF((A1)=(2),1,IF((184)=(H3),IF(IF((INDEX(B1:XFD1,(A2)+(0)))=("store"),(INDEX(B1:XFD1,(A2)+(1)))=("H"),"false"),B2,H187),H187))</f>
        <v>#VALUE!</v>
      </c>
      <c r="I187" t="e">
        <f ca="1">IF((A1)=(2),1,IF((184)=(I3),IF(IF((INDEX(B1:XFD1,(A2)+(0)))=("store"),(INDEX(B1:XFD1,(A2)+(1)))=("I"),"false"),B2,I187),I187))</f>
        <v>#VALUE!</v>
      </c>
      <c r="J187" t="e">
        <f ca="1">IF((A1)=(2),1,IF((184)=(J3),IF(IF((INDEX(B1:XFD1,(A2)+(0)))=("store"),(INDEX(B1:XFD1,(A2)+(1)))=("J"),"false"),B2,J187),J187))</f>
        <v>#VALUE!</v>
      </c>
    </row>
    <row r="188" spans="1:10" x14ac:dyDescent="0.25">
      <c r="A188" t="e">
        <f ca="1">IF((A1)=(2),1,IF((185)=(A3),IF(("call")=(INDEX(B1:XFD1,(A2)+(0))),((B2)*(2))+(1),IF(("goto")=(INDEX(B1:XFD1,(A2)+(0))),((INDEX(B1:XFD1,(A2)+(1)))*(2))+(1),IF(("gotoiftrue")=(INDEX(B1:XFD1,(A2)+(0))),IF(B2,((INDEX(B1:XFD1,(A2)+(1)))*(2))+(1),(A188)+(2)),(A188)+(2)))),A188))</f>
        <v>#VALUE!</v>
      </c>
      <c r="B188" t="e">
        <f ca="1">IF((A1)=(2),1,IF((185)=(B3),IF(("push")=(INDEX(B1:XFD1,(A2)+(0))),INDEX(B1:XFD1,(A2)+(1)),IF(("load")=(INDEX(B1:XFD1,(A2)+(0))),INDEX(F2:XFD2,INDEX(B1:XFD1,(A2)+(1))),IF(("newheap")=(INDEX(B1:XFD1,(A2)+(0))),(C3)-(2),IF(("getheap")=(INDEX(B1:XFD1,(A2)+(0))),INDEX(C4:C204,(B188)+(1)),IF(("add")=(INDEX(B1:XFD1,(A2)+(0))),(INDEX(B4:B204,(B3)+(1)))+(B188),IF(("equals")=(INDEX(B1:XFD1,(A2)+(0))),(INDEX(B4:B204,(B3)+(1)))=(B188),IF(("leq")=(INDEX(B1:XFD1,(A2)+(0))),(INDEX(B4:B204,(B3)+(1)))&lt;=(B188),B188))))))),B188))</f>
        <v>#VALUE!</v>
      </c>
      <c r="C188" t="e">
        <f ca="1">IF((A1)=(2),1,IF(AND((INDEX(B1:XFD1,(A2)+(0)))=("writeheap"),(INDEX(B4:B204,(B3)+(1)))=(184)),INDEX(B4:B204,(B3)+(2)),IF((A1)=(2),1,IF((185)=(C3),C188,C188))))</f>
        <v>#VALUE!</v>
      </c>
      <c r="E188" t="e">
        <f ca="1">IF((A1)=(2),1,IF((185)=(E3),IF(("outputline")=(INDEX(B1:XFD1,(A2)+(0))),B2,E188),E188))</f>
        <v>#VALUE!</v>
      </c>
      <c r="F188" t="e">
        <f ca="1">IF((A1)=(2),1,IF((185)=(F3),IF(IF((INDEX(B1:XFD1,(A2)+(0)))=("store"),(INDEX(B1:XFD1,(A2)+(1)))=("F"),"false"),B2,F188),F188))</f>
        <v>#VALUE!</v>
      </c>
      <c r="G188" t="e">
        <f ca="1">IF((A1)=(2),1,IF((185)=(G3),IF(IF((INDEX(B1:XFD1,(A2)+(0)))=("store"),(INDEX(B1:XFD1,(A2)+(1)))=("G"),"false"),B2,G188),G188))</f>
        <v>#VALUE!</v>
      </c>
      <c r="H188" t="e">
        <f ca="1">IF((A1)=(2),1,IF((185)=(H3),IF(IF((INDEX(B1:XFD1,(A2)+(0)))=("store"),(INDEX(B1:XFD1,(A2)+(1)))=("H"),"false"),B2,H188),H188))</f>
        <v>#VALUE!</v>
      </c>
      <c r="I188" t="e">
        <f ca="1">IF((A1)=(2),1,IF((185)=(I3),IF(IF((INDEX(B1:XFD1,(A2)+(0)))=("store"),(INDEX(B1:XFD1,(A2)+(1)))=("I"),"false"),B2,I188),I188))</f>
        <v>#VALUE!</v>
      </c>
      <c r="J188" t="e">
        <f ca="1">IF((A1)=(2),1,IF((185)=(J3),IF(IF((INDEX(B1:XFD1,(A2)+(0)))=("store"),(INDEX(B1:XFD1,(A2)+(1)))=("J"),"false"),B2,J188),J188))</f>
        <v>#VALUE!</v>
      </c>
    </row>
    <row r="189" spans="1:10" x14ac:dyDescent="0.25">
      <c r="A189" t="e">
        <f ca="1">IF((A1)=(2),1,IF((186)=(A3),IF(("call")=(INDEX(B1:XFD1,(A2)+(0))),((B2)*(2))+(1),IF(("goto")=(INDEX(B1:XFD1,(A2)+(0))),((INDEX(B1:XFD1,(A2)+(1)))*(2))+(1),IF(("gotoiftrue")=(INDEX(B1:XFD1,(A2)+(0))),IF(B2,((INDEX(B1:XFD1,(A2)+(1)))*(2))+(1),(A189)+(2)),(A189)+(2)))),A189))</f>
        <v>#VALUE!</v>
      </c>
      <c r="B189" t="e">
        <f ca="1">IF((A1)=(2),1,IF((186)=(B3),IF(("push")=(INDEX(B1:XFD1,(A2)+(0))),INDEX(B1:XFD1,(A2)+(1)),IF(("load")=(INDEX(B1:XFD1,(A2)+(0))),INDEX(F2:XFD2,INDEX(B1:XFD1,(A2)+(1))),IF(("newheap")=(INDEX(B1:XFD1,(A2)+(0))),(C3)-(2),IF(("getheap")=(INDEX(B1:XFD1,(A2)+(0))),INDEX(C4:C204,(B189)+(1)),IF(("add")=(INDEX(B1:XFD1,(A2)+(0))),(INDEX(B4:B204,(B3)+(1)))+(B189),IF(("equals")=(INDEX(B1:XFD1,(A2)+(0))),(INDEX(B4:B204,(B3)+(1)))=(B189),IF(("leq")=(INDEX(B1:XFD1,(A2)+(0))),(INDEX(B4:B204,(B3)+(1)))&lt;=(B189),B189))))))),B189))</f>
        <v>#VALUE!</v>
      </c>
      <c r="C189" t="e">
        <f ca="1">IF((A1)=(2),1,IF(AND((INDEX(B1:XFD1,(A2)+(0)))=("writeheap"),(INDEX(B4:B204,(B3)+(1)))=(185)),INDEX(B4:B204,(B3)+(2)),IF((A1)=(2),1,IF((186)=(C3),C189,C189))))</f>
        <v>#VALUE!</v>
      </c>
      <c r="E189" t="e">
        <f ca="1">IF((A1)=(2),1,IF((186)=(E3),IF(("outputline")=(INDEX(B1:XFD1,(A2)+(0))),B2,E189),E189))</f>
        <v>#VALUE!</v>
      </c>
      <c r="F189" t="e">
        <f ca="1">IF((A1)=(2),1,IF((186)=(F3),IF(IF((INDEX(B1:XFD1,(A2)+(0)))=("store"),(INDEX(B1:XFD1,(A2)+(1)))=("F"),"false"),B2,F189),F189))</f>
        <v>#VALUE!</v>
      </c>
      <c r="G189" t="e">
        <f ca="1">IF((A1)=(2),1,IF((186)=(G3),IF(IF((INDEX(B1:XFD1,(A2)+(0)))=("store"),(INDEX(B1:XFD1,(A2)+(1)))=("G"),"false"),B2,G189),G189))</f>
        <v>#VALUE!</v>
      </c>
      <c r="H189" t="e">
        <f ca="1">IF((A1)=(2),1,IF((186)=(H3),IF(IF((INDEX(B1:XFD1,(A2)+(0)))=("store"),(INDEX(B1:XFD1,(A2)+(1)))=("H"),"false"),B2,H189),H189))</f>
        <v>#VALUE!</v>
      </c>
      <c r="I189" t="e">
        <f ca="1">IF((A1)=(2),1,IF((186)=(I3),IF(IF((INDEX(B1:XFD1,(A2)+(0)))=("store"),(INDEX(B1:XFD1,(A2)+(1)))=("I"),"false"),B2,I189),I189))</f>
        <v>#VALUE!</v>
      </c>
      <c r="J189" t="e">
        <f ca="1">IF((A1)=(2),1,IF((186)=(J3),IF(IF((INDEX(B1:XFD1,(A2)+(0)))=("store"),(INDEX(B1:XFD1,(A2)+(1)))=("J"),"false"),B2,J189),J189))</f>
        <v>#VALUE!</v>
      </c>
    </row>
    <row r="190" spans="1:10" x14ac:dyDescent="0.25">
      <c r="A190" t="e">
        <f ca="1">IF((A1)=(2),1,IF((187)=(A3),IF(("call")=(INDEX(B1:XFD1,(A2)+(0))),((B2)*(2))+(1),IF(("goto")=(INDEX(B1:XFD1,(A2)+(0))),((INDEX(B1:XFD1,(A2)+(1)))*(2))+(1),IF(("gotoiftrue")=(INDEX(B1:XFD1,(A2)+(0))),IF(B2,((INDEX(B1:XFD1,(A2)+(1)))*(2))+(1),(A190)+(2)),(A190)+(2)))),A190))</f>
        <v>#VALUE!</v>
      </c>
      <c r="B190" t="e">
        <f ca="1">IF((A1)=(2),1,IF((187)=(B3),IF(("push")=(INDEX(B1:XFD1,(A2)+(0))),INDEX(B1:XFD1,(A2)+(1)),IF(("load")=(INDEX(B1:XFD1,(A2)+(0))),INDEX(F2:XFD2,INDEX(B1:XFD1,(A2)+(1))),IF(("newheap")=(INDEX(B1:XFD1,(A2)+(0))),(C3)-(2),IF(("getheap")=(INDEX(B1:XFD1,(A2)+(0))),INDEX(C4:C204,(B190)+(1)),IF(("add")=(INDEX(B1:XFD1,(A2)+(0))),(INDEX(B4:B204,(B3)+(1)))+(B190),IF(("equals")=(INDEX(B1:XFD1,(A2)+(0))),(INDEX(B4:B204,(B3)+(1)))=(B190),IF(("leq")=(INDEX(B1:XFD1,(A2)+(0))),(INDEX(B4:B204,(B3)+(1)))&lt;=(B190),B190))))))),B190))</f>
        <v>#VALUE!</v>
      </c>
      <c r="C190" t="e">
        <f ca="1">IF((A1)=(2),1,IF(AND((INDEX(B1:XFD1,(A2)+(0)))=("writeheap"),(INDEX(B4:B204,(B3)+(1)))=(186)),INDEX(B4:B204,(B3)+(2)),IF((A1)=(2),1,IF((187)=(C3),C190,C190))))</f>
        <v>#VALUE!</v>
      </c>
      <c r="E190" t="e">
        <f ca="1">IF((A1)=(2),1,IF((187)=(E3),IF(("outputline")=(INDEX(B1:XFD1,(A2)+(0))),B2,E190),E190))</f>
        <v>#VALUE!</v>
      </c>
      <c r="F190" t="e">
        <f ca="1">IF((A1)=(2),1,IF((187)=(F3),IF(IF((INDEX(B1:XFD1,(A2)+(0)))=("store"),(INDEX(B1:XFD1,(A2)+(1)))=("F"),"false"),B2,F190),F190))</f>
        <v>#VALUE!</v>
      </c>
      <c r="G190" t="e">
        <f ca="1">IF((A1)=(2),1,IF((187)=(G3),IF(IF((INDEX(B1:XFD1,(A2)+(0)))=("store"),(INDEX(B1:XFD1,(A2)+(1)))=("G"),"false"),B2,G190),G190))</f>
        <v>#VALUE!</v>
      </c>
      <c r="H190" t="e">
        <f ca="1">IF((A1)=(2),1,IF((187)=(H3),IF(IF((INDEX(B1:XFD1,(A2)+(0)))=("store"),(INDEX(B1:XFD1,(A2)+(1)))=("H"),"false"),B2,H190),H190))</f>
        <v>#VALUE!</v>
      </c>
      <c r="I190" t="e">
        <f ca="1">IF((A1)=(2),1,IF((187)=(I3),IF(IF((INDEX(B1:XFD1,(A2)+(0)))=("store"),(INDEX(B1:XFD1,(A2)+(1)))=("I"),"false"),B2,I190),I190))</f>
        <v>#VALUE!</v>
      </c>
      <c r="J190" t="e">
        <f ca="1">IF((A1)=(2),1,IF((187)=(J3),IF(IF((INDEX(B1:XFD1,(A2)+(0)))=("store"),(INDEX(B1:XFD1,(A2)+(1)))=("J"),"false"),B2,J190),J190))</f>
        <v>#VALUE!</v>
      </c>
    </row>
    <row r="191" spans="1:10" x14ac:dyDescent="0.25">
      <c r="A191" t="e">
        <f ca="1">IF((A1)=(2),1,IF((188)=(A3),IF(("call")=(INDEX(B1:XFD1,(A2)+(0))),((B2)*(2))+(1),IF(("goto")=(INDEX(B1:XFD1,(A2)+(0))),((INDEX(B1:XFD1,(A2)+(1)))*(2))+(1),IF(("gotoiftrue")=(INDEX(B1:XFD1,(A2)+(0))),IF(B2,((INDEX(B1:XFD1,(A2)+(1)))*(2))+(1),(A191)+(2)),(A191)+(2)))),A191))</f>
        <v>#VALUE!</v>
      </c>
      <c r="B191" t="e">
        <f ca="1">IF((A1)=(2),1,IF((188)=(B3),IF(("push")=(INDEX(B1:XFD1,(A2)+(0))),INDEX(B1:XFD1,(A2)+(1)),IF(("load")=(INDEX(B1:XFD1,(A2)+(0))),INDEX(F2:XFD2,INDEX(B1:XFD1,(A2)+(1))),IF(("newheap")=(INDEX(B1:XFD1,(A2)+(0))),(C3)-(2),IF(("getheap")=(INDEX(B1:XFD1,(A2)+(0))),INDEX(C4:C204,(B191)+(1)),IF(("add")=(INDEX(B1:XFD1,(A2)+(0))),(INDEX(B4:B204,(B3)+(1)))+(B191),IF(("equals")=(INDEX(B1:XFD1,(A2)+(0))),(INDEX(B4:B204,(B3)+(1)))=(B191),IF(("leq")=(INDEX(B1:XFD1,(A2)+(0))),(INDEX(B4:B204,(B3)+(1)))&lt;=(B191),B191))))))),B191))</f>
        <v>#VALUE!</v>
      </c>
      <c r="C191" t="e">
        <f ca="1">IF((A1)=(2),1,IF(AND((INDEX(B1:XFD1,(A2)+(0)))=("writeheap"),(INDEX(B4:B204,(B3)+(1)))=(187)),INDEX(B4:B204,(B3)+(2)),IF((A1)=(2),1,IF((188)=(C3),C191,C191))))</f>
        <v>#VALUE!</v>
      </c>
      <c r="E191" t="e">
        <f ca="1">IF((A1)=(2),1,IF((188)=(E3),IF(("outputline")=(INDEX(B1:XFD1,(A2)+(0))),B2,E191),E191))</f>
        <v>#VALUE!</v>
      </c>
      <c r="F191" t="e">
        <f ca="1">IF((A1)=(2),1,IF((188)=(F3),IF(IF((INDEX(B1:XFD1,(A2)+(0)))=("store"),(INDEX(B1:XFD1,(A2)+(1)))=("F"),"false"),B2,F191),F191))</f>
        <v>#VALUE!</v>
      </c>
      <c r="G191" t="e">
        <f ca="1">IF((A1)=(2),1,IF((188)=(G3),IF(IF((INDEX(B1:XFD1,(A2)+(0)))=("store"),(INDEX(B1:XFD1,(A2)+(1)))=("G"),"false"),B2,G191),G191))</f>
        <v>#VALUE!</v>
      </c>
      <c r="H191" t="e">
        <f ca="1">IF((A1)=(2),1,IF((188)=(H3),IF(IF((INDEX(B1:XFD1,(A2)+(0)))=("store"),(INDEX(B1:XFD1,(A2)+(1)))=("H"),"false"),B2,H191),H191))</f>
        <v>#VALUE!</v>
      </c>
      <c r="I191" t="e">
        <f ca="1">IF((A1)=(2),1,IF((188)=(I3),IF(IF((INDEX(B1:XFD1,(A2)+(0)))=("store"),(INDEX(B1:XFD1,(A2)+(1)))=("I"),"false"),B2,I191),I191))</f>
        <v>#VALUE!</v>
      </c>
      <c r="J191" t="e">
        <f ca="1">IF((A1)=(2),1,IF((188)=(J3),IF(IF((INDEX(B1:XFD1,(A2)+(0)))=("store"),(INDEX(B1:XFD1,(A2)+(1)))=("J"),"false"),B2,J191),J191))</f>
        <v>#VALUE!</v>
      </c>
    </row>
    <row r="192" spans="1:10" x14ac:dyDescent="0.25">
      <c r="A192" t="e">
        <f ca="1">IF((A1)=(2),1,IF((189)=(A3),IF(("call")=(INDEX(B1:XFD1,(A2)+(0))),((B2)*(2))+(1),IF(("goto")=(INDEX(B1:XFD1,(A2)+(0))),((INDEX(B1:XFD1,(A2)+(1)))*(2))+(1),IF(("gotoiftrue")=(INDEX(B1:XFD1,(A2)+(0))),IF(B2,((INDEX(B1:XFD1,(A2)+(1)))*(2))+(1),(A192)+(2)),(A192)+(2)))),A192))</f>
        <v>#VALUE!</v>
      </c>
      <c r="B192" t="e">
        <f ca="1">IF((A1)=(2),1,IF((189)=(B3),IF(("push")=(INDEX(B1:XFD1,(A2)+(0))),INDEX(B1:XFD1,(A2)+(1)),IF(("load")=(INDEX(B1:XFD1,(A2)+(0))),INDEX(F2:XFD2,INDEX(B1:XFD1,(A2)+(1))),IF(("newheap")=(INDEX(B1:XFD1,(A2)+(0))),(C3)-(2),IF(("getheap")=(INDEX(B1:XFD1,(A2)+(0))),INDEX(C4:C204,(B192)+(1)),IF(("add")=(INDEX(B1:XFD1,(A2)+(0))),(INDEX(B4:B204,(B3)+(1)))+(B192),IF(("equals")=(INDEX(B1:XFD1,(A2)+(0))),(INDEX(B4:B204,(B3)+(1)))=(B192),IF(("leq")=(INDEX(B1:XFD1,(A2)+(0))),(INDEX(B4:B204,(B3)+(1)))&lt;=(B192),B192))))))),B192))</f>
        <v>#VALUE!</v>
      </c>
      <c r="C192" t="e">
        <f ca="1">IF((A1)=(2),1,IF(AND((INDEX(B1:XFD1,(A2)+(0)))=("writeheap"),(INDEX(B4:B204,(B3)+(1)))=(188)),INDEX(B4:B204,(B3)+(2)),IF((A1)=(2),1,IF((189)=(C3),C192,C192))))</f>
        <v>#VALUE!</v>
      </c>
      <c r="E192" t="e">
        <f ca="1">IF((A1)=(2),1,IF((189)=(E3),IF(("outputline")=(INDEX(B1:XFD1,(A2)+(0))),B2,E192),E192))</f>
        <v>#VALUE!</v>
      </c>
      <c r="F192" t="e">
        <f ca="1">IF((A1)=(2),1,IF((189)=(F3),IF(IF((INDEX(B1:XFD1,(A2)+(0)))=("store"),(INDEX(B1:XFD1,(A2)+(1)))=("F"),"false"),B2,F192),F192))</f>
        <v>#VALUE!</v>
      </c>
      <c r="G192" t="e">
        <f ca="1">IF((A1)=(2),1,IF((189)=(G3),IF(IF((INDEX(B1:XFD1,(A2)+(0)))=("store"),(INDEX(B1:XFD1,(A2)+(1)))=("G"),"false"),B2,G192),G192))</f>
        <v>#VALUE!</v>
      </c>
      <c r="H192" t="e">
        <f ca="1">IF((A1)=(2),1,IF((189)=(H3),IF(IF((INDEX(B1:XFD1,(A2)+(0)))=("store"),(INDEX(B1:XFD1,(A2)+(1)))=("H"),"false"),B2,H192),H192))</f>
        <v>#VALUE!</v>
      </c>
      <c r="I192" t="e">
        <f ca="1">IF((A1)=(2),1,IF((189)=(I3),IF(IF((INDEX(B1:XFD1,(A2)+(0)))=("store"),(INDEX(B1:XFD1,(A2)+(1)))=("I"),"false"),B2,I192),I192))</f>
        <v>#VALUE!</v>
      </c>
      <c r="J192" t="e">
        <f ca="1">IF((A1)=(2),1,IF((189)=(J3),IF(IF((INDEX(B1:XFD1,(A2)+(0)))=("store"),(INDEX(B1:XFD1,(A2)+(1)))=("J"),"false"),B2,J192),J192))</f>
        <v>#VALUE!</v>
      </c>
    </row>
    <row r="193" spans="1:10" x14ac:dyDescent="0.25">
      <c r="A193" t="e">
        <f ca="1">IF((A1)=(2),1,IF((190)=(A3),IF(("call")=(INDEX(B1:XFD1,(A2)+(0))),((B2)*(2))+(1),IF(("goto")=(INDEX(B1:XFD1,(A2)+(0))),((INDEX(B1:XFD1,(A2)+(1)))*(2))+(1),IF(("gotoiftrue")=(INDEX(B1:XFD1,(A2)+(0))),IF(B2,((INDEX(B1:XFD1,(A2)+(1)))*(2))+(1),(A193)+(2)),(A193)+(2)))),A193))</f>
        <v>#VALUE!</v>
      </c>
      <c r="B193" t="e">
        <f ca="1">IF((A1)=(2),1,IF((190)=(B3),IF(("push")=(INDEX(B1:XFD1,(A2)+(0))),INDEX(B1:XFD1,(A2)+(1)),IF(("load")=(INDEX(B1:XFD1,(A2)+(0))),INDEX(F2:XFD2,INDEX(B1:XFD1,(A2)+(1))),IF(("newheap")=(INDEX(B1:XFD1,(A2)+(0))),(C3)-(2),IF(("getheap")=(INDEX(B1:XFD1,(A2)+(0))),INDEX(C4:C204,(B193)+(1)),IF(("add")=(INDEX(B1:XFD1,(A2)+(0))),(INDEX(B4:B204,(B3)+(1)))+(B193),IF(("equals")=(INDEX(B1:XFD1,(A2)+(0))),(INDEX(B4:B204,(B3)+(1)))=(B193),IF(("leq")=(INDEX(B1:XFD1,(A2)+(0))),(INDEX(B4:B204,(B3)+(1)))&lt;=(B193),B193))))))),B193))</f>
        <v>#VALUE!</v>
      </c>
      <c r="C193" t="e">
        <f ca="1">IF((A1)=(2),1,IF(AND((INDEX(B1:XFD1,(A2)+(0)))=("writeheap"),(INDEX(B4:B204,(B3)+(1)))=(189)),INDEX(B4:B204,(B3)+(2)),IF((A1)=(2),1,IF((190)=(C3),C193,C193))))</f>
        <v>#VALUE!</v>
      </c>
      <c r="E193" t="e">
        <f ca="1">IF((A1)=(2),1,IF((190)=(E3),IF(("outputline")=(INDEX(B1:XFD1,(A2)+(0))),B2,E193),E193))</f>
        <v>#VALUE!</v>
      </c>
      <c r="F193" t="e">
        <f ca="1">IF((A1)=(2),1,IF((190)=(F3),IF(IF((INDEX(B1:XFD1,(A2)+(0)))=("store"),(INDEX(B1:XFD1,(A2)+(1)))=("F"),"false"),B2,F193),F193))</f>
        <v>#VALUE!</v>
      </c>
      <c r="G193" t="e">
        <f ca="1">IF((A1)=(2),1,IF((190)=(G3),IF(IF((INDEX(B1:XFD1,(A2)+(0)))=("store"),(INDEX(B1:XFD1,(A2)+(1)))=("G"),"false"),B2,G193),G193))</f>
        <v>#VALUE!</v>
      </c>
      <c r="H193" t="e">
        <f ca="1">IF((A1)=(2),1,IF((190)=(H3),IF(IF((INDEX(B1:XFD1,(A2)+(0)))=("store"),(INDEX(B1:XFD1,(A2)+(1)))=("H"),"false"),B2,H193),H193))</f>
        <v>#VALUE!</v>
      </c>
      <c r="I193" t="e">
        <f ca="1">IF((A1)=(2),1,IF((190)=(I3),IF(IF((INDEX(B1:XFD1,(A2)+(0)))=("store"),(INDEX(B1:XFD1,(A2)+(1)))=("I"),"false"),B2,I193),I193))</f>
        <v>#VALUE!</v>
      </c>
      <c r="J193" t="e">
        <f ca="1">IF((A1)=(2),1,IF((190)=(J3),IF(IF((INDEX(B1:XFD1,(A2)+(0)))=("store"),(INDEX(B1:XFD1,(A2)+(1)))=("J"),"false"),B2,J193),J193))</f>
        <v>#VALUE!</v>
      </c>
    </row>
    <row r="194" spans="1:10" x14ac:dyDescent="0.25">
      <c r="A194" t="e">
        <f ca="1">IF((A1)=(2),1,IF((191)=(A3),IF(("call")=(INDEX(B1:XFD1,(A2)+(0))),((B2)*(2))+(1),IF(("goto")=(INDEX(B1:XFD1,(A2)+(0))),((INDEX(B1:XFD1,(A2)+(1)))*(2))+(1),IF(("gotoiftrue")=(INDEX(B1:XFD1,(A2)+(0))),IF(B2,((INDEX(B1:XFD1,(A2)+(1)))*(2))+(1),(A194)+(2)),(A194)+(2)))),A194))</f>
        <v>#VALUE!</v>
      </c>
      <c r="B194" t="e">
        <f ca="1">IF((A1)=(2),1,IF((191)=(B3),IF(("push")=(INDEX(B1:XFD1,(A2)+(0))),INDEX(B1:XFD1,(A2)+(1)),IF(("load")=(INDEX(B1:XFD1,(A2)+(0))),INDEX(F2:XFD2,INDEX(B1:XFD1,(A2)+(1))),IF(("newheap")=(INDEX(B1:XFD1,(A2)+(0))),(C3)-(2),IF(("getheap")=(INDEX(B1:XFD1,(A2)+(0))),INDEX(C4:C204,(B194)+(1)),IF(("add")=(INDEX(B1:XFD1,(A2)+(0))),(INDEX(B4:B204,(B3)+(1)))+(B194),IF(("equals")=(INDEX(B1:XFD1,(A2)+(0))),(INDEX(B4:B204,(B3)+(1)))=(B194),IF(("leq")=(INDEX(B1:XFD1,(A2)+(0))),(INDEX(B4:B204,(B3)+(1)))&lt;=(B194),B194))))))),B194))</f>
        <v>#VALUE!</v>
      </c>
      <c r="C194" t="e">
        <f ca="1">IF((A1)=(2),1,IF(AND((INDEX(B1:XFD1,(A2)+(0)))=("writeheap"),(INDEX(B4:B204,(B3)+(1)))=(190)),INDEX(B4:B204,(B3)+(2)),IF((A1)=(2),1,IF((191)=(C3),C194,C194))))</f>
        <v>#VALUE!</v>
      </c>
      <c r="E194" t="e">
        <f ca="1">IF((A1)=(2),1,IF((191)=(E3),IF(("outputline")=(INDEX(B1:XFD1,(A2)+(0))),B2,E194),E194))</f>
        <v>#VALUE!</v>
      </c>
      <c r="F194" t="e">
        <f ca="1">IF((A1)=(2),1,IF((191)=(F3),IF(IF((INDEX(B1:XFD1,(A2)+(0)))=("store"),(INDEX(B1:XFD1,(A2)+(1)))=("F"),"false"),B2,F194),F194))</f>
        <v>#VALUE!</v>
      </c>
      <c r="G194" t="e">
        <f ca="1">IF((A1)=(2),1,IF((191)=(G3),IF(IF((INDEX(B1:XFD1,(A2)+(0)))=("store"),(INDEX(B1:XFD1,(A2)+(1)))=("G"),"false"),B2,G194),G194))</f>
        <v>#VALUE!</v>
      </c>
      <c r="H194" t="e">
        <f ca="1">IF((A1)=(2),1,IF((191)=(H3),IF(IF((INDEX(B1:XFD1,(A2)+(0)))=("store"),(INDEX(B1:XFD1,(A2)+(1)))=("H"),"false"),B2,H194),H194))</f>
        <v>#VALUE!</v>
      </c>
      <c r="I194" t="e">
        <f ca="1">IF((A1)=(2),1,IF((191)=(I3),IF(IF((INDEX(B1:XFD1,(A2)+(0)))=("store"),(INDEX(B1:XFD1,(A2)+(1)))=("I"),"false"),B2,I194),I194))</f>
        <v>#VALUE!</v>
      </c>
      <c r="J194" t="e">
        <f ca="1">IF((A1)=(2),1,IF((191)=(J3),IF(IF((INDEX(B1:XFD1,(A2)+(0)))=("store"),(INDEX(B1:XFD1,(A2)+(1)))=("J"),"false"),B2,J194),J194))</f>
        <v>#VALUE!</v>
      </c>
    </row>
    <row r="195" spans="1:10" x14ac:dyDescent="0.25">
      <c r="A195" t="e">
        <f ca="1">IF((A1)=(2),1,IF((192)=(A3),IF(("call")=(INDEX(B1:XFD1,(A2)+(0))),((B2)*(2))+(1),IF(("goto")=(INDEX(B1:XFD1,(A2)+(0))),((INDEX(B1:XFD1,(A2)+(1)))*(2))+(1),IF(("gotoiftrue")=(INDEX(B1:XFD1,(A2)+(0))),IF(B2,((INDEX(B1:XFD1,(A2)+(1)))*(2))+(1),(A195)+(2)),(A195)+(2)))),A195))</f>
        <v>#VALUE!</v>
      </c>
      <c r="B195" t="e">
        <f ca="1">IF((A1)=(2),1,IF((192)=(B3),IF(("push")=(INDEX(B1:XFD1,(A2)+(0))),INDEX(B1:XFD1,(A2)+(1)),IF(("load")=(INDEX(B1:XFD1,(A2)+(0))),INDEX(F2:XFD2,INDEX(B1:XFD1,(A2)+(1))),IF(("newheap")=(INDEX(B1:XFD1,(A2)+(0))),(C3)-(2),IF(("getheap")=(INDEX(B1:XFD1,(A2)+(0))),INDEX(C4:C204,(B195)+(1)),IF(("add")=(INDEX(B1:XFD1,(A2)+(0))),(INDEX(B4:B204,(B3)+(1)))+(B195),IF(("equals")=(INDEX(B1:XFD1,(A2)+(0))),(INDEX(B4:B204,(B3)+(1)))=(B195),IF(("leq")=(INDEX(B1:XFD1,(A2)+(0))),(INDEX(B4:B204,(B3)+(1)))&lt;=(B195),B195))))))),B195))</f>
        <v>#VALUE!</v>
      </c>
      <c r="C195" t="e">
        <f ca="1">IF((A1)=(2),1,IF(AND((INDEX(B1:XFD1,(A2)+(0)))=("writeheap"),(INDEX(B4:B204,(B3)+(1)))=(191)),INDEX(B4:B204,(B3)+(2)),IF((A1)=(2),1,IF((192)=(C3),C195,C195))))</f>
        <v>#VALUE!</v>
      </c>
      <c r="E195" t="e">
        <f ca="1">IF((A1)=(2),1,IF((192)=(E3),IF(("outputline")=(INDEX(B1:XFD1,(A2)+(0))),B2,E195),E195))</f>
        <v>#VALUE!</v>
      </c>
      <c r="F195" t="e">
        <f ca="1">IF((A1)=(2),1,IF((192)=(F3),IF(IF((INDEX(B1:XFD1,(A2)+(0)))=("store"),(INDEX(B1:XFD1,(A2)+(1)))=("F"),"false"),B2,F195),F195))</f>
        <v>#VALUE!</v>
      </c>
      <c r="G195" t="e">
        <f ca="1">IF((A1)=(2),1,IF((192)=(G3),IF(IF((INDEX(B1:XFD1,(A2)+(0)))=("store"),(INDEX(B1:XFD1,(A2)+(1)))=("G"),"false"),B2,G195),G195))</f>
        <v>#VALUE!</v>
      </c>
      <c r="H195" t="e">
        <f ca="1">IF((A1)=(2),1,IF((192)=(H3),IF(IF((INDEX(B1:XFD1,(A2)+(0)))=("store"),(INDEX(B1:XFD1,(A2)+(1)))=("H"),"false"),B2,H195),H195))</f>
        <v>#VALUE!</v>
      </c>
      <c r="I195" t="e">
        <f ca="1">IF((A1)=(2),1,IF((192)=(I3),IF(IF((INDEX(B1:XFD1,(A2)+(0)))=("store"),(INDEX(B1:XFD1,(A2)+(1)))=("I"),"false"),B2,I195),I195))</f>
        <v>#VALUE!</v>
      </c>
      <c r="J195" t="e">
        <f ca="1">IF((A1)=(2),1,IF((192)=(J3),IF(IF((INDEX(B1:XFD1,(A2)+(0)))=("store"),(INDEX(B1:XFD1,(A2)+(1)))=("J"),"false"),B2,J195),J195))</f>
        <v>#VALUE!</v>
      </c>
    </row>
    <row r="196" spans="1:10" x14ac:dyDescent="0.25">
      <c r="A196" t="e">
        <f ca="1">IF((A1)=(2),1,IF((193)=(A3),IF(("call")=(INDEX(B1:XFD1,(A2)+(0))),((B2)*(2))+(1),IF(("goto")=(INDEX(B1:XFD1,(A2)+(0))),((INDEX(B1:XFD1,(A2)+(1)))*(2))+(1),IF(("gotoiftrue")=(INDEX(B1:XFD1,(A2)+(0))),IF(B2,((INDEX(B1:XFD1,(A2)+(1)))*(2))+(1),(A196)+(2)),(A196)+(2)))),A196))</f>
        <v>#VALUE!</v>
      </c>
      <c r="B196" t="e">
        <f ca="1">IF((A1)=(2),1,IF((193)=(B3),IF(("push")=(INDEX(B1:XFD1,(A2)+(0))),INDEX(B1:XFD1,(A2)+(1)),IF(("load")=(INDEX(B1:XFD1,(A2)+(0))),INDEX(F2:XFD2,INDEX(B1:XFD1,(A2)+(1))),IF(("newheap")=(INDEX(B1:XFD1,(A2)+(0))),(C3)-(2),IF(("getheap")=(INDEX(B1:XFD1,(A2)+(0))),INDEX(C4:C204,(B196)+(1)),IF(("add")=(INDEX(B1:XFD1,(A2)+(0))),(INDEX(B4:B204,(B3)+(1)))+(B196),IF(("equals")=(INDEX(B1:XFD1,(A2)+(0))),(INDEX(B4:B204,(B3)+(1)))=(B196),IF(("leq")=(INDEX(B1:XFD1,(A2)+(0))),(INDEX(B4:B204,(B3)+(1)))&lt;=(B196),B196))))))),B196))</f>
        <v>#VALUE!</v>
      </c>
      <c r="C196" t="e">
        <f ca="1">IF((A1)=(2),1,IF(AND((INDEX(B1:XFD1,(A2)+(0)))=("writeheap"),(INDEX(B4:B204,(B3)+(1)))=(192)),INDEX(B4:B204,(B3)+(2)),IF((A1)=(2),1,IF((193)=(C3),C196,C196))))</f>
        <v>#VALUE!</v>
      </c>
      <c r="E196" t="e">
        <f ca="1">IF((A1)=(2),1,IF((193)=(E3),IF(("outputline")=(INDEX(B1:XFD1,(A2)+(0))),B2,E196),E196))</f>
        <v>#VALUE!</v>
      </c>
      <c r="F196" t="e">
        <f ca="1">IF((A1)=(2),1,IF((193)=(F3),IF(IF((INDEX(B1:XFD1,(A2)+(0)))=("store"),(INDEX(B1:XFD1,(A2)+(1)))=("F"),"false"),B2,F196),F196))</f>
        <v>#VALUE!</v>
      </c>
      <c r="G196" t="e">
        <f ca="1">IF((A1)=(2),1,IF((193)=(G3),IF(IF((INDEX(B1:XFD1,(A2)+(0)))=("store"),(INDEX(B1:XFD1,(A2)+(1)))=("G"),"false"),B2,G196),G196))</f>
        <v>#VALUE!</v>
      </c>
      <c r="H196" t="e">
        <f ca="1">IF((A1)=(2),1,IF((193)=(H3),IF(IF((INDEX(B1:XFD1,(A2)+(0)))=("store"),(INDEX(B1:XFD1,(A2)+(1)))=("H"),"false"),B2,H196),H196))</f>
        <v>#VALUE!</v>
      </c>
      <c r="I196" t="e">
        <f ca="1">IF((A1)=(2),1,IF((193)=(I3),IF(IF((INDEX(B1:XFD1,(A2)+(0)))=("store"),(INDEX(B1:XFD1,(A2)+(1)))=("I"),"false"),B2,I196),I196))</f>
        <v>#VALUE!</v>
      </c>
      <c r="J196" t="e">
        <f ca="1">IF((A1)=(2),1,IF((193)=(J3),IF(IF((INDEX(B1:XFD1,(A2)+(0)))=("store"),(INDEX(B1:XFD1,(A2)+(1)))=("J"),"false"),B2,J196),J196))</f>
        <v>#VALUE!</v>
      </c>
    </row>
    <row r="197" spans="1:10" x14ac:dyDescent="0.25">
      <c r="A197" t="e">
        <f ca="1">IF((A1)=(2),1,IF((194)=(A3),IF(("call")=(INDEX(B1:XFD1,(A2)+(0))),((B2)*(2))+(1),IF(("goto")=(INDEX(B1:XFD1,(A2)+(0))),((INDEX(B1:XFD1,(A2)+(1)))*(2))+(1),IF(("gotoiftrue")=(INDEX(B1:XFD1,(A2)+(0))),IF(B2,((INDEX(B1:XFD1,(A2)+(1)))*(2))+(1),(A197)+(2)),(A197)+(2)))),A197))</f>
        <v>#VALUE!</v>
      </c>
      <c r="B197" t="e">
        <f ca="1">IF((A1)=(2),1,IF((194)=(B3),IF(("push")=(INDEX(B1:XFD1,(A2)+(0))),INDEX(B1:XFD1,(A2)+(1)),IF(("load")=(INDEX(B1:XFD1,(A2)+(0))),INDEX(F2:XFD2,INDEX(B1:XFD1,(A2)+(1))),IF(("newheap")=(INDEX(B1:XFD1,(A2)+(0))),(C3)-(2),IF(("getheap")=(INDEX(B1:XFD1,(A2)+(0))),INDEX(C4:C204,(B197)+(1)),IF(("add")=(INDEX(B1:XFD1,(A2)+(0))),(INDEX(B4:B204,(B3)+(1)))+(B197),IF(("equals")=(INDEX(B1:XFD1,(A2)+(0))),(INDEX(B4:B204,(B3)+(1)))=(B197),IF(("leq")=(INDEX(B1:XFD1,(A2)+(0))),(INDEX(B4:B204,(B3)+(1)))&lt;=(B197),B197))))))),B197))</f>
        <v>#VALUE!</v>
      </c>
      <c r="C197" t="e">
        <f ca="1">IF((A1)=(2),1,IF(AND((INDEX(B1:XFD1,(A2)+(0)))=("writeheap"),(INDEX(B4:B204,(B3)+(1)))=(193)),INDEX(B4:B204,(B3)+(2)),IF((A1)=(2),1,IF((194)=(C3),C197,C197))))</f>
        <v>#VALUE!</v>
      </c>
      <c r="E197" t="e">
        <f ca="1">IF((A1)=(2),1,IF((194)=(E3),IF(("outputline")=(INDEX(B1:XFD1,(A2)+(0))),B2,E197),E197))</f>
        <v>#VALUE!</v>
      </c>
      <c r="F197" t="e">
        <f ca="1">IF((A1)=(2),1,IF((194)=(F3),IF(IF((INDEX(B1:XFD1,(A2)+(0)))=("store"),(INDEX(B1:XFD1,(A2)+(1)))=("F"),"false"),B2,F197),F197))</f>
        <v>#VALUE!</v>
      </c>
      <c r="G197" t="e">
        <f ca="1">IF((A1)=(2),1,IF((194)=(G3),IF(IF((INDEX(B1:XFD1,(A2)+(0)))=("store"),(INDEX(B1:XFD1,(A2)+(1)))=("G"),"false"),B2,G197),G197))</f>
        <v>#VALUE!</v>
      </c>
      <c r="H197" t="e">
        <f ca="1">IF((A1)=(2),1,IF((194)=(H3),IF(IF((INDEX(B1:XFD1,(A2)+(0)))=("store"),(INDEX(B1:XFD1,(A2)+(1)))=("H"),"false"),B2,H197),H197))</f>
        <v>#VALUE!</v>
      </c>
      <c r="I197" t="e">
        <f ca="1">IF((A1)=(2),1,IF((194)=(I3),IF(IF((INDEX(B1:XFD1,(A2)+(0)))=("store"),(INDEX(B1:XFD1,(A2)+(1)))=("I"),"false"),B2,I197),I197))</f>
        <v>#VALUE!</v>
      </c>
      <c r="J197" t="e">
        <f ca="1">IF((A1)=(2),1,IF((194)=(J3),IF(IF((INDEX(B1:XFD1,(A2)+(0)))=("store"),(INDEX(B1:XFD1,(A2)+(1)))=("J"),"false"),B2,J197),J197))</f>
        <v>#VALUE!</v>
      </c>
    </row>
    <row r="198" spans="1:10" x14ac:dyDescent="0.25">
      <c r="A198" t="e">
        <f ca="1">IF((A1)=(2),1,IF((195)=(A3),IF(("call")=(INDEX(B1:XFD1,(A2)+(0))),((B2)*(2))+(1),IF(("goto")=(INDEX(B1:XFD1,(A2)+(0))),((INDEX(B1:XFD1,(A2)+(1)))*(2))+(1),IF(("gotoiftrue")=(INDEX(B1:XFD1,(A2)+(0))),IF(B2,((INDEX(B1:XFD1,(A2)+(1)))*(2))+(1),(A198)+(2)),(A198)+(2)))),A198))</f>
        <v>#VALUE!</v>
      </c>
      <c r="B198" t="e">
        <f ca="1">IF((A1)=(2),1,IF((195)=(B3),IF(("push")=(INDEX(B1:XFD1,(A2)+(0))),INDEX(B1:XFD1,(A2)+(1)),IF(("load")=(INDEX(B1:XFD1,(A2)+(0))),INDEX(F2:XFD2,INDEX(B1:XFD1,(A2)+(1))),IF(("newheap")=(INDEX(B1:XFD1,(A2)+(0))),(C3)-(2),IF(("getheap")=(INDEX(B1:XFD1,(A2)+(0))),INDEX(C4:C204,(B198)+(1)),IF(("add")=(INDEX(B1:XFD1,(A2)+(0))),(INDEX(B4:B204,(B3)+(1)))+(B198),IF(("equals")=(INDEX(B1:XFD1,(A2)+(0))),(INDEX(B4:B204,(B3)+(1)))=(B198),IF(("leq")=(INDEX(B1:XFD1,(A2)+(0))),(INDEX(B4:B204,(B3)+(1)))&lt;=(B198),B198))))))),B198))</f>
        <v>#VALUE!</v>
      </c>
      <c r="C198" t="e">
        <f ca="1">IF((A1)=(2),1,IF(AND((INDEX(B1:XFD1,(A2)+(0)))=("writeheap"),(INDEX(B4:B204,(B3)+(1)))=(194)),INDEX(B4:B204,(B3)+(2)),IF((A1)=(2),1,IF((195)=(C3),C198,C198))))</f>
        <v>#VALUE!</v>
      </c>
      <c r="E198" t="e">
        <f ca="1">IF((A1)=(2),1,IF((195)=(E3),IF(("outputline")=(INDEX(B1:XFD1,(A2)+(0))),B2,E198),E198))</f>
        <v>#VALUE!</v>
      </c>
      <c r="F198" t="e">
        <f ca="1">IF((A1)=(2),1,IF((195)=(F3),IF(IF((INDEX(B1:XFD1,(A2)+(0)))=("store"),(INDEX(B1:XFD1,(A2)+(1)))=("F"),"false"),B2,F198),F198))</f>
        <v>#VALUE!</v>
      </c>
      <c r="G198" t="e">
        <f ca="1">IF((A1)=(2),1,IF((195)=(G3),IF(IF((INDEX(B1:XFD1,(A2)+(0)))=("store"),(INDEX(B1:XFD1,(A2)+(1)))=("G"),"false"),B2,G198),G198))</f>
        <v>#VALUE!</v>
      </c>
      <c r="H198" t="e">
        <f ca="1">IF((A1)=(2),1,IF((195)=(H3),IF(IF((INDEX(B1:XFD1,(A2)+(0)))=("store"),(INDEX(B1:XFD1,(A2)+(1)))=("H"),"false"),B2,H198),H198))</f>
        <v>#VALUE!</v>
      </c>
      <c r="I198" t="e">
        <f ca="1">IF((A1)=(2),1,IF((195)=(I3),IF(IF((INDEX(B1:XFD1,(A2)+(0)))=("store"),(INDEX(B1:XFD1,(A2)+(1)))=("I"),"false"),B2,I198),I198))</f>
        <v>#VALUE!</v>
      </c>
      <c r="J198" t="e">
        <f ca="1">IF((A1)=(2),1,IF((195)=(J3),IF(IF((INDEX(B1:XFD1,(A2)+(0)))=("store"),(INDEX(B1:XFD1,(A2)+(1)))=("J"),"false"),B2,J198),J198))</f>
        <v>#VALUE!</v>
      </c>
    </row>
    <row r="199" spans="1:10" x14ac:dyDescent="0.25">
      <c r="A199" t="e">
        <f ca="1">IF((A1)=(2),1,IF((196)=(A3),IF(("call")=(INDEX(B1:XFD1,(A2)+(0))),((B2)*(2))+(1),IF(("goto")=(INDEX(B1:XFD1,(A2)+(0))),((INDEX(B1:XFD1,(A2)+(1)))*(2))+(1),IF(("gotoiftrue")=(INDEX(B1:XFD1,(A2)+(0))),IF(B2,((INDEX(B1:XFD1,(A2)+(1)))*(2))+(1),(A199)+(2)),(A199)+(2)))),A199))</f>
        <v>#VALUE!</v>
      </c>
      <c r="B199" t="e">
        <f ca="1">IF((A1)=(2),1,IF((196)=(B3),IF(("push")=(INDEX(B1:XFD1,(A2)+(0))),INDEX(B1:XFD1,(A2)+(1)),IF(("load")=(INDEX(B1:XFD1,(A2)+(0))),INDEX(F2:XFD2,INDEX(B1:XFD1,(A2)+(1))),IF(("newheap")=(INDEX(B1:XFD1,(A2)+(0))),(C3)-(2),IF(("getheap")=(INDEX(B1:XFD1,(A2)+(0))),INDEX(C4:C204,(B199)+(1)),IF(("add")=(INDEX(B1:XFD1,(A2)+(0))),(INDEX(B4:B204,(B3)+(1)))+(B199),IF(("equals")=(INDEX(B1:XFD1,(A2)+(0))),(INDEX(B4:B204,(B3)+(1)))=(B199),IF(("leq")=(INDEX(B1:XFD1,(A2)+(0))),(INDEX(B4:B204,(B3)+(1)))&lt;=(B199),B199))))))),B199))</f>
        <v>#VALUE!</v>
      </c>
      <c r="C199" t="e">
        <f ca="1">IF((A1)=(2),1,IF(AND((INDEX(B1:XFD1,(A2)+(0)))=("writeheap"),(INDEX(B4:B204,(B3)+(1)))=(195)),INDEX(B4:B204,(B3)+(2)),IF((A1)=(2),1,IF((196)=(C3),C199,C199))))</f>
        <v>#VALUE!</v>
      </c>
      <c r="E199" t="e">
        <f ca="1">IF((A1)=(2),1,IF((196)=(E3),IF(("outputline")=(INDEX(B1:XFD1,(A2)+(0))),B2,E199),E199))</f>
        <v>#VALUE!</v>
      </c>
      <c r="F199" t="e">
        <f ca="1">IF((A1)=(2),1,IF((196)=(F3),IF(IF((INDEX(B1:XFD1,(A2)+(0)))=("store"),(INDEX(B1:XFD1,(A2)+(1)))=("F"),"false"),B2,F199),F199))</f>
        <v>#VALUE!</v>
      </c>
      <c r="G199" t="e">
        <f ca="1">IF((A1)=(2),1,IF((196)=(G3),IF(IF((INDEX(B1:XFD1,(A2)+(0)))=("store"),(INDEX(B1:XFD1,(A2)+(1)))=("G"),"false"),B2,G199),G199))</f>
        <v>#VALUE!</v>
      </c>
      <c r="H199" t="e">
        <f ca="1">IF((A1)=(2),1,IF((196)=(H3),IF(IF((INDEX(B1:XFD1,(A2)+(0)))=("store"),(INDEX(B1:XFD1,(A2)+(1)))=("H"),"false"),B2,H199),H199))</f>
        <v>#VALUE!</v>
      </c>
      <c r="I199" t="e">
        <f ca="1">IF((A1)=(2),1,IF((196)=(I3),IF(IF((INDEX(B1:XFD1,(A2)+(0)))=("store"),(INDEX(B1:XFD1,(A2)+(1)))=("I"),"false"),B2,I199),I199))</f>
        <v>#VALUE!</v>
      </c>
      <c r="J199" t="e">
        <f ca="1">IF((A1)=(2),1,IF((196)=(J3),IF(IF((INDEX(B1:XFD1,(A2)+(0)))=("store"),(INDEX(B1:XFD1,(A2)+(1)))=("J"),"false"),B2,J199),J199))</f>
        <v>#VALUE!</v>
      </c>
    </row>
    <row r="200" spans="1:10" x14ac:dyDescent="0.25">
      <c r="A200" t="e">
        <f ca="1">IF((A1)=(2),1,IF((197)=(A3),IF(("call")=(INDEX(B1:XFD1,(A2)+(0))),((B2)*(2))+(1),IF(("goto")=(INDEX(B1:XFD1,(A2)+(0))),((INDEX(B1:XFD1,(A2)+(1)))*(2))+(1),IF(("gotoiftrue")=(INDEX(B1:XFD1,(A2)+(0))),IF(B2,((INDEX(B1:XFD1,(A2)+(1)))*(2))+(1),(A200)+(2)),(A200)+(2)))),A200))</f>
        <v>#VALUE!</v>
      </c>
      <c r="B200" t="e">
        <f ca="1">IF((A1)=(2),1,IF((197)=(B3),IF(("push")=(INDEX(B1:XFD1,(A2)+(0))),INDEX(B1:XFD1,(A2)+(1)),IF(("load")=(INDEX(B1:XFD1,(A2)+(0))),INDEX(F2:XFD2,INDEX(B1:XFD1,(A2)+(1))),IF(("newheap")=(INDEX(B1:XFD1,(A2)+(0))),(C3)-(2),IF(("getheap")=(INDEX(B1:XFD1,(A2)+(0))),INDEX(C4:C204,(B200)+(1)),IF(("add")=(INDEX(B1:XFD1,(A2)+(0))),(INDEX(B4:B204,(B3)+(1)))+(B200),IF(("equals")=(INDEX(B1:XFD1,(A2)+(0))),(INDEX(B4:B204,(B3)+(1)))=(B200),IF(("leq")=(INDEX(B1:XFD1,(A2)+(0))),(INDEX(B4:B204,(B3)+(1)))&lt;=(B200),B200))))))),B200))</f>
        <v>#VALUE!</v>
      </c>
      <c r="C200" t="e">
        <f ca="1">IF((A1)=(2),1,IF(AND((INDEX(B1:XFD1,(A2)+(0)))=("writeheap"),(INDEX(B4:B204,(B3)+(1)))=(196)),INDEX(B4:B204,(B3)+(2)),IF((A1)=(2),1,IF((197)=(C3),C200,C200))))</f>
        <v>#VALUE!</v>
      </c>
      <c r="E200" t="e">
        <f ca="1">IF((A1)=(2),1,IF((197)=(E3),IF(("outputline")=(INDEX(B1:XFD1,(A2)+(0))),B2,E200),E200))</f>
        <v>#VALUE!</v>
      </c>
      <c r="F200" t="e">
        <f ca="1">IF((A1)=(2),1,IF((197)=(F3),IF(IF((INDEX(B1:XFD1,(A2)+(0)))=("store"),(INDEX(B1:XFD1,(A2)+(1)))=("F"),"false"),B2,F200),F200))</f>
        <v>#VALUE!</v>
      </c>
      <c r="G200" t="e">
        <f ca="1">IF((A1)=(2),1,IF((197)=(G3),IF(IF((INDEX(B1:XFD1,(A2)+(0)))=("store"),(INDEX(B1:XFD1,(A2)+(1)))=("G"),"false"),B2,G200),G200))</f>
        <v>#VALUE!</v>
      </c>
      <c r="H200" t="e">
        <f ca="1">IF((A1)=(2),1,IF((197)=(H3),IF(IF((INDEX(B1:XFD1,(A2)+(0)))=("store"),(INDEX(B1:XFD1,(A2)+(1)))=("H"),"false"),B2,H200),H200))</f>
        <v>#VALUE!</v>
      </c>
      <c r="I200" t="e">
        <f ca="1">IF((A1)=(2),1,IF((197)=(I3),IF(IF((INDEX(B1:XFD1,(A2)+(0)))=("store"),(INDEX(B1:XFD1,(A2)+(1)))=("I"),"false"),B2,I200),I200))</f>
        <v>#VALUE!</v>
      </c>
      <c r="J200" t="e">
        <f ca="1">IF((A1)=(2),1,IF((197)=(J3),IF(IF((INDEX(B1:XFD1,(A2)+(0)))=("store"),(INDEX(B1:XFD1,(A2)+(1)))=("J"),"false"),B2,J200),J200))</f>
        <v>#VALUE!</v>
      </c>
    </row>
    <row r="201" spans="1:10" x14ac:dyDescent="0.25">
      <c r="A201" t="e">
        <f ca="1">IF((A1)=(2),1,IF((198)=(A3),IF(("call")=(INDEX(B1:XFD1,(A2)+(0))),((B2)*(2))+(1),IF(("goto")=(INDEX(B1:XFD1,(A2)+(0))),((INDEX(B1:XFD1,(A2)+(1)))*(2))+(1),IF(("gotoiftrue")=(INDEX(B1:XFD1,(A2)+(0))),IF(B2,((INDEX(B1:XFD1,(A2)+(1)))*(2))+(1),(A201)+(2)),(A201)+(2)))),A201))</f>
        <v>#VALUE!</v>
      </c>
      <c r="B201" t="e">
        <f ca="1">IF((A1)=(2),1,IF((198)=(B3),IF(("push")=(INDEX(B1:XFD1,(A2)+(0))),INDEX(B1:XFD1,(A2)+(1)),IF(("load")=(INDEX(B1:XFD1,(A2)+(0))),INDEX(F2:XFD2,INDEX(B1:XFD1,(A2)+(1))),IF(("newheap")=(INDEX(B1:XFD1,(A2)+(0))),(C3)-(2),IF(("getheap")=(INDEX(B1:XFD1,(A2)+(0))),INDEX(C4:C204,(B201)+(1)),IF(("add")=(INDEX(B1:XFD1,(A2)+(0))),(INDEX(B4:B204,(B3)+(1)))+(B201),IF(("equals")=(INDEX(B1:XFD1,(A2)+(0))),(INDEX(B4:B204,(B3)+(1)))=(B201),IF(("leq")=(INDEX(B1:XFD1,(A2)+(0))),(INDEX(B4:B204,(B3)+(1)))&lt;=(B201),B201))))))),B201))</f>
        <v>#VALUE!</v>
      </c>
      <c r="C201" t="e">
        <f ca="1">IF((A1)=(2),1,IF(AND((INDEX(B1:XFD1,(A2)+(0)))=("writeheap"),(INDEX(B4:B204,(B3)+(1)))=(197)),INDEX(B4:B204,(B3)+(2)),IF((A1)=(2),1,IF((198)=(C3),C201,C201))))</f>
        <v>#VALUE!</v>
      </c>
      <c r="E201" t="e">
        <f ca="1">IF((A1)=(2),1,IF((198)=(E3),IF(("outputline")=(INDEX(B1:XFD1,(A2)+(0))),B2,E201),E201))</f>
        <v>#VALUE!</v>
      </c>
      <c r="F201" t="e">
        <f ca="1">IF((A1)=(2),1,IF((198)=(F3),IF(IF((INDEX(B1:XFD1,(A2)+(0)))=("store"),(INDEX(B1:XFD1,(A2)+(1)))=("F"),"false"),B2,F201),F201))</f>
        <v>#VALUE!</v>
      </c>
      <c r="G201" t="e">
        <f ca="1">IF((A1)=(2),1,IF((198)=(G3),IF(IF((INDEX(B1:XFD1,(A2)+(0)))=("store"),(INDEX(B1:XFD1,(A2)+(1)))=("G"),"false"),B2,G201),G201))</f>
        <v>#VALUE!</v>
      </c>
      <c r="H201" t="e">
        <f ca="1">IF((A1)=(2),1,IF((198)=(H3),IF(IF((INDEX(B1:XFD1,(A2)+(0)))=("store"),(INDEX(B1:XFD1,(A2)+(1)))=("H"),"false"),B2,H201),H201))</f>
        <v>#VALUE!</v>
      </c>
      <c r="I201" t="e">
        <f ca="1">IF((A1)=(2),1,IF((198)=(I3),IF(IF((INDEX(B1:XFD1,(A2)+(0)))=("store"),(INDEX(B1:XFD1,(A2)+(1)))=("I"),"false"),B2,I201),I201))</f>
        <v>#VALUE!</v>
      </c>
      <c r="J201" t="e">
        <f ca="1">IF((A1)=(2),1,IF((198)=(J3),IF(IF((INDEX(B1:XFD1,(A2)+(0)))=("store"),(INDEX(B1:XFD1,(A2)+(1)))=("J"),"false"),B2,J201),J201))</f>
        <v>#VALUE!</v>
      </c>
    </row>
    <row r="202" spans="1:10" x14ac:dyDescent="0.25">
      <c r="A202" t="e">
        <f ca="1">IF((A1)=(2),1,IF((199)=(A3),IF(("call")=(INDEX(B1:XFD1,(A2)+(0))),((B2)*(2))+(1),IF(("goto")=(INDEX(B1:XFD1,(A2)+(0))),((INDEX(B1:XFD1,(A2)+(1)))*(2))+(1),IF(("gotoiftrue")=(INDEX(B1:XFD1,(A2)+(0))),IF(B2,((INDEX(B1:XFD1,(A2)+(1)))*(2))+(1),(A202)+(2)),(A202)+(2)))),A202))</f>
        <v>#VALUE!</v>
      </c>
      <c r="B202" t="e">
        <f ca="1">IF((A1)=(2),1,IF((199)=(B3),IF(("push")=(INDEX(B1:XFD1,(A2)+(0))),INDEX(B1:XFD1,(A2)+(1)),IF(("load")=(INDEX(B1:XFD1,(A2)+(0))),INDEX(F2:XFD2,INDEX(B1:XFD1,(A2)+(1))),IF(("newheap")=(INDEX(B1:XFD1,(A2)+(0))),(C3)-(2),IF(("getheap")=(INDEX(B1:XFD1,(A2)+(0))),INDEX(C4:C204,(B202)+(1)),IF(("add")=(INDEX(B1:XFD1,(A2)+(0))),(INDEX(B4:B204,(B3)+(1)))+(B202),IF(("equals")=(INDEX(B1:XFD1,(A2)+(0))),(INDEX(B4:B204,(B3)+(1)))=(B202),IF(("leq")=(INDEX(B1:XFD1,(A2)+(0))),(INDEX(B4:B204,(B3)+(1)))&lt;=(B202),B202))))))),B202))</f>
        <v>#VALUE!</v>
      </c>
      <c r="C202" t="e">
        <f ca="1">IF((A1)=(2),1,IF(AND((INDEX(B1:XFD1,(A2)+(0)))=("writeheap"),(INDEX(B4:B204,(B3)+(1)))=(198)),INDEX(B4:B204,(B3)+(2)),IF((A1)=(2),1,IF((199)=(C3),C202,C202))))</f>
        <v>#VALUE!</v>
      </c>
      <c r="E202" t="e">
        <f ca="1">IF((A1)=(2),1,IF((199)=(E3),IF(("outputline")=(INDEX(B1:XFD1,(A2)+(0))),B2,E202),E202))</f>
        <v>#VALUE!</v>
      </c>
      <c r="F202" t="e">
        <f ca="1">IF((A1)=(2),1,IF((199)=(F3),IF(IF((INDEX(B1:XFD1,(A2)+(0)))=("store"),(INDEX(B1:XFD1,(A2)+(1)))=("F"),"false"),B2,F202),F202))</f>
        <v>#VALUE!</v>
      </c>
      <c r="G202" t="e">
        <f ca="1">IF((A1)=(2),1,IF((199)=(G3),IF(IF((INDEX(B1:XFD1,(A2)+(0)))=("store"),(INDEX(B1:XFD1,(A2)+(1)))=("G"),"false"),B2,G202),G202))</f>
        <v>#VALUE!</v>
      </c>
      <c r="H202" t="e">
        <f ca="1">IF((A1)=(2),1,IF((199)=(H3),IF(IF((INDEX(B1:XFD1,(A2)+(0)))=("store"),(INDEX(B1:XFD1,(A2)+(1)))=("H"),"false"),B2,H202),H202))</f>
        <v>#VALUE!</v>
      </c>
      <c r="I202" t="e">
        <f ca="1">IF((A1)=(2),1,IF((199)=(I3),IF(IF((INDEX(B1:XFD1,(A2)+(0)))=("store"),(INDEX(B1:XFD1,(A2)+(1)))=("I"),"false"),B2,I202),I202))</f>
        <v>#VALUE!</v>
      </c>
      <c r="J202" t="e">
        <f ca="1">IF((A1)=(2),1,IF((199)=(J3),IF(IF((INDEX(B1:XFD1,(A2)+(0)))=("store"),(INDEX(B1:XFD1,(A2)+(1)))=("J"),"false"),B2,J202),J202))</f>
        <v>#VALUE!</v>
      </c>
    </row>
    <row r="203" spans="1:10" x14ac:dyDescent="0.25">
      <c r="A203" t="e">
        <f ca="1">IF((A1)=(2),1,IF((200)=(A3),IF(("call")=(INDEX(B1:XFD1,(A2)+(0))),((B2)*(2))+(1),IF(("goto")=(INDEX(B1:XFD1,(A2)+(0))),((INDEX(B1:XFD1,(A2)+(1)))*(2))+(1),IF(("gotoiftrue")=(INDEX(B1:XFD1,(A2)+(0))),IF(B2,((INDEX(B1:XFD1,(A2)+(1)))*(2))+(1),(A203)+(2)),(A203)+(2)))),A203))</f>
        <v>#VALUE!</v>
      </c>
      <c r="B203" t="e">
        <f ca="1">IF((A1)=(2),1,IF((200)=(B3),IF(("push")=(INDEX(B1:XFD1,(A2)+(0))),INDEX(B1:XFD1,(A2)+(1)),IF(("load")=(INDEX(B1:XFD1,(A2)+(0))),INDEX(F2:XFD2,INDEX(B1:XFD1,(A2)+(1))),IF(("newheap")=(INDEX(B1:XFD1,(A2)+(0))),(C3)-(2),IF(("getheap")=(INDEX(B1:XFD1,(A2)+(0))),INDEX(C4:C204,(B203)+(1)),IF(("add")=(INDEX(B1:XFD1,(A2)+(0))),(INDEX(B4:B204,(B3)+(1)))+(B203),IF(("equals")=(INDEX(B1:XFD1,(A2)+(0))),(INDEX(B4:B204,(B3)+(1)))=(B203),IF(("leq")=(INDEX(B1:XFD1,(A2)+(0))),(INDEX(B4:B204,(B3)+(1)))&lt;=(B203),B203))))))),B203))</f>
        <v>#VALUE!</v>
      </c>
      <c r="C203" t="e">
        <f ca="1">IF((A1)=(2),1,IF(AND((INDEX(B1:XFD1,(A2)+(0)))=("writeheap"),(INDEX(B4:B204,(B3)+(1)))=(199)),INDEX(B4:B204,(B3)+(2)),IF((A1)=(2),1,IF((200)=(C3),C203,C203))))</f>
        <v>#VALUE!</v>
      </c>
      <c r="E203" t="e">
        <f ca="1">IF((A1)=(2),1,IF((200)=(E3),IF(("outputline")=(INDEX(B1:XFD1,(A2)+(0))),B2,E203),E203))</f>
        <v>#VALUE!</v>
      </c>
      <c r="F203" t="e">
        <f ca="1">IF((A1)=(2),1,IF((200)=(F3),IF(IF((INDEX(B1:XFD1,(A2)+(0)))=("store"),(INDEX(B1:XFD1,(A2)+(1)))=("F"),"false"),B2,F203),F203))</f>
        <v>#VALUE!</v>
      </c>
      <c r="G203" t="e">
        <f ca="1">IF((A1)=(2),1,IF((200)=(G3),IF(IF((INDEX(B1:XFD1,(A2)+(0)))=("store"),(INDEX(B1:XFD1,(A2)+(1)))=("G"),"false"),B2,G203),G203))</f>
        <v>#VALUE!</v>
      </c>
      <c r="H203" t="e">
        <f ca="1">IF((A1)=(2),1,IF((200)=(H3),IF(IF((INDEX(B1:XFD1,(A2)+(0)))=("store"),(INDEX(B1:XFD1,(A2)+(1)))=("H"),"false"),B2,H203),H203))</f>
        <v>#VALUE!</v>
      </c>
      <c r="I203" t="e">
        <f ca="1">IF((A1)=(2),1,IF((200)=(I3),IF(IF((INDEX(B1:XFD1,(A2)+(0)))=("store"),(INDEX(B1:XFD1,(A2)+(1)))=("I"),"false"),B2,I203),I203))</f>
        <v>#VALUE!</v>
      </c>
      <c r="J203" t="e">
        <f ca="1">IF((A1)=(2),1,IF((200)=(J3),IF(IF((INDEX(B1:XFD1,(A2)+(0)))=("store"),(INDEX(B1:XFD1,(A2)+(1)))=("J"),"false"),B2,J203),J203))</f>
        <v>#VALUE!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Thefak Eperson</dc:creator>
  <cp:lastModifiedBy>Thefak Eperson</cp:lastModifiedBy>
  <dcterms:created xsi:type="dcterms:W3CDTF">2017-02-11T05:13:17Z</dcterms:created>
  <dcterms:modified xsi:type="dcterms:W3CDTF">2017-02-11T05:13:34Z</dcterms:modified>
</cp:coreProperties>
</file>