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Count="500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E1" i="1" l="1"/>
  <c r="VD1" i="1"/>
  <c r="VC1" i="1"/>
  <c r="VB1" i="1"/>
  <c r="VA1" i="1"/>
  <c r="UZ1" i="1"/>
  <c r="UY1" i="1"/>
  <c r="UX1" i="1"/>
  <c r="UW1" i="1"/>
  <c r="UV1" i="1"/>
  <c r="UU1" i="1"/>
  <c r="UT1" i="1"/>
  <c r="US1" i="1"/>
  <c r="UR1" i="1"/>
  <c r="UQ1" i="1"/>
  <c r="UP1" i="1"/>
  <c r="UO1" i="1"/>
  <c r="UN1" i="1"/>
  <c r="UM1" i="1"/>
  <c r="UL1" i="1"/>
  <c r="UK1" i="1"/>
  <c r="UJ1" i="1"/>
  <c r="UI1" i="1"/>
  <c r="UH1" i="1"/>
  <c r="UG1" i="1"/>
  <c r="UF1" i="1"/>
  <c r="UE1" i="1"/>
  <c r="UD1" i="1"/>
  <c r="UC1" i="1"/>
  <c r="UB1" i="1"/>
  <c r="UA1" i="1"/>
  <c r="TZ1" i="1"/>
  <c r="TY1" i="1"/>
  <c r="TX1" i="1"/>
  <c r="TW1" i="1"/>
  <c r="TV1" i="1"/>
  <c r="TU1" i="1"/>
  <c r="TT1" i="1"/>
  <c r="TS1" i="1"/>
  <c r="TR1" i="1"/>
  <c r="TQ1" i="1"/>
  <c r="TP1" i="1"/>
  <c r="TO1" i="1"/>
  <c r="TN1" i="1"/>
  <c r="TM1" i="1"/>
  <c r="TL1" i="1"/>
  <c r="TK1" i="1"/>
  <c r="TJ1" i="1"/>
  <c r="TI1" i="1"/>
  <c r="TH1" i="1"/>
  <c r="TG1" i="1"/>
  <c r="TF1" i="1"/>
  <c r="TE1" i="1"/>
  <c r="TD1" i="1"/>
  <c r="TC1" i="1"/>
  <c r="TB1" i="1"/>
  <c r="TA1" i="1"/>
  <c r="SZ1" i="1"/>
  <c r="SY1" i="1"/>
  <c r="SX1" i="1"/>
  <c r="SW1" i="1"/>
  <c r="SV1" i="1"/>
  <c r="SU1" i="1"/>
  <c r="ST1" i="1"/>
  <c r="SS1" i="1"/>
  <c r="SR1" i="1"/>
  <c r="SQ1" i="1"/>
  <c r="SP1" i="1"/>
  <c r="SO1" i="1"/>
  <c r="SN1" i="1"/>
  <c r="SM1" i="1"/>
  <c r="SL1" i="1"/>
  <c r="SK1" i="1"/>
  <c r="SJ1" i="1"/>
  <c r="SI1" i="1"/>
  <c r="SH1" i="1"/>
  <c r="SG1" i="1"/>
  <c r="SF1" i="1"/>
  <c r="SE1" i="1"/>
  <c r="SD1" i="1"/>
  <c r="SC1" i="1"/>
  <c r="SB1" i="1"/>
  <c r="SA1" i="1"/>
  <c r="RZ1" i="1"/>
  <c r="RY1" i="1"/>
  <c r="RX1" i="1"/>
  <c r="RW1" i="1"/>
  <c r="RV1" i="1"/>
  <c r="RU1" i="1"/>
  <c r="RT1" i="1"/>
  <c r="RS1" i="1"/>
  <c r="RR1" i="1"/>
  <c r="RQ1" i="1"/>
  <c r="RP1" i="1"/>
  <c r="RO1" i="1"/>
  <c r="RN1" i="1"/>
  <c r="RM1" i="1"/>
  <c r="RL1" i="1"/>
  <c r="RK1" i="1"/>
  <c r="RJ1" i="1"/>
  <c r="RI1" i="1"/>
  <c r="RH1" i="1"/>
  <c r="RG1" i="1"/>
  <c r="RF1" i="1"/>
  <c r="RE1" i="1"/>
  <c r="RD1" i="1"/>
  <c r="RC1" i="1"/>
  <c r="RB1" i="1"/>
  <c r="RA1" i="1"/>
  <c r="QZ1" i="1"/>
  <c r="QY1" i="1"/>
  <c r="QX1" i="1"/>
  <c r="QW1" i="1"/>
  <c r="QV1" i="1"/>
  <c r="QU1" i="1"/>
  <c r="QT1" i="1"/>
  <c r="QS1" i="1"/>
  <c r="QR1" i="1"/>
  <c r="QQ1" i="1"/>
  <c r="QP1" i="1"/>
  <c r="QO1" i="1"/>
  <c r="QN1" i="1"/>
  <c r="QM1" i="1"/>
  <c r="QL1" i="1"/>
  <c r="QK1" i="1"/>
  <c r="QJ1" i="1"/>
  <c r="QI1" i="1"/>
  <c r="QH1" i="1"/>
  <c r="QG1" i="1"/>
  <c r="QF1" i="1"/>
  <c r="QE1" i="1"/>
  <c r="QD1" i="1"/>
  <c r="QC1" i="1"/>
  <c r="QB1" i="1"/>
  <c r="QA1" i="1"/>
  <c r="PZ1" i="1"/>
  <c r="PY1" i="1"/>
  <c r="PX1" i="1"/>
  <c r="PW1" i="1"/>
  <c r="PV1" i="1"/>
  <c r="PU1" i="1"/>
  <c r="PT1" i="1"/>
  <c r="PS1" i="1"/>
  <c r="PR1" i="1"/>
  <c r="PQ1" i="1"/>
  <c r="PP1" i="1"/>
  <c r="PO1" i="1"/>
  <c r="PN1" i="1"/>
  <c r="PM1" i="1"/>
  <c r="PL1" i="1"/>
  <c r="PK1" i="1"/>
  <c r="PJ1" i="1"/>
  <c r="PI1" i="1"/>
  <c r="PH1" i="1"/>
  <c r="PG1" i="1"/>
  <c r="PF1" i="1"/>
  <c r="PE1" i="1"/>
  <c r="PD1" i="1"/>
  <c r="PC1" i="1"/>
  <c r="PB1" i="1"/>
  <c r="PA1" i="1"/>
  <c r="OZ1" i="1"/>
  <c r="OY1" i="1"/>
  <c r="OX1" i="1"/>
  <c r="OW1" i="1"/>
  <c r="OV1" i="1"/>
  <c r="OU1" i="1"/>
  <c r="OT1" i="1"/>
  <c r="OS1" i="1"/>
  <c r="OR1" i="1"/>
  <c r="OQ1" i="1"/>
  <c r="OP1" i="1"/>
  <c r="OO1" i="1"/>
  <c r="ON1" i="1"/>
  <c r="OM1" i="1"/>
  <c r="OL1" i="1"/>
  <c r="OK1" i="1"/>
  <c r="OJ1" i="1"/>
  <c r="OI1" i="1"/>
  <c r="OH1" i="1"/>
  <c r="OG1" i="1"/>
  <c r="OF1" i="1"/>
  <c r="OE1" i="1"/>
  <c r="OD1" i="1"/>
  <c r="OC1" i="1"/>
  <c r="OB1" i="1"/>
  <c r="OA1" i="1"/>
  <c r="NZ1" i="1"/>
  <c r="NY1" i="1"/>
  <c r="NX1" i="1"/>
  <c r="NW1" i="1"/>
  <c r="NV1" i="1"/>
  <c r="NU1" i="1"/>
  <c r="NT1" i="1"/>
  <c r="NS1" i="1"/>
  <c r="NR1" i="1"/>
  <c r="NQ1" i="1"/>
  <c r="NP1" i="1"/>
  <c r="NO1" i="1"/>
  <c r="NN1" i="1"/>
  <c r="NM1" i="1"/>
  <c r="NL1" i="1"/>
  <c r="NK1" i="1"/>
  <c r="NJ1" i="1"/>
  <c r="NI1" i="1"/>
  <c r="NH1" i="1"/>
  <c r="NG1" i="1"/>
  <c r="NF1" i="1"/>
  <c r="NE1" i="1"/>
  <c r="ND1" i="1"/>
  <c r="NC1" i="1"/>
  <c r="NB1" i="1"/>
  <c r="NA1" i="1"/>
  <c r="MZ1" i="1"/>
  <c r="MY1" i="1"/>
  <c r="MX1" i="1"/>
  <c r="MW1" i="1"/>
  <c r="MV1" i="1"/>
  <c r="MU1" i="1"/>
  <c r="MT1" i="1"/>
  <c r="MS1" i="1"/>
  <c r="MR1" i="1"/>
  <c r="MQ1" i="1"/>
  <c r="MP1" i="1"/>
  <c r="MO1" i="1"/>
  <c r="MN1" i="1"/>
  <c r="MM1" i="1"/>
  <c r="ML1" i="1"/>
  <c r="MK1" i="1"/>
  <c r="MJ1" i="1"/>
  <c r="MI1" i="1"/>
  <c r="MH1" i="1"/>
  <c r="MG1" i="1"/>
  <c r="MF1" i="1"/>
  <c r="ME1" i="1"/>
  <c r="MD1" i="1"/>
  <c r="MC1" i="1"/>
  <c r="MB1" i="1"/>
  <c r="MA1" i="1"/>
  <c r="LZ1" i="1"/>
  <c r="LY1" i="1"/>
  <c r="LX1" i="1"/>
  <c r="LW1" i="1"/>
  <c r="LV1" i="1"/>
  <c r="LU1" i="1"/>
  <c r="LT1" i="1"/>
  <c r="LS1" i="1"/>
  <c r="LR1" i="1"/>
  <c r="LQ1" i="1"/>
  <c r="LP1" i="1"/>
  <c r="LO1" i="1"/>
  <c r="LN1" i="1"/>
  <c r="LM1" i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403" i="1" l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C403" i="1"/>
  <c r="B403" i="1"/>
  <c r="A403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C402" i="1"/>
  <c r="B402" i="1"/>
  <c r="A402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C401" i="1"/>
  <c r="B401" i="1"/>
  <c r="A401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C400" i="1"/>
  <c r="B400" i="1"/>
  <c r="A400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C399" i="1"/>
  <c r="B399" i="1"/>
  <c r="A399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C398" i="1"/>
  <c r="B398" i="1"/>
  <c r="A398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C397" i="1"/>
  <c r="B397" i="1"/>
  <c r="A397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C396" i="1"/>
  <c r="B396" i="1"/>
  <c r="A396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C395" i="1"/>
  <c r="B395" i="1"/>
  <c r="A395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C394" i="1"/>
  <c r="B394" i="1"/>
  <c r="A394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C393" i="1"/>
  <c r="B393" i="1"/>
  <c r="A393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C392" i="1"/>
  <c r="B392" i="1"/>
  <c r="A392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C391" i="1"/>
  <c r="B391" i="1"/>
  <c r="A391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C390" i="1"/>
  <c r="B390" i="1"/>
  <c r="A390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C389" i="1"/>
  <c r="B389" i="1"/>
  <c r="A389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C388" i="1"/>
  <c r="B388" i="1"/>
  <c r="A388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C387" i="1"/>
  <c r="B387" i="1"/>
  <c r="A387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C386" i="1"/>
  <c r="B386" i="1"/>
  <c r="A386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C385" i="1"/>
  <c r="B385" i="1"/>
  <c r="A385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C384" i="1"/>
  <c r="B384" i="1"/>
  <c r="A384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C383" i="1"/>
  <c r="B383" i="1"/>
  <c r="A383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C382" i="1"/>
  <c r="B382" i="1"/>
  <c r="A382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C381" i="1"/>
  <c r="B381" i="1"/>
  <c r="A381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C380" i="1"/>
  <c r="B380" i="1"/>
  <c r="A380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C379" i="1"/>
  <c r="B379" i="1"/>
  <c r="A379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C378" i="1"/>
  <c r="B378" i="1"/>
  <c r="A378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C377" i="1"/>
  <c r="B377" i="1"/>
  <c r="A377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C376" i="1"/>
  <c r="B376" i="1"/>
  <c r="A376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C375" i="1"/>
  <c r="B375" i="1"/>
  <c r="A375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C374" i="1"/>
  <c r="B374" i="1"/>
  <c r="A374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C373" i="1"/>
  <c r="B373" i="1"/>
  <c r="A373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C372" i="1"/>
  <c r="B372" i="1"/>
  <c r="A372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C371" i="1"/>
  <c r="B371" i="1"/>
  <c r="A371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C370" i="1"/>
  <c r="B370" i="1"/>
  <c r="A370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C369" i="1"/>
  <c r="B369" i="1"/>
  <c r="A369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C368" i="1"/>
  <c r="B368" i="1"/>
  <c r="A368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C367" i="1"/>
  <c r="B367" i="1"/>
  <c r="A367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C366" i="1"/>
  <c r="B366" i="1"/>
  <c r="A366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C365" i="1"/>
  <c r="B365" i="1"/>
  <c r="A365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C364" i="1"/>
  <c r="B364" i="1"/>
  <c r="A364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C363" i="1"/>
  <c r="B363" i="1"/>
  <c r="A363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C362" i="1"/>
  <c r="B362" i="1"/>
  <c r="A362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C361" i="1"/>
  <c r="B361" i="1"/>
  <c r="A361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C360" i="1"/>
  <c r="B360" i="1"/>
  <c r="A360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C359" i="1"/>
  <c r="B359" i="1"/>
  <c r="A359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C358" i="1"/>
  <c r="B358" i="1"/>
  <c r="A358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C357" i="1"/>
  <c r="B357" i="1"/>
  <c r="A357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C356" i="1"/>
  <c r="B356" i="1"/>
  <c r="A356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C355" i="1"/>
  <c r="B355" i="1"/>
  <c r="A355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C354" i="1"/>
  <c r="B354" i="1"/>
  <c r="A354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C353" i="1"/>
  <c r="B353" i="1"/>
  <c r="A353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C352" i="1"/>
  <c r="B352" i="1"/>
  <c r="A352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C351" i="1"/>
  <c r="B351" i="1"/>
  <c r="A351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C350" i="1"/>
  <c r="B350" i="1"/>
  <c r="A350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C349" i="1"/>
  <c r="B349" i="1"/>
  <c r="A349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C348" i="1"/>
  <c r="B348" i="1"/>
  <c r="A348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C347" i="1"/>
  <c r="B347" i="1"/>
  <c r="A347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C346" i="1"/>
  <c r="B346" i="1"/>
  <c r="A346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C345" i="1"/>
  <c r="B345" i="1"/>
  <c r="A345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C344" i="1"/>
  <c r="B344" i="1"/>
  <c r="A344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C343" i="1"/>
  <c r="B343" i="1"/>
  <c r="A343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C342" i="1"/>
  <c r="B342" i="1"/>
  <c r="A342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C341" i="1"/>
  <c r="B341" i="1"/>
  <c r="A341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C340" i="1"/>
  <c r="B340" i="1"/>
  <c r="A340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C339" i="1"/>
  <c r="B339" i="1"/>
  <c r="A339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C338" i="1"/>
  <c r="B338" i="1"/>
  <c r="A338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C337" i="1"/>
  <c r="B337" i="1"/>
  <c r="A337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C336" i="1"/>
  <c r="B336" i="1"/>
  <c r="A336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C335" i="1"/>
  <c r="B335" i="1"/>
  <c r="A335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C334" i="1"/>
  <c r="B334" i="1"/>
  <c r="A334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C333" i="1"/>
  <c r="B333" i="1"/>
  <c r="A333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C332" i="1"/>
  <c r="B332" i="1"/>
  <c r="A332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C331" i="1"/>
  <c r="B331" i="1"/>
  <c r="A331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C330" i="1"/>
  <c r="B330" i="1"/>
  <c r="A330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C329" i="1"/>
  <c r="B329" i="1"/>
  <c r="A329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C328" i="1"/>
  <c r="B328" i="1"/>
  <c r="A328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C327" i="1"/>
  <c r="B327" i="1"/>
  <c r="A327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C326" i="1"/>
  <c r="B326" i="1"/>
  <c r="A326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C325" i="1"/>
  <c r="B325" i="1"/>
  <c r="A325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C324" i="1"/>
  <c r="B324" i="1"/>
  <c r="A324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C323" i="1"/>
  <c r="B323" i="1"/>
  <c r="A323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C322" i="1"/>
  <c r="B322" i="1"/>
  <c r="A322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C321" i="1"/>
  <c r="B321" i="1"/>
  <c r="A321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C320" i="1"/>
  <c r="B320" i="1"/>
  <c r="A320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C319" i="1"/>
  <c r="B319" i="1"/>
  <c r="A319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C318" i="1"/>
  <c r="B318" i="1"/>
  <c r="A318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C317" i="1"/>
  <c r="B317" i="1"/>
  <c r="A317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C316" i="1"/>
  <c r="B316" i="1"/>
  <c r="A316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C315" i="1"/>
  <c r="B315" i="1"/>
  <c r="A315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C314" i="1"/>
  <c r="B314" i="1"/>
  <c r="A314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C313" i="1"/>
  <c r="B313" i="1"/>
  <c r="A313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C312" i="1"/>
  <c r="B312" i="1"/>
  <c r="A312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C311" i="1"/>
  <c r="B311" i="1"/>
  <c r="A311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C310" i="1"/>
  <c r="B310" i="1"/>
  <c r="A310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C309" i="1"/>
  <c r="B309" i="1"/>
  <c r="A309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C308" i="1"/>
  <c r="B308" i="1"/>
  <c r="A308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C307" i="1"/>
  <c r="B307" i="1"/>
  <c r="A307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C306" i="1"/>
  <c r="B306" i="1"/>
  <c r="A306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C305" i="1"/>
  <c r="B305" i="1"/>
  <c r="A305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C304" i="1"/>
  <c r="B304" i="1"/>
  <c r="A304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E403"/>
  <sheetViews>
    <sheetView tabSelected="1" workbookViewId="0"/>
  </sheetViews>
  <sheetFormatPr defaultRowHeight="15" x14ac:dyDescent="0.25"/>
  <sheetData>
    <row r="1" spans="1:577" x14ac:dyDescent="0.25">
      <c r="A1">
        <f ca="1">(A1)+(1)</f>
        <v>1</v>
      </c>
      <c r="B1" t="str">
        <f ca="1">"goto"</f>
        <v>goto</v>
      </c>
      <c r="C1">
        <f ca="1">94</f>
        <v>94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"H"</f>
        <v>H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"H"</f>
        <v>H</v>
      </c>
      <c r="N1" t="str">
        <f ca="1">"load"</f>
        <v>load</v>
      </c>
      <c r="O1">
        <f ca="1">3</f>
        <v>3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3</f>
        <v>3</v>
      </c>
      <c r="V1" t="str">
        <f ca="1">"popv"</f>
        <v>popv</v>
      </c>
      <c r="W1" t="str">
        <f ca="1">"H"</f>
        <v>H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3</f>
        <v>3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"H"</f>
        <v>H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"equals"</f>
        <v>equals</v>
      </c>
      <c r="AO1" t="str">
        <f ca="1">""</f>
        <v/>
      </c>
      <c r="AP1" t="str">
        <f ca="1">"return"</f>
        <v>return</v>
      </c>
      <c r="AQ1" t="str">
        <f ca="1">""</f>
        <v/>
      </c>
      <c r="AR1" t="str">
        <f ca="1">"store"</f>
        <v>store</v>
      </c>
      <c r="AS1" t="str">
        <f ca="1">"H"</f>
        <v>H</v>
      </c>
      <c r="AT1" t="str">
        <f ca="1">"newheap"</f>
        <v>newheap</v>
      </c>
      <c r="AU1" t="str">
        <f ca="1">""</f>
        <v/>
      </c>
      <c r="AV1" t="str">
        <f ca="1">"store"</f>
        <v>store</v>
      </c>
      <c r="AW1" t="str">
        <f ca="1">"H"</f>
        <v>H</v>
      </c>
      <c r="AX1" t="str">
        <f ca="1">"load"</f>
        <v>load</v>
      </c>
      <c r="AY1">
        <f ca="1">3</f>
        <v>3</v>
      </c>
      <c r="AZ1" t="str">
        <f ca="1">"push"</f>
        <v>push</v>
      </c>
      <c r="BA1">
        <f ca="1">19</f>
        <v>19</v>
      </c>
      <c r="BB1" t="str">
        <f ca="1">"writeheap"</f>
        <v>writeheap</v>
      </c>
      <c r="BC1" t="str">
        <f ca="1">""</f>
        <v/>
      </c>
      <c r="BD1" t="str">
        <f ca="1">"load"</f>
        <v>load</v>
      </c>
      <c r="BE1">
        <f ca="1">3</f>
        <v>3</v>
      </c>
      <c r="BF1" t="str">
        <f ca="1">"popv"</f>
        <v>popv</v>
      </c>
      <c r="BG1" t="str">
        <f ca="1">"H"</f>
        <v>H</v>
      </c>
      <c r="BH1" t="str">
        <f ca="1">"newheap"</f>
        <v>newheap</v>
      </c>
      <c r="BI1" t="str">
        <f ca="1">""</f>
        <v/>
      </c>
      <c r="BJ1" t="str">
        <f ca="1">"load"</f>
        <v>load</v>
      </c>
      <c r="BK1">
        <f ca="1">3</f>
        <v>3</v>
      </c>
      <c r="BL1" t="str">
        <f ca="1">"writeheap"</f>
        <v>writeheap</v>
      </c>
      <c r="BM1" t="str">
        <f ca="1">""</f>
        <v/>
      </c>
      <c r="BN1" t="str">
        <f ca="1">"popv"</f>
        <v>popv</v>
      </c>
      <c r="BO1" t="str">
        <f ca="1">"H"</f>
        <v>H</v>
      </c>
      <c r="BP1" t="str">
        <f ca="1">"newheap"</f>
        <v>newheap</v>
      </c>
      <c r="BQ1" t="str">
        <f ca="1">""</f>
        <v/>
      </c>
      <c r="BR1" t="str">
        <f ca="1">"push"</f>
        <v>push</v>
      </c>
      <c r="BS1" t="str">
        <f ca="1">"endArr"</f>
        <v>endArr</v>
      </c>
      <c r="BT1" t="str">
        <f ca="1">"writeheap"</f>
        <v>writeheap</v>
      </c>
      <c r="BU1" t="str">
        <f ca="1">""</f>
        <v/>
      </c>
      <c r="BV1" t="str">
        <f ca="1">"return"</f>
        <v>return</v>
      </c>
      <c r="BW1" t="str">
        <f ca="1">""</f>
        <v/>
      </c>
      <c r="BX1" t="str">
        <f ca="1">"leq"</f>
        <v>leq</v>
      </c>
      <c r="BY1" t="str">
        <f ca="1">""</f>
        <v/>
      </c>
      <c r="BZ1" t="str">
        <f ca="1">"return"</f>
        <v>return</v>
      </c>
      <c r="CA1" t="str">
        <f ca="1">""</f>
        <v/>
      </c>
      <c r="CB1" t="str">
        <f ca="1">"store"</f>
        <v>store</v>
      </c>
      <c r="CC1" t="str">
        <f ca="1">"H"</f>
        <v>H</v>
      </c>
      <c r="CD1" t="str">
        <f ca="1">"newheap"</f>
        <v>newheap</v>
      </c>
      <c r="CE1" t="str">
        <f ca="1">""</f>
        <v/>
      </c>
      <c r="CF1" t="str">
        <f ca="1">"store"</f>
        <v>store</v>
      </c>
      <c r="CG1" t="str">
        <f ca="1">"H"</f>
        <v>H</v>
      </c>
      <c r="CH1" t="str">
        <f ca="1">"load"</f>
        <v>load</v>
      </c>
      <c r="CI1">
        <f ca="1">3</f>
        <v>3</v>
      </c>
      <c r="CJ1" t="str">
        <f ca="1">"push"</f>
        <v>push</v>
      </c>
      <c r="CK1">
        <f ca="1">37</f>
        <v>37</v>
      </c>
      <c r="CL1" t="str">
        <f ca="1">"writeheap"</f>
        <v>writeheap</v>
      </c>
      <c r="CM1" t="str">
        <f ca="1">""</f>
        <v/>
      </c>
      <c r="CN1" t="str">
        <f ca="1">"load"</f>
        <v>load</v>
      </c>
      <c r="CO1">
        <f ca="1">3</f>
        <v>3</v>
      </c>
      <c r="CP1" t="str">
        <f ca="1">"popv"</f>
        <v>popv</v>
      </c>
      <c r="CQ1" t="str">
        <f ca="1">"H"</f>
        <v>H</v>
      </c>
      <c r="CR1" t="str">
        <f ca="1">"newheap"</f>
        <v>newheap</v>
      </c>
      <c r="CS1" t="str">
        <f ca="1">""</f>
        <v/>
      </c>
      <c r="CT1" t="str">
        <f ca="1">"load"</f>
        <v>load</v>
      </c>
      <c r="CU1">
        <f ca="1">3</f>
        <v>3</v>
      </c>
      <c r="CV1" t="str">
        <f ca="1">"writeheap"</f>
        <v>writeheap</v>
      </c>
      <c r="CW1" t="str">
        <f ca="1">""</f>
        <v/>
      </c>
      <c r="CX1" t="str">
        <f ca="1">"popv"</f>
        <v>popv</v>
      </c>
      <c r="CY1" t="str">
        <f ca="1">"H"</f>
        <v>H</v>
      </c>
      <c r="CZ1" t="str">
        <f ca="1">"newheap"</f>
        <v>newheap</v>
      </c>
      <c r="DA1" t="str">
        <f ca="1">""</f>
        <v/>
      </c>
      <c r="DB1" t="str">
        <f ca="1">"push"</f>
        <v>push</v>
      </c>
      <c r="DC1" t="str">
        <f ca="1">"endArr"</f>
        <v>endArr</v>
      </c>
      <c r="DD1" t="str">
        <f ca="1">"writeheap"</f>
        <v>writeheap</v>
      </c>
      <c r="DE1" t="str">
        <f ca="1">""</f>
        <v/>
      </c>
      <c r="DF1" t="str">
        <f ca="1">"return"</f>
        <v>return</v>
      </c>
      <c r="DG1" t="str">
        <f ca="1">""</f>
        <v/>
      </c>
      <c r="DH1" t="str">
        <f ca="1">"greater"</f>
        <v>greater</v>
      </c>
      <c r="DI1" t="str">
        <f ca="1">""</f>
        <v/>
      </c>
      <c r="DJ1" t="str">
        <f ca="1">"return"</f>
        <v>return</v>
      </c>
      <c r="DK1" t="str">
        <f ca="1">""</f>
        <v/>
      </c>
      <c r="DL1" t="str">
        <f ca="1">"store"</f>
        <v>store</v>
      </c>
      <c r="DM1" t="str">
        <f ca="1">"H"</f>
        <v>H</v>
      </c>
      <c r="DN1" t="str">
        <f ca="1">"newheap"</f>
        <v>newheap</v>
      </c>
      <c r="DO1" t="str">
        <f ca="1">""</f>
        <v/>
      </c>
      <c r="DP1" t="str">
        <f ca="1">"store"</f>
        <v>store</v>
      </c>
      <c r="DQ1" t="str">
        <f ca="1">"H"</f>
        <v>H</v>
      </c>
      <c r="DR1" t="str">
        <f ca="1">"load"</f>
        <v>load</v>
      </c>
      <c r="DS1">
        <f ca="1">3</f>
        <v>3</v>
      </c>
      <c r="DT1" t="str">
        <f ca="1">"push"</f>
        <v>push</v>
      </c>
      <c r="DU1">
        <f ca="1">55</f>
        <v>55</v>
      </c>
      <c r="DV1" t="str">
        <f ca="1">"writeheap"</f>
        <v>writeheap</v>
      </c>
      <c r="DW1" t="str">
        <f ca="1">""</f>
        <v/>
      </c>
      <c r="DX1" t="str">
        <f ca="1">"load"</f>
        <v>load</v>
      </c>
      <c r="DY1">
        <f ca="1">3</f>
        <v>3</v>
      </c>
      <c r="DZ1" t="str">
        <f ca="1">"popv"</f>
        <v>popv</v>
      </c>
      <c r="EA1" t="str">
        <f ca="1">"H"</f>
        <v>H</v>
      </c>
      <c r="EB1" t="str">
        <f ca="1">"newheap"</f>
        <v>newheap</v>
      </c>
      <c r="EC1" t="str">
        <f ca="1">""</f>
        <v/>
      </c>
      <c r="ED1" t="str">
        <f ca="1">"load"</f>
        <v>load</v>
      </c>
      <c r="EE1">
        <f ca="1">3</f>
        <v>3</v>
      </c>
      <c r="EF1" t="str">
        <f ca="1">"writeheap"</f>
        <v>writeheap</v>
      </c>
      <c r="EG1" t="str">
        <f ca="1">""</f>
        <v/>
      </c>
      <c r="EH1" t="str">
        <f ca="1">"popv"</f>
        <v>popv</v>
      </c>
      <c r="EI1" t="str">
        <f ca="1">"H"</f>
        <v>H</v>
      </c>
      <c r="EJ1" t="str">
        <f ca="1">"newheap"</f>
        <v>newheap</v>
      </c>
      <c r="EK1" t="str">
        <f ca="1">""</f>
        <v/>
      </c>
      <c r="EL1" t="str">
        <f ca="1">"push"</f>
        <v>push</v>
      </c>
      <c r="EM1" t="str">
        <f ca="1">"endArr"</f>
        <v>endArr</v>
      </c>
      <c r="EN1" t="str">
        <f ca="1">"writeheap"</f>
        <v>writeheap</v>
      </c>
      <c r="EO1" t="str">
        <f ca="1">""</f>
        <v/>
      </c>
      <c r="EP1" t="str">
        <f ca="1">"return"</f>
        <v>return</v>
      </c>
      <c r="EQ1" t="str">
        <f ca="1">""</f>
        <v/>
      </c>
      <c r="ER1" t="str">
        <f ca="1">"mod"</f>
        <v>mod</v>
      </c>
      <c r="ES1" t="str">
        <f ca="1">""</f>
        <v/>
      </c>
      <c r="ET1" t="str">
        <f ca="1">"return"</f>
        <v>return</v>
      </c>
      <c r="EU1" t="str">
        <f ca="1">""</f>
        <v/>
      </c>
      <c r="EV1" t="str">
        <f ca="1">"store"</f>
        <v>store</v>
      </c>
      <c r="EW1" t="str">
        <f ca="1">"H"</f>
        <v>H</v>
      </c>
      <c r="EX1" t="str">
        <f ca="1">"newheap"</f>
        <v>newheap</v>
      </c>
      <c r="EY1" t="str">
        <f ca="1">""</f>
        <v/>
      </c>
      <c r="EZ1" t="str">
        <f ca="1">"store"</f>
        <v>store</v>
      </c>
      <c r="FA1" t="str">
        <f ca="1">"H"</f>
        <v>H</v>
      </c>
      <c r="FB1" t="str">
        <f ca="1">"load"</f>
        <v>load</v>
      </c>
      <c r="FC1">
        <f ca="1">3</f>
        <v>3</v>
      </c>
      <c r="FD1" t="str">
        <f ca="1">"push"</f>
        <v>push</v>
      </c>
      <c r="FE1">
        <f ca="1">73</f>
        <v>73</v>
      </c>
      <c r="FF1" t="str">
        <f ca="1">"writeheap"</f>
        <v>writeheap</v>
      </c>
      <c r="FG1" t="str">
        <f ca="1">""</f>
        <v/>
      </c>
      <c r="FH1" t="str">
        <f ca="1">"load"</f>
        <v>load</v>
      </c>
      <c r="FI1">
        <f ca="1">3</f>
        <v>3</v>
      </c>
      <c r="FJ1" t="str">
        <f ca="1">"popv"</f>
        <v>popv</v>
      </c>
      <c r="FK1" t="str">
        <f ca="1">"H"</f>
        <v>H</v>
      </c>
      <c r="FL1" t="str">
        <f ca="1">"newheap"</f>
        <v>newheap</v>
      </c>
      <c r="FM1" t="str">
        <f ca="1">""</f>
        <v/>
      </c>
      <c r="FN1" t="str">
        <f ca="1">"load"</f>
        <v>load</v>
      </c>
      <c r="FO1">
        <f ca="1">3</f>
        <v>3</v>
      </c>
      <c r="FP1" t="str">
        <f ca="1">"writeheap"</f>
        <v>writeheap</v>
      </c>
      <c r="FQ1" t="str">
        <f ca="1">""</f>
        <v/>
      </c>
      <c r="FR1" t="str">
        <f ca="1">"popv"</f>
        <v>popv</v>
      </c>
      <c r="FS1" t="str">
        <f ca="1">"H"</f>
        <v>H</v>
      </c>
      <c r="FT1" t="str">
        <f ca="1">"newheap"</f>
        <v>newheap</v>
      </c>
      <c r="FU1" t="str">
        <f ca="1">""</f>
        <v/>
      </c>
      <c r="FV1" t="str">
        <f ca="1">"push"</f>
        <v>push</v>
      </c>
      <c r="FW1" t="str">
        <f ca="1">"endArr"</f>
        <v>endArr</v>
      </c>
      <c r="FX1" t="str">
        <f ca="1">"writeheap"</f>
        <v>writeheap</v>
      </c>
      <c r="FY1" t="str">
        <f ca="1">""</f>
        <v/>
      </c>
      <c r="FZ1" t="str">
        <f ca="1">"return"</f>
        <v>return</v>
      </c>
      <c r="GA1" t="str">
        <f ca="1">""</f>
        <v/>
      </c>
      <c r="GB1" t="str">
        <f ca="1">"outputline"</f>
        <v>outputline</v>
      </c>
      <c r="GC1" t="str">
        <f ca="1">""</f>
        <v/>
      </c>
      <c r="GD1" t="str">
        <f ca="1">"push"</f>
        <v>push</v>
      </c>
      <c r="GE1" t="str">
        <f ca="1">"()"</f>
        <v>()</v>
      </c>
      <c r="GF1" t="str">
        <f ca="1">"return"</f>
        <v>return</v>
      </c>
      <c r="GG1" t="str">
        <f ca="1">""</f>
        <v/>
      </c>
      <c r="GH1" t="str">
        <f ca="1">"goto"</f>
        <v>goto</v>
      </c>
      <c r="GI1">
        <f ca="1">128</f>
        <v>128</v>
      </c>
      <c r="GJ1" t="str">
        <f ca="1">"store"</f>
        <v>store</v>
      </c>
      <c r="GK1" t="str">
        <f ca="1">"F"</f>
        <v>F</v>
      </c>
      <c r="GL1" t="str">
        <f ca="1">"load"</f>
        <v>load</v>
      </c>
      <c r="GM1">
        <f ca="1">1</f>
        <v>1</v>
      </c>
      <c r="GN1" t="str">
        <f ca="1">"store"</f>
        <v>store</v>
      </c>
      <c r="GO1" t="str">
        <f ca="1">"L"</f>
        <v>L</v>
      </c>
      <c r="GP1" t="str">
        <f ca="1">"push"</f>
        <v>push</v>
      </c>
      <c r="GQ1" t="str">
        <f ca="1">"()"</f>
        <v>()</v>
      </c>
      <c r="GR1" t="str">
        <f ca="1">"pop"</f>
        <v>pop</v>
      </c>
      <c r="GS1" t="str">
        <f ca="1">""</f>
        <v/>
      </c>
      <c r="GT1" t="str">
        <f ca="1">"push"</f>
        <v>push</v>
      </c>
      <c r="GU1">
        <f ca="1">10</f>
        <v>10</v>
      </c>
      <c r="GV1" t="str">
        <f ca="1">"load"</f>
        <v>load</v>
      </c>
      <c r="GW1">
        <f ca="1">7</f>
        <v>7</v>
      </c>
      <c r="GX1" t="str">
        <f ca="1">"store"</f>
        <v>store</v>
      </c>
      <c r="GY1" t="str">
        <f ca="1">"H"</f>
        <v>H</v>
      </c>
      <c r="GZ1" t="str">
        <f ca="1">"load"</f>
        <v>load</v>
      </c>
      <c r="HA1">
        <f ca="1">3</f>
        <v>3</v>
      </c>
      <c r="HB1" t="str">
        <f ca="1">"push"</f>
        <v>push</v>
      </c>
      <c r="HC1">
        <f ca="1">1</f>
        <v>1</v>
      </c>
      <c r="HD1" t="str">
        <f ca="1">"add"</f>
        <v>add</v>
      </c>
      <c r="HE1" t="str">
        <f ca="1">""</f>
        <v/>
      </c>
      <c r="HF1" t="str">
        <f ca="1">"store"</f>
        <v>store</v>
      </c>
      <c r="HG1" t="str">
        <f ca="1">"H"</f>
        <v>H</v>
      </c>
      <c r="HH1" t="str">
        <f ca="1">"load"</f>
        <v>load</v>
      </c>
      <c r="HI1">
        <f ca="1">3</f>
        <v>3</v>
      </c>
      <c r="HJ1" t="str">
        <f ca="1">"getheap"</f>
        <v>getheap</v>
      </c>
      <c r="HK1" t="str">
        <f ca="1">""</f>
        <v/>
      </c>
      <c r="HL1" t="str">
        <f ca="1">"push"</f>
        <v>push</v>
      </c>
      <c r="HM1" t="str">
        <f ca="1">"endArr"</f>
        <v>endArr</v>
      </c>
      <c r="HN1" t="str">
        <f ca="1">"equals"</f>
        <v>equals</v>
      </c>
      <c r="HO1" t="str">
        <f ca="1">""</f>
        <v/>
      </c>
      <c r="HP1" t="str">
        <f ca="1">"gotoiftrue"</f>
        <v>gotoiftrue</v>
      </c>
      <c r="HQ1">
        <f ca="1">120</f>
        <v>120</v>
      </c>
      <c r="HR1" t="str">
        <f ca="1">"load"</f>
        <v>load</v>
      </c>
      <c r="HS1">
        <f ca="1">3</f>
        <v>3</v>
      </c>
      <c r="HT1" t="str">
        <f ca="1">"getheap"</f>
        <v>getheap</v>
      </c>
      <c r="HU1" t="str">
        <f ca="1">""</f>
        <v/>
      </c>
      <c r="HV1" t="str">
        <f ca="1">"load"</f>
        <v>load</v>
      </c>
      <c r="HW1">
        <f ca="1">3</f>
        <v>3</v>
      </c>
      <c r="HX1" t="str">
        <f ca="1">"push"</f>
        <v>push</v>
      </c>
      <c r="HY1">
        <f ca="1">1</f>
        <v>1</v>
      </c>
      <c r="HZ1" t="str">
        <f ca="1">"add"</f>
        <v>add</v>
      </c>
      <c r="IA1" t="str">
        <f ca="1">""</f>
        <v/>
      </c>
      <c r="IB1" t="str">
        <f ca="1">"popv"</f>
        <v>popv</v>
      </c>
      <c r="IC1" t="str">
        <f ca="1">"H"</f>
        <v>H</v>
      </c>
      <c r="ID1" t="str">
        <f ca="1">"store"</f>
        <v>store</v>
      </c>
      <c r="IE1" t="str">
        <f ca="1">"H"</f>
        <v>H</v>
      </c>
      <c r="IF1" t="str">
        <f ca="1">"goto"</f>
        <v>goto</v>
      </c>
      <c r="IG1">
        <f ca="1">107</f>
        <v>107</v>
      </c>
      <c r="IH1" t="str">
        <f ca="1">"popv"</f>
        <v>popv</v>
      </c>
      <c r="II1" t="str">
        <f ca="1">"H"</f>
        <v>H</v>
      </c>
      <c r="IJ1" t="str">
        <f ca="1">"load"</f>
        <v>load</v>
      </c>
      <c r="IK1">
        <f ca="1">3</f>
        <v>3</v>
      </c>
      <c r="IL1" t="str">
        <f ca="1">"getheap"</f>
        <v>getheap</v>
      </c>
      <c r="IM1" t="str">
        <f ca="1">""</f>
        <v/>
      </c>
      <c r="IN1" t="str">
        <f ca="1">"call"</f>
        <v>call</v>
      </c>
      <c r="IO1" t="str">
        <f ca="1">""</f>
        <v/>
      </c>
      <c r="IP1" t="str">
        <f ca="1">"popv"</f>
        <v>popv</v>
      </c>
      <c r="IQ1" t="str">
        <f ca="1">"H"</f>
        <v>H</v>
      </c>
      <c r="IR1" t="str">
        <f ca="1">"popv"</f>
        <v>popv</v>
      </c>
      <c r="IS1" t="str">
        <f ca="1">"L"</f>
        <v>L</v>
      </c>
      <c r="IT1" t="str">
        <f ca="1">"popv"</f>
        <v>popv</v>
      </c>
      <c r="IU1" t="str">
        <f ca="1">"F"</f>
        <v>F</v>
      </c>
      <c r="IV1" t="str">
        <f ca="1">"return"</f>
        <v>return</v>
      </c>
      <c r="IW1" t="str">
        <f ca="1">""</f>
        <v/>
      </c>
      <c r="IX1" t="str">
        <f ca="1">"newheap"</f>
        <v>newheap</v>
      </c>
      <c r="IY1" t="str">
        <f ca="1">""</f>
        <v/>
      </c>
      <c r="IZ1" t="str">
        <f ca="1">"store"</f>
        <v>store</v>
      </c>
      <c r="JA1" t="str">
        <f ca="1">"J"</f>
        <v>J</v>
      </c>
      <c r="JB1" t="str">
        <f ca="1">"load"</f>
        <v>load</v>
      </c>
      <c r="JC1">
        <f ca="1">5</f>
        <v>5</v>
      </c>
      <c r="JD1" t="str">
        <f ca="1">"push"</f>
        <v>push</v>
      </c>
      <c r="JE1">
        <f ca="1">95</f>
        <v>95</v>
      </c>
      <c r="JF1" t="str">
        <f ca="1">"writeheap"</f>
        <v>writeheap</v>
      </c>
      <c r="JG1" t="str">
        <f ca="1">""</f>
        <v/>
      </c>
      <c r="JH1" t="str">
        <f ca="1">"load"</f>
        <v>load</v>
      </c>
      <c r="JI1">
        <f ca="1">5</f>
        <v>5</v>
      </c>
      <c r="JJ1" t="str">
        <f ca="1">"newheap"</f>
        <v>newheap</v>
      </c>
      <c r="JK1" t="str">
        <f ca="1">""</f>
        <v/>
      </c>
      <c r="JL1" t="str">
        <f ca="1">"push"</f>
        <v>push</v>
      </c>
      <c r="JM1" t="str">
        <f ca="1">"endArr"</f>
        <v>endArr</v>
      </c>
      <c r="JN1" t="str">
        <f ca="1">"writeheap"</f>
        <v>writeheap</v>
      </c>
      <c r="JO1" t="str">
        <f ca="1">""</f>
        <v/>
      </c>
      <c r="JP1" t="str">
        <f ca="1">"pop"</f>
        <v>pop</v>
      </c>
      <c r="JQ1" t="str">
        <f ca="1">""</f>
        <v/>
      </c>
      <c r="JR1" t="str">
        <f ca="1">"load"</f>
        <v>load</v>
      </c>
      <c r="JS1">
        <f ca="1">5</f>
        <v>5</v>
      </c>
      <c r="JT1" t="str">
        <f ca="1">"store"</f>
        <v>store</v>
      </c>
      <c r="JU1" t="str">
        <f ca="1">"K"</f>
        <v>K</v>
      </c>
      <c r="JV1" t="str">
        <f ca="1">"push"</f>
        <v>push</v>
      </c>
      <c r="JW1" t="str">
        <f ca="1">"()"</f>
        <v>()</v>
      </c>
      <c r="JX1" t="str">
        <f ca="1">"pop"</f>
        <v>pop</v>
      </c>
      <c r="JY1" t="str">
        <f ca="1">""</f>
        <v/>
      </c>
      <c r="JZ1" t="str">
        <f ca="1">"goto"</f>
        <v>goto</v>
      </c>
      <c r="KA1">
        <f ca="1">211</f>
        <v>211</v>
      </c>
      <c r="KB1" t="str">
        <f ca="1">"store"</f>
        <v>store</v>
      </c>
      <c r="KC1" t="str">
        <f ca="1">"K"</f>
        <v>K</v>
      </c>
      <c r="KD1" t="str">
        <f ca="1">"store"</f>
        <v>store</v>
      </c>
      <c r="KE1" t="str">
        <f ca="1">"G"</f>
        <v>G</v>
      </c>
      <c r="KF1" t="str">
        <f ca="1">"load"</f>
        <v>load</v>
      </c>
      <c r="KG1">
        <f ca="1">2</f>
        <v>2</v>
      </c>
      <c r="KH1" t="str">
        <f ca="1">"store"</f>
        <v>store</v>
      </c>
      <c r="KI1" t="str">
        <f ca="1">"L"</f>
        <v>L</v>
      </c>
      <c r="KJ1" t="str">
        <f ca="1">"push"</f>
        <v>push</v>
      </c>
      <c r="KK1" t="str">
        <f ca="1">"()"</f>
        <v>()</v>
      </c>
      <c r="KL1" t="str">
        <f ca="1">"pop"</f>
        <v>pop</v>
      </c>
      <c r="KM1" t="str">
        <f ca="1">""</f>
        <v/>
      </c>
      <c r="KN1" t="str">
        <f ca="1">"push"</f>
        <v>push</v>
      </c>
      <c r="KO1">
        <f ca="1">3</f>
        <v>3</v>
      </c>
      <c r="KP1" t="str">
        <f ca="1">"load"</f>
        <v>load</v>
      </c>
      <c r="KQ1">
        <f ca="1">7</f>
        <v>7</v>
      </c>
      <c r="KR1" t="str">
        <f ca="1">"newheap"</f>
        <v>newheap</v>
      </c>
      <c r="KS1" t="str">
        <f ca="1">""</f>
        <v/>
      </c>
      <c r="KT1" t="str">
        <f ca="1">"store"</f>
        <v>store</v>
      </c>
      <c r="KU1" t="str">
        <f ca="1">"H"</f>
        <v>H</v>
      </c>
      <c r="KV1" t="str">
        <f ca="1">"load"</f>
        <v>load</v>
      </c>
      <c r="KW1">
        <f ca="1">3</f>
        <v>3</v>
      </c>
      <c r="KX1" t="str">
        <f ca="1">"push"</f>
        <v>push</v>
      </c>
      <c r="KY1">
        <f ca="1">3</f>
        <v>3</v>
      </c>
      <c r="KZ1" t="str">
        <f ca="1">"writeheap"</f>
        <v>writeheap</v>
      </c>
      <c r="LA1" t="str">
        <f ca="1">""</f>
        <v/>
      </c>
      <c r="LB1" t="str">
        <f ca="1">"newheap"</f>
        <v>newheap</v>
      </c>
      <c r="LC1" t="str">
        <f ca="1">""</f>
        <v/>
      </c>
      <c r="LD1" t="str">
        <f ca="1">"push"</f>
        <v>push</v>
      </c>
      <c r="LE1" t="str">
        <f ca="1">"endArr"</f>
        <v>endArr</v>
      </c>
      <c r="LF1" t="str">
        <f ca="1">"writeheap"</f>
        <v>writeheap</v>
      </c>
      <c r="LG1" t="str">
        <f ca="1">""</f>
        <v/>
      </c>
      <c r="LH1" t="str">
        <f ca="1">"load"</f>
        <v>load</v>
      </c>
      <c r="LI1">
        <f ca="1">3</f>
        <v>3</v>
      </c>
      <c r="LJ1" t="str">
        <f ca="1">"popv"</f>
        <v>popv</v>
      </c>
      <c r="LK1" t="str">
        <f ca="1">"H"</f>
        <v>H</v>
      </c>
      <c r="LL1" t="str">
        <f ca="1">"store"</f>
        <v>store</v>
      </c>
      <c r="LM1" t="str">
        <f ca="1">"H"</f>
        <v>H</v>
      </c>
      <c r="LN1" t="str">
        <f ca="1">"load"</f>
        <v>load</v>
      </c>
      <c r="LO1">
        <f ca="1">3</f>
        <v>3</v>
      </c>
      <c r="LP1" t="str">
        <f ca="1">"push"</f>
        <v>push</v>
      </c>
      <c r="LQ1">
        <f ca="1">1</f>
        <v>1</v>
      </c>
      <c r="LR1" t="str">
        <f ca="1">"add"</f>
        <v>add</v>
      </c>
      <c r="LS1" t="str">
        <f ca="1">""</f>
        <v/>
      </c>
      <c r="LT1" t="str">
        <f ca="1">"store"</f>
        <v>store</v>
      </c>
      <c r="LU1" t="str">
        <f ca="1">"H"</f>
        <v>H</v>
      </c>
      <c r="LV1" t="str">
        <f ca="1">"load"</f>
        <v>load</v>
      </c>
      <c r="LW1">
        <f ca="1">3</f>
        <v>3</v>
      </c>
      <c r="LX1" t="str">
        <f ca="1">"getheap"</f>
        <v>getheap</v>
      </c>
      <c r="LY1" t="str">
        <f ca="1">""</f>
        <v/>
      </c>
      <c r="LZ1" t="str">
        <f ca="1">"push"</f>
        <v>push</v>
      </c>
      <c r="MA1" t="str">
        <f ca="1">"endArr"</f>
        <v>endArr</v>
      </c>
      <c r="MB1" t="str">
        <f ca="1">"equals"</f>
        <v>equals</v>
      </c>
      <c r="MC1" t="str">
        <f ca="1">""</f>
        <v/>
      </c>
      <c r="MD1" t="str">
        <f ca="1">"gotoiftrue"</f>
        <v>gotoiftrue</v>
      </c>
      <c r="ME1">
        <f ca="1">179</f>
        <v>179</v>
      </c>
      <c r="MF1" t="str">
        <f ca="1">"load"</f>
        <v>load</v>
      </c>
      <c r="MG1">
        <f ca="1">3</f>
        <v>3</v>
      </c>
      <c r="MH1" t="str">
        <f ca="1">"getheap"</f>
        <v>getheap</v>
      </c>
      <c r="MI1" t="str">
        <f ca="1">""</f>
        <v/>
      </c>
      <c r="MJ1" t="str">
        <f ca="1">"load"</f>
        <v>load</v>
      </c>
      <c r="MK1">
        <f ca="1">3</f>
        <v>3</v>
      </c>
      <c r="ML1" t="str">
        <f ca="1">"push"</f>
        <v>push</v>
      </c>
      <c r="MM1">
        <f ca="1">1</f>
        <v>1</v>
      </c>
      <c r="MN1" t="str">
        <f ca="1">"add"</f>
        <v>add</v>
      </c>
      <c r="MO1" t="str">
        <f ca="1">""</f>
        <v/>
      </c>
      <c r="MP1" t="str">
        <f ca="1">"popv"</f>
        <v>popv</v>
      </c>
      <c r="MQ1" t="str">
        <f ca="1">"H"</f>
        <v>H</v>
      </c>
      <c r="MR1" t="str">
        <f ca="1">"store"</f>
        <v>store</v>
      </c>
      <c r="MS1" t="str">
        <f ca="1">"H"</f>
        <v>H</v>
      </c>
      <c r="MT1" t="str">
        <f ca="1">"goto"</f>
        <v>goto</v>
      </c>
      <c r="MU1">
        <f ca="1">166</f>
        <v>166</v>
      </c>
      <c r="MV1" t="str">
        <f ca="1">"popv"</f>
        <v>popv</v>
      </c>
      <c r="MW1" t="str">
        <f ca="1">"H"</f>
        <v>H</v>
      </c>
      <c r="MX1" t="str">
        <f ca="1">"load"</f>
        <v>load</v>
      </c>
      <c r="MY1">
        <f ca="1">3</f>
        <v>3</v>
      </c>
      <c r="MZ1" t="str">
        <f ca="1">"getheap"</f>
        <v>getheap</v>
      </c>
      <c r="NA1" t="str">
        <f ca="1">""</f>
        <v/>
      </c>
      <c r="NB1" t="str">
        <f ca="1">"call"</f>
        <v>call</v>
      </c>
      <c r="NC1" t="str">
        <f ca="1">""</f>
        <v/>
      </c>
      <c r="ND1" t="str">
        <f ca="1">"popv"</f>
        <v>popv</v>
      </c>
      <c r="NE1" t="str">
        <f ca="1">"H"</f>
        <v>H</v>
      </c>
      <c r="NF1" t="str">
        <f ca="1">"store"</f>
        <v>store</v>
      </c>
      <c r="NG1" t="str">
        <f ca="1">"H"</f>
        <v>H</v>
      </c>
      <c r="NH1" t="str">
        <f ca="1">"load"</f>
        <v>load</v>
      </c>
      <c r="NI1">
        <f ca="1">3</f>
        <v>3</v>
      </c>
      <c r="NJ1" t="str">
        <f ca="1">"push"</f>
        <v>push</v>
      </c>
      <c r="NK1">
        <f ca="1">1</f>
        <v>1</v>
      </c>
      <c r="NL1" t="str">
        <f ca="1">"add"</f>
        <v>add</v>
      </c>
      <c r="NM1" t="str">
        <f ca="1">""</f>
        <v/>
      </c>
      <c r="NN1" t="str">
        <f ca="1">"store"</f>
        <v>store</v>
      </c>
      <c r="NO1" t="str">
        <f ca="1">"H"</f>
        <v>H</v>
      </c>
      <c r="NP1" t="str">
        <f ca="1">"load"</f>
        <v>load</v>
      </c>
      <c r="NQ1">
        <f ca="1">3</f>
        <v>3</v>
      </c>
      <c r="NR1" t="str">
        <f ca="1">"getheap"</f>
        <v>getheap</v>
      </c>
      <c r="NS1" t="str">
        <f ca="1">""</f>
        <v/>
      </c>
      <c r="NT1" t="str">
        <f ca="1">"push"</f>
        <v>push</v>
      </c>
      <c r="NU1" t="str">
        <f ca="1">"endArr"</f>
        <v>endArr</v>
      </c>
      <c r="NV1" t="str">
        <f ca="1">"equals"</f>
        <v>equals</v>
      </c>
      <c r="NW1" t="str">
        <f ca="1">""</f>
        <v/>
      </c>
      <c r="NX1" t="str">
        <f ca="1">"gotoiftrue"</f>
        <v>gotoiftrue</v>
      </c>
      <c r="NY1">
        <f ca="1">202</f>
        <v>202</v>
      </c>
      <c r="NZ1" t="str">
        <f ca="1">"load"</f>
        <v>load</v>
      </c>
      <c r="OA1">
        <f ca="1">3</f>
        <v>3</v>
      </c>
      <c r="OB1" t="str">
        <f ca="1">"getheap"</f>
        <v>getheap</v>
      </c>
      <c r="OC1" t="str">
        <f ca="1">""</f>
        <v/>
      </c>
      <c r="OD1" t="str">
        <f ca="1">"load"</f>
        <v>load</v>
      </c>
      <c r="OE1">
        <f ca="1">3</f>
        <v>3</v>
      </c>
      <c r="OF1" t="str">
        <f ca="1">"push"</f>
        <v>push</v>
      </c>
      <c r="OG1">
        <f ca="1">1</f>
        <v>1</v>
      </c>
      <c r="OH1" t="str">
        <f ca="1">"add"</f>
        <v>add</v>
      </c>
      <c r="OI1" t="str">
        <f ca="1">""</f>
        <v/>
      </c>
      <c r="OJ1" t="str">
        <f ca="1">"popv"</f>
        <v>popv</v>
      </c>
      <c r="OK1" t="str">
        <f ca="1">"H"</f>
        <v>H</v>
      </c>
      <c r="OL1" t="str">
        <f ca="1">"store"</f>
        <v>store</v>
      </c>
      <c r="OM1" t="str">
        <f ca="1">"H"</f>
        <v>H</v>
      </c>
      <c r="ON1" t="str">
        <f ca="1">"goto"</f>
        <v>goto</v>
      </c>
      <c r="OO1">
        <f ca="1">189</f>
        <v>189</v>
      </c>
      <c r="OP1" t="str">
        <f ca="1">"popv"</f>
        <v>popv</v>
      </c>
      <c r="OQ1" t="str">
        <f ca="1">"H"</f>
        <v>H</v>
      </c>
      <c r="OR1" t="str">
        <f ca="1">"load"</f>
        <v>load</v>
      </c>
      <c r="OS1">
        <f ca="1">3</f>
        <v>3</v>
      </c>
      <c r="OT1" t="str">
        <f ca="1">"getheap"</f>
        <v>getheap</v>
      </c>
      <c r="OU1" t="str">
        <f ca="1">""</f>
        <v/>
      </c>
      <c r="OV1" t="str">
        <f ca="1">"call"</f>
        <v>call</v>
      </c>
      <c r="OW1" t="str">
        <f ca="1">""</f>
        <v/>
      </c>
      <c r="OX1" t="str">
        <f ca="1">"popv"</f>
        <v>popv</v>
      </c>
      <c r="OY1" t="str">
        <f ca="1">"H"</f>
        <v>H</v>
      </c>
      <c r="OZ1" t="str">
        <f ca="1">"popv"</f>
        <v>popv</v>
      </c>
      <c r="PA1" t="str">
        <f ca="1">"L"</f>
        <v>L</v>
      </c>
      <c r="PB1" t="str">
        <f ca="1">"popv"</f>
        <v>popv</v>
      </c>
      <c r="PC1" t="str">
        <f ca="1">"G"</f>
        <v>G</v>
      </c>
      <c r="PD1" t="str">
        <f ca="1">"popv"</f>
        <v>popv</v>
      </c>
      <c r="PE1" t="str">
        <f ca="1">"K"</f>
        <v>K</v>
      </c>
      <c r="PF1" t="str">
        <f ca="1">"return"</f>
        <v>return</v>
      </c>
      <c r="PG1" t="str">
        <f ca="1">""</f>
        <v/>
      </c>
      <c r="PH1" t="str">
        <f ca="1">"newheap"</f>
        <v>newheap</v>
      </c>
      <c r="PI1" t="str">
        <f ca="1">""</f>
        <v/>
      </c>
      <c r="PJ1" t="str">
        <f ca="1">"store"</f>
        <v>store</v>
      </c>
      <c r="PK1" t="str">
        <f ca="1">"J"</f>
        <v>J</v>
      </c>
      <c r="PL1" t="str">
        <f ca="1">"load"</f>
        <v>load</v>
      </c>
      <c r="PM1">
        <f ca="1">5</f>
        <v>5</v>
      </c>
      <c r="PN1" t="str">
        <f ca="1">"push"</f>
        <v>push</v>
      </c>
      <c r="PO1">
        <f ca="1">143</f>
        <v>143</v>
      </c>
      <c r="PP1" t="str">
        <f ca="1">"writeheap"</f>
        <v>writeheap</v>
      </c>
      <c r="PQ1" t="str">
        <f ca="1">""</f>
        <v/>
      </c>
      <c r="PR1" t="str">
        <f ca="1">"load"</f>
        <v>load</v>
      </c>
      <c r="PS1">
        <f ca="1">5</f>
        <v>5</v>
      </c>
      <c r="PT1" t="str">
        <f ca="1">"newheap"</f>
        <v>newheap</v>
      </c>
      <c r="PU1" t="str">
        <f ca="1">""</f>
        <v/>
      </c>
      <c r="PV1" t="str">
        <f ca="1">"push"</f>
        <v>push</v>
      </c>
      <c r="PW1" t="str">
        <f ca="1">"endArr"</f>
        <v>endArr</v>
      </c>
      <c r="PX1" t="str">
        <f ca="1">"writeheap"</f>
        <v>writeheap</v>
      </c>
      <c r="PY1" t="str">
        <f ca="1">""</f>
        <v/>
      </c>
      <c r="PZ1" t="str">
        <f ca="1">"pop"</f>
        <v>pop</v>
      </c>
      <c r="QA1" t="str">
        <f ca="1">""</f>
        <v/>
      </c>
      <c r="QB1" t="str">
        <f ca="1">"push"</f>
        <v>push</v>
      </c>
      <c r="QC1">
        <f ca="1">2</f>
        <v>2</v>
      </c>
      <c r="QD1" t="str">
        <f ca="1">"store"</f>
        <v>store</v>
      </c>
      <c r="QE1" t="str">
        <f ca="1">"H"</f>
        <v>H</v>
      </c>
      <c r="QF1" t="str">
        <f ca="1">"newheap"</f>
        <v>newheap</v>
      </c>
      <c r="QG1" t="str">
        <f ca="1">""</f>
        <v/>
      </c>
      <c r="QH1" t="str">
        <f ca="1">"load"</f>
        <v>load</v>
      </c>
      <c r="QI1">
        <f ca="1">3</f>
        <v>3</v>
      </c>
      <c r="QJ1" t="str">
        <f ca="1">"push"</f>
        <v>push</v>
      </c>
      <c r="QK1">
        <f ca="1">1</f>
        <v>1</v>
      </c>
      <c r="QL1" t="str">
        <f ca="1">"equals"</f>
        <v>equals</v>
      </c>
      <c r="QM1" t="str">
        <f ca="1">""</f>
        <v/>
      </c>
      <c r="QN1" t="str">
        <f ca="1">"gotoiftrue"</f>
        <v>gotoiftrue</v>
      </c>
      <c r="QO1">
        <f ca="1">236</f>
        <v>236</v>
      </c>
      <c r="QP1" t="str">
        <f ca="1">"newheap"</f>
        <v>newheap</v>
      </c>
      <c r="QQ1" t="str">
        <f ca="1">""</f>
        <v/>
      </c>
      <c r="QR1" t="str">
        <f ca="1">"pop"</f>
        <v>pop</v>
      </c>
      <c r="QS1" t="str">
        <f ca="1">""</f>
        <v/>
      </c>
      <c r="QT1" t="str">
        <f ca="1">"load"</f>
        <v>load</v>
      </c>
      <c r="QU1">
        <f ca="1">3</f>
        <v>3</v>
      </c>
      <c r="QV1" t="str">
        <f ca="1">"push"</f>
        <v>push</v>
      </c>
      <c r="QW1">
        <f ca="1">-1</f>
        <v>-1</v>
      </c>
      <c r="QX1" t="str">
        <f ca="1">"add"</f>
        <v>add</v>
      </c>
      <c r="QY1" t="str">
        <f ca="1">""</f>
        <v/>
      </c>
      <c r="QZ1" t="str">
        <f ca="1">"popv"</f>
        <v>popv</v>
      </c>
      <c r="RA1" t="str">
        <f ca="1">"H"</f>
        <v>H</v>
      </c>
      <c r="RB1" t="str">
        <f ca="1">"store"</f>
        <v>store</v>
      </c>
      <c r="RC1" t="str">
        <f ca="1">"H"</f>
        <v>H</v>
      </c>
      <c r="RD1" t="str">
        <f ca="1">"goto"</f>
        <v>goto</v>
      </c>
      <c r="RE1">
        <f ca="1">224</f>
        <v>224</v>
      </c>
      <c r="RF1" t="str">
        <f ca="1">"popv"</f>
        <v>popv</v>
      </c>
      <c r="RG1" t="str">
        <f ca="1">"H"</f>
        <v>H</v>
      </c>
      <c r="RH1" t="str">
        <f ca="1">"newheap"</f>
        <v>newheap</v>
      </c>
      <c r="RI1" t="str">
        <f ca="1">""</f>
        <v/>
      </c>
      <c r="RJ1" t="str">
        <f ca="1">"push"</f>
        <v>push</v>
      </c>
      <c r="RK1" t="str">
        <f ca="1">"endArr"</f>
        <v>endArr</v>
      </c>
      <c r="RL1" t="str">
        <f ca="1">"writeheap"</f>
        <v>writeheap</v>
      </c>
      <c r="RM1" t="str">
        <f ca="1">""</f>
        <v/>
      </c>
      <c r="RN1" t="str">
        <f ca="1">"store"</f>
        <v>store</v>
      </c>
      <c r="RO1" t="str">
        <f ca="1">"I"</f>
        <v>I</v>
      </c>
      <c r="RP1" t="str">
        <f ca="1">"push"</f>
        <v>push</v>
      </c>
      <c r="RQ1" t="str">
        <f ca="1">"()"</f>
        <v>()</v>
      </c>
      <c r="RR1" t="str">
        <f ca="1">"pop"</f>
        <v>pop</v>
      </c>
      <c r="RS1" t="str">
        <f ca="1">""</f>
        <v/>
      </c>
      <c r="RT1" t="str">
        <f ca="1">"load"</f>
        <v>load</v>
      </c>
      <c r="RU1">
        <f ca="1">4</f>
        <v>4</v>
      </c>
      <c r="RV1" t="str">
        <f ca="1">"push"</f>
        <v>push</v>
      </c>
      <c r="RW1">
        <f ca="1">0</f>
        <v>0</v>
      </c>
      <c r="RX1" t="str">
        <f ca="1">"add"</f>
        <v>add</v>
      </c>
      <c r="RY1" t="str">
        <f ca="1">""</f>
        <v/>
      </c>
      <c r="RZ1" t="str">
        <f ca="1">"load"</f>
        <v>load</v>
      </c>
      <c r="SA1">
        <f ca="1">5</f>
        <v>5</v>
      </c>
      <c r="SB1" t="str">
        <f ca="1">"push"</f>
        <v>push</v>
      </c>
      <c r="SC1">
        <f ca="1">0</f>
        <v>0</v>
      </c>
      <c r="SD1" t="str">
        <f ca="1">"add"</f>
        <v>add</v>
      </c>
      <c r="SE1" t="str">
        <f ca="1">""</f>
        <v/>
      </c>
      <c r="SF1" t="str">
        <f ca="1">"getheap"</f>
        <v>getheap</v>
      </c>
      <c r="SG1" t="str">
        <f ca="1">""</f>
        <v/>
      </c>
      <c r="SH1" t="str">
        <f ca="1">"writeheap"</f>
        <v>writeheap</v>
      </c>
      <c r="SI1" t="str">
        <f ca="1">""</f>
        <v/>
      </c>
      <c r="SJ1" t="str">
        <f ca="1">"push"</f>
        <v>push</v>
      </c>
      <c r="SK1" t="str">
        <f ca="1">"()"</f>
        <v>()</v>
      </c>
      <c r="SL1" t="str">
        <f ca="1">"pop"</f>
        <v>pop</v>
      </c>
      <c r="SM1" t="str">
        <f ca="1">""</f>
        <v/>
      </c>
      <c r="SN1" t="str">
        <f ca="1">"load"</f>
        <v>load</v>
      </c>
      <c r="SO1">
        <f ca="1">4</f>
        <v>4</v>
      </c>
      <c r="SP1" t="str">
        <f ca="1">"push"</f>
        <v>push</v>
      </c>
      <c r="SQ1">
        <f ca="1">1</f>
        <v>1</v>
      </c>
      <c r="SR1" t="str">
        <f ca="1">"add"</f>
        <v>add</v>
      </c>
      <c r="SS1" t="str">
        <f ca="1">""</f>
        <v/>
      </c>
      <c r="ST1" t="str">
        <f ca="1">"load"</f>
        <v>load</v>
      </c>
      <c r="SU1">
        <f ca="1">6</f>
        <v>6</v>
      </c>
      <c r="SV1" t="str">
        <f ca="1">"writeheap"</f>
        <v>writeheap</v>
      </c>
      <c r="SW1" t="str">
        <f ca="1">""</f>
        <v/>
      </c>
      <c r="SX1" t="str">
        <f ca="1">"push"</f>
        <v>push</v>
      </c>
      <c r="SY1" t="str">
        <f ca="1">"()"</f>
        <v>()</v>
      </c>
      <c r="SZ1" t="str">
        <f ca="1">"pop"</f>
        <v>pop</v>
      </c>
      <c r="TA1" t="str">
        <f ca="1">""</f>
        <v/>
      </c>
      <c r="TB1" t="str">
        <f ca="1">"load"</f>
        <v>load</v>
      </c>
      <c r="TC1">
        <f ca="1">4</f>
        <v>4</v>
      </c>
      <c r="TD1" t="str">
        <f ca="1">"popv"</f>
        <v>popv</v>
      </c>
      <c r="TE1" t="str">
        <f ca="1">"I"</f>
        <v>I</v>
      </c>
      <c r="TF1" t="str">
        <f ca="1">"load"</f>
        <v>load</v>
      </c>
      <c r="TG1">
        <f ca="1">6</f>
        <v>6</v>
      </c>
      <c r="TH1" t="str">
        <f ca="1">"store"</f>
        <v>store</v>
      </c>
      <c r="TI1" t="str">
        <f ca="1">"H"</f>
        <v>H</v>
      </c>
      <c r="TJ1" t="str">
        <f ca="1">"load"</f>
        <v>load</v>
      </c>
      <c r="TK1">
        <f ca="1">3</f>
        <v>3</v>
      </c>
      <c r="TL1" t="str">
        <f ca="1">"push"</f>
        <v>push</v>
      </c>
      <c r="TM1">
        <f ca="1">1</f>
        <v>1</v>
      </c>
      <c r="TN1" t="str">
        <f ca="1">"add"</f>
        <v>add</v>
      </c>
      <c r="TO1" t="str">
        <f ca="1">""</f>
        <v/>
      </c>
      <c r="TP1" t="str">
        <f ca="1">"store"</f>
        <v>store</v>
      </c>
      <c r="TQ1" t="str">
        <f ca="1">"H"</f>
        <v>H</v>
      </c>
      <c r="TR1" t="str">
        <f ca="1">"load"</f>
        <v>load</v>
      </c>
      <c r="TS1">
        <f ca="1">3</f>
        <v>3</v>
      </c>
      <c r="TT1" t="str">
        <f ca="1">"getheap"</f>
        <v>getheap</v>
      </c>
      <c r="TU1" t="str">
        <f ca="1">""</f>
        <v/>
      </c>
      <c r="TV1" t="str">
        <f ca="1">"push"</f>
        <v>push</v>
      </c>
      <c r="TW1" t="str">
        <f ca="1">"endArr"</f>
        <v>endArr</v>
      </c>
      <c r="TX1" t="str">
        <f ca="1">"equals"</f>
        <v>equals</v>
      </c>
      <c r="TY1" t="str">
        <f ca="1">""</f>
        <v/>
      </c>
      <c r="TZ1" t="str">
        <f ca="1">"gotoiftrue"</f>
        <v>gotoiftrue</v>
      </c>
      <c r="UA1">
        <f ca="1">281</f>
        <v>281</v>
      </c>
      <c r="UB1" t="str">
        <f ca="1">"load"</f>
        <v>load</v>
      </c>
      <c r="UC1">
        <f ca="1">3</f>
        <v>3</v>
      </c>
      <c r="UD1" t="str">
        <f ca="1">"getheap"</f>
        <v>getheap</v>
      </c>
      <c r="UE1" t="str">
        <f ca="1">""</f>
        <v/>
      </c>
      <c r="UF1" t="str">
        <f ca="1">"load"</f>
        <v>load</v>
      </c>
      <c r="UG1">
        <f ca="1">3</f>
        <v>3</v>
      </c>
      <c r="UH1" t="str">
        <f ca="1">"push"</f>
        <v>push</v>
      </c>
      <c r="UI1">
        <f ca="1">1</f>
        <v>1</v>
      </c>
      <c r="UJ1" t="str">
        <f ca="1">"add"</f>
        <v>add</v>
      </c>
      <c r="UK1" t="str">
        <f ca="1">""</f>
        <v/>
      </c>
      <c r="UL1" t="str">
        <f ca="1">"popv"</f>
        <v>popv</v>
      </c>
      <c r="UM1" t="str">
        <f ca="1">"H"</f>
        <v>H</v>
      </c>
      <c r="UN1" t="str">
        <f ca="1">"store"</f>
        <v>store</v>
      </c>
      <c r="UO1" t="str">
        <f ca="1">"H"</f>
        <v>H</v>
      </c>
      <c r="UP1" t="str">
        <f ca="1">"goto"</f>
        <v>goto</v>
      </c>
      <c r="UQ1">
        <f ca="1">268</f>
        <v>268</v>
      </c>
      <c r="UR1" t="str">
        <f ca="1">"popv"</f>
        <v>popv</v>
      </c>
      <c r="US1" t="str">
        <f ca="1">"H"</f>
        <v>H</v>
      </c>
      <c r="UT1" t="str">
        <f ca="1">"load"</f>
        <v>load</v>
      </c>
      <c r="UU1">
        <f ca="1">3</f>
        <v>3</v>
      </c>
      <c r="UV1" t="str">
        <f ca="1">"getheap"</f>
        <v>getheap</v>
      </c>
      <c r="UW1" t="str">
        <f ca="1">""</f>
        <v/>
      </c>
      <c r="UX1" t="str">
        <f ca="1">"call"</f>
        <v>call</v>
      </c>
      <c r="UY1" t="str">
        <f ca="1">""</f>
        <v/>
      </c>
      <c r="UZ1" t="str">
        <f ca="1">"popv"</f>
        <v>popv</v>
      </c>
      <c r="VA1" t="str">
        <f ca="1">"H"</f>
        <v>H</v>
      </c>
      <c r="VB1" t="str">
        <f ca="1">"popv"</f>
        <v>popv</v>
      </c>
      <c r="VC1" t="str">
        <f ca="1">"K"</f>
        <v>K</v>
      </c>
      <c r="VD1" t="str">
        <f ca="1">"goto"</f>
        <v>goto</v>
      </c>
      <c r="VE1">
        <f ca="1">287</f>
        <v>287</v>
      </c>
    </row>
    <row r="2" spans="1:577" x14ac:dyDescent="0.25">
      <c r="A2" t="e">
        <f ca="1">IF((INDEX(A4:A403,A3))=(""),0,INDEX(A4:A403,A3))</f>
        <v>#VALUE!</v>
      </c>
      <c r="B2" t="e">
        <f ca="1">IF((INDEX(B4:B403,B3))=(""),0,INDEX(B4:B403,B3))</f>
        <v>#VALUE!</v>
      </c>
      <c r="C2" t="e">
        <f ca="1">IF((INDEX(C4:C403,C3))=(""),0,INDEX(C4:C403,C3))</f>
        <v>#VALUE!</v>
      </c>
      <c r="D2" t="e">
        <f ca="1">IF((INDEX(D4:D23,D3))=(""),0,INDEX(D4:D23,D3))</f>
        <v>#VALUE!</v>
      </c>
      <c r="E2" t="e">
        <f t="shared" ref="E2:AD2" ca="1" si="0">IF((INDEX(E4:E403,E3))=(""),0,INDEX(E4:E403,E3))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577" x14ac:dyDescent="0.25">
      <c r="A3" t="e">
        <f ca="1">IF((A1)=(2),1,(A3)+(IF(("call")=(INDEX(B1:XFD1,((A2)+(1))+(0))),1,IF(("return")=(INDEX(B1:XFD1,((A2)+(1))+(0))),-1,0))))</f>
        <v>#VALUE!</v>
      </c>
      <c r="B3" t="e">
        <f ca="1">IF((A1)=(2),1,(B3)+(IF(("push")=(INDEX(B1:XFD1,((A2)+(1))+(0))),1,IF(("pop")=(INDEX(B1:XFD1,((A2)+(1))+(0))),-1,IF(("load")=(INDEX(B1:XFD1,((A2)+(1))+(0))),1,IF(("store")=(INDEX(B1:XFD1,((A2)+(1))+(0))),-1,IF(("call")=(INDEX(B1:XFD1,((A2)+(1))+(0))),-1,IF(("newheap")=(INDEX(B1:XFD1,((A2)+(1))+(0))),1,IF(("writeheap")=(INDEX(B1:XFD1,((A2)+(1))+(0))),-2,IF(("inputline")=(INDEX(B1:XFD1,((A2)+(1))+(0))),1,IF(("outputline")=(INDEX(B1:XFD1,((A2)+(1))+(0))),-1,IF(("gotoiftrue")=(INDEX(B1:XFD1,((A2)+(1))+(0))),-1,IF(("add")=(INDEX(B1:XFD1,((A2)+(1))+(0))),-1,IF(("equals")=(INDEX(B1:XFD1,((A2)+(1))+(0))),-1,IF(("leq")=(INDEX(B1:XFD1,((A2)+(1))+(0))),-1,IF(("greater")=(INDEX(B1:XFD1,((A2)+(1))+(0))),-1,IF(("mod")=(INDEX(B1:XFD1,((A2)+(1))+(0))),-1,0)))))))))))))))))</f>
        <v>#VALUE!</v>
      </c>
      <c r="C3" t="e">
        <f ca="1">IF((A1)=(2),1,(C3)+(IF(("newheap")=(INDEX(B1:XFD1,((A2)+(1))+(0))),1,0)))</f>
        <v>#VALUE!</v>
      </c>
      <c r="D3" t="e">
        <f ca="1">IF((A1)=(2),1,(D3)+(IF(("inputline")=(INDEX(B1:XFD1,((A2)+(1))+(0))),1,0)))</f>
        <v>#VALUE!</v>
      </c>
      <c r="E3" t="e">
        <f ca="1">IF((A1)=(2),1,(E3)+(IF(("outputline")=(INDEX(B1:XFD1,((A2)+(1))+(0))),1,0)))</f>
        <v>#VALUE!</v>
      </c>
      <c r="F3" t="e">
        <f ca="1">IF((A1)=(2),1,(F3)+(IF(IF((INDEX(B1:XFD1,((A2)+(1))+(0)))=("store"),(INDEX(B1:XFD1,((A2)+(1))+(1)))=("F"),"false"),1,IF(IF((INDEX(B1:XFD1,((A2)+(1))+(0)))=("popv"),(INDEX(B1:XFD1,((A2)+(1))+(1)))=("F"),"false"),-1,0))))</f>
        <v>#VALUE!</v>
      </c>
      <c r="G3" t="e">
        <f ca="1">IF((A1)=(2),1,(G3)+(IF(IF((INDEX(B1:XFD1,((A2)+(1))+(0)))=("store"),(INDEX(B1:XFD1,((A2)+(1))+(1)))=("G"),"false"),1,IF(IF((INDEX(B1:XFD1,((A2)+(1))+(0)))=("popv"),(INDEX(B1:XFD1,((A2)+(1))+(1)))=("G"),"false"),-1,0))))</f>
        <v>#VALUE!</v>
      </c>
      <c r="H3" t="e">
        <f ca="1">IF((A1)=(2),1,(H3)+(IF(IF((INDEX(B1:XFD1,((A2)+(1))+(0)))=("store"),(INDEX(B1:XFD1,((A2)+(1))+(1)))=("H"),"false"),1,IF(IF((INDEX(B1:XFD1,((A2)+(1))+(0)))=("popv"),(INDEX(B1:XFD1,((A2)+(1))+(1)))=("H"),"false"),-1,0))))</f>
        <v>#VALUE!</v>
      </c>
      <c r="I3" t="e">
        <f ca="1">IF((A1)=(2),1,(I3)+(IF(IF((INDEX(B1:XFD1,((A2)+(1))+(0)))=("store"),(INDEX(B1:XFD1,((A2)+(1))+(1)))=("I"),"false"),1,IF(IF((INDEX(B1:XFD1,((A2)+(1))+(0)))=("popv"),(INDEX(B1:XFD1,((A2)+(1))+(1)))=("I"),"false"),-1,0))))</f>
        <v>#VALUE!</v>
      </c>
      <c r="J3" t="e">
        <f ca="1">IF((A1)=(2),1,(J3)+(IF(IF((INDEX(B1:XFD1,((A2)+(1))+(0)))=("store"),(INDEX(B1:XFD1,((A2)+(1))+(1)))=("J"),"false"),1,IF(IF((INDEX(B1:XFD1,((A2)+(1))+(0)))=("popv"),(INDEX(B1:XFD1,((A2)+(1))+(1)))=("J"),"false"),-1,0))))</f>
        <v>#VALUE!</v>
      </c>
      <c r="K3" t="e">
        <f ca="1">IF((A1)=(2),1,(K3)+(IF(IF((INDEX(B1:XFD1,((A2)+(1))+(0)))=("store"),(INDEX(B1:XFD1,((A2)+(1))+(1)))=("K"),"false"),1,IF(IF((INDEX(B1:XFD1,((A2)+(1))+(0)))=("popv"),(INDEX(B1:XFD1,((A2)+(1))+(1)))=("K"),"false"),-1,0))))</f>
        <v>#VALUE!</v>
      </c>
      <c r="L3" t="e">
        <f ca="1">IF((A1)=(2),1,(L3)+(IF(IF((INDEX(B1:XFD1,((A2)+(1))+(0)))=("store"),(INDEX(B1:XFD1,((A2)+(1))+(1)))=("L"),"false"),1,IF(IF((INDEX(B1:XFD1,((A2)+(1))+(0)))=("popv"),(INDEX(B1:XFD1,((A2)+(1))+(1)))=("L"),"false"),-1,0))))</f>
        <v>#VALUE!</v>
      </c>
      <c r="M3" t="e">
        <f ca="1">IF((A1)=(2),1,(M3)+(IF(IF((INDEX(B1:XFD1,((A2)+(1))+(0)))=("store"),(INDEX(B1:XFD1,((A2)+(1))+(1)))=("M"),"false"),1,IF(IF((INDEX(B1:XFD1,((A2)+(1))+(0)))=("popv"),(INDEX(B1:XFD1,((A2)+(1))+(1)))=("M"),"false"),-1,0))))</f>
        <v>#VALUE!</v>
      </c>
      <c r="N3" t="e">
        <f ca="1">IF((A1)=(2),1,(N3)+(IF(IF((INDEX(B1:XFD1,((A2)+(1))+(0)))=("store"),(INDEX(B1:XFD1,((A2)+(1))+(1)))=("N"),"false"),1,IF(IF((INDEX(B1:XFD1,((A2)+(1))+(0)))=("popv"),(INDEX(B1:XFD1,((A2)+(1))+(1)))=("N"),"false"),-1,0))))</f>
        <v>#VALUE!</v>
      </c>
      <c r="O3" t="e">
        <f ca="1">IF((A1)=(2),1,(O3)+(IF(IF((INDEX(B1:XFD1,((A2)+(1))+(0)))=("store"),(INDEX(B1:XFD1,((A2)+(1))+(1)))=("O"),"false"),1,IF(IF((INDEX(B1:XFD1,((A2)+(1))+(0)))=("popv"),(INDEX(B1:XFD1,((A2)+(1))+(1)))=("O"),"false"),-1,0))))</f>
        <v>#VALUE!</v>
      </c>
      <c r="P3" t="e">
        <f ca="1">IF((A1)=(2),1,(P3)+(IF(IF((INDEX(B1:XFD1,((A2)+(1))+(0)))=("store"),(INDEX(B1:XFD1,((A2)+(1))+(1)))=("P"),"false"),1,IF(IF((INDEX(B1:XFD1,((A2)+(1))+(0)))=("popv"),(INDEX(B1:XFD1,((A2)+(1))+(1)))=("P"),"false"),-1,0))))</f>
        <v>#VALUE!</v>
      </c>
      <c r="Q3" t="e">
        <f ca="1">IF((A1)=(2),1,(Q3)+(IF(IF((INDEX(B1:XFD1,((A2)+(1))+(0)))=("store"),(INDEX(B1:XFD1,((A2)+(1))+(1)))=("Q"),"false"),1,IF(IF((INDEX(B1:XFD1,((A2)+(1))+(0)))=("popv"),(INDEX(B1:XFD1,((A2)+(1))+(1)))=("Q"),"false"),-1,0))))</f>
        <v>#VALUE!</v>
      </c>
      <c r="R3" t="e">
        <f ca="1">IF((A1)=(2),1,(R3)+(IF(IF((INDEX(B1:XFD1,((A2)+(1))+(0)))=("store"),(INDEX(B1:XFD1,((A2)+(1))+(1)))=("R"),"false"),1,IF(IF((INDEX(B1:XFD1,((A2)+(1))+(0)))=("popv"),(INDEX(B1:XFD1,((A2)+(1))+(1)))=("R"),"false"),-1,0))))</f>
        <v>#VALUE!</v>
      </c>
      <c r="S3" t="e">
        <f ca="1">IF((A1)=(2),1,(S3)+(IF(IF((INDEX(B1:XFD1,((A2)+(1))+(0)))=("store"),(INDEX(B1:XFD1,((A2)+(1))+(1)))=("S"),"false"),1,IF(IF((INDEX(B1:XFD1,((A2)+(1))+(0)))=("popv"),(INDEX(B1:XFD1,((A2)+(1))+(1)))=("S"),"false"),-1,0))))</f>
        <v>#VALUE!</v>
      </c>
      <c r="T3" t="e">
        <f ca="1">IF((A1)=(2),1,(T3)+(IF(IF((INDEX(B1:XFD1,((A2)+(1))+(0)))=("store"),(INDEX(B1:XFD1,((A2)+(1))+(1)))=("T"),"false"),1,IF(IF((INDEX(B1:XFD1,((A2)+(1))+(0)))=("popv"),(INDEX(B1:XFD1,((A2)+(1))+(1)))=("T"),"false"),-1,0))))</f>
        <v>#VALUE!</v>
      </c>
      <c r="U3" t="e">
        <f ca="1">IF((A1)=(2),1,(U3)+(IF(IF((INDEX(B1:XFD1,((A2)+(1))+(0)))=("store"),(INDEX(B1:XFD1,((A2)+(1))+(1)))=("U"),"false"),1,IF(IF((INDEX(B1:XFD1,((A2)+(1))+(0)))=("popv"),(INDEX(B1:XFD1,((A2)+(1))+(1)))=("U"),"false"),-1,0))))</f>
        <v>#VALUE!</v>
      </c>
      <c r="V3" t="e">
        <f ca="1">IF((A1)=(2),1,(V3)+(IF(IF((INDEX(B1:XFD1,((A2)+(1))+(0)))=("store"),(INDEX(B1:XFD1,((A2)+(1))+(1)))=("V"),"false"),1,IF(IF((INDEX(B1:XFD1,((A2)+(1))+(0)))=("popv"),(INDEX(B1:XFD1,((A2)+(1))+(1)))=("V"),"false"),-1,0))))</f>
        <v>#VALUE!</v>
      </c>
      <c r="W3" t="e">
        <f ca="1">IF((A1)=(2),1,(W3)+(IF(IF((INDEX(B1:XFD1,((A2)+(1))+(0)))=("store"),(INDEX(B1:XFD1,((A2)+(1))+(1)))=("W"),"false"),1,IF(IF((INDEX(B1:XFD1,((A2)+(1))+(0)))=("popv"),(INDEX(B1:XFD1,((A2)+(1))+(1)))=("W"),"false"),-1,0))))</f>
        <v>#VALUE!</v>
      </c>
      <c r="X3" t="e">
        <f ca="1">IF((A1)=(2),1,(X3)+(IF(IF((INDEX(B1:XFD1,((A2)+(1))+(0)))=("store"),(INDEX(B1:XFD1,((A2)+(1))+(1)))=("X"),"false"),1,IF(IF((INDEX(B1:XFD1,((A2)+(1))+(0)))=("popv"),(INDEX(B1:XFD1,((A2)+(1))+(1)))=("X"),"false"),-1,0))))</f>
        <v>#VALUE!</v>
      </c>
      <c r="Y3" t="e">
        <f ca="1">IF((A1)=(2),1,(Y3)+(IF(IF((INDEX(B1:XFD1,((A2)+(1))+(0)))=("store"),(INDEX(B1:XFD1,((A2)+(1))+(1)))=("Y"),"false"),1,IF(IF((INDEX(B1:XFD1,((A2)+(1))+(0)))=("popv"),(INDEX(B1:XFD1,((A2)+(1))+(1)))=("Y"),"false"),-1,0))))</f>
        <v>#VALUE!</v>
      </c>
      <c r="Z3" t="e">
        <f ca="1">IF((A1)=(2),1,(Z3)+(IF(IF((INDEX(B1:XFD1,((A2)+(1))+(0)))=("store"),(INDEX(B1:XFD1,((A2)+(1))+(1)))=("Z"),"false"),1,IF(IF((INDEX(B1:XFD1,((A2)+(1))+(0)))=("popv"),(INDEX(B1:XFD1,((A2)+(1))+(1)))=("Z"),"false"),-1,0))))</f>
        <v>#VALUE!</v>
      </c>
      <c r="AA3" t="e">
        <f ca="1">IF((A1)=(2),1,(AA3)+(IF(IF((INDEX(B1:XFD1,((A2)+(1))+(0)))=("store"),(INDEX(B1:XFD1,((A2)+(1))+(1)))=("AA"),"false"),1,IF(IF((INDEX(B1:XFD1,((A2)+(1))+(0)))=("popv"),(INDEX(B1:XFD1,((A2)+(1))+(1)))=("AA"),"false"),-1,0))))</f>
        <v>#VALUE!</v>
      </c>
      <c r="AB3" t="e">
        <f ca="1">IF((A1)=(2),1,(AB3)+(IF(IF((INDEX(B1:XFD1,((A2)+(1))+(0)))=("store"),(INDEX(B1:XFD1,((A2)+(1))+(1)))=("AB"),"false"),1,IF(IF((INDEX(B1:XFD1,((A2)+(1))+(0)))=("popv"),(INDEX(B1:XFD1,((A2)+(1))+(1)))=("AB"),"false"),-1,0))))</f>
        <v>#VALUE!</v>
      </c>
      <c r="AC3" t="e">
        <f ca="1">IF((A1)=(2),1,(AC3)+(IF(IF((INDEX(B1:XFD1,((A2)+(1))+(0)))=("store"),(INDEX(B1:XFD1,((A2)+(1))+(1)))=("AC"),"false"),1,IF(IF((INDEX(B1:XFD1,((A2)+(1))+(0)))=("popv"),(INDEX(B1:XFD1,((A2)+(1))+(1)))=("AC"),"false"),-1,0))))</f>
        <v>#VALUE!</v>
      </c>
      <c r="AD3" t="e">
        <f ca="1">IF((A1)=(2),1,(AD3)+(IF(IF((INDEX(B1:XFD1,((A2)+(1))+(0)))=("store"),(INDEX(B1:XFD1,((A2)+(1))+(1)))=("AD"),"false"),1,IF(IF((INDEX(B1:XFD1,((A2)+(1))+(0)))=("popv"),(INDEX(B1:XFD1,((A2)+(1))+(1)))=("AD"),"false"),-1,0))))</f>
        <v>#VALUE!</v>
      </c>
    </row>
    <row r="4" spans="1:577" x14ac:dyDescent="0.25">
      <c r="A4" t="e">
        <f ca="1">IF((A1)=(2),"",IF((1)=(A3),IF(("call")=(INDEX(B1:XFD1,((A2)+(1))+(0))),(B2)*(2),IF(("goto")=(INDEX(B1:XFD1,((A2)+(1))+(0))),(INDEX(B1:XFD1,((A2)+(1))+(1)))*(2),IF(("gotoiftrue")=(INDEX(B1:XFD1,((A2)+(1))+(0))),IF(B2,(INDEX(B1:XFD1,((A2)+(1))+(1)))*(2),(A4)+(2)),(A4)+(2)))),A4))</f>
        <v>#VALUE!</v>
      </c>
      <c r="B4" t="e">
        <f ca="1">IF((A1)=(2),"",IF((1)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4)+(1)),IF(("add")=(INDEX(B1:XFD1,((A2)+(1))+(0))),(INDEX(B4:B404,(B3)+(1)))+(B4),IF(("equals")=(INDEX(B1:XFD1,((A2)+(1))+(0))),(INDEX(B4:B404,(B3)+(1)))=(B4),IF(("leq")=(INDEX(B1:XFD1,((A2)+(1))+(0))),(INDEX(B4:B404,(B3)+(1)))&lt;=(B4),IF(("greater")=(INDEX(B1:XFD1,((A2)+(1))+(0))),(INDEX(B4:B404,(B3)+(1)))&gt;(B4),IF(("mod")=(INDEX(B1:XFD1,((A2)+(1))+(0))),MOD(INDEX(B4:B404,(B3)+(1)),B4),B4))))))))),B4))</f>
        <v>#VALUE!</v>
      </c>
      <c r="C4" t="e">
        <f ca="1">IF((A1)=(2),1,IF(AND((INDEX(B1:XFD1,((A2)+(1))+(0)))=("writeheap"),(INDEX(B4:B404,(B3)+(1)))=(0)),INDEX(B4:B404,(B3)+(2)),IF((A1)=(2),"",IF((1)=(C3),C4,C4))))</f>
        <v>#VALUE!</v>
      </c>
      <c r="D4" t="e">
        <f ca="1">IF((A1)=(2),"",IF((1)=(D3),D4,D4))</f>
        <v>#VALUE!</v>
      </c>
      <c r="E4" t="e">
        <f ca="1">IF((A1)=(2),"",IF((1)=(E3),IF(("outputline")=(INDEX(B1:XFD1,((A2)+(1))+(0))),B2,E4),E4))</f>
        <v>#VALUE!</v>
      </c>
      <c r="F4" t="e">
        <f ca="1">IF((A1)=(2),"",IF((1)=(F3),IF(IF((INDEX(B1:XFD1,((A2)+(1))+(0)))=("store"),(INDEX(B1:XFD1,((A2)+(1))+(1)))=("F"),"false"),B2,F4),F4))</f>
        <v>#VALUE!</v>
      </c>
      <c r="G4" t="e">
        <f ca="1">IF((A1)=(2),"",IF((1)=(G3),IF(IF((INDEX(B1:XFD1,((A2)+(1))+(0)))=("store"),(INDEX(B1:XFD1,((A2)+(1))+(1)))=("G"),"false"),B2,G4),G4))</f>
        <v>#VALUE!</v>
      </c>
      <c r="H4" t="e">
        <f ca="1">IF((A1)=(2),"",IF((1)=(H3),IF(IF((INDEX(B1:XFD1,((A2)+(1))+(0)))=("store"),(INDEX(B1:XFD1,((A2)+(1))+(1)))=("H"),"false"),B2,H4),H4))</f>
        <v>#VALUE!</v>
      </c>
      <c r="I4" t="e">
        <f ca="1">IF((A1)=(2),"",IF((1)=(I3),IF(IF((INDEX(B1:XFD1,((A2)+(1))+(0)))=("store"),(INDEX(B1:XFD1,((A2)+(1))+(1)))=("I"),"false"),B2,I4),I4))</f>
        <v>#VALUE!</v>
      </c>
      <c r="J4" t="e">
        <f ca="1">IF((A1)=(2),"",IF((1)=(J3),IF(IF((INDEX(B1:XFD1,((A2)+(1))+(0)))=("store"),(INDEX(B1:XFD1,((A2)+(1))+(1)))=("J"),"false"),B2,J4),J4))</f>
        <v>#VALUE!</v>
      </c>
      <c r="K4" t="e">
        <f ca="1">IF((A1)=(2),"",IF((1)=(K3),IF(IF((INDEX(B1:XFD1,((A2)+(1))+(0)))=("store"),(INDEX(B1:XFD1,((A2)+(1))+(1)))=("K"),"false"),B2,K4),K4))</f>
        <v>#VALUE!</v>
      </c>
      <c r="L4" t="e">
        <f ca="1">IF((A1)=(2),"",IF((1)=(L3),IF(IF((INDEX(B1:XFD1,((A2)+(1))+(0)))=("store"),(INDEX(B1:XFD1,((A2)+(1))+(1)))=("L"),"false"),B2,L4),L4))</f>
        <v>#VALUE!</v>
      </c>
      <c r="M4" t="e">
        <f ca="1">IF((A1)=(2),"",IF((1)=(M3),IF(IF((INDEX(B1:XFD1,((A2)+(1))+(0)))=("store"),(INDEX(B1:XFD1,((A2)+(1))+(1)))=("M"),"false"),B2,M4),M4))</f>
        <v>#VALUE!</v>
      </c>
      <c r="N4" t="e">
        <f ca="1">IF((A1)=(2),"",IF((1)=(N3),IF(IF((INDEX(B1:XFD1,((A2)+(1))+(0)))=("store"),(INDEX(B1:XFD1,((A2)+(1))+(1)))=("N"),"false"),B2,N4),N4))</f>
        <v>#VALUE!</v>
      </c>
      <c r="O4" t="e">
        <f ca="1">IF((A1)=(2),"",IF((1)=(O3),IF(IF((INDEX(B1:XFD1,((A2)+(1))+(0)))=("store"),(INDEX(B1:XFD1,((A2)+(1))+(1)))=("O"),"false"),B2,O4),O4))</f>
        <v>#VALUE!</v>
      </c>
      <c r="P4" t="e">
        <f ca="1">IF((A1)=(2),"",IF((1)=(P3),IF(IF((INDEX(B1:XFD1,((A2)+(1))+(0)))=("store"),(INDEX(B1:XFD1,((A2)+(1))+(1)))=("P"),"false"),B2,P4),P4))</f>
        <v>#VALUE!</v>
      </c>
      <c r="Q4" t="e">
        <f ca="1">IF((A1)=(2),"",IF((1)=(Q3),IF(IF((INDEX(B1:XFD1,((A2)+(1))+(0)))=("store"),(INDEX(B1:XFD1,((A2)+(1))+(1)))=("Q"),"false"),B2,Q4),Q4))</f>
        <v>#VALUE!</v>
      </c>
      <c r="R4" t="e">
        <f ca="1">IF((A1)=(2),"",IF((1)=(R3),IF(IF((INDEX(B1:XFD1,((A2)+(1))+(0)))=("store"),(INDEX(B1:XFD1,((A2)+(1))+(1)))=("R"),"false"),B2,R4),R4))</f>
        <v>#VALUE!</v>
      </c>
      <c r="S4" t="e">
        <f ca="1">IF((A1)=(2),"",IF((1)=(S3),IF(IF((INDEX(B1:XFD1,((A2)+(1))+(0)))=("store"),(INDEX(B1:XFD1,((A2)+(1))+(1)))=("S"),"false"),B2,S4),S4))</f>
        <v>#VALUE!</v>
      </c>
      <c r="T4" t="e">
        <f ca="1">IF((A1)=(2),"",IF((1)=(T3),IF(IF((INDEX(B1:XFD1,((A2)+(1))+(0)))=("store"),(INDEX(B1:XFD1,((A2)+(1))+(1)))=("T"),"false"),B2,T4),T4))</f>
        <v>#VALUE!</v>
      </c>
      <c r="U4" t="e">
        <f ca="1">IF((A1)=(2),"",IF((1)=(U3),IF(IF((INDEX(B1:XFD1,((A2)+(1))+(0)))=("store"),(INDEX(B1:XFD1,((A2)+(1))+(1)))=("U"),"false"),B2,U4),U4))</f>
        <v>#VALUE!</v>
      </c>
      <c r="V4" t="e">
        <f ca="1">IF((A1)=(2),"",IF((1)=(V3),IF(IF((INDEX(B1:XFD1,((A2)+(1))+(0)))=("store"),(INDEX(B1:XFD1,((A2)+(1))+(1)))=("V"),"false"),B2,V4),V4))</f>
        <v>#VALUE!</v>
      </c>
      <c r="W4" t="e">
        <f ca="1">IF((A1)=(2),"",IF((1)=(W3),IF(IF((INDEX(B1:XFD1,((A2)+(1))+(0)))=("store"),(INDEX(B1:XFD1,((A2)+(1))+(1)))=("W"),"false"),B2,W4),W4))</f>
        <v>#VALUE!</v>
      </c>
      <c r="X4" t="e">
        <f ca="1">IF((A1)=(2),"",IF((1)=(X3),IF(IF((INDEX(B1:XFD1,((A2)+(1))+(0)))=("store"),(INDEX(B1:XFD1,((A2)+(1))+(1)))=("X"),"false"),B2,X4),X4))</f>
        <v>#VALUE!</v>
      </c>
      <c r="Y4" t="e">
        <f ca="1">IF((A1)=(2),"",IF((1)=(Y3),IF(IF((INDEX(B1:XFD1,((A2)+(1))+(0)))=("store"),(INDEX(B1:XFD1,((A2)+(1))+(1)))=("Y"),"false"),B2,Y4),Y4))</f>
        <v>#VALUE!</v>
      </c>
      <c r="Z4" t="e">
        <f ca="1">IF((A1)=(2),"",IF((1)=(Z3),IF(IF((INDEX(B1:XFD1,((A2)+(1))+(0)))=("store"),(INDEX(B1:XFD1,((A2)+(1))+(1)))=("Z"),"false"),B2,Z4),Z4))</f>
        <v>#VALUE!</v>
      </c>
      <c r="AA4" t="e">
        <f ca="1">IF((A1)=(2),"",IF((1)=(AA3),IF(IF((INDEX(B1:XFD1,((A2)+(1))+(0)))=("store"),(INDEX(B1:XFD1,((A2)+(1))+(1)))=("AA"),"false"),B2,AA4),AA4))</f>
        <v>#VALUE!</v>
      </c>
      <c r="AB4" t="e">
        <f ca="1">IF((A1)=(2),"",IF((1)=(AB3),IF(IF((INDEX(B1:XFD1,((A2)+(1))+(0)))=("store"),(INDEX(B1:XFD1,((A2)+(1))+(1)))=("AB"),"false"),B2,AB4),AB4))</f>
        <v>#VALUE!</v>
      </c>
      <c r="AC4" t="e">
        <f ca="1">IF((A1)=(2),"",IF((1)=(AC3),IF(IF((INDEX(B1:XFD1,((A2)+(1))+(0)))=("store"),(INDEX(B1:XFD1,((A2)+(1))+(1)))=("AC"),"false"),B2,AC4),AC4))</f>
        <v>#VALUE!</v>
      </c>
      <c r="AD4" t="e">
        <f ca="1">IF((A1)=(2),"",IF((1)=(AD3),IF(IF((INDEX(B1:XFD1,((A2)+(1))+(0)))=("store"),(INDEX(B1:XFD1,((A2)+(1))+(1)))=("AD"),"false"),B2,AD4),AD4))</f>
        <v>#VALUE!</v>
      </c>
    </row>
    <row r="5" spans="1:577" x14ac:dyDescent="0.25">
      <c r="A5" t="e">
        <f ca="1">IF((A1)=(2),"",IF((2)=(A3),IF(("call")=(INDEX(B1:XFD1,((A2)+(1))+(0))),(B2)*(2),IF(("goto")=(INDEX(B1:XFD1,((A2)+(1))+(0))),(INDEX(B1:XFD1,((A2)+(1))+(1)))*(2),IF(("gotoiftrue")=(INDEX(B1:XFD1,((A2)+(1))+(0))),IF(B2,(INDEX(B1:XFD1,((A2)+(1))+(1)))*(2),(A5)+(2)),(A5)+(2)))),A5))</f>
        <v>#VALUE!</v>
      </c>
      <c r="B5" t="e">
        <f ca="1">IF((A1)=(2),"",IF((2)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5)+(1)),IF(("add")=(INDEX(B1:XFD1,((A2)+(1))+(0))),(INDEX(B4:B404,(B3)+(1)))+(B5),IF(("equals")=(INDEX(B1:XFD1,((A2)+(1))+(0))),(INDEX(B4:B404,(B3)+(1)))=(B5),IF(("leq")=(INDEX(B1:XFD1,((A2)+(1))+(0))),(INDEX(B4:B404,(B3)+(1)))&lt;=(B5),IF(("greater")=(INDEX(B1:XFD1,((A2)+(1))+(0))),(INDEX(B4:B404,(B3)+(1)))&gt;(B5),IF(("mod")=(INDEX(B1:XFD1,((A2)+(1))+(0))),MOD(INDEX(B4:B404,(B3)+(1)),B5),B5))))))))),B5))</f>
        <v>#VALUE!</v>
      </c>
      <c r="C5" t="e">
        <f ca="1">IF((A1)=(2),1,IF(AND((INDEX(B1:XFD1,((A2)+(1))+(0)))=("writeheap"),(INDEX(B4:B404,(B3)+(1)))=(1)),INDEX(B4:B404,(B3)+(2)),IF((A1)=(2),"",IF((2)=(C3),C5,C5))))</f>
        <v>#VALUE!</v>
      </c>
      <c r="D5" t="e">
        <f ca="1">IF((A1)=(2),"",IF((2)=(D3),D5,D5))</f>
        <v>#VALUE!</v>
      </c>
      <c r="E5" t="e">
        <f ca="1">IF((A1)=(2),"",IF((2)=(E3),IF(("outputline")=(INDEX(B1:XFD1,((A2)+(1))+(0))),B2,E5),E5))</f>
        <v>#VALUE!</v>
      </c>
      <c r="F5" t="e">
        <f ca="1">IF((A1)=(2),"",IF((2)=(F3),IF(IF((INDEX(B1:XFD1,((A2)+(1))+(0)))=("store"),(INDEX(B1:XFD1,((A2)+(1))+(1)))=("F"),"false"),B2,F5),F5))</f>
        <v>#VALUE!</v>
      </c>
      <c r="G5" t="e">
        <f ca="1">IF((A1)=(2),"",IF((2)=(G3),IF(IF((INDEX(B1:XFD1,((A2)+(1))+(0)))=("store"),(INDEX(B1:XFD1,((A2)+(1))+(1)))=("G"),"false"),B2,G5),G5))</f>
        <v>#VALUE!</v>
      </c>
      <c r="H5" t="e">
        <f ca="1">IF((A1)=(2),"",IF((2)=(H3),IF(IF((INDEX(B1:XFD1,((A2)+(1))+(0)))=("store"),(INDEX(B1:XFD1,((A2)+(1))+(1)))=("H"),"false"),B2,H5),H5))</f>
        <v>#VALUE!</v>
      </c>
      <c r="I5" t="e">
        <f ca="1">IF((A1)=(2),"",IF((2)=(I3),IF(IF((INDEX(B1:XFD1,((A2)+(1))+(0)))=("store"),(INDEX(B1:XFD1,((A2)+(1))+(1)))=("I"),"false"),B2,I5),I5))</f>
        <v>#VALUE!</v>
      </c>
      <c r="J5" t="e">
        <f ca="1">IF((A1)=(2),"",IF((2)=(J3),IF(IF((INDEX(B1:XFD1,((A2)+(1))+(0)))=("store"),(INDEX(B1:XFD1,((A2)+(1))+(1)))=("J"),"false"),B2,J5),J5))</f>
        <v>#VALUE!</v>
      </c>
      <c r="K5" t="e">
        <f ca="1">IF((A1)=(2),"",IF((2)=(K3),IF(IF((INDEX(B1:XFD1,((A2)+(1))+(0)))=("store"),(INDEX(B1:XFD1,((A2)+(1))+(1)))=("K"),"false"),B2,K5),K5))</f>
        <v>#VALUE!</v>
      </c>
      <c r="L5" t="e">
        <f ca="1">IF((A1)=(2),"",IF((2)=(L3),IF(IF((INDEX(B1:XFD1,((A2)+(1))+(0)))=("store"),(INDEX(B1:XFD1,((A2)+(1))+(1)))=("L"),"false"),B2,L5),L5))</f>
        <v>#VALUE!</v>
      </c>
      <c r="M5" t="e">
        <f ca="1">IF((A1)=(2),"",IF((2)=(M3),IF(IF((INDEX(B1:XFD1,((A2)+(1))+(0)))=("store"),(INDEX(B1:XFD1,((A2)+(1))+(1)))=("M"),"false"),B2,M5),M5))</f>
        <v>#VALUE!</v>
      </c>
      <c r="N5" t="e">
        <f ca="1">IF((A1)=(2),"",IF((2)=(N3),IF(IF((INDEX(B1:XFD1,((A2)+(1))+(0)))=("store"),(INDEX(B1:XFD1,((A2)+(1))+(1)))=("N"),"false"),B2,N5),N5))</f>
        <v>#VALUE!</v>
      </c>
      <c r="O5" t="e">
        <f ca="1">IF((A1)=(2),"",IF((2)=(O3),IF(IF((INDEX(B1:XFD1,((A2)+(1))+(0)))=("store"),(INDEX(B1:XFD1,((A2)+(1))+(1)))=("O"),"false"),B2,O5),O5))</f>
        <v>#VALUE!</v>
      </c>
      <c r="P5" t="e">
        <f ca="1">IF((A1)=(2),"",IF((2)=(P3),IF(IF((INDEX(B1:XFD1,((A2)+(1))+(0)))=("store"),(INDEX(B1:XFD1,((A2)+(1))+(1)))=("P"),"false"),B2,P5),P5))</f>
        <v>#VALUE!</v>
      </c>
      <c r="Q5" t="e">
        <f ca="1">IF((A1)=(2),"",IF((2)=(Q3),IF(IF((INDEX(B1:XFD1,((A2)+(1))+(0)))=("store"),(INDEX(B1:XFD1,((A2)+(1))+(1)))=("Q"),"false"),B2,Q5),Q5))</f>
        <v>#VALUE!</v>
      </c>
      <c r="R5" t="e">
        <f ca="1">IF((A1)=(2),"",IF((2)=(R3),IF(IF((INDEX(B1:XFD1,((A2)+(1))+(0)))=("store"),(INDEX(B1:XFD1,((A2)+(1))+(1)))=("R"),"false"),B2,R5),R5))</f>
        <v>#VALUE!</v>
      </c>
      <c r="S5" t="e">
        <f ca="1">IF((A1)=(2),"",IF((2)=(S3),IF(IF((INDEX(B1:XFD1,((A2)+(1))+(0)))=("store"),(INDEX(B1:XFD1,((A2)+(1))+(1)))=("S"),"false"),B2,S5),S5))</f>
        <v>#VALUE!</v>
      </c>
      <c r="T5" t="e">
        <f ca="1">IF((A1)=(2),"",IF((2)=(T3),IF(IF((INDEX(B1:XFD1,((A2)+(1))+(0)))=("store"),(INDEX(B1:XFD1,((A2)+(1))+(1)))=("T"),"false"),B2,T5),T5))</f>
        <v>#VALUE!</v>
      </c>
      <c r="U5" t="e">
        <f ca="1">IF((A1)=(2),"",IF((2)=(U3),IF(IF((INDEX(B1:XFD1,((A2)+(1))+(0)))=("store"),(INDEX(B1:XFD1,((A2)+(1))+(1)))=("U"),"false"),B2,U5),U5))</f>
        <v>#VALUE!</v>
      </c>
      <c r="V5" t="e">
        <f ca="1">IF((A1)=(2),"",IF((2)=(V3),IF(IF((INDEX(B1:XFD1,((A2)+(1))+(0)))=("store"),(INDEX(B1:XFD1,((A2)+(1))+(1)))=("V"),"false"),B2,V5),V5))</f>
        <v>#VALUE!</v>
      </c>
      <c r="W5" t="e">
        <f ca="1">IF((A1)=(2),"",IF((2)=(W3),IF(IF((INDEX(B1:XFD1,((A2)+(1))+(0)))=("store"),(INDEX(B1:XFD1,((A2)+(1))+(1)))=("W"),"false"),B2,W5),W5))</f>
        <v>#VALUE!</v>
      </c>
      <c r="X5" t="e">
        <f ca="1">IF((A1)=(2),"",IF((2)=(X3),IF(IF((INDEX(B1:XFD1,((A2)+(1))+(0)))=("store"),(INDEX(B1:XFD1,((A2)+(1))+(1)))=("X"),"false"),B2,X5),X5))</f>
        <v>#VALUE!</v>
      </c>
      <c r="Y5" t="e">
        <f ca="1">IF((A1)=(2),"",IF((2)=(Y3),IF(IF((INDEX(B1:XFD1,((A2)+(1))+(0)))=("store"),(INDEX(B1:XFD1,((A2)+(1))+(1)))=("Y"),"false"),B2,Y5),Y5))</f>
        <v>#VALUE!</v>
      </c>
      <c r="Z5" t="e">
        <f ca="1">IF((A1)=(2),"",IF((2)=(Z3),IF(IF((INDEX(B1:XFD1,((A2)+(1))+(0)))=("store"),(INDEX(B1:XFD1,((A2)+(1))+(1)))=("Z"),"false"),B2,Z5),Z5))</f>
        <v>#VALUE!</v>
      </c>
      <c r="AA5" t="e">
        <f ca="1">IF((A1)=(2),"",IF((2)=(AA3),IF(IF((INDEX(B1:XFD1,((A2)+(1))+(0)))=("store"),(INDEX(B1:XFD1,((A2)+(1))+(1)))=("AA"),"false"),B2,AA5),AA5))</f>
        <v>#VALUE!</v>
      </c>
      <c r="AB5" t="e">
        <f ca="1">IF((A1)=(2),"",IF((2)=(AB3),IF(IF((INDEX(B1:XFD1,((A2)+(1))+(0)))=("store"),(INDEX(B1:XFD1,((A2)+(1))+(1)))=("AB"),"false"),B2,AB5),AB5))</f>
        <v>#VALUE!</v>
      </c>
      <c r="AC5" t="e">
        <f ca="1">IF((A1)=(2),"",IF((2)=(AC3),IF(IF((INDEX(B1:XFD1,((A2)+(1))+(0)))=("store"),(INDEX(B1:XFD1,((A2)+(1))+(1)))=("AC"),"false"),B2,AC5),AC5))</f>
        <v>#VALUE!</v>
      </c>
      <c r="AD5" t="e">
        <f ca="1">IF((A1)=(2),"",IF((2)=(AD3),IF(IF((INDEX(B1:XFD1,((A2)+(1))+(0)))=("store"),(INDEX(B1:XFD1,((A2)+(1))+(1)))=("AD"),"false"),B2,AD5),AD5))</f>
        <v>#VALUE!</v>
      </c>
    </row>
    <row r="6" spans="1:577" x14ac:dyDescent="0.25">
      <c r="A6" t="e">
        <f ca="1">IF((A1)=(2),"",IF((3)=(A3),IF(("call")=(INDEX(B1:XFD1,((A2)+(1))+(0))),(B2)*(2),IF(("goto")=(INDEX(B1:XFD1,((A2)+(1))+(0))),(INDEX(B1:XFD1,((A2)+(1))+(1)))*(2),IF(("gotoiftrue")=(INDEX(B1:XFD1,((A2)+(1))+(0))),IF(B2,(INDEX(B1:XFD1,((A2)+(1))+(1)))*(2),(A6)+(2)),(A6)+(2)))),A6))</f>
        <v>#VALUE!</v>
      </c>
      <c r="B6" t="e">
        <f ca="1">IF((A1)=(2),"",IF((3)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6)+(1)),IF(("add")=(INDEX(B1:XFD1,((A2)+(1))+(0))),(INDEX(B4:B404,(B3)+(1)))+(B6),IF(("equals")=(INDEX(B1:XFD1,((A2)+(1))+(0))),(INDEX(B4:B404,(B3)+(1)))=(B6),IF(("leq")=(INDEX(B1:XFD1,((A2)+(1))+(0))),(INDEX(B4:B404,(B3)+(1)))&lt;=(B6),IF(("greater")=(INDEX(B1:XFD1,((A2)+(1))+(0))),(INDEX(B4:B404,(B3)+(1)))&gt;(B6),IF(("mod")=(INDEX(B1:XFD1,((A2)+(1))+(0))),MOD(INDEX(B4:B404,(B3)+(1)),B6),B6))))))))),B6))</f>
        <v>#VALUE!</v>
      </c>
      <c r="C6" t="e">
        <f ca="1">IF((A1)=(2),1,IF(AND((INDEX(B1:XFD1,((A2)+(1))+(0)))=("writeheap"),(INDEX(B4:B404,(B3)+(1)))=(2)),INDEX(B4:B404,(B3)+(2)),IF((A1)=(2),"",IF((3)=(C3),C6,C6))))</f>
        <v>#VALUE!</v>
      </c>
      <c r="D6" t="e">
        <f ca="1">IF((A1)=(2),"",IF((3)=(D3),D6,D6))</f>
        <v>#VALUE!</v>
      </c>
      <c r="E6" t="e">
        <f ca="1">IF((A1)=(2),"",IF((3)=(E3),IF(("outputline")=(INDEX(B1:XFD1,((A2)+(1))+(0))),B2,E6),E6))</f>
        <v>#VALUE!</v>
      </c>
      <c r="F6" t="e">
        <f ca="1">IF((A1)=(2),"",IF((3)=(F3),IF(IF((INDEX(B1:XFD1,((A2)+(1))+(0)))=("store"),(INDEX(B1:XFD1,((A2)+(1))+(1)))=("F"),"false"),B2,F6),F6))</f>
        <v>#VALUE!</v>
      </c>
      <c r="G6" t="e">
        <f ca="1">IF((A1)=(2),"",IF((3)=(G3),IF(IF((INDEX(B1:XFD1,((A2)+(1))+(0)))=("store"),(INDEX(B1:XFD1,((A2)+(1))+(1)))=("G"),"false"),B2,G6),G6))</f>
        <v>#VALUE!</v>
      </c>
      <c r="H6" t="e">
        <f ca="1">IF((A1)=(2),"",IF((3)=(H3),IF(IF((INDEX(B1:XFD1,((A2)+(1))+(0)))=("store"),(INDEX(B1:XFD1,((A2)+(1))+(1)))=("H"),"false"),B2,H6),H6))</f>
        <v>#VALUE!</v>
      </c>
      <c r="I6" t="e">
        <f ca="1">IF((A1)=(2),"",IF((3)=(I3),IF(IF((INDEX(B1:XFD1,((A2)+(1))+(0)))=("store"),(INDEX(B1:XFD1,((A2)+(1))+(1)))=("I"),"false"),B2,I6),I6))</f>
        <v>#VALUE!</v>
      </c>
      <c r="J6" t="e">
        <f ca="1">IF((A1)=(2),"",IF((3)=(J3),IF(IF((INDEX(B1:XFD1,((A2)+(1))+(0)))=("store"),(INDEX(B1:XFD1,((A2)+(1))+(1)))=("J"),"false"),B2,J6),J6))</f>
        <v>#VALUE!</v>
      </c>
      <c r="K6" t="e">
        <f ca="1">IF((A1)=(2),"",IF((3)=(K3),IF(IF((INDEX(B1:XFD1,((A2)+(1))+(0)))=("store"),(INDEX(B1:XFD1,((A2)+(1))+(1)))=("K"),"false"),B2,K6),K6))</f>
        <v>#VALUE!</v>
      </c>
      <c r="L6" t="e">
        <f ca="1">IF((A1)=(2),"",IF((3)=(L3),IF(IF((INDEX(B1:XFD1,((A2)+(1))+(0)))=("store"),(INDEX(B1:XFD1,((A2)+(1))+(1)))=("L"),"false"),B2,L6),L6))</f>
        <v>#VALUE!</v>
      </c>
      <c r="M6" t="e">
        <f ca="1">IF((A1)=(2),"",IF((3)=(M3),IF(IF((INDEX(B1:XFD1,((A2)+(1))+(0)))=("store"),(INDEX(B1:XFD1,((A2)+(1))+(1)))=("M"),"false"),B2,M6),M6))</f>
        <v>#VALUE!</v>
      </c>
      <c r="N6" t="e">
        <f ca="1">IF((A1)=(2),"",IF((3)=(N3),IF(IF((INDEX(B1:XFD1,((A2)+(1))+(0)))=("store"),(INDEX(B1:XFD1,((A2)+(1))+(1)))=("N"),"false"),B2,N6),N6))</f>
        <v>#VALUE!</v>
      </c>
      <c r="O6" t="e">
        <f ca="1">IF((A1)=(2),"",IF((3)=(O3),IF(IF((INDEX(B1:XFD1,((A2)+(1))+(0)))=("store"),(INDEX(B1:XFD1,((A2)+(1))+(1)))=("O"),"false"),B2,O6),O6))</f>
        <v>#VALUE!</v>
      </c>
      <c r="P6" t="e">
        <f ca="1">IF((A1)=(2),"",IF((3)=(P3),IF(IF((INDEX(B1:XFD1,((A2)+(1))+(0)))=("store"),(INDEX(B1:XFD1,((A2)+(1))+(1)))=("P"),"false"),B2,P6),P6))</f>
        <v>#VALUE!</v>
      </c>
      <c r="Q6" t="e">
        <f ca="1">IF((A1)=(2),"",IF((3)=(Q3),IF(IF((INDEX(B1:XFD1,((A2)+(1))+(0)))=("store"),(INDEX(B1:XFD1,((A2)+(1))+(1)))=("Q"),"false"),B2,Q6),Q6))</f>
        <v>#VALUE!</v>
      </c>
      <c r="R6" t="e">
        <f ca="1">IF((A1)=(2),"",IF((3)=(R3),IF(IF((INDEX(B1:XFD1,((A2)+(1))+(0)))=("store"),(INDEX(B1:XFD1,((A2)+(1))+(1)))=("R"),"false"),B2,R6),R6))</f>
        <v>#VALUE!</v>
      </c>
      <c r="S6" t="e">
        <f ca="1">IF((A1)=(2),"",IF((3)=(S3),IF(IF((INDEX(B1:XFD1,((A2)+(1))+(0)))=("store"),(INDEX(B1:XFD1,((A2)+(1))+(1)))=("S"),"false"),B2,S6),S6))</f>
        <v>#VALUE!</v>
      </c>
      <c r="T6" t="e">
        <f ca="1">IF((A1)=(2),"",IF((3)=(T3),IF(IF((INDEX(B1:XFD1,((A2)+(1))+(0)))=("store"),(INDEX(B1:XFD1,((A2)+(1))+(1)))=("T"),"false"),B2,T6),T6))</f>
        <v>#VALUE!</v>
      </c>
      <c r="U6" t="e">
        <f ca="1">IF((A1)=(2),"",IF((3)=(U3),IF(IF((INDEX(B1:XFD1,((A2)+(1))+(0)))=("store"),(INDEX(B1:XFD1,((A2)+(1))+(1)))=("U"),"false"),B2,U6),U6))</f>
        <v>#VALUE!</v>
      </c>
      <c r="V6" t="e">
        <f ca="1">IF((A1)=(2),"",IF((3)=(V3),IF(IF((INDEX(B1:XFD1,((A2)+(1))+(0)))=("store"),(INDEX(B1:XFD1,((A2)+(1))+(1)))=("V"),"false"),B2,V6),V6))</f>
        <v>#VALUE!</v>
      </c>
      <c r="W6" t="e">
        <f ca="1">IF((A1)=(2),"",IF((3)=(W3),IF(IF((INDEX(B1:XFD1,((A2)+(1))+(0)))=("store"),(INDEX(B1:XFD1,((A2)+(1))+(1)))=("W"),"false"),B2,W6),W6))</f>
        <v>#VALUE!</v>
      </c>
      <c r="X6" t="e">
        <f ca="1">IF((A1)=(2),"",IF((3)=(X3),IF(IF((INDEX(B1:XFD1,((A2)+(1))+(0)))=("store"),(INDEX(B1:XFD1,((A2)+(1))+(1)))=("X"),"false"),B2,X6),X6))</f>
        <v>#VALUE!</v>
      </c>
      <c r="Y6" t="e">
        <f ca="1">IF((A1)=(2),"",IF((3)=(Y3),IF(IF((INDEX(B1:XFD1,((A2)+(1))+(0)))=("store"),(INDEX(B1:XFD1,((A2)+(1))+(1)))=("Y"),"false"),B2,Y6),Y6))</f>
        <v>#VALUE!</v>
      </c>
      <c r="Z6" t="e">
        <f ca="1">IF((A1)=(2),"",IF((3)=(Z3),IF(IF((INDEX(B1:XFD1,((A2)+(1))+(0)))=("store"),(INDEX(B1:XFD1,((A2)+(1))+(1)))=("Z"),"false"),B2,Z6),Z6))</f>
        <v>#VALUE!</v>
      </c>
      <c r="AA6" t="e">
        <f ca="1">IF((A1)=(2),"",IF((3)=(AA3),IF(IF((INDEX(B1:XFD1,((A2)+(1))+(0)))=("store"),(INDEX(B1:XFD1,((A2)+(1))+(1)))=("AA"),"false"),B2,AA6),AA6))</f>
        <v>#VALUE!</v>
      </c>
      <c r="AB6" t="e">
        <f ca="1">IF((A1)=(2),"",IF((3)=(AB3),IF(IF((INDEX(B1:XFD1,((A2)+(1))+(0)))=("store"),(INDEX(B1:XFD1,((A2)+(1))+(1)))=("AB"),"false"),B2,AB6),AB6))</f>
        <v>#VALUE!</v>
      </c>
      <c r="AC6" t="e">
        <f ca="1">IF((A1)=(2),"",IF((3)=(AC3),IF(IF((INDEX(B1:XFD1,((A2)+(1))+(0)))=("store"),(INDEX(B1:XFD1,((A2)+(1))+(1)))=("AC"),"false"),B2,AC6),AC6))</f>
        <v>#VALUE!</v>
      </c>
      <c r="AD6" t="e">
        <f ca="1">IF((A1)=(2),"",IF((3)=(AD3),IF(IF((INDEX(B1:XFD1,((A2)+(1))+(0)))=("store"),(INDEX(B1:XFD1,((A2)+(1))+(1)))=("AD"),"false"),B2,AD6),AD6))</f>
        <v>#VALUE!</v>
      </c>
    </row>
    <row r="7" spans="1:577" x14ac:dyDescent="0.25">
      <c r="A7" t="e">
        <f ca="1">IF((A1)=(2),"",IF((4)=(A3),IF(("call")=(INDEX(B1:XFD1,((A2)+(1))+(0))),(B2)*(2),IF(("goto")=(INDEX(B1:XFD1,((A2)+(1))+(0))),(INDEX(B1:XFD1,((A2)+(1))+(1)))*(2),IF(("gotoiftrue")=(INDEX(B1:XFD1,((A2)+(1))+(0))),IF(B2,(INDEX(B1:XFD1,((A2)+(1))+(1)))*(2),(A7)+(2)),(A7)+(2)))),A7))</f>
        <v>#VALUE!</v>
      </c>
      <c r="B7" t="e">
        <f ca="1">IF((A1)=(2),"",IF((4)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7)+(1)),IF(("add")=(INDEX(B1:XFD1,((A2)+(1))+(0))),(INDEX(B4:B404,(B3)+(1)))+(B7),IF(("equals")=(INDEX(B1:XFD1,((A2)+(1))+(0))),(INDEX(B4:B404,(B3)+(1)))=(B7),IF(("leq")=(INDEX(B1:XFD1,((A2)+(1))+(0))),(INDEX(B4:B404,(B3)+(1)))&lt;=(B7),IF(("greater")=(INDEX(B1:XFD1,((A2)+(1))+(0))),(INDEX(B4:B404,(B3)+(1)))&gt;(B7),IF(("mod")=(INDEX(B1:XFD1,((A2)+(1))+(0))),MOD(INDEX(B4:B404,(B3)+(1)),B7),B7))))))))),B7))</f>
        <v>#VALUE!</v>
      </c>
      <c r="C7" t="e">
        <f ca="1">IF((A1)=(2),1,IF(AND((INDEX(B1:XFD1,((A2)+(1))+(0)))=("writeheap"),(INDEX(B4:B404,(B3)+(1)))=(3)),INDEX(B4:B404,(B3)+(2)),IF((A1)=(2),"",IF((4)=(C3),C7,C7))))</f>
        <v>#VALUE!</v>
      </c>
      <c r="D7" t="e">
        <f ca="1">IF((A1)=(2),"",IF((4)=(D3),D7,D7))</f>
        <v>#VALUE!</v>
      </c>
      <c r="E7" t="e">
        <f ca="1">IF((A1)=(2),"",IF((4)=(E3),IF(("outputline")=(INDEX(B1:XFD1,((A2)+(1))+(0))),B2,E7),E7))</f>
        <v>#VALUE!</v>
      </c>
      <c r="F7" t="e">
        <f ca="1">IF((A1)=(2),"",IF((4)=(F3),IF(IF((INDEX(B1:XFD1,((A2)+(1))+(0)))=("store"),(INDEX(B1:XFD1,((A2)+(1))+(1)))=("F"),"false"),B2,F7),F7))</f>
        <v>#VALUE!</v>
      </c>
      <c r="G7" t="e">
        <f ca="1">IF((A1)=(2),"",IF((4)=(G3),IF(IF((INDEX(B1:XFD1,((A2)+(1))+(0)))=("store"),(INDEX(B1:XFD1,((A2)+(1))+(1)))=("G"),"false"),B2,G7),G7))</f>
        <v>#VALUE!</v>
      </c>
      <c r="H7" t="e">
        <f ca="1">IF((A1)=(2),"",IF((4)=(H3),IF(IF((INDEX(B1:XFD1,((A2)+(1))+(0)))=("store"),(INDEX(B1:XFD1,((A2)+(1))+(1)))=("H"),"false"),B2,H7),H7))</f>
        <v>#VALUE!</v>
      </c>
      <c r="I7" t="e">
        <f ca="1">IF((A1)=(2),"",IF((4)=(I3),IF(IF((INDEX(B1:XFD1,((A2)+(1))+(0)))=("store"),(INDEX(B1:XFD1,((A2)+(1))+(1)))=("I"),"false"),B2,I7),I7))</f>
        <v>#VALUE!</v>
      </c>
      <c r="J7" t="e">
        <f ca="1">IF((A1)=(2),"",IF((4)=(J3),IF(IF((INDEX(B1:XFD1,((A2)+(1))+(0)))=("store"),(INDEX(B1:XFD1,((A2)+(1))+(1)))=("J"),"false"),B2,J7),J7))</f>
        <v>#VALUE!</v>
      </c>
      <c r="K7" t="e">
        <f ca="1">IF((A1)=(2),"",IF((4)=(K3),IF(IF((INDEX(B1:XFD1,((A2)+(1))+(0)))=("store"),(INDEX(B1:XFD1,((A2)+(1))+(1)))=("K"),"false"),B2,K7),K7))</f>
        <v>#VALUE!</v>
      </c>
      <c r="L7" t="e">
        <f ca="1">IF((A1)=(2),"",IF((4)=(L3),IF(IF((INDEX(B1:XFD1,((A2)+(1))+(0)))=("store"),(INDEX(B1:XFD1,((A2)+(1))+(1)))=("L"),"false"),B2,L7),L7))</f>
        <v>#VALUE!</v>
      </c>
      <c r="M7" t="e">
        <f ca="1">IF((A1)=(2),"",IF((4)=(M3),IF(IF((INDEX(B1:XFD1,((A2)+(1))+(0)))=("store"),(INDEX(B1:XFD1,((A2)+(1))+(1)))=("M"),"false"),B2,M7),M7))</f>
        <v>#VALUE!</v>
      </c>
      <c r="N7" t="e">
        <f ca="1">IF((A1)=(2),"",IF((4)=(N3),IF(IF((INDEX(B1:XFD1,((A2)+(1))+(0)))=("store"),(INDEX(B1:XFD1,((A2)+(1))+(1)))=("N"),"false"),B2,N7),N7))</f>
        <v>#VALUE!</v>
      </c>
      <c r="O7" t="e">
        <f ca="1">IF((A1)=(2),"",IF((4)=(O3),IF(IF((INDEX(B1:XFD1,((A2)+(1))+(0)))=("store"),(INDEX(B1:XFD1,((A2)+(1))+(1)))=("O"),"false"),B2,O7),O7))</f>
        <v>#VALUE!</v>
      </c>
      <c r="P7" t="e">
        <f ca="1">IF((A1)=(2),"",IF((4)=(P3),IF(IF((INDEX(B1:XFD1,((A2)+(1))+(0)))=("store"),(INDEX(B1:XFD1,((A2)+(1))+(1)))=("P"),"false"),B2,P7),P7))</f>
        <v>#VALUE!</v>
      </c>
      <c r="Q7" t="e">
        <f ca="1">IF((A1)=(2),"",IF((4)=(Q3),IF(IF((INDEX(B1:XFD1,((A2)+(1))+(0)))=("store"),(INDEX(B1:XFD1,((A2)+(1))+(1)))=("Q"),"false"),B2,Q7),Q7))</f>
        <v>#VALUE!</v>
      </c>
      <c r="R7" t="e">
        <f ca="1">IF((A1)=(2),"",IF((4)=(R3),IF(IF((INDEX(B1:XFD1,((A2)+(1))+(0)))=("store"),(INDEX(B1:XFD1,((A2)+(1))+(1)))=("R"),"false"),B2,R7),R7))</f>
        <v>#VALUE!</v>
      </c>
      <c r="S7" t="e">
        <f ca="1">IF((A1)=(2),"",IF((4)=(S3),IF(IF((INDEX(B1:XFD1,((A2)+(1))+(0)))=("store"),(INDEX(B1:XFD1,((A2)+(1))+(1)))=("S"),"false"),B2,S7),S7))</f>
        <v>#VALUE!</v>
      </c>
      <c r="T7" t="e">
        <f ca="1">IF((A1)=(2),"",IF((4)=(T3),IF(IF((INDEX(B1:XFD1,((A2)+(1))+(0)))=("store"),(INDEX(B1:XFD1,((A2)+(1))+(1)))=("T"),"false"),B2,T7),T7))</f>
        <v>#VALUE!</v>
      </c>
      <c r="U7" t="e">
        <f ca="1">IF((A1)=(2),"",IF((4)=(U3),IF(IF((INDEX(B1:XFD1,((A2)+(1))+(0)))=("store"),(INDEX(B1:XFD1,((A2)+(1))+(1)))=("U"),"false"),B2,U7),U7))</f>
        <v>#VALUE!</v>
      </c>
      <c r="V7" t="e">
        <f ca="1">IF((A1)=(2),"",IF((4)=(V3),IF(IF((INDEX(B1:XFD1,((A2)+(1))+(0)))=("store"),(INDEX(B1:XFD1,((A2)+(1))+(1)))=("V"),"false"),B2,V7),V7))</f>
        <v>#VALUE!</v>
      </c>
      <c r="W7" t="e">
        <f ca="1">IF((A1)=(2),"",IF((4)=(W3),IF(IF((INDEX(B1:XFD1,((A2)+(1))+(0)))=("store"),(INDEX(B1:XFD1,((A2)+(1))+(1)))=("W"),"false"),B2,W7),W7))</f>
        <v>#VALUE!</v>
      </c>
      <c r="X7" t="e">
        <f ca="1">IF((A1)=(2),"",IF((4)=(X3),IF(IF((INDEX(B1:XFD1,((A2)+(1))+(0)))=("store"),(INDEX(B1:XFD1,((A2)+(1))+(1)))=("X"),"false"),B2,X7),X7))</f>
        <v>#VALUE!</v>
      </c>
      <c r="Y7" t="e">
        <f ca="1">IF((A1)=(2),"",IF((4)=(Y3),IF(IF((INDEX(B1:XFD1,((A2)+(1))+(0)))=("store"),(INDEX(B1:XFD1,((A2)+(1))+(1)))=("Y"),"false"),B2,Y7),Y7))</f>
        <v>#VALUE!</v>
      </c>
      <c r="Z7" t="e">
        <f ca="1">IF((A1)=(2),"",IF((4)=(Z3),IF(IF((INDEX(B1:XFD1,((A2)+(1))+(0)))=("store"),(INDEX(B1:XFD1,((A2)+(1))+(1)))=("Z"),"false"),B2,Z7),Z7))</f>
        <v>#VALUE!</v>
      </c>
      <c r="AA7" t="e">
        <f ca="1">IF((A1)=(2),"",IF((4)=(AA3),IF(IF((INDEX(B1:XFD1,((A2)+(1))+(0)))=("store"),(INDEX(B1:XFD1,((A2)+(1))+(1)))=("AA"),"false"),B2,AA7),AA7))</f>
        <v>#VALUE!</v>
      </c>
      <c r="AB7" t="e">
        <f ca="1">IF((A1)=(2),"",IF((4)=(AB3),IF(IF((INDEX(B1:XFD1,((A2)+(1))+(0)))=("store"),(INDEX(B1:XFD1,((A2)+(1))+(1)))=("AB"),"false"),B2,AB7),AB7))</f>
        <v>#VALUE!</v>
      </c>
      <c r="AC7" t="e">
        <f ca="1">IF((A1)=(2),"",IF((4)=(AC3),IF(IF((INDEX(B1:XFD1,((A2)+(1))+(0)))=("store"),(INDEX(B1:XFD1,((A2)+(1))+(1)))=("AC"),"false"),B2,AC7),AC7))</f>
        <v>#VALUE!</v>
      </c>
      <c r="AD7" t="e">
        <f ca="1">IF((A1)=(2),"",IF((4)=(AD3),IF(IF((INDEX(B1:XFD1,((A2)+(1))+(0)))=("store"),(INDEX(B1:XFD1,((A2)+(1))+(1)))=("AD"),"false"),B2,AD7),AD7))</f>
        <v>#VALUE!</v>
      </c>
    </row>
    <row r="8" spans="1:577" x14ac:dyDescent="0.25">
      <c r="A8" t="e">
        <f ca="1">IF((A1)=(2),"",IF((5)=(A3),IF(("call")=(INDEX(B1:XFD1,((A2)+(1))+(0))),(B2)*(2),IF(("goto")=(INDEX(B1:XFD1,((A2)+(1))+(0))),(INDEX(B1:XFD1,((A2)+(1))+(1)))*(2),IF(("gotoiftrue")=(INDEX(B1:XFD1,((A2)+(1))+(0))),IF(B2,(INDEX(B1:XFD1,((A2)+(1))+(1)))*(2),(A8)+(2)),(A8)+(2)))),A8))</f>
        <v>#VALUE!</v>
      </c>
      <c r="B8" t="e">
        <f ca="1">IF((A1)=(2),"",IF((5)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8)+(1)),IF(("add")=(INDEX(B1:XFD1,((A2)+(1))+(0))),(INDEX(B4:B404,(B3)+(1)))+(B8),IF(("equals")=(INDEX(B1:XFD1,((A2)+(1))+(0))),(INDEX(B4:B404,(B3)+(1)))=(B8),IF(("leq")=(INDEX(B1:XFD1,((A2)+(1))+(0))),(INDEX(B4:B404,(B3)+(1)))&lt;=(B8),IF(("greater")=(INDEX(B1:XFD1,((A2)+(1))+(0))),(INDEX(B4:B404,(B3)+(1)))&gt;(B8),IF(("mod")=(INDEX(B1:XFD1,((A2)+(1))+(0))),MOD(INDEX(B4:B404,(B3)+(1)),B8),B8))))))))),B8))</f>
        <v>#VALUE!</v>
      </c>
      <c r="C8" t="e">
        <f ca="1">IF((A1)=(2),1,IF(AND((INDEX(B1:XFD1,((A2)+(1))+(0)))=("writeheap"),(INDEX(B4:B404,(B3)+(1)))=(4)),INDEX(B4:B404,(B3)+(2)),IF((A1)=(2),"",IF((5)=(C3),C8,C8))))</f>
        <v>#VALUE!</v>
      </c>
      <c r="D8" t="e">
        <f ca="1">IF((A1)=(2),"",IF((5)=(D3),D8,D8))</f>
        <v>#VALUE!</v>
      </c>
      <c r="E8" t="e">
        <f ca="1">IF((A1)=(2),"",IF((5)=(E3),IF(("outputline")=(INDEX(B1:XFD1,((A2)+(1))+(0))),B2,E8),E8))</f>
        <v>#VALUE!</v>
      </c>
      <c r="F8" t="e">
        <f ca="1">IF((A1)=(2),"",IF((5)=(F3),IF(IF((INDEX(B1:XFD1,((A2)+(1))+(0)))=("store"),(INDEX(B1:XFD1,((A2)+(1))+(1)))=("F"),"false"),B2,F8),F8))</f>
        <v>#VALUE!</v>
      </c>
      <c r="G8" t="e">
        <f ca="1">IF((A1)=(2),"",IF((5)=(G3),IF(IF((INDEX(B1:XFD1,((A2)+(1))+(0)))=("store"),(INDEX(B1:XFD1,((A2)+(1))+(1)))=("G"),"false"),B2,G8),G8))</f>
        <v>#VALUE!</v>
      </c>
      <c r="H8" t="e">
        <f ca="1">IF((A1)=(2),"",IF((5)=(H3),IF(IF((INDEX(B1:XFD1,((A2)+(1))+(0)))=("store"),(INDEX(B1:XFD1,((A2)+(1))+(1)))=("H"),"false"),B2,H8),H8))</f>
        <v>#VALUE!</v>
      </c>
      <c r="I8" t="e">
        <f ca="1">IF((A1)=(2),"",IF((5)=(I3),IF(IF((INDEX(B1:XFD1,((A2)+(1))+(0)))=("store"),(INDEX(B1:XFD1,((A2)+(1))+(1)))=("I"),"false"),B2,I8),I8))</f>
        <v>#VALUE!</v>
      </c>
      <c r="J8" t="e">
        <f ca="1">IF((A1)=(2),"",IF((5)=(J3),IF(IF((INDEX(B1:XFD1,((A2)+(1))+(0)))=("store"),(INDEX(B1:XFD1,((A2)+(1))+(1)))=("J"),"false"),B2,J8),J8))</f>
        <v>#VALUE!</v>
      </c>
      <c r="K8" t="e">
        <f ca="1">IF((A1)=(2),"",IF((5)=(K3),IF(IF((INDEX(B1:XFD1,((A2)+(1))+(0)))=("store"),(INDEX(B1:XFD1,((A2)+(1))+(1)))=("K"),"false"),B2,K8),K8))</f>
        <v>#VALUE!</v>
      </c>
      <c r="L8" t="e">
        <f ca="1">IF((A1)=(2),"",IF((5)=(L3),IF(IF((INDEX(B1:XFD1,((A2)+(1))+(0)))=("store"),(INDEX(B1:XFD1,((A2)+(1))+(1)))=("L"),"false"),B2,L8),L8))</f>
        <v>#VALUE!</v>
      </c>
      <c r="M8" t="e">
        <f ca="1">IF((A1)=(2),"",IF((5)=(M3),IF(IF((INDEX(B1:XFD1,((A2)+(1))+(0)))=("store"),(INDEX(B1:XFD1,((A2)+(1))+(1)))=("M"),"false"),B2,M8),M8))</f>
        <v>#VALUE!</v>
      </c>
      <c r="N8" t="e">
        <f ca="1">IF((A1)=(2),"",IF((5)=(N3),IF(IF((INDEX(B1:XFD1,((A2)+(1))+(0)))=("store"),(INDEX(B1:XFD1,((A2)+(1))+(1)))=("N"),"false"),B2,N8),N8))</f>
        <v>#VALUE!</v>
      </c>
      <c r="O8" t="e">
        <f ca="1">IF((A1)=(2),"",IF((5)=(O3),IF(IF((INDEX(B1:XFD1,((A2)+(1))+(0)))=("store"),(INDEX(B1:XFD1,((A2)+(1))+(1)))=("O"),"false"),B2,O8),O8))</f>
        <v>#VALUE!</v>
      </c>
      <c r="P8" t="e">
        <f ca="1">IF((A1)=(2),"",IF((5)=(P3),IF(IF((INDEX(B1:XFD1,((A2)+(1))+(0)))=("store"),(INDEX(B1:XFD1,((A2)+(1))+(1)))=("P"),"false"),B2,P8),P8))</f>
        <v>#VALUE!</v>
      </c>
      <c r="Q8" t="e">
        <f ca="1">IF((A1)=(2),"",IF((5)=(Q3),IF(IF((INDEX(B1:XFD1,((A2)+(1))+(0)))=("store"),(INDEX(B1:XFD1,((A2)+(1))+(1)))=("Q"),"false"),B2,Q8),Q8))</f>
        <v>#VALUE!</v>
      </c>
      <c r="R8" t="e">
        <f ca="1">IF((A1)=(2),"",IF((5)=(R3),IF(IF((INDEX(B1:XFD1,((A2)+(1))+(0)))=("store"),(INDEX(B1:XFD1,((A2)+(1))+(1)))=("R"),"false"),B2,R8),R8))</f>
        <v>#VALUE!</v>
      </c>
      <c r="S8" t="e">
        <f ca="1">IF((A1)=(2),"",IF((5)=(S3),IF(IF((INDEX(B1:XFD1,((A2)+(1))+(0)))=("store"),(INDEX(B1:XFD1,((A2)+(1))+(1)))=("S"),"false"),B2,S8),S8))</f>
        <v>#VALUE!</v>
      </c>
      <c r="T8" t="e">
        <f ca="1">IF((A1)=(2),"",IF((5)=(T3),IF(IF((INDEX(B1:XFD1,((A2)+(1))+(0)))=("store"),(INDEX(B1:XFD1,((A2)+(1))+(1)))=("T"),"false"),B2,T8),T8))</f>
        <v>#VALUE!</v>
      </c>
      <c r="U8" t="e">
        <f ca="1">IF((A1)=(2),"",IF((5)=(U3),IF(IF((INDEX(B1:XFD1,((A2)+(1))+(0)))=("store"),(INDEX(B1:XFD1,((A2)+(1))+(1)))=("U"),"false"),B2,U8),U8))</f>
        <v>#VALUE!</v>
      </c>
      <c r="V8" t="e">
        <f ca="1">IF((A1)=(2),"",IF((5)=(V3),IF(IF((INDEX(B1:XFD1,((A2)+(1))+(0)))=("store"),(INDEX(B1:XFD1,((A2)+(1))+(1)))=("V"),"false"),B2,V8),V8))</f>
        <v>#VALUE!</v>
      </c>
      <c r="W8" t="e">
        <f ca="1">IF((A1)=(2),"",IF((5)=(W3),IF(IF((INDEX(B1:XFD1,((A2)+(1))+(0)))=("store"),(INDEX(B1:XFD1,((A2)+(1))+(1)))=("W"),"false"),B2,W8),W8))</f>
        <v>#VALUE!</v>
      </c>
      <c r="X8" t="e">
        <f ca="1">IF((A1)=(2),"",IF((5)=(X3),IF(IF((INDEX(B1:XFD1,((A2)+(1))+(0)))=("store"),(INDEX(B1:XFD1,((A2)+(1))+(1)))=("X"),"false"),B2,X8),X8))</f>
        <v>#VALUE!</v>
      </c>
      <c r="Y8" t="e">
        <f ca="1">IF((A1)=(2),"",IF((5)=(Y3),IF(IF((INDEX(B1:XFD1,((A2)+(1))+(0)))=("store"),(INDEX(B1:XFD1,((A2)+(1))+(1)))=("Y"),"false"),B2,Y8),Y8))</f>
        <v>#VALUE!</v>
      </c>
      <c r="Z8" t="e">
        <f ca="1">IF((A1)=(2),"",IF((5)=(Z3),IF(IF((INDEX(B1:XFD1,((A2)+(1))+(0)))=("store"),(INDEX(B1:XFD1,((A2)+(1))+(1)))=("Z"),"false"),B2,Z8),Z8))</f>
        <v>#VALUE!</v>
      </c>
      <c r="AA8" t="e">
        <f ca="1">IF((A1)=(2),"",IF((5)=(AA3),IF(IF((INDEX(B1:XFD1,((A2)+(1))+(0)))=("store"),(INDEX(B1:XFD1,((A2)+(1))+(1)))=("AA"),"false"),B2,AA8),AA8))</f>
        <v>#VALUE!</v>
      </c>
      <c r="AB8" t="e">
        <f ca="1">IF((A1)=(2),"",IF((5)=(AB3),IF(IF((INDEX(B1:XFD1,((A2)+(1))+(0)))=("store"),(INDEX(B1:XFD1,((A2)+(1))+(1)))=("AB"),"false"),B2,AB8),AB8))</f>
        <v>#VALUE!</v>
      </c>
      <c r="AC8" t="e">
        <f ca="1">IF((A1)=(2),"",IF((5)=(AC3),IF(IF((INDEX(B1:XFD1,((A2)+(1))+(0)))=("store"),(INDEX(B1:XFD1,((A2)+(1))+(1)))=("AC"),"false"),B2,AC8),AC8))</f>
        <v>#VALUE!</v>
      </c>
      <c r="AD8" t="e">
        <f ca="1">IF((A1)=(2),"",IF((5)=(AD3),IF(IF((INDEX(B1:XFD1,((A2)+(1))+(0)))=("store"),(INDEX(B1:XFD1,((A2)+(1))+(1)))=("AD"),"false"),B2,AD8),AD8))</f>
        <v>#VALUE!</v>
      </c>
    </row>
    <row r="9" spans="1:577" x14ac:dyDescent="0.25">
      <c r="A9" t="e">
        <f ca="1">IF((A1)=(2),"",IF((6)=(A3),IF(("call")=(INDEX(B1:XFD1,((A2)+(1))+(0))),(B2)*(2),IF(("goto")=(INDEX(B1:XFD1,((A2)+(1))+(0))),(INDEX(B1:XFD1,((A2)+(1))+(1)))*(2),IF(("gotoiftrue")=(INDEX(B1:XFD1,((A2)+(1))+(0))),IF(B2,(INDEX(B1:XFD1,((A2)+(1))+(1)))*(2),(A9)+(2)),(A9)+(2)))),A9))</f>
        <v>#VALUE!</v>
      </c>
      <c r="B9" t="e">
        <f ca="1">IF((A1)=(2),"",IF((6)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9)+(1)),IF(("add")=(INDEX(B1:XFD1,((A2)+(1))+(0))),(INDEX(B4:B404,(B3)+(1)))+(B9),IF(("equals")=(INDEX(B1:XFD1,((A2)+(1))+(0))),(INDEX(B4:B404,(B3)+(1)))=(B9),IF(("leq")=(INDEX(B1:XFD1,((A2)+(1))+(0))),(INDEX(B4:B404,(B3)+(1)))&lt;=(B9),IF(("greater")=(INDEX(B1:XFD1,((A2)+(1))+(0))),(INDEX(B4:B404,(B3)+(1)))&gt;(B9),IF(("mod")=(INDEX(B1:XFD1,((A2)+(1))+(0))),MOD(INDEX(B4:B404,(B3)+(1)),B9),B9))))))))),B9))</f>
        <v>#VALUE!</v>
      </c>
      <c r="C9" t="e">
        <f ca="1">IF((A1)=(2),1,IF(AND((INDEX(B1:XFD1,((A2)+(1))+(0)))=("writeheap"),(INDEX(B4:B404,(B3)+(1)))=(5)),INDEX(B4:B404,(B3)+(2)),IF((A1)=(2),"",IF((6)=(C3),C9,C9))))</f>
        <v>#VALUE!</v>
      </c>
      <c r="D9" t="e">
        <f ca="1">IF((A1)=(2),"",IF((6)=(D3),D9,D9))</f>
        <v>#VALUE!</v>
      </c>
      <c r="E9" t="e">
        <f ca="1">IF((A1)=(2),"",IF((6)=(E3),IF(("outputline")=(INDEX(B1:XFD1,((A2)+(1))+(0))),B2,E9),E9))</f>
        <v>#VALUE!</v>
      </c>
      <c r="F9" t="e">
        <f ca="1">IF((A1)=(2),"",IF((6)=(F3),IF(IF((INDEX(B1:XFD1,((A2)+(1))+(0)))=("store"),(INDEX(B1:XFD1,((A2)+(1))+(1)))=("F"),"false"),B2,F9),F9))</f>
        <v>#VALUE!</v>
      </c>
      <c r="G9" t="e">
        <f ca="1">IF((A1)=(2),"",IF((6)=(G3),IF(IF((INDEX(B1:XFD1,((A2)+(1))+(0)))=("store"),(INDEX(B1:XFD1,((A2)+(1))+(1)))=("G"),"false"),B2,G9),G9))</f>
        <v>#VALUE!</v>
      </c>
      <c r="H9" t="e">
        <f ca="1">IF((A1)=(2),"",IF((6)=(H3),IF(IF((INDEX(B1:XFD1,((A2)+(1))+(0)))=("store"),(INDEX(B1:XFD1,((A2)+(1))+(1)))=("H"),"false"),B2,H9),H9))</f>
        <v>#VALUE!</v>
      </c>
      <c r="I9" t="e">
        <f ca="1">IF((A1)=(2),"",IF((6)=(I3),IF(IF((INDEX(B1:XFD1,((A2)+(1))+(0)))=("store"),(INDEX(B1:XFD1,((A2)+(1))+(1)))=("I"),"false"),B2,I9),I9))</f>
        <v>#VALUE!</v>
      </c>
      <c r="J9" t="e">
        <f ca="1">IF((A1)=(2),"",IF((6)=(J3),IF(IF((INDEX(B1:XFD1,((A2)+(1))+(0)))=("store"),(INDEX(B1:XFD1,((A2)+(1))+(1)))=("J"),"false"),B2,J9),J9))</f>
        <v>#VALUE!</v>
      </c>
      <c r="K9" t="e">
        <f ca="1">IF((A1)=(2),"",IF((6)=(K3),IF(IF((INDEX(B1:XFD1,((A2)+(1))+(0)))=("store"),(INDEX(B1:XFD1,((A2)+(1))+(1)))=("K"),"false"),B2,K9),K9))</f>
        <v>#VALUE!</v>
      </c>
      <c r="L9" t="e">
        <f ca="1">IF((A1)=(2),"",IF((6)=(L3),IF(IF((INDEX(B1:XFD1,((A2)+(1))+(0)))=("store"),(INDEX(B1:XFD1,((A2)+(1))+(1)))=("L"),"false"),B2,L9),L9))</f>
        <v>#VALUE!</v>
      </c>
      <c r="M9" t="e">
        <f ca="1">IF((A1)=(2),"",IF((6)=(M3),IF(IF((INDEX(B1:XFD1,((A2)+(1))+(0)))=("store"),(INDEX(B1:XFD1,((A2)+(1))+(1)))=("M"),"false"),B2,M9),M9))</f>
        <v>#VALUE!</v>
      </c>
      <c r="N9" t="e">
        <f ca="1">IF((A1)=(2),"",IF((6)=(N3),IF(IF((INDEX(B1:XFD1,((A2)+(1))+(0)))=("store"),(INDEX(B1:XFD1,((A2)+(1))+(1)))=("N"),"false"),B2,N9),N9))</f>
        <v>#VALUE!</v>
      </c>
      <c r="O9" t="e">
        <f ca="1">IF((A1)=(2),"",IF((6)=(O3),IF(IF((INDEX(B1:XFD1,((A2)+(1))+(0)))=("store"),(INDEX(B1:XFD1,((A2)+(1))+(1)))=("O"),"false"),B2,O9),O9))</f>
        <v>#VALUE!</v>
      </c>
      <c r="P9" t="e">
        <f ca="1">IF((A1)=(2),"",IF((6)=(P3),IF(IF((INDEX(B1:XFD1,((A2)+(1))+(0)))=("store"),(INDEX(B1:XFD1,((A2)+(1))+(1)))=("P"),"false"),B2,P9),P9))</f>
        <v>#VALUE!</v>
      </c>
      <c r="Q9" t="e">
        <f ca="1">IF((A1)=(2),"",IF((6)=(Q3),IF(IF((INDEX(B1:XFD1,((A2)+(1))+(0)))=("store"),(INDEX(B1:XFD1,((A2)+(1))+(1)))=("Q"),"false"),B2,Q9),Q9))</f>
        <v>#VALUE!</v>
      </c>
      <c r="R9" t="e">
        <f ca="1">IF((A1)=(2),"",IF((6)=(R3),IF(IF((INDEX(B1:XFD1,((A2)+(1))+(0)))=("store"),(INDEX(B1:XFD1,((A2)+(1))+(1)))=("R"),"false"),B2,R9),R9))</f>
        <v>#VALUE!</v>
      </c>
      <c r="S9" t="e">
        <f ca="1">IF((A1)=(2),"",IF((6)=(S3),IF(IF((INDEX(B1:XFD1,((A2)+(1))+(0)))=("store"),(INDEX(B1:XFD1,((A2)+(1))+(1)))=("S"),"false"),B2,S9),S9))</f>
        <v>#VALUE!</v>
      </c>
      <c r="T9" t="e">
        <f ca="1">IF((A1)=(2),"",IF((6)=(T3),IF(IF((INDEX(B1:XFD1,((A2)+(1))+(0)))=("store"),(INDEX(B1:XFD1,((A2)+(1))+(1)))=("T"),"false"),B2,T9),T9))</f>
        <v>#VALUE!</v>
      </c>
      <c r="U9" t="e">
        <f ca="1">IF((A1)=(2),"",IF((6)=(U3),IF(IF((INDEX(B1:XFD1,((A2)+(1))+(0)))=("store"),(INDEX(B1:XFD1,((A2)+(1))+(1)))=("U"),"false"),B2,U9),U9))</f>
        <v>#VALUE!</v>
      </c>
      <c r="V9" t="e">
        <f ca="1">IF((A1)=(2),"",IF((6)=(V3),IF(IF((INDEX(B1:XFD1,((A2)+(1))+(0)))=("store"),(INDEX(B1:XFD1,((A2)+(1))+(1)))=("V"),"false"),B2,V9),V9))</f>
        <v>#VALUE!</v>
      </c>
      <c r="W9" t="e">
        <f ca="1">IF((A1)=(2),"",IF((6)=(W3),IF(IF((INDEX(B1:XFD1,((A2)+(1))+(0)))=("store"),(INDEX(B1:XFD1,((A2)+(1))+(1)))=("W"),"false"),B2,W9),W9))</f>
        <v>#VALUE!</v>
      </c>
      <c r="X9" t="e">
        <f ca="1">IF((A1)=(2),"",IF((6)=(X3),IF(IF((INDEX(B1:XFD1,((A2)+(1))+(0)))=("store"),(INDEX(B1:XFD1,((A2)+(1))+(1)))=("X"),"false"),B2,X9),X9))</f>
        <v>#VALUE!</v>
      </c>
      <c r="Y9" t="e">
        <f ca="1">IF((A1)=(2),"",IF((6)=(Y3),IF(IF((INDEX(B1:XFD1,((A2)+(1))+(0)))=("store"),(INDEX(B1:XFD1,((A2)+(1))+(1)))=("Y"),"false"),B2,Y9),Y9))</f>
        <v>#VALUE!</v>
      </c>
      <c r="Z9" t="e">
        <f ca="1">IF((A1)=(2),"",IF((6)=(Z3),IF(IF((INDEX(B1:XFD1,((A2)+(1))+(0)))=("store"),(INDEX(B1:XFD1,((A2)+(1))+(1)))=("Z"),"false"),B2,Z9),Z9))</f>
        <v>#VALUE!</v>
      </c>
      <c r="AA9" t="e">
        <f ca="1">IF((A1)=(2),"",IF((6)=(AA3),IF(IF((INDEX(B1:XFD1,((A2)+(1))+(0)))=("store"),(INDEX(B1:XFD1,((A2)+(1))+(1)))=("AA"),"false"),B2,AA9),AA9))</f>
        <v>#VALUE!</v>
      </c>
      <c r="AB9" t="e">
        <f ca="1">IF((A1)=(2),"",IF((6)=(AB3),IF(IF((INDEX(B1:XFD1,((A2)+(1))+(0)))=("store"),(INDEX(B1:XFD1,((A2)+(1))+(1)))=("AB"),"false"),B2,AB9),AB9))</f>
        <v>#VALUE!</v>
      </c>
      <c r="AC9" t="e">
        <f ca="1">IF((A1)=(2),"",IF((6)=(AC3),IF(IF((INDEX(B1:XFD1,((A2)+(1))+(0)))=("store"),(INDEX(B1:XFD1,((A2)+(1))+(1)))=("AC"),"false"),B2,AC9),AC9))</f>
        <v>#VALUE!</v>
      </c>
      <c r="AD9" t="e">
        <f ca="1">IF((A1)=(2),"",IF((6)=(AD3),IF(IF((INDEX(B1:XFD1,((A2)+(1))+(0)))=("store"),(INDEX(B1:XFD1,((A2)+(1))+(1)))=("AD"),"false"),B2,AD9),AD9))</f>
        <v>#VALUE!</v>
      </c>
    </row>
    <row r="10" spans="1:577" x14ac:dyDescent="0.25">
      <c r="A10" t="e">
        <f ca="1">IF((A1)=(2),"",IF((7)=(A3),IF(("call")=(INDEX(B1:XFD1,((A2)+(1))+(0))),(B2)*(2),IF(("goto")=(INDEX(B1:XFD1,((A2)+(1))+(0))),(INDEX(B1:XFD1,((A2)+(1))+(1)))*(2),IF(("gotoiftrue")=(INDEX(B1:XFD1,((A2)+(1))+(0))),IF(B2,(INDEX(B1:XFD1,((A2)+(1))+(1)))*(2),(A10)+(2)),(A10)+(2)))),A10))</f>
        <v>#VALUE!</v>
      </c>
      <c r="B10" t="e">
        <f ca="1">IF((A1)=(2),"",IF((7)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10)+(1)),IF(("add")=(INDEX(B1:XFD1,((A2)+(1))+(0))),(INDEX(B4:B404,(B3)+(1)))+(B10),IF(("equals")=(INDEX(B1:XFD1,((A2)+(1))+(0))),(INDEX(B4:B404,(B3)+(1)))=(B10),IF(("leq")=(INDEX(B1:XFD1,((A2)+(1))+(0))),(INDEX(B4:B404,(B3)+(1)))&lt;=(B10),IF(("greater")=(INDEX(B1:XFD1,((A2)+(1))+(0))),(INDEX(B4:B404,(B3)+(1)))&gt;(B10),IF(("mod")=(INDEX(B1:XFD1,((A2)+(1))+(0))),MOD(INDEX(B4:B404,(B3)+(1)),B10),B10))))))))),B10))</f>
        <v>#VALUE!</v>
      </c>
      <c r="C10" t="e">
        <f ca="1">IF((A1)=(2),1,IF(AND((INDEX(B1:XFD1,((A2)+(1))+(0)))=("writeheap"),(INDEX(B4:B404,(B3)+(1)))=(6)),INDEX(B4:B404,(B3)+(2)),IF((A1)=(2),"",IF((7)=(C3),C10,C10))))</f>
        <v>#VALUE!</v>
      </c>
      <c r="D10" t="e">
        <f ca="1">IF((A1)=(2),"",IF((7)=(D3),D10,D10))</f>
        <v>#VALUE!</v>
      </c>
      <c r="E10" t="e">
        <f ca="1">IF((A1)=(2),"",IF((7)=(E3),IF(("outputline")=(INDEX(B1:XFD1,((A2)+(1))+(0))),B2,E10),E10))</f>
        <v>#VALUE!</v>
      </c>
      <c r="F10" t="e">
        <f ca="1">IF((A1)=(2),"",IF((7)=(F3),IF(IF((INDEX(B1:XFD1,((A2)+(1))+(0)))=("store"),(INDEX(B1:XFD1,((A2)+(1))+(1)))=("F"),"false"),B2,F10),F10))</f>
        <v>#VALUE!</v>
      </c>
      <c r="G10" t="e">
        <f ca="1">IF((A1)=(2),"",IF((7)=(G3),IF(IF((INDEX(B1:XFD1,((A2)+(1))+(0)))=("store"),(INDEX(B1:XFD1,((A2)+(1))+(1)))=("G"),"false"),B2,G10),G10))</f>
        <v>#VALUE!</v>
      </c>
      <c r="H10" t="e">
        <f ca="1">IF((A1)=(2),"",IF((7)=(H3),IF(IF((INDEX(B1:XFD1,((A2)+(1))+(0)))=("store"),(INDEX(B1:XFD1,((A2)+(1))+(1)))=("H"),"false"),B2,H10),H10))</f>
        <v>#VALUE!</v>
      </c>
      <c r="I10" t="e">
        <f ca="1">IF((A1)=(2),"",IF((7)=(I3),IF(IF((INDEX(B1:XFD1,((A2)+(1))+(0)))=("store"),(INDEX(B1:XFD1,((A2)+(1))+(1)))=("I"),"false"),B2,I10),I10))</f>
        <v>#VALUE!</v>
      </c>
      <c r="J10" t="e">
        <f ca="1">IF((A1)=(2),"",IF((7)=(J3),IF(IF((INDEX(B1:XFD1,((A2)+(1))+(0)))=("store"),(INDEX(B1:XFD1,((A2)+(1))+(1)))=("J"),"false"),B2,J10),J10))</f>
        <v>#VALUE!</v>
      </c>
      <c r="K10" t="e">
        <f ca="1">IF((A1)=(2),"",IF((7)=(K3),IF(IF((INDEX(B1:XFD1,((A2)+(1))+(0)))=("store"),(INDEX(B1:XFD1,((A2)+(1))+(1)))=("K"),"false"),B2,K10),K10))</f>
        <v>#VALUE!</v>
      </c>
      <c r="L10" t="e">
        <f ca="1">IF((A1)=(2),"",IF((7)=(L3),IF(IF((INDEX(B1:XFD1,((A2)+(1))+(0)))=("store"),(INDEX(B1:XFD1,((A2)+(1))+(1)))=("L"),"false"),B2,L10),L10))</f>
        <v>#VALUE!</v>
      </c>
      <c r="M10" t="e">
        <f ca="1">IF((A1)=(2),"",IF((7)=(M3),IF(IF((INDEX(B1:XFD1,((A2)+(1))+(0)))=("store"),(INDEX(B1:XFD1,((A2)+(1))+(1)))=("M"),"false"),B2,M10),M10))</f>
        <v>#VALUE!</v>
      </c>
      <c r="N10" t="e">
        <f ca="1">IF((A1)=(2),"",IF((7)=(N3),IF(IF((INDEX(B1:XFD1,((A2)+(1))+(0)))=("store"),(INDEX(B1:XFD1,((A2)+(1))+(1)))=("N"),"false"),B2,N10),N10))</f>
        <v>#VALUE!</v>
      </c>
      <c r="O10" t="e">
        <f ca="1">IF((A1)=(2),"",IF((7)=(O3),IF(IF((INDEX(B1:XFD1,((A2)+(1))+(0)))=("store"),(INDEX(B1:XFD1,((A2)+(1))+(1)))=("O"),"false"),B2,O10),O10))</f>
        <v>#VALUE!</v>
      </c>
      <c r="P10" t="e">
        <f ca="1">IF((A1)=(2),"",IF((7)=(P3),IF(IF((INDEX(B1:XFD1,((A2)+(1))+(0)))=("store"),(INDEX(B1:XFD1,((A2)+(1))+(1)))=("P"),"false"),B2,P10),P10))</f>
        <v>#VALUE!</v>
      </c>
      <c r="Q10" t="e">
        <f ca="1">IF((A1)=(2),"",IF((7)=(Q3),IF(IF((INDEX(B1:XFD1,((A2)+(1))+(0)))=("store"),(INDEX(B1:XFD1,((A2)+(1))+(1)))=("Q"),"false"),B2,Q10),Q10))</f>
        <v>#VALUE!</v>
      </c>
      <c r="R10" t="e">
        <f ca="1">IF((A1)=(2),"",IF((7)=(R3),IF(IF((INDEX(B1:XFD1,((A2)+(1))+(0)))=("store"),(INDEX(B1:XFD1,((A2)+(1))+(1)))=("R"),"false"),B2,R10),R10))</f>
        <v>#VALUE!</v>
      </c>
      <c r="S10" t="e">
        <f ca="1">IF((A1)=(2),"",IF((7)=(S3),IF(IF((INDEX(B1:XFD1,((A2)+(1))+(0)))=("store"),(INDEX(B1:XFD1,((A2)+(1))+(1)))=("S"),"false"),B2,S10),S10))</f>
        <v>#VALUE!</v>
      </c>
      <c r="T10" t="e">
        <f ca="1">IF((A1)=(2),"",IF((7)=(T3),IF(IF((INDEX(B1:XFD1,((A2)+(1))+(0)))=("store"),(INDEX(B1:XFD1,((A2)+(1))+(1)))=("T"),"false"),B2,T10),T10))</f>
        <v>#VALUE!</v>
      </c>
      <c r="U10" t="e">
        <f ca="1">IF((A1)=(2),"",IF((7)=(U3),IF(IF((INDEX(B1:XFD1,((A2)+(1))+(0)))=("store"),(INDEX(B1:XFD1,((A2)+(1))+(1)))=("U"),"false"),B2,U10),U10))</f>
        <v>#VALUE!</v>
      </c>
      <c r="V10" t="e">
        <f ca="1">IF((A1)=(2),"",IF((7)=(V3),IF(IF((INDEX(B1:XFD1,((A2)+(1))+(0)))=("store"),(INDEX(B1:XFD1,((A2)+(1))+(1)))=("V"),"false"),B2,V10),V10))</f>
        <v>#VALUE!</v>
      </c>
      <c r="W10" t="e">
        <f ca="1">IF((A1)=(2),"",IF((7)=(W3),IF(IF((INDEX(B1:XFD1,((A2)+(1))+(0)))=("store"),(INDEX(B1:XFD1,((A2)+(1))+(1)))=("W"),"false"),B2,W10),W10))</f>
        <v>#VALUE!</v>
      </c>
      <c r="X10" t="e">
        <f ca="1">IF((A1)=(2),"",IF((7)=(X3),IF(IF((INDEX(B1:XFD1,((A2)+(1))+(0)))=("store"),(INDEX(B1:XFD1,((A2)+(1))+(1)))=("X"),"false"),B2,X10),X10))</f>
        <v>#VALUE!</v>
      </c>
      <c r="Y10" t="e">
        <f ca="1">IF((A1)=(2),"",IF((7)=(Y3),IF(IF((INDEX(B1:XFD1,((A2)+(1))+(0)))=("store"),(INDEX(B1:XFD1,((A2)+(1))+(1)))=("Y"),"false"),B2,Y10),Y10))</f>
        <v>#VALUE!</v>
      </c>
      <c r="Z10" t="e">
        <f ca="1">IF((A1)=(2),"",IF((7)=(Z3),IF(IF((INDEX(B1:XFD1,((A2)+(1))+(0)))=("store"),(INDEX(B1:XFD1,((A2)+(1))+(1)))=("Z"),"false"),B2,Z10),Z10))</f>
        <v>#VALUE!</v>
      </c>
      <c r="AA10" t="e">
        <f ca="1">IF((A1)=(2),"",IF((7)=(AA3),IF(IF((INDEX(B1:XFD1,((A2)+(1))+(0)))=("store"),(INDEX(B1:XFD1,((A2)+(1))+(1)))=("AA"),"false"),B2,AA10),AA10))</f>
        <v>#VALUE!</v>
      </c>
      <c r="AB10" t="e">
        <f ca="1">IF((A1)=(2),"",IF((7)=(AB3),IF(IF((INDEX(B1:XFD1,((A2)+(1))+(0)))=("store"),(INDEX(B1:XFD1,((A2)+(1))+(1)))=("AB"),"false"),B2,AB10),AB10))</f>
        <v>#VALUE!</v>
      </c>
      <c r="AC10" t="e">
        <f ca="1">IF((A1)=(2),"",IF((7)=(AC3),IF(IF((INDEX(B1:XFD1,((A2)+(1))+(0)))=("store"),(INDEX(B1:XFD1,((A2)+(1))+(1)))=("AC"),"false"),B2,AC10),AC10))</f>
        <v>#VALUE!</v>
      </c>
      <c r="AD10" t="e">
        <f ca="1">IF((A1)=(2),"",IF((7)=(AD3),IF(IF((INDEX(B1:XFD1,((A2)+(1))+(0)))=("store"),(INDEX(B1:XFD1,((A2)+(1))+(1)))=("AD"),"false"),B2,AD10),AD10))</f>
        <v>#VALUE!</v>
      </c>
    </row>
    <row r="11" spans="1:577" x14ac:dyDescent="0.25">
      <c r="A11" t="e">
        <f ca="1">IF((A1)=(2),"",IF((8)=(A3),IF(("call")=(INDEX(B1:XFD1,((A2)+(1))+(0))),(B2)*(2),IF(("goto")=(INDEX(B1:XFD1,((A2)+(1))+(0))),(INDEX(B1:XFD1,((A2)+(1))+(1)))*(2),IF(("gotoiftrue")=(INDEX(B1:XFD1,((A2)+(1))+(0))),IF(B2,(INDEX(B1:XFD1,((A2)+(1))+(1)))*(2),(A11)+(2)),(A11)+(2)))),A11))</f>
        <v>#VALUE!</v>
      </c>
      <c r="B11" t="e">
        <f ca="1">IF((A1)=(2),"",IF((8)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11)+(1)),IF(("add")=(INDEX(B1:XFD1,((A2)+(1))+(0))),(INDEX(B4:B404,(B3)+(1)))+(B11),IF(("equals")=(INDEX(B1:XFD1,((A2)+(1))+(0))),(INDEX(B4:B404,(B3)+(1)))=(B11),IF(("leq")=(INDEX(B1:XFD1,((A2)+(1))+(0))),(INDEX(B4:B404,(B3)+(1)))&lt;=(B11),IF(("greater")=(INDEX(B1:XFD1,((A2)+(1))+(0))),(INDEX(B4:B404,(B3)+(1)))&gt;(B11),IF(("mod")=(INDEX(B1:XFD1,((A2)+(1))+(0))),MOD(INDEX(B4:B404,(B3)+(1)),B11),B11))))))))),B11))</f>
        <v>#VALUE!</v>
      </c>
      <c r="C11" t="e">
        <f ca="1">IF((A1)=(2),1,IF(AND((INDEX(B1:XFD1,((A2)+(1))+(0)))=("writeheap"),(INDEX(B4:B404,(B3)+(1)))=(7)),INDEX(B4:B404,(B3)+(2)),IF((A1)=(2),"",IF((8)=(C3),C11,C11))))</f>
        <v>#VALUE!</v>
      </c>
      <c r="D11" t="e">
        <f ca="1">IF((A1)=(2),"",IF((8)=(D3),D11,D11))</f>
        <v>#VALUE!</v>
      </c>
      <c r="E11" t="e">
        <f ca="1">IF((A1)=(2),"",IF((8)=(E3),IF(("outputline")=(INDEX(B1:XFD1,((A2)+(1))+(0))),B2,E11),E11))</f>
        <v>#VALUE!</v>
      </c>
      <c r="F11" t="e">
        <f ca="1">IF((A1)=(2),"",IF((8)=(F3),IF(IF((INDEX(B1:XFD1,((A2)+(1))+(0)))=("store"),(INDEX(B1:XFD1,((A2)+(1))+(1)))=("F"),"false"),B2,F11),F11))</f>
        <v>#VALUE!</v>
      </c>
      <c r="G11" t="e">
        <f ca="1">IF((A1)=(2),"",IF((8)=(G3),IF(IF((INDEX(B1:XFD1,((A2)+(1))+(0)))=("store"),(INDEX(B1:XFD1,((A2)+(1))+(1)))=("G"),"false"),B2,G11),G11))</f>
        <v>#VALUE!</v>
      </c>
      <c r="H11" t="e">
        <f ca="1">IF((A1)=(2),"",IF((8)=(H3),IF(IF((INDEX(B1:XFD1,((A2)+(1))+(0)))=("store"),(INDEX(B1:XFD1,((A2)+(1))+(1)))=("H"),"false"),B2,H11),H11))</f>
        <v>#VALUE!</v>
      </c>
      <c r="I11" t="e">
        <f ca="1">IF((A1)=(2),"",IF((8)=(I3),IF(IF((INDEX(B1:XFD1,((A2)+(1))+(0)))=("store"),(INDEX(B1:XFD1,((A2)+(1))+(1)))=("I"),"false"),B2,I11),I11))</f>
        <v>#VALUE!</v>
      </c>
      <c r="J11" t="e">
        <f ca="1">IF((A1)=(2),"",IF((8)=(J3),IF(IF((INDEX(B1:XFD1,((A2)+(1))+(0)))=("store"),(INDEX(B1:XFD1,((A2)+(1))+(1)))=("J"),"false"),B2,J11),J11))</f>
        <v>#VALUE!</v>
      </c>
      <c r="K11" t="e">
        <f ca="1">IF((A1)=(2),"",IF((8)=(K3),IF(IF((INDEX(B1:XFD1,((A2)+(1))+(0)))=("store"),(INDEX(B1:XFD1,((A2)+(1))+(1)))=("K"),"false"),B2,K11),K11))</f>
        <v>#VALUE!</v>
      </c>
      <c r="L11" t="e">
        <f ca="1">IF((A1)=(2),"",IF((8)=(L3),IF(IF((INDEX(B1:XFD1,((A2)+(1))+(0)))=("store"),(INDEX(B1:XFD1,((A2)+(1))+(1)))=("L"),"false"),B2,L11),L11))</f>
        <v>#VALUE!</v>
      </c>
      <c r="M11" t="e">
        <f ca="1">IF((A1)=(2),"",IF((8)=(M3),IF(IF((INDEX(B1:XFD1,((A2)+(1))+(0)))=("store"),(INDEX(B1:XFD1,((A2)+(1))+(1)))=("M"),"false"),B2,M11),M11))</f>
        <v>#VALUE!</v>
      </c>
      <c r="N11" t="e">
        <f ca="1">IF((A1)=(2),"",IF((8)=(N3),IF(IF((INDEX(B1:XFD1,((A2)+(1))+(0)))=("store"),(INDEX(B1:XFD1,((A2)+(1))+(1)))=("N"),"false"),B2,N11),N11))</f>
        <v>#VALUE!</v>
      </c>
      <c r="O11" t="e">
        <f ca="1">IF((A1)=(2),"",IF((8)=(O3),IF(IF((INDEX(B1:XFD1,((A2)+(1))+(0)))=("store"),(INDEX(B1:XFD1,((A2)+(1))+(1)))=("O"),"false"),B2,O11),O11))</f>
        <v>#VALUE!</v>
      </c>
      <c r="P11" t="e">
        <f ca="1">IF((A1)=(2),"",IF((8)=(P3),IF(IF((INDEX(B1:XFD1,((A2)+(1))+(0)))=("store"),(INDEX(B1:XFD1,((A2)+(1))+(1)))=("P"),"false"),B2,P11),P11))</f>
        <v>#VALUE!</v>
      </c>
      <c r="Q11" t="e">
        <f ca="1">IF((A1)=(2),"",IF((8)=(Q3),IF(IF((INDEX(B1:XFD1,((A2)+(1))+(0)))=("store"),(INDEX(B1:XFD1,((A2)+(1))+(1)))=("Q"),"false"),B2,Q11),Q11))</f>
        <v>#VALUE!</v>
      </c>
      <c r="R11" t="e">
        <f ca="1">IF((A1)=(2),"",IF((8)=(R3),IF(IF((INDEX(B1:XFD1,((A2)+(1))+(0)))=("store"),(INDEX(B1:XFD1,((A2)+(1))+(1)))=("R"),"false"),B2,R11),R11))</f>
        <v>#VALUE!</v>
      </c>
      <c r="S11" t="e">
        <f ca="1">IF((A1)=(2),"",IF((8)=(S3),IF(IF((INDEX(B1:XFD1,((A2)+(1))+(0)))=("store"),(INDEX(B1:XFD1,((A2)+(1))+(1)))=("S"),"false"),B2,S11),S11))</f>
        <v>#VALUE!</v>
      </c>
      <c r="T11" t="e">
        <f ca="1">IF((A1)=(2),"",IF((8)=(T3),IF(IF((INDEX(B1:XFD1,((A2)+(1))+(0)))=("store"),(INDEX(B1:XFD1,((A2)+(1))+(1)))=("T"),"false"),B2,T11),T11))</f>
        <v>#VALUE!</v>
      </c>
      <c r="U11" t="e">
        <f ca="1">IF((A1)=(2),"",IF((8)=(U3),IF(IF((INDEX(B1:XFD1,((A2)+(1))+(0)))=("store"),(INDEX(B1:XFD1,((A2)+(1))+(1)))=("U"),"false"),B2,U11),U11))</f>
        <v>#VALUE!</v>
      </c>
      <c r="V11" t="e">
        <f ca="1">IF((A1)=(2),"",IF((8)=(V3),IF(IF((INDEX(B1:XFD1,((A2)+(1))+(0)))=("store"),(INDEX(B1:XFD1,((A2)+(1))+(1)))=("V"),"false"),B2,V11),V11))</f>
        <v>#VALUE!</v>
      </c>
      <c r="W11" t="e">
        <f ca="1">IF((A1)=(2),"",IF((8)=(W3),IF(IF((INDEX(B1:XFD1,((A2)+(1))+(0)))=("store"),(INDEX(B1:XFD1,((A2)+(1))+(1)))=("W"),"false"),B2,W11),W11))</f>
        <v>#VALUE!</v>
      </c>
      <c r="X11" t="e">
        <f ca="1">IF((A1)=(2),"",IF((8)=(X3),IF(IF((INDEX(B1:XFD1,((A2)+(1))+(0)))=("store"),(INDEX(B1:XFD1,((A2)+(1))+(1)))=("X"),"false"),B2,X11),X11))</f>
        <v>#VALUE!</v>
      </c>
      <c r="Y11" t="e">
        <f ca="1">IF((A1)=(2),"",IF((8)=(Y3),IF(IF((INDEX(B1:XFD1,((A2)+(1))+(0)))=("store"),(INDEX(B1:XFD1,((A2)+(1))+(1)))=("Y"),"false"),B2,Y11),Y11))</f>
        <v>#VALUE!</v>
      </c>
      <c r="Z11" t="e">
        <f ca="1">IF((A1)=(2),"",IF((8)=(Z3),IF(IF((INDEX(B1:XFD1,((A2)+(1))+(0)))=("store"),(INDEX(B1:XFD1,((A2)+(1))+(1)))=("Z"),"false"),B2,Z11),Z11))</f>
        <v>#VALUE!</v>
      </c>
      <c r="AA11" t="e">
        <f ca="1">IF((A1)=(2),"",IF((8)=(AA3),IF(IF((INDEX(B1:XFD1,((A2)+(1))+(0)))=("store"),(INDEX(B1:XFD1,((A2)+(1))+(1)))=("AA"),"false"),B2,AA11),AA11))</f>
        <v>#VALUE!</v>
      </c>
      <c r="AB11" t="e">
        <f ca="1">IF((A1)=(2),"",IF((8)=(AB3),IF(IF((INDEX(B1:XFD1,((A2)+(1))+(0)))=("store"),(INDEX(B1:XFD1,((A2)+(1))+(1)))=("AB"),"false"),B2,AB11),AB11))</f>
        <v>#VALUE!</v>
      </c>
      <c r="AC11" t="e">
        <f ca="1">IF((A1)=(2),"",IF((8)=(AC3),IF(IF((INDEX(B1:XFD1,((A2)+(1))+(0)))=("store"),(INDEX(B1:XFD1,((A2)+(1))+(1)))=("AC"),"false"),B2,AC11),AC11))</f>
        <v>#VALUE!</v>
      </c>
      <c r="AD11" t="e">
        <f ca="1">IF((A1)=(2),"",IF((8)=(AD3),IF(IF((INDEX(B1:XFD1,((A2)+(1))+(0)))=("store"),(INDEX(B1:XFD1,((A2)+(1))+(1)))=("AD"),"false"),B2,AD11),AD11))</f>
        <v>#VALUE!</v>
      </c>
    </row>
    <row r="12" spans="1:577" x14ac:dyDescent="0.25">
      <c r="A12" t="e">
        <f ca="1">IF((A1)=(2),"",IF((9)=(A3),IF(("call")=(INDEX(B1:XFD1,((A2)+(1))+(0))),(B2)*(2),IF(("goto")=(INDEX(B1:XFD1,((A2)+(1))+(0))),(INDEX(B1:XFD1,((A2)+(1))+(1)))*(2),IF(("gotoiftrue")=(INDEX(B1:XFD1,((A2)+(1))+(0))),IF(B2,(INDEX(B1:XFD1,((A2)+(1))+(1)))*(2),(A12)+(2)),(A12)+(2)))),A12))</f>
        <v>#VALUE!</v>
      </c>
      <c r="B12" t="e">
        <f ca="1">IF((A1)=(2),"",IF((9)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12)+(1)),IF(("add")=(INDEX(B1:XFD1,((A2)+(1))+(0))),(INDEX(B4:B404,(B3)+(1)))+(B12),IF(("equals")=(INDEX(B1:XFD1,((A2)+(1))+(0))),(INDEX(B4:B404,(B3)+(1)))=(B12),IF(("leq")=(INDEX(B1:XFD1,((A2)+(1))+(0))),(INDEX(B4:B404,(B3)+(1)))&lt;=(B12),IF(("greater")=(INDEX(B1:XFD1,((A2)+(1))+(0))),(INDEX(B4:B404,(B3)+(1)))&gt;(B12),IF(("mod")=(INDEX(B1:XFD1,((A2)+(1))+(0))),MOD(INDEX(B4:B404,(B3)+(1)),B12),B12))))))))),B12))</f>
        <v>#VALUE!</v>
      </c>
      <c r="C12" t="e">
        <f ca="1">IF((A1)=(2),1,IF(AND((INDEX(B1:XFD1,((A2)+(1))+(0)))=("writeheap"),(INDEX(B4:B404,(B3)+(1)))=(8)),INDEX(B4:B404,(B3)+(2)),IF((A1)=(2),"",IF((9)=(C3),C12,C12))))</f>
        <v>#VALUE!</v>
      </c>
      <c r="D12" t="e">
        <f ca="1">IF((A1)=(2),"",IF((9)=(D3),D12,D12))</f>
        <v>#VALUE!</v>
      </c>
      <c r="E12" t="e">
        <f ca="1">IF((A1)=(2),"",IF((9)=(E3),IF(("outputline")=(INDEX(B1:XFD1,((A2)+(1))+(0))),B2,E12),E12))</f>
        <v>#VALUE!</v>
      </c>
      <c r="F12" t="e">
        <f ca="1">IF((A1)=(2),"",IF((9)=(F3),IF(IF((INDEX(B1:XFD1,((A2)+(1))+(0)))=("store"),(INDEX(B1:XFD1,((A2)+(1))+(1)))=("F"),"false"),B2,F12),F12))</f>
        <v>#VALUE!</v>
      </c>
      <c r="G12" t="e">
        <f ca="1">IF((A1)=(2),"",IF((9)=(G3),IF(IF((INDEX(B1:XFD1,((A2)+(1))+(0)))=("store"),(INDEX(B1:XFD1,((A2)+(1))+(1)))=("G"),"false"),B2,G12),G12))</f>
        <v>#VALUE!</v>
      </c>
      <c r="H12" t="e">
        <f ca="1">IF((A1)=(2),"",IF((9)=(H3),IF(IF((INDEX(B1:XFD1,((A2)+(1))+(0)))=("store"),(INDEX(B1:XFD1,((A2)+(1))+(1)))=("H"),"false"),B2,H12),H12))</f>
        <v>#VALUE!</v>
      </c>
      <c r="I12" t="e">
        <f ca="1">IF((A1)=(2),"",IF((9)=(I3),IF(IF((INDEX(B1:XFD1,((A2)+(1))+(0)))=("store"),(INDEX(B1:XFD1,((A2)+(1))+(1)))=("I"),"false"),B2,I12),I12))</f>
        <v>#VALUE!</v>
      </c>
      <c r="J12" t="e">
        <f ca="1">IF((A1)=(2),"",IF((9)=(J3),IF(IF((INDEX(B1:XFD1,((A2)+(1))+(0)))=("store"),(INDEX(B1:XFD1,((A2)+(1))+(1)))=("J"),"false"),B2,J12),J12))</f>
        <v>#VALUE!</v>
      </c>
      <c r="K12" t="e">
        <f ca="1">IF((A1)=(2),"",IF((9)=(K3),IF(IF((INDEX(B1:XFD1,((A2)+(1))+(0)))=("store"),(INDEX(B1:XFD1,((A2)+(1))+(1)))=("K"),"false"),B2,K12),K12))</f>
        <v>#VALUE!</v>
      </c>
      <c r="L12" t="e">
        <f ca="1">IF((A1)=(2),"",IF((9)=(L3),IF(IF((INDEX(B1:XFD1,((A2)+(1))+(0)))=("store"),(INDEX(B1:XFD1,((A2)+(1))+(1)))=("L"),"false"),B2,L12),L12))</f>
        <v>#VALUE!</v>
      </c>
      <c r="M12" t="e">
        <f ca="1">IF((A1)=(2),"",IF((9)=(M3),IF(IF((INDEX(B1:XFD1,((A2)+(1))+(0)))=("store"),(INDEX(B1:XFD1,((A2)+(1))+(1)))=("M"),"false"),B2,M12),M12))</f>
        <v>#VALUE!</v>
      </c>
      <c r="N12" t="e">
        <f ca="1">IF((A1)=(2),"",IF((9)=(N3),IF(IF((INDEX(B1:XFD1,((A2)+(1))+(0)))=("store"),(INDEX(B1:XFD1,((A2)+(1))+(1)))=("N"),"false"),B2,N12),N12))</f>
        <v>#VALUE!</v>
      </c>
      <c r="O12" t="e">
        <f ca="1">IF((A1)=(2),"",IF((9)=(O3),IF(IF((INDEX(B1:XFD1,((A2)+(1))+(0)))=("store"),(INDEX(B1:XFD1,((A2)+(1))+(1)))=("O"),"false"),B2,O12),O12))</f>
        <v>#VALUE!</v>
      </c>
      <c r="P12" t="e">
        <f ca="1">IF((A1)=(2),"",IF((9)=(P3),IF(IF((INDEX(B1:XFD1,((A2)+(1))+(0)))=("store"),(INDEX(B1:XFD1,((A2)+(1))+(1)))=("P"),"false"),B2,P12),P12))</f>
        <v>#VALUE!</v>
      </c>
      <c r="Q12" t="e">
        <f ca="1">IF((A1)=(2),"",IF((9)=(Q3),IF(IF((INDEX(B1:XFD1,((A2)+(1))+(0)))=("store"),(INDEX(B1:XFD1,((A2)+(1))+(1)))=("Q"),"false"),B2,Q12),Q12))</f>
        <v>#VALUE!</v>
      </c>
      <c r="R12" t="e">
        <f ca="1">IF((A1)=(2),"",IF((9)=(R3),IF(IF((INDEX(B1:XFD1,((A2)+(1))+(0)))=("store"),(INDEX(B1:XFD1,((A2)+(1))+(1)))=("R"),"false"),B2,R12),R12))</f>
        <v>#VALUE!</v>
      </c>
      <c r="S12" t="e">
        <f ca="1">IF((A1)=(2),"",IF((9)=(S3),IF(IF((INDEX(B1:XFD1,((A2)+(1))+(0)))=("store"),(INDEX(B1:XFD1,((A2)+(1))+(1)))=("S"),"false"),B2,S12),S12))</f>
        <v>#VALUE!</v>
      </c>
      <c r="T12" t="e">
        <f ca="1">IF((A1)=(2),"",IF((9)=(T3),IF(IF((INDEX(B1:XFD1,((A2)+(1))+(0)))=("store"),(INDEX(B1:XFD1,((A2)+(1))+(1)))=("T"),"false"),B2,T12),T12))</f>
        <v>#VALUE!</v>
      </c>
      <c r="U12" t="e">
        <f ca="1">IF((A1)=(2),"",IF((9)=(U3),IF(IF((INDEX(B1:XFD1,((A2)+(1))+(0)))=("store"),(INDEX(B1:XFD1,((A2)+(1))+(1)))=("U"),"false"),B2,U12),U12))</f>
        <v>#VALUE!</v>
      </c>
      <c r="V12" t="e">
        <f ca="1">IF((A1)=(2),"",IF((9)=(V3),IF(IF((INDEX(B1:XFD1,((A2)+(1))+(0)))=("store"),(INDEX(B1:XFD1,((A2)+(1))+(1)))=("V"),"false"),B2,V12),V12))</f>
        <v>#VALUE!</v>
      </c>
      <c r="W12" t="e">
        <f ca="1">IF((A1)=(2),"",IF((9)=(W3),IF(IF((INDEX(B1:XFD1,((A2)+(1))+(0)))=("store"),(INDEX(B1:XFD1,((A2)+(1))+(1)))=("W"),"false"),B2,W12),W12))</f>
        <v>#VALUE!</v>
      </c>
      <c r="X12" t="e">
        <f ca="1">IF((A1)=(2),"",IF((9)=(X3),IF(IF((INDEX(B1:XFD1,((A2)+(1))+(0)))=("store"),(INDEX(B1:XFD1,((A2)+(1))+(1)))=("X"),"false"),B2,X12),X12))</f>
        <v>#VALUE!</v>
      </c>
      <c r="Y12" t="e">
        <f ca="1">IF((A1)=(2),"",IF((9)=(Y3),IF(IF((INDEX(B1:XFD1,((A2)+(1))+(0)))=("store"),(INDEX(B1:XFD1,((A2)+(1))+(1)))=("Y"),"false"),B2,Y12),Y12))</f>
        <v>#VALUE!</v>
      </c>
      <c r="Z12" t="e">
        <f ca="1">IF((A1)=(2),"",IF((9)=(Z3),IF(IF((INDEX(B1:XFD1,((A2)+(1))+(0)))=("store"),(INDEX(B1:XFD1,((A2)+(1))+(1)))=("Z"),"false"),B2,Z12),Z12))</f>
        <v>#VALUE!</v>
      </c>
      <c r="AA12" t="e">
        <f ca="1">IF((A1)=(2),"",IF((9)=(AA3),IF(IF((INDEX(B1:XFD1,((A2)+(1))+(0)))=("store"),(INDEX(B1:XFD1,((A2)+(1))+(1)))=("AA"),"false"),B2,AA12),AA12))</f>
        <v>#VALUE!</v>
      </c>
      <c r="AB12" t="e">
        <f ca="1">IF((A1)=(2),"",IF((9)=(AB3),IF(IF((INDEX(B1:XFD1,((A2)+(1))+(0)))=("store"),(INDEX(B1:XFD1,((A2)+(1))+(1)))=("AB"),"false"),B2,AB12),AB12))</f>
        <v>#VALUE!</v>
      </c>
      <c r="AC12" t="e">
        <f ca="1">IF((A1)=(2),"",IF((9)=(AC3),IF(IF((INDEX(B1:XFD1,((A2)+(1))+(0)))=("store"),(INDEX(B1:XFD1,((A2)+(1))+(1)))=("AC"),"false"),B2,AC12),AC12))</f>
        <v>#VALUE!</v>
      </c>
      <c r="AD12" t="e">
        <f ca="1">IF((A1)=(2),"",IF((9)=(AD3),IF(IF((INDEX(B1:XFD1,((A2)+(1))+(0)))=("store"),(INDEX(B1:XFD1,((A2)+(1))+(1)))=("AD"),"false"),B2,AD12),AD12))</f>
        <v>#VALUE!</v>
      </c>
    </row>
    <row r="13" spans="1:577" x14ac:dyDescent="0.25">
      <c r="A13" t="e">
        <f ca="1">IF((A1)=(2),"",IF((10)=(A3),IF(("call")=(INDEX(B1:XFD1,((A2)+(1))+(0))),(B2)*(2),IF(("goto")=(INDEX(B1:XFD1,((A2)+(1))+(0))),(INDEX(B1:XFD1,((A2)+(1))+(1)))*(2),IF(("gotoiftrue")=(INDEX(B1:XFD1,((A2)+(1))+(0))),IF(B2,(INDEX(B1:XFD1,((A2)+(1))+(1)))*(2),(A13)+(2)),(A13)+(2)))),A13))</f>
        <v>#VALUE!</v>
      </c>
      <c r="B13" t="e">
        <f ca="1">IF((A1)=(2),"",IF((10)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13)+(1)),IF(("add")=(INDEX(B1:XFD1,((A2)+(1))+(0))),(INDEX(B4:B404,(B3)+(1)))+(B13),IF(("equals")=(INDEX(B1:XFD1,((A2)+(1))+(0))),(INDEX(B4:B404,(B3)+(1)))=(B13),IF(("leq")=(INDEX(B1:XFD1,((A2)+(1))+(0))),(INDEX(B4:B404,(B3)+(1)))&lt;=(B13),IF(("greater")=(INDEX(B1:XFD1,((A2)+(1))+(0))),(INDEX(B4:B404,(B3)+(1)))&gt;(B13),IF(("mod")=(INDEX(B1:XFD1,((A2)+(1))+(0))),MOD(INDEX(B4:B404,(B3)+(1)),B13),B13))))))))),B13))</f>
        <v>#VALUE!</v>
      </c>
      <c r="C13" t="e">
        <f ca="1">IF((A1)=(2),1,IF(AND((INDEX(B1:XFD1,((A2)+(1))+(0)))=("writeheap"),(INDEX(B4:B404,(B3)+(1)))=(9)),INDEX(B4:B404,(B3)+(2)),IF((A1)=(2),"",IF((10)=(C3),C13,C13))))</f>
        <v>#VALUE!</v>
      </c>
      <c r="D13" t="e">
        <f ca="1">IF((A1)=(2),"",IF((10)=(D3),D13,D13))</f>
        <v>#VALUE!</v>
      </c>
      <c r="E13" t="e">
        <f ca="1">IF((A1)=(2),"",IF((10)=(E3),IF(("outputline")=(INDEX(B1:XFD1,((A2)+(1))+(0))),B2,E13),E13))</f>
        <v>#VALUE!</v>
      </c>
      <c r="F13" t="e">
        <f ca="1">IF((A1)=(2),"",IF((10)=(F3),IF(IF((INDEX(B1:XFD1,((A2)+(1))+(0)))=("store"),(INDEX(B1:XFD1,((A2)+(1))+(1)))=("F"),"false"),B2,F13),F13))</f>
        <v>#VALUE!</v>
      </c>
      <c r="G13" t="e">
        <f ca="1">IF((A1)=(2),"",IF((10)=(G3),IF(IF((INDEX(B1:XFD1,((A2)+(1))+(0)))=("store"),(INDEX(B1:XFD1,((A2)+(1))+(1)))=("G"),"false"),B2,G13),G13))</f>
        <v>#VALUE!</v>
      </c>
      <c r="H13" t="e">
        <f ca="1">IF((A1)=(2),"",IF((10)=(H3),IF(IF((INDEX(B1:XFD1,((A2)+(1))+(0)))=("store"),(INDEX(B1:XFD1,((A2)+(1))+(1)))=("H"),"false"),B2,H13),H13))</f>
        <v>#VALUE!</v>
      </c>
      <c r="I13" t="e">
        <f ca="1">IF((A1)=(2),"",IF((10)=(I3),IF(IF((INDEX(B1:XFD1,((A2)+(1))+(0)))=("store"),(INDEX(B1:XFD1,((A2)+(1))+(1)))=("I"),"false"),B2,I13),I13))</f>
        <v>#VALUE!</v>
      </c>
      <c r="J13" t="e">
        <f ca="1">IF((A1)=(2),"",IF((10)=(J3),IF(IF((INDEX(B1:XFD1,((A2)+(1))+(0)))=("store"),(INDEX(B1:XFD1,((A2)+(1))+(1)))=("J"),"false"),B2,J13),J13))</f>
        <v>#VALUE!</v>
      </c>
      <c r="K13" t="e">
        <f ca="1">IF((A1)=(2),"",IF((10)=(K3),IF(IF((INDEX(B1:XFD1,((A2)+(1))+(0)))=("store"),(INDEX(B1:XFD1,((A2)+(1))+(1)))=("K"),"false"),B2,K13),K13))</f>
        <v>#VALUE!</v>
      </c>
      <c r="L13" t="e">
        <f ca="1">IF((A1)=(2),"",IF((10)=(L3),IF(IF((INDEX(B1:XFD1,((A2)+(1))+(0)))=("store"),(INDEX(B1:XFD1,((A2)+(1))+(1)))=("L"),"false"),B2,L13),L13))</f>
        <v>#VALUE!</v>
      </c>
      <c r="M13" t="e">
        <f ca="1">IF((A1)=(2),"",IF((10)=(M3),IF(IF((INDEX(B1:XFD1,((A2)+(1))+(0)))=("store"),(INDEX(B1:XFD1,((A2)+(1))+(1)))=("M"),"false"),B2,M13),M13))</f>
        <v>#VALUE!</v>
      </c>
      <c r="N13" t="e">
        <f ca="1">IF((A1)=(2),"",IF((10)=(N3),IF(IF((INDEX(B1:XFD1,((A2)+(1))+(0)))=("store"),(INDEX(B1:XFD1,((A2)+(1))+(1)))=("N"),"false"),B2,N13),N13))</f>
        <v>#VALUE!</v>
      </c>
      <c r="O13" t="e">
        <f ca="1">IF((A1)=(2),"",IF((10)=(O3),IF(IF((INDEX(B1:XFD1,((A2)+(1))+(0)))=("store"),(INDEX(B1:XFD1,((A2)+(1))+(1)))=("O"),"false"),B2,O13),O13))</f>
        <v>#VALUE!</v>
      </c>
      <c r="P13" t="e">
        <f ca="1">IF((A1)=(2),"",IF((10)=(P3),IF(IF((INDEX(B1:XFD1,((A2)+(1))+(0)))=("store"),(INDEX(B1:XFD1,((A2)+(1))+(1)))=("P"),"false"),B2,P13),P13))</f>
        <v>#VALUE!</v>
      </c>
      <c r="Q13" t="e">
        <f ca="1">IF((A1)=(2),"",IF((10)=(Q3),IF(IF((INDEX(B1:XFD1,((A2)+(1))+(0)))=("store"),(INDEX(B1:XFD1,((A2)+(1))+(1)))=("Q"),"false"),B2,Q13),Q13))</f>
        <v>#VALUE!</v>
      </c>
      <c r="R13" t="e">
        <f ca="1">IF((A1)=(2),"",IF((10)=(R3),IF(IF((INDEX(B1:XFD1,((A2)+(1))+(0)))=("store"),(INDEX(B1:XFD1,((A2)+(1))+(1)))=("R"),"false"),B2,R13),R13))</f>
        <v>#VALUE!</v>
      </c>
      <c r="S13" t="e">
        <f ca="1">IF((A1)=(2),"",IF((10)=(S3),IF(IF((INDEX(B1:XFD1,((A2)+(1))+(0)))=("store"),(INDEX(B1:XFD1,((A2)+(1))+(1)))=("S"),"false"),B2,S13),S13))</f>
        <v>#VALUE!</v>
      </c>
      <c r="T13" t="e">
        <f ca="1">IF((A1)=(2),"",IF((10)=(T3),IF(IF((INDEX(B1:XFD1,((A2)+(1))+(0)))=("store"),(INDEX(B1:XFD1,((A2)+(1))+(1)))=("T"),"false"),B2,T13),T13))</f>
        <v>#VALUE!</v>
      </c>
      <c r="U13" t="e">
        <f ca="1">IF((A1)=(2),"",IF((10)=(U3),IF(IF((INDEX(B1:XFD1,((A2)+(1))+(0)))=("store"),(INDEX(B1:XFD1,((A2)+(1))+(1)))=("U"),"false"),B2,U13),U13))</f>
        <v>#VALUE!</v>
      </c>
      <c r="V13" t="e">
        <f ca="1">IF((A1)=(2),"",IF((10)=(V3),IF(IF((INDEX(B1:XFD1,((A2)+(1))+(0)))=("store"),(INDEX(B1:XFD1,((A2)+(1))+(1)))=("V"),"false"),B2,V13),V13))</f>
        <v>#VALUE!</v>
      </c>
      <c r="W13" t="e">
        <f ca="1">IF((A1)=(2),"",IF((10)=(W3),IF(IF((INDEX(B1:XFD1,((A2)+(1))+(0)))=("store"),(INDEX(B1:XFD1,((A2)+(1))+(1)))=("W"),"false"),B2,W13),W13))</f>
        <v>#VALUE!</v>
      </c>
      <c r="X13" t="e">
        <f ca="1">IF((A1)=(2),"",IF((10)=(X3),IF(IF((INDEX(B1:XFD1,((A2)+(1))+(0)))=("store"),(INDEX(B1:XFD1,((A2)+(1))+(1)))=("X"),"false"),B2,X13),X13))</f>
        <v>#VALUE!</v>
      </c>
      <c r="Y13" t="e">
        <f ca="1">IF((A1)=(2),"",IF((10)=(Y3),IF(IF((INDEX(B1:XFD1,((A2)+(1))+(0)))=("store"),(INDEX(B1:XFD1,((A2)+(1))+(1)))=("Y"),"false"),B2,Y13),Y13))</f>
        <v>#VALUE!</v>
      </c>
      <c r="Z13" t="e">
        <f ca="1">IF((A1)=(2),"",IF((10)=(Z3),IF(IF((INDEX(B1:XFD1,((A2)+(1))+(0)))=("store"),(INDEX(B1:XFD1,((A2)+(1))+(1)))=("Z"),"false"),B2,Z13),Z13))</f>
        <v>#VALUE!</v>
      </c>
      <c r="AA13" t="e">
        <f ca="1">IF((A1)=(2),"",IF((10)=(AA3),IF(IF((INDEX(B1:XFD1,((A2)+(1))+(0)))=("store"),(INDEX(B1:XFD1,((A2)+(1))+(1)))=("AA"),"false"),B2,AA13),AA13))</f>
        <v>#VALUE!</v>
      </c>
      <c r="AB13" t="e">
        <f ca="1">IF((A1)=(2),"",IF((10)=(AB3),IF(IF((INDEX(B1:XFD1,((A2)+(1))+(0)))=("store"),(INDEX(B1:XFD1,((A2)+(1))+(1)))=("AB"),"false"),B2,AB13),AB13))</f>
        <v>#VALUE!</v>
      </c>
      <c r="AC13" t="e">
        <f ca="1">IF((A1)=(2),"",IF((10)=(AC3),IF(IF((INDEX(B1:XFD1,((A2)+(1))+(0)))=("store"),(INDEX(B1:XFD1,((A2)+(1))+(1)))=("AC"),"false"),B2,AC13),AC13))</f>
        <v>#VALUE!</v>
      </c>
      <c r="AD13" t="e">
        <f ca="1">IF((A1)=(2),"",IF((10)=(AD3),IF(IF((INDEX(B1:XFD1,((A2)+(1))+(0)))=("store"),(INDEX(B1:XFD1,((A2)+(1))+(1)))=("AD"),"false"),B2,AD13),AD13))</f>
        <v>#VALUE!</v>
      </c>
    </row>
    <row r="14" spans="1:577" x14ac:dyDescent="0.25">
      <c r="A14" t="e">
        <f ca="1">IF((A1)=(2),"",IF((11)=(A3),IF(("call")=(INDEX(B1:XFD1,((A2)+(1))+(0))),(B2)*(2),IF(("goto")=(INDEX(B1:XFD1,((A2)+(1))+(0))),(INDEX(B1:XFD1,((A2)+(1))+(1)))*(2),IF(("gotoiftrue")=(INDEX(B1:XFD1,((A2)+(1))+(0))),IF(B2,(INDEX(B1:XFD1,((A2)+(1))+(1)))*(2),(A14)+(2)),(A14)+(2)))),A14))</f>
        <v>#VALUE!</v>
      </c>
      <c r="B14" t="e">
        <f ca="1">IF((A1)=(2),"",IF((11)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14)+(1)),IF(("add")=(INDEX(B1:XFD1,((A2)+(1))+(0))),(INDEX(B4:B404,(B3)+(1)))+(B14),IF(("equals")=(INDEX(B1:XFD1,((A2)+(1))+(0))),(INDEX(B4:B404,(B3)+(1)))=(B14),IF(("leq")=(INDEX(B1:XFD1,((A2)+(1))+(0))),(INDEX(B4:B404,(B3)+(1)))&lt;=(B14),IF(("greater")=(INDEX(B1:XFD1,((A2)+(1))+(0))),(INDEX(B4:B404,(B3)+(1)))&gt;(B14),IF(("mod")=(INDEX(B1:XFD1,((A2)+(1))+(0))),MOD(INDEX(B4:B404,(B3)+(1)),B14),B14))))))))),B14))</f>
        <v>#VALUE!</v>
      </c>
      <c r="C14" t="e">
        <f ca="1">IF((A1)=(2),1,IF(AND((INDEX(B1:XFD1,((A2)+(1))+(0)))=("writeheap"),(INDEX(B4:B404,(B3)+(1)))=(10)),INDEX(B4:B404,(B3)+(2)),IF((A1)=(2),"",IF((11)=(C3),C14,C14))))</f>
        <v>#VALUE!</v>
      </c>
      <c r="D14" t="e">
        <f ca="1">IF((A1)=(2),"",IF((11)=(D3),D14,D14))</f>
        <v>#VALUE!</v>
      </c>
      <c r="E14" t="e">
        <f ca="1">IF((A1)=(2),"",IF((11)=(E3),IF(("outputline")=(INDEX(B1:XFD1,((A2)+(1))+(0))),B2,E14),E14))</f>
        <v>#VALUE!</v>
      </c>
      <c r="F14" t="e">
        <f ca="1">IF((A1)=(2),"",IF((11)=(F3),IF(IF((INDEX(B1:XFD1,((A2)+(1))+(0)))=("store"),(INDEX(B1:XFD1,((A2)+(1))+(1)))=("F"),"false"),B2,F14),F14))</f>
        <v>#VALUE!</v>
      </c>
      <c r="G14" t="e">
        <f ca="1">IF((A1)=(2),"",IF((11)=(G3),IF(IF((INDEX(B1:XFD1,((A2)+(1))+(0)))=("store"),(INDEX(B1:XFD1,((A2)+(1))+(1)))=("G"),"false"),B2,G14),G14))</f>
        <v>#VALUE!</v>
      </c>
      <c r="H14" t="e">
        <f ca="1">IF((A1)=(2),"",IF((11)=(H3),IF(IF((INDEX(B1:XFD1,((A2)+(1))+(0)))=("store"),(INDEX(B1:XFD1,((A2)+(1))+(1)))=("H"),"false"),B2,H14),H14))</f>
        <v>#VALUE!</v>
      </c>
      <c r="I14" t="e">
        <f ca="1">IF((A1)=(2),"",IF((11)=(I3),IF(IF((INDEX(B1:XFD1,((A2)+(1))+(0)))=("store"),(INDEX(B1:XFD1,((A2)+(1))+(1)))=("I"),"false"),B2,I14),I14))</f>
        <v>#VALUE!</v>
      </c>
      <c r="J14" t="e">
        <f ca="1">IF((A1)=(2),"",IF((11)=(J3),IF(IF((INDEX(B1:XFD1,((A2)+(1))+(0)))=("store"),(INDEX(B1:XFD1,((A2)+(1))+(1)))=("J"),"false"),B2,J14),J14))</f>
        <v>#VALUE!</v>
      </c>
      <c r="K14" t="e">
        <f ca="1">IF((A1)=(2),"",IF((11)=(K3),IF(IF((INDEX(B1:XFD1,((A2)+(1))+(0)))=("store"),(INDEX(B1:XFD1,((A2)+(1))+(1)))=("K"),"false"),B2,K14),K14))</f>
        <v>#VALUE!</v>
      </c>
      <c r="L14" t="e">
        <f ca="1">IF((A1)=(2),"",IF((11)=(L3),IF(IF((INDEX(B1:XFD1,((A2)+(1))+(0)))=("store"),(INDEX(B1:XFD1,((A2)+(1))+(1)))=("L"),"false"),B2,L14),L14))</f>
        <v>#VALUE!</v>
      </c>
      <c r="M14" t="e">
        <f ca="1">IF((A1)=(2),"",IF((11)=(M3),IF(IF((INDEX(B1:XFD1,((A2)+(1))+(0)))=("store"),(INDEX(B1:XFD1,((A2)+(1))+(1)))=("M"),"false"),B2,M14),M14))</f>
        <v>#VALUE!</v>
      </c>
      <c r="N14" t="e">
        <f ca="1">IF((A1)=(2),"",IF((11)=(N3),IF(IF((INDEX(B1:XFD1,((A2)+(1))+(0)))=("store"),(INDEX(B1:XFD1,((A2)+(1))+(1)))=("N"),"false"),B2,N14),N14))</f>
        <v>#VALUE!</v>
      </c>
      <c r="O14" t="e">
        <f ca="1">IF((A1)=(2),"",IF((11)=(O3),IF(IF((INDEX(B1:XFD1,((A2)+(1))+(0)))=("store"),(INDEX(B1:XFD1,((A2)+(1))+(1)))=("O"),"false"),B2,O14),O14))</f>
        <v>#VALUE!</v>
      </c>
      <c r="P14" t="e">
        <f ca="1">IF((A1)=(2),"",IF((11)=(P3),IF(IF((INDEX(B1:XFD1,((A2)+(1))+(0)))=("store"),(INDEX(B1:XFD1,((A2)+(1))+(1)))=("P"),"false"),B2,P14),P14))</f>
        <v>#VALUE!</v>
      </c>
      <c r="Q14" t="e">
        <f ca="1">IF((A1)=(2),"",IF((11)=(Q3),IF(IF((INDEX(B1:XFD1,((A2)+(1))+(0)))=("store"),(INDEX(B1:XFD1,((A2)+(1))+(1)))=("Q"),"false"),B2,Q14),Q14))</f>
        <v>#VALUE!</v>
      </c>
      <c r="R14" t="e">
        <f ca="1">IF((A1)=(2),"",IF((11)=(R3),IF(IF((INDEX(B1:XFD1,((A2)+(1))+(0)))=("store"),(INDEX(B1:XFD1,((A2)+(1))+(1)))=("R"),"false"),B2,R14),R14))</f>
        <v>#VALUE!</v>
      </c>
      <c r="S14" t="e">
        <f ca="1">IF((A1)=(2),"",IF((11)=(S3),IF(IF((INDEX(B1:XFD1,((A2)+(1))+(0)))=("store"),(INDEX(B1:XFD1,((A2)+(1))+(1)))=("S"),"false"),B2,S14),S14))</f>
        <v>#VALUE!</v>
      </c>
      <c r="T14" t="e">
        <f ca="1">IF((A1)=(2),"",IF((11)=(T3),IF(IF((INDEX(B1:XFD1,((A2)+(1))+(0)))=("store"),(INDEX(B1:XFD1,((A2)+(1))+(1)))=("T"),"false"),B2,T14),T14))</f>
        <v>#VALUE!</v>
      </c>
      <c r="U14" t="e">
        <f ca="1">IF((A1)=(2),"",IF((11)=(U3),IF(IF((INDEX(B1:XFD1,((A2)+(1))+(0)))=("store"),(INDEX(B1:XFD1,((A2)+(1))+(1)))=("U"),"false"),B2,U14),U14))</f>
        <v>#VALUE!</v>
      </c>
      <c r="V14" t="e">
        <f ca="1">IF((A1)=(2),"",IF((11)=(V3),IF(IF((INDEX(B1:XFD1,((A2)+(1))+(0)))=("store"),(INDEX(B1:XFD1,((A2)+(1))+(1)))=("V"),"false"),B2,V14),V14))</f>
        <v>#VALUE!</v>
      </c>
      <c r="W14" t="e">
        <f ca="1">IF((A1)=(2),"",IF((11)=(W3),IF(IF((INDEX(B1:XFD1,((A2)+(1))+(0)))=("store"),(INDEX(B1:XFD1,((A2)+(1))+(1)))=("W"),"false"),B2,W14),W14))</f>
        <v>#VALUE!</v>
      </c>
      <c r="X14" t="e">
        <f ca="1">IF((A1)=(2),"",IF((11)=(X3),IF(IF((INDEX(B1:XFD1,((A2)+(1))+(0)))=("store"),(INDEX(B1:XFD1,((A2)+(1))+(1)))=("X"),"false"),B2,X14),X14))</f>
        <v>#VALUE!</v>
      </c>
      <c r="Y14" t="e">
        <f ca="1">IF((A1)=(2),"",IF((11)=(Y3),IF(IF((INDEX(B1:XFD1,((A2)+(1))+(0)))=("store"),(INDEX(B1:XFD1,((A2)+(1))+(1)))=("Y"),"false"),B2,Y14),Y14))</f>
        <v>#VALUE!</v>
      </c>
      <c r="Z14" t="e">
        <f ca="1">IF((A1)=(2),"",IF((11)=(Z3),IF(IF((INDEX(B1:XFD1,((A2)+(1))+(0)))=("store"),(INDEX(B1:XFD1,((A2)+(1))+(1)))=("Z"),"false"),B2,Z14),Z14))</f>
        <v>#VALUE!</v>
      </c>
      <c r="AA14" t="e">
        <f ca="1">IF((A1)=(2),"",IF((11)=(AA3),IF(IF((INDEX(B1:XFD1,((A2)+(1))+(0)))=("store"),(INDEX(B1:XFD1,((A2)+(1))+(1)))=("AA"),"false"),B2,AA14),AA14))</f>
        <v>#VALUE!</v>
      </c>
      <c r="AB14" t="e">
        <f ca="1">IF((A1)=(2),"",IF((11)=(AB3),IF(IF((INDEX(B1:XFD1,((A2)+(1))+(0)))=("store"),(INDEX(B1:XFD1,((A2)+(1))+(1)))=("AB"),"false"),B2,AB14),AB14))</f>
        <v>#VALUE!</v>
      </c>
      <c r="AC14" t="e">
        <f ca="1">IF((A1)=(2),"",IF((11)=(AC3),IF(IF((INDEX(B1:XFD1,((A2)+(1))+(0)))=("store"),(INDEX(B1:XFD1,((A2)+(1))+(1)))=("AC"),"false"),B2,AC14),AC14))</f>
        <v>#VALUE!</v>
      </c>
      <c r="AD14" t="e">
        <f ca="1">IF((A1)=(2),"",IF((11)=(AD3),IF(IF((INDEX(B1:XFD1,((A2)+(1))+(0)))=("store"),(INDEX(B1:XFD1,((A2)+(1))+(1)))=("AD"),"false"),B2,AD14),AD14))</f>
        <v>#VALUE!</v>
      </c>
    </row>
    <row r="15" spans="1:577" x14ac:dyDescent="0.25">
      <c r="A15" t="e">
        <f ca="1">IF((A1)=(2),"",IF((12)=(A3),IF(("call")=(INDEX(B1:XFD1,((A2)+(1))+(0))),(B2)*(2),IF(("goto")=(INDEX(B1:XFD1,((A2)+(1))+(0))),(INDEX(B1:XFD1,((A2)+(1))+(1)))*(2),IF(("gotoiftrue")=(INDEX(B1:XFD1,((A2)+(1))+(0))),IF(B2,(INDEX(B1:XFD1,((A2)+(1))+(1)))*(2),(A15)+(2)),(A15)+(2)))),A15))</f>
        <v>#VALUE!</v>
      </c>
      <c r="B15" t="e">
        <f ca="1">IF((A1)=(2),"",IF((12)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15)+(1)),IF(("add")=(INDEX(B1:XFD1,((A2)+(1))+(0))),(INDEX(B4:B404,(B3)+(1)))+(B15),IF(("equals")=(INDEX(B1:XFD1,((A2)+(1))+(0))),(INDEX(B4:B404,(B3)+(1)))=(B15),IF(("leq")=(INDEX(B1:XFD1,((A2)+(1))+(0))),(INDEX(B4:B404,(B3)+(1)))&lt;=(B15),IF(("greater")=(INDEX(B1:XFD1,((A2)+(1))+(0))),(INDEX(B4:B404,(B3)+(1)))&gt;(B15),IF(("mod")=(INDEX(B1:XFD1,((A2)+(1))+(0))),MOD(INDEX(B4:B404,(B3)+(1)),B15),B15))))))))),B15))</f>
        <v>#VALUE!</v>
      </c>
      <c r="C15" t="e">
        <f ca="1">IF((A1)=(2),1,IF(AND((INDEX(B1:XFD1,((A2)+(1))+(0)))=("writeheap"),(INDEX(B4:B404,(B3)+(1)))=(11)),INDEX(B4:B404,(B3)+(2)),IF((A1)=(2),"",IF((12)=(C3),C15,C15))))</f>
        <v>#VALUE!</v>
      </c>
      <c r="D15" t="e">
        <f ca="1">IF((A1)=(2),"",IF((12)=(D3),D15,D15))</f>
        <v>#VALUE!</v>
      </c>
      <c r="E15" t="e">
        <f ca="1">IF((A1)=(2),"",IF((12)=(E3),IF(("outputline")=(INDEX(B1:XFD1,((A2)+(1))+(0))),B2,E15),E15))</f>
        <v>#VALUE!</v>
      </c>
      <c r="F15" t="e">
        <f ca="1">IF((A1)=(2),"",IF((12)=(F3),IF(IF((INDEX(B1:XFD1,((A2)+(1))+(0)))=("store"),(INDEX(B1:XFD1,((A2)+(1))+(1)))=("F"),"false"),B2,F15),F15))</f>
        <v>#VALUE!</v>
      </c>
      <c r="G15" t="e">
        <f ca="1">IF((A1)=(2),"",IF((12)=(G3),IF(IF((INDEX(B1:XFD1,((A2)+(1))+(0)))=("store"),(INDEX(B1:XFD1,((A2)+(1))+(1)))=("G"),"false"),B2,G15),G15))</f>
        <v>#VALUE!</v>
      </c>
      <c r="H15" t="e">
        <f ca="1">IF((A1)=(2),"",IF((12)=(H3),IF(IF((INDEX(B1:XFD1,((A2)+(1))+(0)))=("store"),(INDEX(B1:XFD1,((A2)+(1))+(1)))=("H"),"false"),B2,H15),H15))</f>
        <v>#VALUE!</v>
      </c>
      <c r="I15" t="e">
        <f ca="1">IF((A1)=(2),"",IF((12)=(I3),IF(IF((INDEX(B1:XFD1,((A2)+(1))+(0)))=("store"),(INDEX(B1:XFD1,((A2)+(1))+(1)))=("I"),"false"),B2,I15),I15))</f>
        <v>#VALUE!</v>
      </c>
      <c r="J15" t="e">
        <f ca="1">IF((A1)=(2),"",IF((12)=(J3),IF(IF((INDEX(B1:XFD1,((A2)+(1))+(0)))=("store"),(INDEX(B1:XFD1,((A2)+(1))+(1)))=("J"),"false"),B2,J15),J15))</f>
        <v>#VALUE!</v>
      </c>
      <c r="K15" t="e">
        <f ca="1">IF((A1)=(2),"",IF((12)=(K3),IF(IF((INDEX(B1:XFD1,((A2)+(1))+(0)))=("store"),(INDEX(B1:XFD1,((A2)+(1))+(1)))=("K"),"false"),B2,K15),K15))</f>
        <v>#VALUE!</v>
      </c>
      <c r="L15" t="e">
        <f ca="1">IF((A1)=(2),"",IF((12)=(L3),IF(IF((INDEX(B1:XFD1,((A2)+(1))+(0)))=("store"),(INDEX(B1:XFD1,((A2)+(1))+(1)))=("L"),"false"),B2,L15),L15))</f>
        <v>#VALUE!</v>
      </c>
      <c r="M15" t="e">
        <f ca="1">IF((A1)=(2),"",IF((12)=(M3),IF(IF((INDEX(B1:XFD1,((A2)+(1))+(0)))=("store"),(INDEX(B1:XFD1,((A2)+(1))+(1)))=("M"),"false"),B2,M15),M15))</f>
        <v>#VALUE!</v>
      </c>
      <c r="N15" t="e">
        <f ca="1">IF((A1)=(2),"",IF((12)=(N3),IF(IF((INDEX(B1:XFD1,((A2)+(1))+(0)))=("store"),(INDEX(B1:XFD1,((A2)+(1))+(1)))=("N"),"false"),B2,N15),N15))</f>
        <v>#VALUE!</v>
      </c>
      <c r="O15" t="e">
        <f ca="1">IF((A1)=(2),"",IF((12)=(O3),IF(IF((INDEX(B1:XFD1,((A2)+(1))+(0)))=("store"),(INDEX(B1:XFD1,((A2)+(1))+(1)))=("O"),"false"),B2,O15),O15))</f>
        <v>#VALUE!</v>
      </c>
      <c r="P15" t="e">
        <f ca="1">IF((A1)=(2),"",IF((12)=(P3),IF(IF((INDEX(B1:XFD1,((A2)+(1))+(0)))=("store"),(INDEX(B1:XFD1,((A2)+(1))+(1)))=("P"),"false"),B2,P15),P15))</f>
        <v>#VALUE!</v>
      </c>
      <c r="Q15" t="e">
        <f ca="1">IF((A1)=(2),"",IF((12)=(Q3),IF(IF((INDEX(B1:XFD1,((A2)+(1))+(0)))=("store"),(INDEX(B1:XFD1,((A2)+(1))+(1)))=("Q"),"false"),B2,Q15),Q15))</f>
        <v>#VALUE!</v>
      </c>
      <c r="R15" t="e">
        <f ca="1">IF((A1)=(2),"",IF((12)=(R3),IF(IF((INDEX(B1:XFD1,((A2)+(1))+(0)))=("store"),(INDEX(B1:XFD1,((A2)+(1))+(1)))=("R"),"false"),B2,R15),R15))</f>
        <v>#VALUE!</v>
      </c>
      <c r="S15" t="e">
        <f ca="1">IF((A1)=(2),"",IF((12)=(S3),IF(IF((INDEX(B1:XFD1,((A2)+(1))+(0)))=("store"),(INDEX(B1:XFD1,((A2)+(1))+(1)))=("S"),"false"),B2,S15),S15))</f>
        <v>#VALUE!</v>
      </c>
      <c r="T15" t="e">
        <f ca="1">IF((A1)=(2),"",IF((12)=(T3),IF(IF((INDEX(B1:XFD1,((A2)+(1))+(0)))=("store"),(INDEX(B1:XFD1,((A2)+(1))+(1)))=("T"),"false"),B2,T15),T15))</f>
        <v>#VALUE!</v>
      </c>
      <c r="U15" t="e">
        <f ca="1">IF((A1)=(2),"",IF((12)=(U3),IF(IF((INDEX(B1:XFD1,((A2)+(1))+(0)))=("store"),(INDEX(B1:XFD1,((A2)+(1))+(1)))=("U"),"false"),B2,U15),U15))</f>
        <v>#VALUE!</v>
      </c>
      <c r="V15" t="e">
        <f ca="1">IF((A1)=(2),"",IF((12)=(V3),IF(IF((INDEX(B1:XFD1,((A2)+(1))+(0)))=("store"),(INDEX(B1:XFD1,((A2)+(1))+(1)))=("V"),"false"),B2,V15),V15))</f>
        <v>#VALUE!</v>
      </c>
      <c r="W15" t="e">
        <f ca="1">IF((A1)=(2),"",IF((12)=(W3),IF(IF((INDEX(B1:XFD1,((A2)+(1))+(0)))=("store"),(INDEX(B1:XFD1,((A2)+(1))+(1)))=("W"),"false"),B2,W15),W15))</f>
        <v>#VALUE!</v>
      </c>
      <c r="X15" t="e">
        <f ca="1">IF((A1)=(2),"",IF((12)=(X3),IF(IF((INDEX(B1:XFD1,((A2)+(1))+(0)))=("store"),(INDEX(B1:XFD1,((A2)+(1))+(1)))=("X"),"false"),B2,X15),X15))</f>
        <v>#VALUE!</v>
      </c>
      <c r="Y15" t="e">
        <f ca="1">IF((A1)=(2),"",IF((12)=(Y3),IF(IF((INDEX(B1:XFD1,((A2)+(1))+(0)))=("store"),(INDEX(B1:XFD1,((A2)+(1))+(1)))=("Y"),"false"),B2,Y15),Y15))</f>
        <v>#VALUE!</v>
      </c>
      <c r="Z15" t="e">
        <f ca="1">IF((A1)=(2),"",IF((12)=(Z3),IF(IF((INDEX(B1:XFD1,((A2)+(1))+(0)))=("store"),(INDEX(B1:XFD1,((A2)+(1))+(1)))=("Z"),"false"),B2,Z15),Z15))</f>
        <v>#VALUE!</v>
      </c>
      <c r="AA15" t="e">
        <f ca="1">IF((A1)=(2),"",IF((12)=(AA3),IF(IF((INDEX(B1:XFD1,((A2)+(1))+(0)))=("store"),(INDEX(B1:XFD1,((A2)+(1))+(1)))=("AA"),"false"),B2,AA15),AA15))</f>
        <v>#VALUE!</v>
      </c>
      <c r="AB15" t="e">
        <f ca="1">IF((A1)=(2),"",IF((12)=(AB3),IF(IF((INDEX(B1:XFD1,((A2)+(1))+(0)))=("store"),(INDEX(B1:XFD1,((A2)+(1))+(1)))=("AB"),"false"),B2,AB15),AB15))</f>
        <v>#VALUE!</v>
      </c>
      <c r="AC15" t="e">
        <f ca="1">IF((A1)=(2),"",IF((12)=(AC3),IF(IF((INDEX(B1:XFD1,((A2)+(1))+(0)))=("store"),(INDEX(B1:XFD1,((A2)+(1))+(1)))=("AC"),"false"),B2,AC15),AC15))</f>
        <v>#VALUE!</v>
      </c>
      <c r="AD15" t="e">
        <f ca="1">IF((A1)=(2),"",IF((12)=(AD3),IF(IF((INDEX(B1:XFD1,((A2)+(1))+(0)))=("store"),(INDEX(B1:XFD1,((A2)+(1))+(1)))=("AD"),"false"),B2,AD15),AD15))</f>
        <v>#VALUE!</v>
      </c>
    </row>
    <row r="16" spans="1:577" x14ac:dyDescent="0.25">
      <c r="A16" t="e">
        <f ca="1">IF((A1)=(2),"",IF((13)=(A3),IF(("call")=(INDEX(B1:XFD1,((A2)+(1))+(0))),(B2)*(2),IF(("goto")=(INDEX(B1:XFD1,((A2)+(1))+(0))),(INDEX(B1:XFD1,((A2)+(1))+(1)))*(2),IF(("gotoiftrue")=(INDEX(B1:XFD1,((A2)+(1))+(0))),IF(B2,(INDEX(B1:XFD1,((A2)+(1))+(1)))*(2),(A16)+(2)),(A16)+(2)))),A16))</f>
        <v>#VALUE!</v>
      </c>
      <c r="B16" t="e">
        <f ca="1">IF((A1)=(2),"",IF((13)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16)+(1)),IF(("add")=(INDEX(B1:XFD1,((A2)+(1))+(0))),(INDEX(B4:B404,(B3)+(1)))+(B16),IF(("equals")=(INDEX(B1:XFD1,((A2)+(1))+(0))),(INDEX(B4:B404,(B3)+(1)))=(B16),IF(("leq")=(INDEX(B1:XFD1,((A2)+(1))+(0))),(INDEX(B4:B404,(B3)+(1)))&lt;=(B16),IF(("greater")=(INDEX(B1:XFD1,((A2)+(1))+(0))),(INDEX(B4:B404,(B3)+(1)))&gt;(B16),IF(("mod")=(INDEX(B1:XFD1,((A2)+(1))+(0))),MOD(INDEX(B4:B404,(B3)+(1)),B16),B16))))))))),B16))</f>
        <v>#VALUE!</v>
      </c>
      <c r="C16" t="e">
        <f ca="1">IF((A1)=(2),1,IF(AND((INDEX(B1:XFD1,((A2)+(1))+(0)))=("writeheap"),(INDEX(B4:B404,(B3)+(1)))=(12)),INDEX(B4:B404,(B3)+(2)),IF((A1)=(2),"",IF((13)=(C3),C16,C16))))</f>
        <v>#VALUE!</v>
      </c>
      <c r="D16" t="e">
        <f ca="1">IF((A1)=(2),"",IF((13)=(D3),D16,D16))</f>
        <v>#VALUE!</v>
      </c>
      <c r="E16" t="e">
        <f ca="1">IF((A1)=(2),"",IF((13)=(E3),IF(("outputline")=(INDEX(B1:XFD1,((A2)+(1))+(0))),B2,E16),E16))</f>
        <v>#VALUE!</v>
      </c>
      <c r="F16" t="e">
        <f ca="1">IF((A1)=(2),"",IF((13)=(F3),IF(IF((INDEX(B1:XFD1,((A2)+(1))+(0)))=("store"),(INDEX(B1:XFD1,((A2)+(1))+(1)))=("F"),"false"),B2,F16),F16))</f>
        <v>#VALUE!</v>
      </c>
      <c r="G16" t="e">
        <f ca="1">IF((A1)=(2),"",IF((13)=(G3),IF(IF((INDEX(B1:XFD1,((A2)+(1))+(0)))=("store"),(INDEX(B1:XFD1,((A2)+(1))+(1)))=("G"),"false"),B2,G16),G16))</f>
        <v>#VALUE!</v>
      </c>
      <c r="H16" t="e">
        <f ca="1">IF((A1)=(2),"",IF((13)=(H3),IF(IF((INDEX(B1:XFD1,((A2)+(1))+(0)))=("store"),(INDEX(B1:XFD1,((A2)+(1))+(1)))=("H"),"false"),B2,H16),H16))</f>
        <v>#VALUE!</v>
      </c>
      <c r="I16" t="e">
        <f ca="1">IF((A1)=(2),"",IF((13)=(I3),IF(IF((INDEX(B1:XFD1,((A2)+(1))+(0)))=("store"),(INDEX(B1:XFD1,((A2)+(1))+(1)))=("I"),"false"),B2,I16),I16))</f>
        <v>#VALUE!</v>
      </c>
      <c r="J16" t="e">
        <f ca="1">IF((A1)=(2),"",IF((13)=(J3),IF(IF((INDEX(B1:XFD1,((A2)+(1))+(0)))=("store"),(INDEX(B1:XFD1,((A2)+(1))+(1)))=("J"),"false"),B2,J16),J16))</f>
        <v>#VALUE!</v>
      </c>
      <c r="K16" t="e">
        <f ca="1">IF((A1)=(2),"",IF((13)=(K3),IF(IF((INDEX(B1:XFD1,((A2)+(1))+(0)))=("store"),(INDEX(B1:XFD1,((A2)+(1))+(1)))=("K"),"false"),B2,K16),K16))</f>
        <v>#VALUE!</v>
      </c>
      <c r="L16" t="e">
        <f ca="1">IF((A1)=(2),"",IF((13)=(L3),IF(IF((INDEX(B1:XFD1,((A2)+(1))+(0)))=("store"),(INDEX(B1:XFD1,((A2)+(1))+(1)))=("L"),"false"),B2,L16),L16))</f>
        <v>#VALUE!</v>
      </c>
      <c r="M16" t="e">
        <f ca="1">IF((A1)=(2),"",IF((13)=(M3),IF(IF((INDEX(B1:XFD1,((A2)+(1))+(0)))=("store"),(INDEX(B1:XFD1,((A2)+(1))+(1)))=("M"),"false"),B2,M16),M16))</f>
        <v>#VALUE!</v>
      </c>
      <c r="N16" t="e">
        <f ca="1">IF((A1)=(2),"",IF((13)=(N3),IF(IF((INDEX(B1:XFD1,((A2)+(1))+(0)))=("store"),(INDEX(B1:XFD1,((A2)+(1))+(1)))=("N"),"false"),B2,N16),N16))</f>
        <v>#VALUE!</v>
      </c>
      <c r="O16" t="e">
        <f ca="1">IF((A1)=(2),"",IF((13)=(O3),IF(IF((INDEX(B1:XFD1,((A2)+(1))+(0)))=("store"),(INDEX(B1:XFD1,((A2)+(1))+(1)))=("O"),"false"),B2,O16),O16))</f>
        <v>#VALUE!</v>
      </c>
      <c r="P16" t="e">
        <f ca="1">IF((A1)=(2),"",IF((13)=(P3),IF(IF((INDEX(B1:XFD1,((A2)+(1))+(0)))=("store"),(INDEX(B1:XFD1,((A2)+(1))+(1)))=("P"),"false"),B2,P16),P16))</f>
        <v>#VALUE!</v>
      </c>
      <c r="Q16" t="e">
        <f ca="1">IF((A1)=(2),"",IF((13)=(Q3),IF(IF((INDEX(B1:XFD1,((A2)+(1))+(0)))=("store"),(INDEX(B1:XFD1,((A2)+(1))+(1)))=("Q"),"false"),B2,Q16),Q16))</f>
        <v>#VALUE!</v>
      </c>
      <c r="R16" t="e">
        <f ca="1">IF((A1)=(2),"",IF((13)=(R3),IF(IF((INDEX(B1:XFD1,((A2)+(1))+(0)))=("store"),(INDEX(B1:XFD1,((A2)+(1))+(1)))=("R"),"false"),B2,R16),R16))</f>
        <v>#VALUE!</v>
      </c>
      <c r="S16" t="e">
        <f ca="1">IF((A1)=(2),"",IF((13)=(S3),IF(IF((INDEX(B1:XFD1,((A2)+(1))+(0)))=("store"),(INDEX(B1:XFD1,((A2)+(1))+(1)))=("S"),"false"),B2,S16),S16))</f>
        <v>#VALUE!</v>
      </c>
      <c r="T16" t="e">
        <f ca="1">IF((A1)=(2),"",IF((13)=(T3),IF(IF((INDEX(B1:XFD1,((A2)+(1))+(0)))=("store"),(INDEX(B1:XFD1,((A2)+(1))+(1)))=("T"),"false"),B2,T16),T16))</f>
        <v>#VALUE!</v>
      </c>
      <c r="U16" t="e">
        <f ca="1">IF((A1)=(2),"",IF((13)=(U3),IF(IF((INDEX(B1:XFD1,((A2)+(1))+(0)))=("store"),(INDEX(B1:XFD1,((A2)+(1))+(1)))=("U"),"false"),B2,U16),U16))</f>
        <v>#VALUE!</v>
      </c>
      <c r="V16" t="e">
        <f ca="1">IF((A1)=(2),"",IF((13)=(V3),IF(IF((INDEX(B1:XFD1,((A2)+(1))+(0)))=("store"),(INDEX(B1:XFD1,((A2)+(1))+(1)))=("V"),"false"),B2,V16),V16))</f>
        <v>#VALUE!</v>
      </c>
      <c r="W16" t="e">
        <f ca="1">IF((A1)=(2),"",IF((13)=(W3),IF(IF((INDEX(B1:XFD1,((A2)+(1))+(0)))=("store"),(INDEX(B1:XFD1,((A2)+(1))+(1)))=("W"),"false"),B2,W16),W16))</f>
        <v>#VALUE!</v>
      </c>
      <c r="X16" t="e">
        <f ca="1">IF((A1)=(2),"",IF((13)=(X3),IF(IF((INDEX(B1:XFD1,((A2)+(1))+(0)))=("store"),(INDEX(B1:XFD1,((A2)+(1))+(1)))=("X"),"false"),B2,X16),X16))</f>
        <v>#VALUE!</v>
      </c>
      <c r="Y16" t="e">
        <f ca="1">IF((A1)=(2),"",IF((13)=(Y3),IF(IF((INDEX(B1:XFD1,((A2)+(1))+(0)))=("store"),(INDEX(B1:XFD1,((A2)+(1))+(1)))=("Y"),"false"),B2,Y16),Y16))</f>
        <v>#VALUE!</v>
      </c>
      <c r="Z16" t="e">
        <f ca="1">IF((A1)=(2),"",IF((13)=(Z3),IF(IF((INDEX(B1:XFD1,((A2)+(1))+(0)))=("store"),(INDEX(B1:XFD1,((A2)+(1))+(1)))=("Z"),"false"),B2,Z16),Z16))</f>
        <v>#VALUE!</v>
      </c>
      <c r="AA16" t="e">
        <f ca="1">IF((A1)=(2),"",IF((13)=(AA3),IF(IF((INDEX(B1:XFD1,((A2)+(1))+(0)))=("store"),(INDEX(B1:XFD1,((A2)+(1))+(1)))=("AA"),"false"),B2,AA16),AA16))</f>
        <v>#VALUE!</v>
      </c>
      <c r="AB16" t="e">
        <f ca="1">IF((A1)=(2),"",IF((13)=(AB3),IF(IF((INDEX(B1:XFD1,((A2)+(1))+(0)))=("store"),(INDEX(B1:XFD1,((A2)+(1))+(1)))=("AB"),"false"),B2,AB16),AB16))</f>
        <v>#VALUE!</v>
      </c>
      <c r="AC16" t="e">
        <f ca="1">IF((A1)=(2),"",IF((13)=(AC3),IF(IF((INDEX(B1:XFD1,((A2)+(1))+(0)))=("store"),(INDEX(B1:XFD1,((A2)+(1))+(1)))=("AC"),"false"),B2,AC16),AC16))</f>
        <v>#VALUE!</v>
      </c>
      <c r="AD16" t="e">
        <f ca="1">IF((A1)=(2),"",IF((13)=(AD3),IF(IF((INDEX(B1:XFD1,((A2)+(1))+(0)))=("store"),(INDEX(B1:XFD1,((A2)+(1))+(1)))=("AD"),"false"),B2,AD16),AD16))</f>
        <v>#VALUE!</v>
      </c>
    </row>
    <row r="17" spans="1:30" x14ac:dyDescent="0.25">
      <c r="A17" t="e">
        <f ca="1">IF((A1)=(2),"",IF((14)=(A3),IF(("call")=(INDEX(B1:XFD1,((A2)+(1))+(0))),(B2)*(2),IF(("goto")=(INDEX(B1:XFD1,((A2)+(1))+(0))),(INDEX(B1:XFD1,((A2)+(1))+(1)))*(2),IF(("gotoiftrue")=(INDEX(B1:XFD1,((A2)+(1))+(0))),IF(B2,(INDEX(B1:XFD1,((A2)+(1))+(1)))*(2),(A17)+(2)),(A17)+(2)))),A17))</f>
        <v>#VALUE!</v>
      </c>
      <c r="B17" t="e">
        <f ca="1">IF((A1)=(2),"",IF((14)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17)+(1)),IF(("add")=(INDEX(B1:XFD1,((A2)+(1))+(0))),(INDEX(B4:B404,(B3)+(1)))+(B17),IF(("equals")=(INDEX(B1:XFD1,((A2)+(1))+(0))),(INDEX(B4:B404,(B3)+(1)))=(B17),IF(("leq")=(INDEX(B1:XFD1,((A2)+(1))+(0))),(INDEX(B4:B404,(B3)+(1)))&lt;=(B17),IF(("greater")=(INDEX(B1:XFD1,((A2)+(1))+(0))),(INDEX(B4:B404,(B3)+(1)))&gt;(B17),IF(("mod")=(INDEX(B1:XFD1,((A2)+(1))+(0))),MOD(INDEX(B4:B404,(B3)+(1)),B17),B17))))))))),B17))</f>
        <v>#VALUE!</v>
      </c>
      <c r="C17" t="e">
        <f ca="1">IF((A1)=(2),1,IF(AND((INDEX(B1:XFD1,((A2)+(1))+(0)))=("writeheap"),(INDEX(B4:B404,(B3)+(1)))=(13)),INDEX(B4:B404,(B3)+(2)),IF((A1)=(2),"",IF((14)=(C3),C17,C17))))</f>
        <v>#VALUE!</v>
      </c>
      <c r="D17" t="e">
        <f ca="1">IF((A1)=(2),"",IF((14)=(D3),D17,D17))</f>
        <v>#VALUE!</v>
      </c>
      <c r="E17" t="e">
        <f ca="1">IF((A1)=(2),"",IF((14)=(E3),IF(("outputline")=(INDEX(B1:XFD1,((A2)+(1))+(0))),B2,E17),E17))</f>
        <v>#VALUE!</v>
      </c>
      <c r="F17" t="e">
        <f ca="1">IF((A1)=(2),"",IF((14)=(F3),IF(IF((INDEX(B1:XFD1,((A2)+(1))+(0)))=("store"),(INDEX(B1:XFD1,((A2)+(1))+(1)))=("F"),"false"),B2,F17),F17))</f>
        <v>#VALUE!</v>
      </c>
      <c r="G17" t="e">
        <f ca="1">IF((A1)=(2),"",IF((14)=(G3),IF(IF((INDEX(B1:XFD1,((A2)+(1))+(0)))=("store"),(INDEX(B1:XFD1,((A2)+(1))+(1)))=("G"),"false"),B2,G17),G17))</f>
        <v>#VALUE!</v>
      </c>
      <c r="H17" t="e">
        <f ca="1">IF((A1)=(2),"",IF((14)=(H3),IF(IF((INDEX(B1:XFD1,((A2)+(1))+(0)))=("store"),(INDEX(B1:XFD1,((A2)+(1))+(1)))=("H"),"false"),B2,H17),H17))</f>
        <v>#VALUE!</v>
      </c>
      <c r="I17" t="e">
        <f ca="1">IF((A1)=(2),"",IF((14)=(I3),IF(IF((INDEX(B1:XFD1,((A2)+(1))+(0)))=("store"),(INDEX(B1:XFD1,((A2)+(1))+(1)))=("I"),"false"),B2,I17),I17))</f>
        <v>#VALUE!</v>
      </c>
      <c r="J17" t="e">
        <f ca="1">IF((A1)=(2),"",IF((14)=(J3),IF(IF((INDEX(B1:XFD1,((A2)+(1))+(0)))=("store"),(INDEX(B1:XFD1,((A2)+(1))+(1)))=("J"),"false"),B2,J17),J17))</f>
        <v>#VALUE!</v>
      </c>
      <c r="K17" t="e">
        <f ca="1">IF((A1)=(2),"",IF((14)=(K3),IF(IF((INDEX(B1:XFD1,((A2)+(1))+(0)))=("store"),(INDEX(B1:XFD1,((A2)+(1))+(1)))=("K"),"false"),B2,K17),K17))</f>
        <v>#VALUE!</v>
      </c>
      <c r="L17" t="e">
        <f ca="1">IF((A1)=(2),"",IF((14)=(L3),IF(IF((INDEX(B1:XFD1,((A2)+(1))+(0)))=("store"),(INDEX(B1:XFD1,((A2)+(1))+(1)))=("L"),"false"),B2,L17),L17))</f>
        <v>#VALUE!</v>
      </c>
      <c r="M17" t="e">
        <f ca="1">IF((A1)=(2),"",IF((14)=(M3),IF(IF((INDEX(B1:XFD1,((A2)+(1))+(0)))=("store"),(INDEX(B1:XFD1,((A2)+(1))+(1)))=("M"),"false"),B2,M17),M17))</f>
        <v>#VALUE!</v>
      </c>
      <c r="N17" t="e">
        <f ca="1">IF((A1)=(2),"",IF((14)=(N3),IF(IF((INDEX(B1:XFD1,((A2)+(1))+(0)))=("store"),(INDEX(B1:XFD1,((A2)+(1))+(1)))=("N"),"false"),B2,N17),N17))</f>
        <v>#VALUE!</v>
      </c>
      <c r="O17" t="e">
        <f ca="1">IF((A1)=(2),"",IF((14)=(O3),IF(IF((INDEX(B1:XFD1,((A2)+(1))+(0)))=("store"),(INDEX(B1:XFD1,((A2)+(1))+(1)))=("O"),"false"),B2,O17),O17))</f>
        <v>#VALUE!</v>
      </c>
      <c r="P17" t="e">
        <f ca="1">IF((A1)=(2),"",IF((14)=(P3),IF(IF((INDEX(B1:XFD1,((A2)+(1))+(0)))=("store"),(INDEX(B1:XFD1,((A2)+(1))+(1)))=("P"),"false"),B2,P17),P17))</f>
        <v>#VALUE!</v>
      </c>
      <c r="Q17" t="e">
        <f ca="1">IF((A1)=(2),"",IF((14)=(Q3),IF(IF((INDEX(B1:XFD1,((A2)+(1))+(0)))=("store"),(INDEX(B1:XFD1,((A2)+(1))+(1)))=("Q"),"false"),B2,Q17),Q17))</f>
        <v>#VALUE!</v>
      </c>
      <c r="R17" t="e">
        <f ca="1">IF((A1)=(2),"",IF((14)=(R3),IF(IF((INDEX(B1:XFD1,((A2)+(1))+(0)))=("store"),(INDEX(B1:XFD1,((A2)+(1))+(1)))=("R"),"false"),B2,R17),R17))</f>
        <v>#VALUE!</v>
      </c>
      <c r="S17" t="e">
        <f ca="1">IF((A1)=(2),"",IF((14)=(S3),IF(IF((INDEX(B1:XFD1,((A2)+(1))+(0)))=("store"),(INDEX(B1:XFD1,((A2)+(1))+(1)))=("S"),"false"),B2,S17),S17))</f>
        <v>#VALUE!</v>
      </c>
      <c r="T17" t="e">
        <f ca="1">IF((A1)=(2),"",IF((14)=(T3),IF(IF((INDEX(B1:XFD1,((A2)+(1))+(0)))=("store"),(INDEX(B1:XFD1,((A2)+(1))+(1)))=("T"),"false"),B2,T17),T17))</f>
        <v>#VALUE!</v>
      </c>
      <c r="U17" t="e">
        <f ca="1">IF((A1)=(2),"",IF((14)=(U3),IF(IF((INDEX(B1:XFD1,((A2)+(1))+(0)))=("store"),(INDEX(B1:XFD1,((A2)+(1))+(1)))=("U"),"false"),B2,U17),U17))</f>
        <v>#VALUE!</v>
      </c>
      <c r="V17" t="e">
        <f ca="1">IF((A1)=(2),"",IF((14)=(V3),IF(IF((INDEX(B1:XFD1,((A2)+(1))+(0)))=("store"),(INDEX(B1:XFD1,((A2)+(1))+(1)))=("V"),"false"),B2,V17),V17))</f>
        <v>#VALUE!</v>
      </c>
      <c r="W17" t="e">
        <f ca="1">IF((A1)=(2),"",IF((14)=(W3),IF(IF((INDEX(B1:XFD1,((A2)+(1))+(0)))=("store"),(INDEX(B1:XFD1,((A2)+(1))+(1)))=("W"),"false"),B2,W17),W17))</f>
        <v>#VALUE!</v>
      </c>
      <c r="X17" t="e">
        <f ca="1">IF((A1)=(2),"",IF((14)=(X3),IF(IF((INDEX(B1:XFD1,((A2)+(1))+(0)))=("store"),(INDEX(B1:XFD1,((A2)+(1))+(1)))=("X"),"false"),B2,X17),X17))</f>
        <v>#VALUE!</v>
      </c>
      <c r="Y17" t="e">
        <f ca="1">IF((A1)=(2),"",IF((14)=(Y3),IF(IF((INDEX(B1:XFD1,((A2)+(1))+(0)))=("store"),(INDEX(B1:XFD1,((A2)+(1))+(1)))=("Y"),"false"),B2,Y17),Y17))</f>
        <v>#VALUE!</v>
      </c>
      <c r="Z17" t="e">
        <f ca="1">IF((A1)=(2),"",IF((14)=(Z3),IF(IF((INDEX(B1:XFD1,((A2)+(1))+(0)))=("store"),(INDEX(B1:XFD1,((A2)+(1))+(1)))=("Z"),"false"),B2,Z17),Z17))</f>
        <v>#VALUE!</v>
      </c>
      <c r="AA17" t="e">
        <f ca="1">IF((A1)=(2),"",IF((14)=(AA3),IF(IF((INDEX(B1:XFD1,((A2)+(1))+(0)))=("store"),(INDEX(B1:XFD1,((A2)+(1))+(1)))=("AA"),"false"),B2,AA17),AA17))</f>
        <v>#VALUE!</v>
      </c>
      <c r="AB17" t="e">
        <f ca="1">IF((A1)=(2),"",IF((14)=(AB3),IF(IF((INDEX(B1:XFD1,((A2)+(1))+(0)))=("store"),(INDEX(B1:XFD1,((A2)+(1))+(1)))=("AB"),"false"),B2,AB17),AB17))</f>
        <v>#VALUE!</v>
      </c>
      <c r="AC17" t="e">
        <f ca="1">IF((A1)=(2),"",IF((14)=(AC3),IF(IF((INDEX(B1:XFD1,((A2)+(1))+(0)))=("store"),(INDEX(B1:XFD1,((A2)+(1))+(1)))=("AC"),"false"),B2,AC17),AC17))</f>
        <v>#VALUE!</v>
      </c>
      <c r="AD17" t="e">
        <f ca="1">IF((A1)=(2),"",IF((14)=(AD3),IF(IF((INDEX(B1:XFD1,((A2)+(1))+(0)))=("store"),(INDEX(B1:XFD1,((A2)+(1))+(1)))=("AD"),"false"),B2,AD17),AD17))</f>
        <v>#VALUE!</v>
      </c>
    </row>
    <row r="18" spans="1:30" x14ac:dyDescent="0.25">
      <c r="A18" t="e">
        <f ca="1">IF((A1)=(2),"",IF((15)=(A3),IF(("call")=(INDEX(B1:XFD1,((A2)+(1))+(0))),(B2)*(2),IF(("goto")=(INDEX(B1:XFD1,((A2)+(1))+(0))),(INDEX(B1:XFD1,((A2)+(1))+(1)))*(2),IF(("gotoiftrue")=(INDEX(B1:XFD1,((A2)+(1))+(0))),IF(B2,(INDEX(B1:XFD1,((A2)+(1))+(1)))*(2),(A18)+(2)),(A18)+(2)))),A18))</f>
        <v>#VALUE!</v>
      </c>
      <c r="B18" t="e">
        <f ca="1">IF((A1)=(2),"",IF((15)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18)+(1)),IF(("add")=(INDEX(B1:XFD1,((A2)+(1))+(0))),(INDEX(B4:B404,(B3)+(1)))+(B18),IF(("equals")=(INDEX(B1:XFD1,((A2)+(1))+(0))),(INDEX(B4:B404,(B3)+(1)))=(B18),IF(("leq")=(INDEX(B1:XFD1,((A2)+(1))+(0))),(INDEX(B4:B404,(B3)+(1)))&lt;=(B18),IF(("greater")=(INDEX(B1:XFD1,((A2)+(1))+(0))),(INDEX(B4:B404,(B3)+(1)))&gt;(B18),IF(("mod")=(INDEX(B1:XFD1,((A2)+(1))+(0))),MOD(INDEX(B4:B404,(B3)+(1)),B18),B18))))))))),B18))</f>
        <v>#VALUE!</v>
      </c>
      <c r="C18" t="e">
        <f ca="1">IF((A1)=(2),1,IF(AND((INDEX(B1:XFD1,((A2)+(1))+(0)))=("writeheap"),(INDEX(B4:B404,(B3)+(1)))=(14)),INDEX(B4:B404,(B3)+(2)),IF((A1)=(2),"",IF((15)=(C3),C18,C18))))</f>
        <v>#VALUE!</v>
      </c>
      <c r="D18" t="e">
        <f ca="1">IF((A1)=(2),"",IF((15)=(D3),D18,D18))</f>
        <v>#VALUE!</v>
      </c>
      <c r="E18" t="e">
        <f ca="1">IF((A1)=(2),"",IF((15)=(E3),IF(("outputline")=(INDEX(B1:XFD1,((A2)+(1))+(0))),B2,E18),E18))</f>
        <v>#VALUE!</v>
      </c>
      <c r="F18" t="e">
        <f ca="1">IF((A1)=(2),"",IF((15)=(F3),IF(IF((INDEX(B1:XFD1,((A2)+(1))+(0)))=("store"),(INDEX(B1:XFD1,((A2)+(1))+(1)))=("F"),"false"),B2,F18),F18))</f>
        <v>#VALUE!</v>
      </c>
      <c r="G18" t="e">
        <f ca="1">IF((A1)=(2),"",IF((15)=(G3),IF(IF((INDEX(B1:XFD1,((A2)+(1))+(0)))=("store"),(INDEX(B1:XFD1,((A2)+(1))+(1)))=("G"),"false"),B2,G18),G18))</f>
        <v>#VALUE!</v>
      </c>
      <c r="H18" t="e">
        <f ca="1">IF((A1)=(2),"",IF((15)=(H3),IF(IF((INDEX(B1:XFD1,((A2)+(1))+(0)))=("store"),(INDEX(B1:XFD1,((A2)+(1))+(1)))=("H"),"false"),B2,H18),H18))</f>
        <v>#VALUE!</v>
      </c>
      <c r="I18" t="e">
        <f ca="1">IF((A1)=(2),"",IF((15)=(I3),IF(IF((INDEX(B1:XFD1,((A2)+(1))+(0)))=("store"),(INDEX(B1:XFD1,((A2)+(1))+(1)))=("I"),"false"),B2,I18),I18))</f>
        <v>#VALUE!</v>
      </c>
      <c r="J18" t="e">
        <f ca="1">IF((A1)=(2),"",IF((15)=(J3),IF(IF((INDEX(B1:XFD1,((A2)+(1))+(0)))=("store"),(INDEX(B1:XFD1,((A2)+(1))+(1)))=("J"),"false"),B2,J18),J18))</f>
        <v>#VALUE!</v>
      </c>
      <c r="K18" t="e">
        <f ca="1">IF((A1)=(2),"",IF((15)=(K3),IF(IF((INDEX(B1:XFD1,((A2)+(1))+(0)))=("store"),(INDEX(B1:XFD1,((A2)+(1))+(1)))=("K"),"false"),B2,K18),K18))</f>
        <v>#VALUE!</v>
      </c>
      <c r="L18" t="e">
        <f ca="1">IF((A1)=(2),"",IF((15)=(L3),IF(IF((INDEX(B1:XFD1,((A2)+(1))+(0)))=("store"),(INDEX(B1:XFD1,((A2)+(1))+(1)))=("L"),"false"),B2,L18),L18))</f>
        <v>#VALUE!</v>
      </c>
      <c r="M18" t="e">
        <f ca="1">IF((A1)=(2),"",IF((15)=(M3),IF(IF((INDEX(B1:XFD1,((A2)+(1))+(0)))=("store"),(INDEX(B1:XFD1,((A2)+(1))+(1)))=("M"),"false"),B2,M18),M18))</f>
        <v>#VALUE!</v>
      </c>
      <c r="N18" t="e">
        <f ca="1">IF((A1)=(2),"",IF((15)=(N3),IF(IF((INDEX(B1:XFD1,((A2)+(1))+(0)))=("store"),(INDEX(B1:XFD1,((A2)+(1))+(1)))=("N"),"false"),B2,N18),N18))</f>
        <v>#VALUE!</v>
      </c>
      <c r="O18" t="e">
        <f ca="1">IF((A1)=(2),"",IF((15)=(O3),IF(IF((INDEX(B1:XFD1,((A2)+(1))+(0)))=("store"),(INDEX(B1:XFD1,((A2)+(1))+(1)))=("O"),"false"),B2,O18),O18))</f>
        <v>#VALUE!</v>
      </c>
      <c r="P18" t="e">
        <f ca="1">IF((A1)=(2),"",IF((15)=(P3),IF(IF((INDEX(B1:XFD1,((A2)+(1))+(0)))=("store"),(INDEX(B1:XFD1,((A2)+(1))+(1)))=("P"),"false"),B2,P18),P18))</f>
        <v>#VALUE!</v>
      </c>
      <c r="Q18" t="e">
        <f ca="1">IF((A1)=(2),"",IF((15)=(Q3),IF(IF((INDEX(B1:XFD1,((A2)+(1))+(0)))=("store"),(INDEX(B1:XFD1,((A2)+(1))+(1)))=("Q"),"false"),B2,Q18),Q18))</f>
        <v>#VALUE!</v>
      </c>
      <c r="R18" t="e">
        <f ca="1">IF((A1)=(2),"",IF((15)=(R3),IF(IF((INDEX(B1:XFD1,((A2)+(1))+(0)))=("store"),(INDEX(B1:XFD1,((A2)+(1))+(1)))=("R"),"false"),B2,R18),R18))</f>
        <v>#VALUE!</v>
      </c>
      <c r="S18" t="e">
        <f ca="1">IF((A1)=(2),"",IF((15)=(S3),IF(IF((INDEX(B1:XFD1,((A2)+(1))+(0)))=("store"),(INDEX(B1:XFD1,((A2)+(1))+(1)))=("S"),"false"),B2,S18),S18))</f>
        <v>#VALUE!</v>
      </c>
      <c r="T18" t="e">
        <f ca="1">IF((A1)=(2),"",IF((15)=(T3),IF(IF((INDEX(B1:XFD1,((A2)+(1))+(0)))=("store"),(INDEX(B1:XFD1,((A2)+(1))+(1)))=("T"),"false"),B2,T18),T18))</f>
        <v>#VALUE!</v>
      </c>
      <c r="U18" t="e">
        <f ca="1">IF((A1)=(2),"",IF((15)=(U3),IF(IF((INDEX(B1:XFD1,((A2)+(1))+(0)))=("store"),(INDEX(B1:XFD1,((A2)+(1))+(1)))=("U"),"false"),B2,U18),U18))</f>
        <v>#VALUE!</v>
      </c>
      <c r="V18" t="e">
        <f ca="1">IF((A1)=(2),"",IF((15)=(V3),IF(IF((INDEX(B1:XFD1,((A2)+(1))+(0)))=("store"),(INDEX(B1:XFD1,((A2)+(1))+(1)))=("V"),"false"),B2,V18),V18))</f>
        <v>#VALUE!</v>
      </c>
      <c r="W18" t="e">
        <f ca="1">IF((A1)=(2),"",IF((15)=(W3),IF(IF((INDEX(B1:XFD1,((A2)+(1))+(0)))=("store"),(INDEX(B1:XFD1,((A2)+(1))+(1)))=("W"),"false"),B2,W18),W18))</f>
        <v>#VALUE!</v>
      </c>
      <c r="X18" t="e">
        <f ca="1">IF((A1)=(2),"",IF((15)=(X3),IF(IF((INDEX(B1:XFD1,((A2)+(1))+(0)))=("store"),(INDEX(B1:XFD1,((A2)+(1))+(1)))=("X"),"false"),B2,X18),X18))</f>
        <v>#VALUE!</v>
      </c>
      <c r="Y18" t="e">
        <f ca="1">IF((A1)=(2),"",IF((15)=(Y3),IF(IF((INDEX(B1:XFD1,((A2)+(1))+(0)))=("store"),(INDEX(B1:XFD1,((A2)+(1))+(1)))=("Y"),"false"),B2,Y18),Y18))</f>
        <v>#VALUE!</v>
      </c>
      <c r="Z18" t="e">
        <f ca="1">IF((A1)=(2),"",IF((15)=(Z3),IF(IF((INDEX(B1:XFD1,((A2)+(1))+(0)))=("store"),(INDEX(B1:XFD1,((A2)+(1))+(1)))=("Z"),"false"),B2,Z18),Z18))</f>
        <v>#VALUE!</v>
      </c>
      <c r="AA18" t="e">
        <f ca="1">IF((A1)=(2),"",IF((15)=(AA3),IF(IF((INDEX(B1:XFD1,((A2)+(1))+(0)))=("store"),(INDEX(B1:XFD1,((A2)+(1))+(1)))=("AA"),"false"),B2,AA18),AA18))</f>
        <v>#VALUE!</v>
      </c>
      <c r="AB18" t="e">
        <f ca="1">IF((A1)=(2),"",IF((15)=(AB3),IF(IF((INDEX(B1:XFD1,((A2)+(1))+(0)))=("store"),(INDEX(B1:XFD1,((A2)+(1))+(1)))=("AB"),"false"),B2,AB18),AB18))</f>
        <v>#VALUE!</v>
      </c>
      <c r="AC18" t="e">
        <f ca="1">IF((A1)=(2),"",IF((15)=(AC3),IF(IF((INDEX(B1:XFD1,((A2)+(1))+(0)))=("store"),(INDEX(B1:XFD1,((A2)+(1))+(1)))=("AC"),"false"),B2,AC18),AC18))</f>
        <v>#VALUE!</v>
      </c>
      <c r="AD18" t="e">
        <f ca="1">IF((A1)=(2),"",IF((15)=(AD3),IF(IF((INDEX(B1:XFD1,((A2)+(1))+(0)))=("store"),(INDEX(B1:XFD1,((A2)+(1))+(1)))=("AD"),"false"),B2,AD18),AD18))</f>
        <v>#VALUE!</v>
      </c>
    </row>
    <row r="19" spans="1:30" x14ac:dyDescent="0.25">
      <c r="A19" t="e">
        <f ca="1">IF((A1)=(2),"",IF((16)=(A3),IF(("call")=(INDEX(B1:XFD1,((A2)+(1))+(0))),(B2)*(2),IF(("goto")=(INDEX(B1:XFD1,((A2)+(1))+(0))),(INDEX(B1:XFD1,((A2)+(1))+(1)))*(2),IF(("gotoiftrue")=(INDEX(B1:XFD1,((A2)+(1))+(0))),IF(B2,(INDEX(B1:XFD1,((A2)+(1))+(1)))*(2),(A19)+(2)),(A19)+(2)))),A19))</f>
        <v>#VALUE!</v>
      </c>
      <c r="B19" t="e">
        <f ca="1">IF((A1)=(2),"",IF((16)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19)+(1)),IF(("add")=(INDEX(B1:XFD1,((A2)+(1))+(0))),(INDEX(B4:B404,(B3)+(1)))+(B19),IF(("equals")=(INDEX(B1:XFD1,((A2)+(1))+(0))),(INDEX(B4:B404,(B3)+(1)))=(B19),IF(("leq")=(INDEX(B1:XFD1,((A2)+(1))+(0))),(INDEX(B4:B404,(B3)+(1)))&lt;=(B19),IF(("greater")=(INDEX(B1:XFD1,((A2)+(1))+(0))),(INDEX(B4:B404,(B3)+(1)))&gt;(B19),IF(("mod")=(INDEX(B1:XFD1,((A2)+(1))+(0))),MOD(INDEX(B4:B404,(B3)+(1)),B19),B19))))))))),B19))</f>
        <v>#VALUE!</v>
      </c>
      <c r="C19" t="e">
        <f ca="1">IF((A1)=(2),1,IF(AND((INDEX(B1:XFD1,((A2)+(1))+(0)))=("writeheap"),(INDEX(B4:B404,(B3)+(1)))=(15)),INDEX(B4:B404,(B3)+(2)),IF((A1)=(2),"",IF((16)=(C3),C19,C19))))</f>
        <v>#VALUE!</v>
      </c>
      <c r="D19" t="e">
        <f ca="1">IF((A1)=(2),"",IF((16)=(D3),D19,D19))</f>
        <v>#VALUE!</v>
      </c>
      <c r="E19" t="e">
        <f ca="1">IF((A1)=(2),"",IF((16)=(E3),IF(("outputline")=(INDEX(B1:XFD1,((A2)+(1))+(0))),B2,E19),E19))</f>
        <v>#VALUE!</v>
      </c>
      <c r="F19" t="e">
        <f ca="1">IF((A1)=(2),"",IF((16)=(F3),IF(IF((INDEX(B1:XFD1,((A2)+(1))+(0)))=("store"),(INDEX(B1:XFD1,((A2)+(1))+(1)))=("F"),"false"),B2,F19),F19))</f>
        <v>#VALUE!</v>
      </c>
      <c r="G19" t="e">
        <f ca="1">IF((A1)=(2),"",IF((16)=(G3),IF(IF((INDEX(B1:XFD1,((A2)+(1))+(0)))=("store"),(INDEX(B1:XFD1,((A2)+(1))+(1)))=("G"),"false"),B2,G19),G19))</f>
        <v>#VALUE!</v>
      </c>
      <c r="H19" t="e">
        <f ca="1">IF((A1)=(2),"",IF((16)=(H3),IF(IF((INDEX(B1:XFD1,((A2)+(1))+(0)))=("store"),(INDEX(B1:XFD1,((A2)+(1))+(1)))=("H"),"false"),B2,H19),H19))</f>
        <v>#VALUE!</v>
      </c>
      <c r="I19" t="e">
        <f ca="1">IF((A1)=(2),"",IF((16)=(I3),IF(IF((INDEX(B1:XFD1,((A2)+(1))+(0)))=("store"),(INDEX(B1:XFD1,((A2)+(1))+(1)))=("I"),"false"),B2,I19),I19))</f>
        <v>#VALUE!</v>
      </c>
      <c r="J19" t="e">
        <f ca="1">IF((A1)=(2),"",IF((16)=(J3),IF(IF((INDEX(B1:XFD1,((A2)+(1))+(0)))=("store"),(INDEX(B1:XFD1,((A2)+(1))+(1)))=("J"),"false"),B2,J19),J19))</f>
        <v>#VALUE!</v>
      </c>
      <c r="K19" t="e">
        <f ca="1">IF((A1)=(2),"",IF((16)=(K3),IF(IF((INDEX(B1:XFD1,((A2)+(1))+(0)))=("store"),(INDEX(B1:XFD1,((A2)+(1))+(1)))=("K"),"false"),B2,K19),K19))</f>
        <v>#VALUE!</v>
      </c>
      <c r="L19" t="e">
        <f ca="1">IF((A1)=(2),"",IF((16)=(L3),IF(IF((INDEX(B1:XFD1,((A2)+(1))+(0)))=("store"),(INDEX(B1:XFD1,((A2)+(1))+(1)))=("L"),"false"),B2,L19),L19))</f>
        <v>#VALUE!</v>
      </c>
      <c r="M19" t="e">
        <f ca="1">IF((A1)=(2),"",IF((16)=(M3),IF(IF((INDEX(B1:XFD1,((A2)+(1))+(0)))=("store"),(INDEX(B1:XFD1,((A2)+(1))+(1)))=("M"),"false"),B2,M19),M19))</f>
        <v>#VALUE!</v>
      </c>
      <c r="N19" t="e">
        <f ca="1">IF((A1)=(2),"",IF((16)=(N3),IF(IF((INDEX(B1:XFD1,((A2)+(1))+(0)))=("store"),(INDEX(B1:XFD1,((A2)+(1))+(1)))=("N"),"false"),B2,N19),N19))</f>
        <v>#VALUE!</v>
      </c>
      <c r="O19" t="e">
        <f ca="1">IF((A1)=(2),"",IF((16)=(O3),IF(IF((INDEX(B1:XFD1,((A2)+(1))+(0)))=("store"),(INDEX(B1:XFD1,((A2)+(1))+(1)))=("O"),"false"),B2,O19),O19))</f>
        <v>#VALUE!</v>
      </c>
      <c r="P19" t="e">
        <f ca="1">IF((A1)=(2),"",IF((16)=(P3),IF(IF((INDEX(B1:XFD1,((A2)+(1))+(0)))=("store"),(INDEX(B1:XFD1,((A2)+(1))+(1)))=("P"),"false"),B2,P19),P19))</f>
        <v>#VALUE!</v>
      </c>
      <c r="Q19" t="e">
        <f ca="1">IF((A1)=(2),"",IF((16)=(Q3),IF(IF((INDEX(B1:XFD1,((A2)+(1))+(0)))=("store"),(INDEX(B1:XFD1,((A2)+(1))+(1)))=("Q"),"false"),B2,Q19),Q19))</f>
        <v>#VALUE!</v>
      </c>
      <c r="R19" t="e">
        <f ca="1">IF((A1)=(2),"",IF((16)=(R3),IF(IF((INDEX(B1:XFD1,((A2)+(1))+(0)))=("store"),(INDEX(B1:XFD1,((A2)+(1))+(1)))=("R"),"false"),B2,R19),R19))</f>
        <v>#VALUE!</v>
      </c>
      <c r="S19" t="e">
        <f ca="1">IF((A1)=(2),"",IF((16)=(S3),IF(IF((INDEX(B1:XFD1,((A2)+(1))+(0)))=("store"),(INDEX(B1:XFD1,((A2)+(1))+(1)))=("S"),"false"),B2,S19),S19))</f>
        <v>#VALUE!</v>
      </c>
      <c r="T19" t="e">
        <f ca="1">IF((A1)=(2),"",IF((16)=(T3),IF(IF((INDEX(B1:XFD1,((A2)+(1))+(0)))=("store"),(INDEX(B1:XFD1,((A2)+(1))+(1)))=("T"),"false"),B2,T19),T19))</f>
        <v>#VALUE!</v>
      </c>
      <c r="U19" t="e">
        <f ca="1">IF((A1)=(2),"",IF((16)=(U3),IF(IF((INDEX(B1:XFD1,((A2)+(1))+(0)))=("store"),(INDEX(B1:XFD1,((A2)+(1))+(1)))=("U"),"false"),B2,U19),U19))</f>
        <v>#VALUE!</v>
      </c>
      <c r="V19" t="e">
        <f ca="1">IF((A1)=(2),"",IF((16)=(V3),IF(IF((INDEX(B1:XFD1,((A2)+(1))+(0)))=("store"),(INDEX(B1:XFD1,((A2)+(1))+(1)))=("V"),"false"),B2,V19),V19))</f>
        <v>#VALUE!</v>
      </c>
      <c r="W19" t="e">
        <f ca="1">IF((A1)=(2),"",IF((16)=(W3),IF(IF((INDEX(B1:XFD1,((A2)+(1))+(0)))=("store"),(INDEX(B1:XFD1,((A2)+(1))+(1)))=("W"),"false"),B2,W19),W19))</f>
        <v>#VALUE!</v>
      </c>
      <c r="X19" t="e">
        <f ca="1">IF((A1)=(2),"",IF((16)=(X3),IF(IF((INDEX(B1:XFD1,((A2)+(1))+(0)))=("store"),(INDEX(B1:XFD1,((A2)+(1))+(1)))=("X"),"false"),B2,X19),X19))</f>
        <v>#VALUE!</v>
      </c>
      <c r="Y19" t="e">
        <f ca="1">IF((A1)=(2),"",IF((16)=(Y3),IF(IF((INDEX(B1:XFD1,((A2)+(1))+(0)))=("store"),(INDEX(B1:XFD1,((A2)+(1))+(1)))=("Y"),"false"),B2,Y19),Y19))</f>
        <v>#VALUE!</v>
      </c>
      <c r="Z19" t="e">
        <f ca="1">IF((A1)=(2),"",IF((16)=(Z3),IF(IF((INDEX(B1:XFD1,((A2)+(1))+(0)))=("store"),(INDEX(B1:XFD1,((A2)+(1))+(1)))=("Z"),"false"),B2,Z19),Z19))</f>
        <v>#VALUE!</v>
      </c>
      <c r="AA19" t="e">
        <f ca="1">IF((A1)=(2),"",IF((16)=(AA3),IF(IF((INDEX(B1:XFD1,((A2)+(1))+(0)))=("store"),(INDEX(B1:XFD1,((A2)+(1))+(1)))=("AA"),"false"),B2,AA19),AA19))</f>
        <v>#VALUE!</v>
      </c>
      <c r="AB19" t="e">
        <f ca="1">IF((A1)=(2),"",IF((16)=(AB3),IF(IF((INDEX(B1:XFD1,((A2)+(1))+(0)))=("store"),(INDEX(B1:XFD1,((A2)+(1))+(1)))=("AB"),"false"),B2,AB19),AB19))</f>
        <v>#VALUE!</v>
      </c>
      <c r="AC19" t="e">
        <f ca="1">IF((A1)=(2),"",IF((16)=(AC3),IF(IF((INDEX(B1:XFD1,((A2)+(1))+(0)))=("store"),(INDEX(B1:XFD1,((A2)+(1))+(1)))=("AC"),"false"),B2,AC19),AC19))</f>
        <v>#VALUE!</v>
      </c>
      <c r="AD19" t="e">
        <f ca="1">IF((A1)=(2),"",IF((16)=(AD3),IF(IF((INDEX(B1:XFD1,((A2)+(1))+(0)))=("store"),(INDEX(B1:XFD1,((A2)+(1))+(1)))=("AD"),"false"),B2,AD19),AD19))</f>
        <v>#VALUE!</v>
      </c>
    </row>
    <row r="20" spans="1:30" x14ac:dyDescent="0.25">
      <c r="A20" t="e">
        <f ca="1">IF((A1)=(2),"",IF((17)=(A3),IF(("call")=(INDEX(B1:XFD1,((A2)+(1))+(0))),(B2)*(2),IF(("goto")=(INDEX(B1:XFD1,((A2)+(1))+(0))),(INDEX(B1:XFD1,((A2)+(1))+(1)))*(2),IF(("gotoiftrue")=(INDEX(B1:XFD1,((A2)+(1))+(0))),IF(B2,(INDEX(B1:XFD1,((A2)+(1))+(1)))*(2),(A20)+(2)),(A20)+(2)))),A20))</f>
        <v>#VALUE!</v>
      </c>
      <c r="B20" t="e">
        <f ca="1">IF((A1)=(2),"",IF((17)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20)+(1)),IF(("add")=(INDEX(B1:XFD1,((A2)+(1))+(0))),(INDEX(B4:B404,(B3)+(1)))+(B20),IF(("equals")=(INDEX(B1:XFD1,((A2)+(1))+(0))),(INDEX(B4:B404,(B3)+(1)))=(B20),IF(("leq")=(INDEX(B1:XFD1,((A2)+(1))+(0))),(INDEX(B4:B404,(B3)+(1)))&lt;=(B20),IF(("greater")=(INDEX(B1:XFD1,((A2)+(1))+(0))),(INDEX(B4:B404,(B3)+(1)))&gt;(B20),IF(("mod")=(INDEX(B1:XFD1,((A2)+(1))+(0))),MOD(INDEX(B4:B404,(B3)+(1)),B20),B20))))))))),B20))</f>
        <v>#VALUE!</v>
      </c>
      <c r="C20" t="e">
        <f ca="1">IF((A1)=(2),1,IF(AND((INDEX(B1:XFD1,((A2)+(1))+(0)))=("writeheap"),(INDEX(B4:B404,(B3)+(1)))=(16)),INDEX(B4:B404,(B3)+(2)),IF((A1)=(2),"",IF((17)=(C3),C20,C20))))</f>
        <v>#VALUE!</v>
      </c>
      <c r="D20" t="e">
        <f ca="1">IF((A1)=(2),"",IF((17)=(D3),D20,D20))</f>
        <v>#VALUE!</v>
      </c>
      <c r="E20" t="e">
        <f ca="1">IF((A1)=(2),"",IF((17)=(E3),IF(("outputline")=(INDEX(B1:XFD1,((A2)+(1))+(0))),B2,E20),E20))</f>
        <v>#VALUE!</v>
      </c>
      <c r="F20" t="e">
        <f ca="1">IF((A1)=(2),"",IF((17)=(F3),IF(IF((INDEX(B1:XFD1,((A2)+(1))+(0)))=("store"),(INDEX(B1:XFD1,((A2)+(1))+(1)))=("F"),"false"),B2,F20),F20))</f>
        <v>#VALUE!</v>
      </c>
      <c r="G20" t="e">
        <f ca="1">IF((A1)=(2),"",IF((17)=(G3),IF(IF((INDEX(B1:XFD1,((A2)+(1))+(0)))=("store"),(INDEX(B1:XFD1,((A2)+(1))+(1)))=("G"),"false"),B2,G20),G20))</f>
        <v>#VALUE!</v>
      </c>
      <c r="H20" t="e">
        <f ca="1">IF((A1)=(2),"",IF((17)=(H3),IF(IF((INDEX(B1:XFD1,((A2)+(1))+(0)))=("store"),(INDEX(B1:XFD1,((A2)+(1))+(1)))=("H"),"false"),B2,H20),H20))</f>
        <v>#VALUE!</v>
      </c>
      <c r="I20" t="e">
        <f ca="1">IF((A1)=(2),"",IF((17)=(I3),IF(IF((INDEX(B1:XFD1,((A2)+(1))+(0)))=("store"),(INDEX(B1:XFD1,((A2)+(1))+(1)))=("I"),"false"),B2,I20),I20))</f>
        <v>#VALUE!</v>
      </c>
      <c r="J20" t="e">
        <f ca="1">IF((A1)=(2),"",IF((17)=(J3),IF(IF((INDEX(B1:XFD1,((A2)+(1))+(0)))=("store"),(INDEX(B1:XFD1,((A2)+(1))+(1)))=("J"),"false"),B2,J20),J20))</f>
        <v>#VALUE!</v>
      </c>
      <c r="K20" t="e">
        <f ca="1">IF((A1)=(2),"",IF((17)=(K3),IF(IF((INDEX(B1:XFD1,((A2)+(1))+(0)))=("store"),(INDEX(B1:XFD1,((A2)+(1))+(1)))=("K"),"false"),B2,K20),K20))</f>
        <v>#VALUE!</v>
      </c>
      <c r="L20" t="e">
        <f ca="1">IF((A1)=(2),"",IF((17)=(L3),IF(IF((INDEX(B1:XFD1,((A2)+(1))+(0)))=("store"),(INDEX(B1:XFD1,((A2)+(1))+(1)))=("L"),"false"),B2,L20),L20))</f>
        <v>#VALUE!</v>
      </c>
      <c r="M20" t="e">
        <f ca="1">IF((A1)=(2),"",IF((17)=(M3),IF(IF((INDEX(B1:XFD1,((A2)+(1))+(0)))=("store"),(INDEX(B1:XFD1,((A2)+(1))+(1)))=("M"),"false"),B2,M20),M20))</f>
        <v>#VALUE!</v>
      </c>
      <c r="N20" t="e">
        <f ca="1">IF((A1)=(2),"",IF((17)=(N3),IF(IF((INDEX(B1:XFD1,((A2)+(1))+(0)))=("store"),(INDEX(B1:XFD1,((A2)+(1))+(1)))=("N"),"false"),B2,N20),N20))</f>
        <v>#VALUE!</v>
      </c>
      <c r="O20" t="e">
        <f ca="1">IF((A1)=(2),"",IF((17)=(O3),IF(IF((INDEX(B1:XFD1,((A2)+(1))+(0)))=("store"),(INDEX(B1:XFD1,((A2)+(1))+(1)))=("O"),"false"),B2,O20),O20))</f>
        <v>#VALUE!</v>
      </c>
      <c r="P20" t="e">
        <f ca="1">IF((A1)=(2),"",IF((17)=(P3),IF(IF((INDEX(B1:XFD1,((A2)+(1))+(0)))=("store"),(INDEX(B1:XFD1,((A2)+(1))+(1)))=("P"),"false"),B2,P20),P20))</f>
        <v>#VALUE!</v>
      </c>
      <c r="Q20" t="e">
        <f ca="1">IF((A1)=(2),"",IF((17)=(Q3),IF(IF((INDEX(B1:XFD1,((A2)+(1))+(0)))=("store"),(INDEX(B1:XFD1,((A2)+(1))+(1)))=("Q"),"false"),B2,Q20),Q20))</f>
        <v>#VALUE!</v>
      </c>
      <c r="R20" t="e">
        <f ca="1">IF((A1)=(2),"",IF((17)=(R3),IF(IF((INDEX(B1:XFD1,((A2)+(1))+(0)))=("store"),(INDEX(B1:XFD1,((A2)+(1))+(1)))=("R"),"false"),B2,R20),R20))</f>
        <v>#VALUE!</v>
      </c>
      <c r="S20" t="e">
        <f ca="1">IF((A1)=(2),"",IF((17)=(S3),IF(IF((INDEX(B1:XFD1,((A2)+(1))+(0)))=("store"),(INDEX(B1:XFD1,((A2)+(1))+(1)))=("S"),"false"),B2,S20),S20))</f>
        <v>#VALUE!</v>
      </c>
      <c r="T20" t="e">
        <f ca="1">IF((A1)=(2),"",IF((17)=(T3),IF(IF((INDEX(B1:XFD1,((A2)+(1))+(0)))=("store"),(INDEX(B1:XFD1,((A2)+(1))+(1)))=("T"),"false"),B2,T20),T20))</f>
        <v>#VALUE!</v>
      </c>
      <c r="U20" t="e">
        <f ca="1">IF((A1)=(2),"",IF((17)=(U3),IF(IF((INDEX(B1:XFD1,((A2)+(1))+(0)))=("store"),(INDEX(B1:XFD1,((A2)+(1))+(1)))=("U"),"false"),B2,U20),U20))</f>
        <v>#VALUE!</v>
      </c>
      <c r="V20" t="e">
        <f ca="1">IF((A1)=(2),"",IF((17)=(V3),IF(IF((INDEX(B1:XFD1,((A2)+(1))+(0)))=("store"),(INDEX(B1:XFD1,((A2)+(1))+(1)))=("V"),"false"),B2,V20),V20))</f>
        <v>#VALUE!</v>
      </c>
      <c r="W20" t="e">
        <f ca="1">IF((A1)=(2),"",IF((17)=(W3),IF(IF((INDEX(B1:XFD1,((A2)+(1))+(0)))=("store"),(INDEX(B1:XFD1,((A2)+(1))+(1)))=("W"),"false"),B2,W20),W20))</f>
        <v>#VALUE!</v>
      </c>
      <c r="X20" t="e">
        <f ca="1">IF((A1)=(2),"",IF((17)=(X3),IF(IF((INDEX(B1:XFD1,((A2)+(1))+(0)))=("store"),(INDEX(B1:XFD1,((A2)+(1))+(1)))=("X"),"false"),B2,X20),X20))</f>
        <v>#VALUE!</v>
      </c>
      <c r="Y20" t="e">
        <f ca="1">IF((A1)=(2),"",IF((17)=(Y3),IF(IF((INDEX(B1:XFD1,((A2)+(1))+(0)))=("store"),(INDEX(B1:XFD1,((A2)+(1))+(1)))=("Y"),"false"),B2,Y20),Y20))</f>
        <v>#VALUE!</v>
      </c>
      <c r="Z20" t="e">
        <f ca="1">IF((A1)=(2),"",IF((17)=(Z3),IF(IF((INDEX(B1:XFD1,((A2)+(1))+(0)))=("store"),(INDEX(B1:XFD1,((A2)+(1))+(1)))=("Z"),"false"),B2,Z20),Z20))</f>
        <v>#VALUE!</v>
      </c>
      <c r="AA20" t="e">
        <f ca="1">IF((A1)=(2),"",IF((17)=(AA3),IF(IF((INDEX(B1:XFD1,((A2)+(1))+(0)))=("store"),(INDEX(B1:XFD1,((A2)+(1))+(1)))=("AA"),"false"),B2,AA20),AA20))</f>
        <v>#VALUE!</v>
      </c>
      <c r="AB20" t="e">
        <f ca="1">IF((A1)=(2),"",IF((17)=(AB3),IF(IF((INDEX(B1:XFD1,((A2)+(1))+(0)))=("store"),(INDEX(B1:XFD1,((A2)+(1))+(1)))=("AB"),"false"),B2,AB20),AB20))</f>
        <v>#VALUE!</v>
      </c>
      <c r="AC20" t="e">
        <f ca="1">IF((A1)=(2),"",IF((17)=(AC3),IF(IF((INDEX(B1:XFD1,((A2)+(1))+(0)))=("store"),(INDEX(B1:XFD1,((A2)+(1))+(1)))=("AC"),"false"),B2,AC20),AC20))</f>
        <v>#VALUE!</v>
      </c>
      <c r="AD20" t="e">
        <f ca="1">IF((A1)=(2),"",IF((17)=(AD3),IF(IF((INDEX(B1:XFD1,((A2)+(1))+(0)))=("store"),(INDEX(B1:XFD1,((A2)+(1))+(1)))=("AD"),"false"),B2,AD20),AD20))</f>
        <v>#VALUE!</v>
      </c>
    </row>
    <row r="21" spans="1:30" x14ac:dyDescent="0.25">
      <c r="A21" t="e">
        <f ca="1">IF((A1)=(2),"",IF((18)=(A3),IF(("call")=(INDEX(B1:XFD1,((A2)+(1))+(0))),(B2)*(2),IF(("goto")=(INDEX(B1:XFD1,((A2)+(1))+(0))),(INDEX(B1:XFD1,((A2)+(1))+(1)))*(2),IF(("gotoiftrue")=(INDEX(B1:XFD1,((A2)+(1))+(0))),IF(B2,(INDEX(B1:XFD1,((A2)+(1))+(1)))*(2),(A21)+(2)),(A21)+(2)))),A21))</f>
        <v>#VALUE!</v>
      </c>
      <c r="B21" t="e">
        <f ca="1">IF((A1)=(2),"",IF((18)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21)+(1)),IF(("add")=(INDEX(B1:XFD1,((A2)+(1))+(0))),(INDEX(B4:B404,(B3)+(1)))+(B21),IF(("equals")=(INDEX(B1:XFD1,((A2)+(1))+(0))),(INDEX(B4:B404,(B3)+(1)))=(B21),IF(("leq")=(INDEX(B1:XFD1,((A2)+(1))+(0))),(INDEX(B4:B404,(B3)+(1)))&lt;=(B21),IF(("greater")=(INDEX(B1:XFD1,((A2)+(1))+(0))),(INDEX(B4:B404,(B3)+(1)))&gt;(B21),IF(("mod")=(INDEX(B1:XFD1,((A2)+(1))+(0))),MOD(INDEX(B4:B404,(B3)+(1)),B21),B21))))))))),B21))</f>
        <v>#VALUE!</v>
      </c>
      <c r="C21" t="e">
        <f ca="1">IF((A1)=(2),1,IF(AND((INDEX(B1:XFD1,((A2)+(1))+(0)))=("writeheap"),(INDEX(B4:B404,(B3)+(1)))=(17)),INDEX(B4:B404,(B3)+(2)),IF((A1)=(2),"",IF((18)=(C3),C21,C21))))</f>
        <v>#VALUE!</v>
      </c>
      <c r="D21" t="e">
        <f ca="1">IF((A1)=(2),"",IF((18)=(D3),D21,D21))</f>
        <v>#VALUE!</v>
      </c>
      <c r="E21" t="e">
        <f ca="1">IF((A1)=(2),"",IF((18)=(E3),IF(("outputline")=(INDEX(B1:XFD1,((A2)+(1))+(0))),B2,E21),E21))</f>
        <v>#VALUE!</v>
      </c>
      <c r="F21" t="e">
        <f ca="1">IF((A1)=(2),"",IF((18)=(F3),IF(IF((INDEX(B1:XFD1,((A2)+(1))+(0)))=("store"),(INDEX(B1:XFD1,((A2)+(1))+(1)))=("F"),"false"),B2,F21),F21))</f>
        <v>#VALUE!</v>
      </c>
      <c r="G21" t="e">
        <f ca="1">IF((A1)=(2),"",IF((18)=(G3),IF(IF((INDEX(B1:XFD1,((A2)+(1))+(0)))=("store"),(INDEX(B1:XFD1,((A2)+(1))+(1)))=("G"),"false"),B2,G21),G21))</f>
        <v>#VALUE!</v>
      </c>
      <c r="H21" t="e">
        <f ca="1">IF((A1)=(2),"",IF((18)=(H3),IF(IF((INDEX(B1:XFD1,((A2)+(1))+(0)))=("store"),(INDEX(B1:XFD1,((A2)+(1))+(1)))=("H"),"false"),B2,H21),H21))</f>
        <v>#VALUE!</v>
      </c>
      <c r="I21" t="e">
        <f ca="1">IF((A1)=(2),"",IF((18)=(I3),IF(IF((INDEX(B1:XFD1,((A2)+(1))+(0)))=("store"),(INDEX(B1:XFD1,((A2)+(1))+(1)))=("I"),"false"),B2,I21),I21))</f>
        <v>#VALUE!</v>
      </c>
      <c r="J21" t="e">
        <f ca="1">IF((A1)=(2),"",IF((18)=(J3),IF(IF((INDEX(B1:XFD1,((A2)+(1))+(0)))=("store"),(INDEX(B1:XFD1,((A2)+(1))+(1)))=("J"),"false"),B2,J21),J21))</f>
        <v>#VALUE!</v>
      </c>
      <c r="K21" t="e">
        <f ca="1">IF((A1)=(2),"",IF((18)=(K3),IF(IF((INDEX(B1:XFD1,((A2)+(1))+(0)))=("store"),(INDEX(B1:XFD1,((A2)+(1))+(1)))=("K"),"false"),B2,K21),K21))</f>
        <v>#VALUE!</v>
      </c>
      <c r="L21" t="e">
        <f ca="1">IF((A1)=(2),"",IF((18)=(L3),IF(IF((INDEX(B1:XFD1,((A2)+(1))+(0)))=("store"),(INDEX(B1:XFD1,((A2)+(1))+(1)))=("L"),"false"),B2,L21),L21))</f>
        <v>#VALUE!</v>
      </c>
      <c r="M21" t="e">
        <f ca="1">IF((A1)=(2),"",IF((18)=(M3),IF(IF((INDEX(B1:XFD1,((A2)+(1))+(0)))=("store"),(INDEX(B1:XFD1,((A2)+(1))+(1)))=("M"),"false"),B2,M21),M21))</f>
        <v>#VALUE!</v>
      </c>
      <c r="N21" t="e">
        <f ca="1">IF((A1)=(2),"",IF((18)=(N3),IF(IF((INDEX(B1:XFD1,((A2)+(1))+(0)))=("store"),(INDEX(B1:XFD1,((A2)+(1))+(1)))=("N"),"false"),B2,N21),N21))</f>
        <v>#VALUE!</v>
      </c>
      <c r="O21" t="e">
        <f ca="1">IF((A1)=(2),"",IF((18)=(O3),IF(IF((INDEX(B1:XFD1,((A2)+(1))+(0)))=("store"),(INDEX(B1:XFD1,((A2)+(1))+(1)))=("O"),"false"),B2,O21),O21))</f>
        <v>#VALUE!</v>
      </c>
      <c r="P21" t="e">
        <f ca="1">IF((A1)=(2),"",IF((18)=(P3),IF(IF((INDEX(B1:XFD1,((A2)+(1))+(0)))=("store"),(INDEX(B1:XFD1,((A2)+(1))+(1)))=("P"),"false"),B2,P21),P21))</f>
        <v>#VALUE!</v>
      </c>
      <c r="Q21" t="e">
        <f ca="1">IF((A1)=(2),"",IF((18)=(Q3),IF(IF((INDEX(B1:XFD1,((A2)+(1))+(0)))=("store"),(INDEX(B1:XFD1,((A2)+(1))+(1)))=("Q"),"false"),B2,Q21),Q21))</f>
        <v>#VALUE!</v>
      </c>
      <c r="R21" t="e">
        <f ca="1">IF((A1)=(2),"",IF((18)=(R3),IF(IF((INDEX(B1:XFD1,((A2)+(1))+(0)))=("store"),(INDEX(B1:XFD1,((A2)+(1))+(1)))=("R"),"false"),B2,R21),R21))</f>
        <v>#VALUE!</v>
      </c>
      <c r="S21" t="e">
        <f ca="1">IF((A1)=(2),"",IF((18)=(S3),IF(IF((INDEX(B1:XFD1,((A2)+(1))+(0)))=("store"),(INDEX(B1:XFD1,((A2)+(1))+(1)))=("S"),"false"),B2,S21),S21))</f>
        <v>#VALUE!</v>
      </c>
      <c r="T21" t="e">
        <f ca="1">IF((A1)=(2),"",IF((18)=(T3),IF(IF((INDEX(B1:XFD1,((A2)+(1))+(0)))=("store"),(INDEX(B1:XFD1,((A2)+(1))+(1)))=("T"),"false"),B2,T21),T21))</f>
        <v>#VALUE!</v>
      </c>
      <c r="U21" t="e">
        <f ca="1">IF((A1)=(2),"",IF((18)=(U3),IF(IF((INDEX(B1:XFD1,((A2)+(1))+(0)))=("store"),(INDEX(B1:XFD1,((A2)+(1))+(1)))=("U"),"false"),B2,U21),U21))</f>
        <v>#VALUE!</v>
      </c>
      <c r="V21" t="e">
        <f ca="1">IF((A1)=(2),"",IF((18)=(V3),IF(IF((INDEX(B1:XFD1,((A2)+(1))+(0)))=("store"),(INDEX(B1:XFD1,((A2)+(1))+(1)))=("V"),"false"),B2,V21),V21))</f>
        <v>#VALUE!</v>
      </c>
      <c r="W21" t="e">
        <f ca="1">IF((A1)=(2),"",IF((18)=(W3),IF(IF((INDEX(B1:XFD1,((A2)+(1))+(0)))=("store"),(INDEX(B1:XFD1,((A2)+(1))+(1)))=("W"),"false"),B2,W21),W21))</f>
        <v>#VALUE!</v>
      </c>
      <c r="X21" t="e">
        <f ca="1">IF((A1)=(2),"",IF((18)=(X3),IF(IF((INDEX(B1:XFD1,((A2)+(1))+(0)))=("store"),(INDEX(B1:XFD1,((A2)+(1))+(1)))=("X"),"false"),B2,X21),X21))</f>
        <v>#VALUE!</v>
      </c>
      <c r="Y21" t="e">
        <f ca="1">IF((A1)=(2),"",IF((18)=(Y3),IF(IF((INDEX(B1:XFD1,((A2)+(1))+(0)))=("store"),(INDEX(B1:XFD1,((A2)+(1))+(1)))=("Y"),"false"),B2,Y21),Y21))</f>
        <v>#VALUE!</v>
      </c>
      <c r="Z21" t="e">
        <f ca="1">IF((A1)=(2),"",IF((18)=(Z3),IF(IF((INDEX(B1:XFD1,((A2)+(1))+(0)))=("store"),(INDEX(B1:XFD1,((A2)+(1))+(1)))=("Z"),"false"),B2,Z21),Z21))</f>
        <v>#VALUE!</v>
      </c>
      <c r="AA21" t="e">
        <f ca="1">IF((A1)=(2),"",IF((18)=(AA3),IF(IF((INDEX(B1:XFD1,((A2)+(1))+(0)))=("store"),(INDEX(B1:XFD1,((A2)+(1))+(1)))=("AA"),"false"),B2,AA21),AA21))</f>
        <v>#VALUE!</v>
      </c>
      <c r="AB21" t="e">
        <f ca="1">IF((A1)=(2),"",IF((18)=(AB3),IF(IF((INDEX(B1:XFD1,((A2)+(1))+(0)))=("store"),(INDEX(B1:XFD1,((A2)+(1))+(1)))=("AB"),"false"),B2,AB21),AB21))</f>
        <v>#VALUE!</v>
      </c>
      <c r="AC21" t="e">
        <f ca="1">IF((A1)=(2),"",IF((18)=(AC3),IF(IF((INDEX(B1:XFD1,((A2)+(1))+(0)))=("store"),(INDEX(B1:XFD1,((A2)+(1))+(1)))=("AC"),"false"),B2,AC21),AC21))</f>
        <v>#VALUE!</v>
      </c>
      <c r="AD21" t="e">
        <f ca="1">IF((A1)=(2),"",IF((18)=(AD3),IF(IF((INDEX(B1:XFD1,((A2)+(1))+(0)))=("store"),(INDEX(B1:XFD1,((A2)+(1))+(1)))=("AD"),"false"),B2,AD21),AD21))</f>
        <v>#VALUE!</v>
      </c>
    </row>
    <row r="22" spans="1:30" x14ac:dyDescent="0.25">
      <c r="A22" t="e">
        <f ca="1">IF((A1)=(2),"",IF((19)=(A3),IF(("call")=(INDEX(B1:XFD1,((A2)+(1))+(0))),(B2)*(2),IF(("goto")=(INDEX(B1:XFD1,((A2)+(1))+(0))),(INDEX(B1:XFD1,((A2)+(1))+(1)))*(2),IF(("gotoiftrue")=(INDEX(B1:XFD1,((A2)+(1))+(0))),IF(B2,(INDEX(B1:XFD1,((A2)+(1))+(1)))*(2),(A22)+(2)),(A22)+(2)))),A22))</f>
        <v>#VALUE!</v>
      </c>
      <c r="B22" t="e">
        <f ca="1">IF((A1)=(2),"",IF((19)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22)+(1)),IF(("add")=(INDEX(B1:XFD1,((A2)+(1))+(0))),(INDEX(B4:B404,(B3)+(1)))+(B22),IF(("equals")=(INDEX(B1:XFD1,((A2)+(1))+(0))),(INDEX(B4:B404,(B3)+(1)))=(B22),IF(("leq")=(INDEX(B1:XFD1,((A2)+(1))+(0))),(INDEX(B4:B404,(B3)+(1)))&lt;=(B22),IF(("greater")=(INDEX(B1:XFD1,((A2)+(1))+(0))),(INDEX(B4:B404,(B3)+(1)))&gt;(B22),IF(("mod")=(INDEX(B1:XFD1,((A2)+(1))+(0))),MOD(INDEX(B4:B404,(B3)+(1)),B22),B22))))))))),B22))</f>
        <v>#VALUE!</v>
      </c>
      <c r="C22" t="e">
        <f ca="1">IF((A1)=(2),1,IF(AND((INDEX(B1:XFD1,((A2)+(1))+(0)))=("writeheap"),(INDEX(B4:B404,(B3)+(1)))=(18)),INDEX(B4:B404,(B3)+(2)),IF((A1)=(2),"",IF((19)=(C3),C22,C22))))</f>
        <v>#VALUE!</v>
      </c>
      <c r="D22" t="e">
        <f ca="1">IF((A1)=(2),"",IF((19)=(D3),D22,D22))</f>
        <v>#VALUE!</v>
      </c>
      <c r="E22" t="e">
        <f ca="1">IF((A1)=(2),"",IF((19)=(E3),IF(("outputline")=(INDEX(B1:XFD1,((A2)+(1))+(0))),B2,E22),E22))</f>
        <v>#VALUE!</v>
      </c>
      <c r="F22" t="e">
        <f ca="1">IF((A1)=(2),"",IF((19)=(F3),IF(IF((INDEX(B1:XFD1,((A2)+(1))+(0)))=("store"),(INDEX(B1:XFD1,((A2)+(1))+(1)))=("F"),"false"),B2,F22),F22))</f>
        <v>#VALUE!</v>
      </c>
      <c r="G22" t="e">
        <f ca="1">IF((A1)=(2),"",IF((19)=(G3),IF(IF((INDEX(B1:XFD1,((A2)+(1))+(0)))=("store"),(INDEX(B1:XFD1,((A2)+(1))+(1)))=("G"),"false"),B2,G22),G22))</f>
        <v>#VALUE!</v>
      </c>
      <c r="H22" t="e">
        <f ca="1">IF((A1)=(2),"",IF((19)=(H3),IF(IF((INDEX(B1:XFD1,((A2)+(1))+(0)))=("store"),(INDEX(B1:XFD1,((A2)+(1))+(1)))=("H"),"false"),B2,H22),H22))</f>
        <v>#VALUE!</v>
      </c>
      <c r="I22" t="e">
        <f ca="1">IF((A1)=(2),"",IF((19)=(I3),IF(IF((INDEX(B1:XFD1,((A2)+(1))+(0)))=("store"),(INDEX(B1:XFD1,((A2)+(1))+(1)))=("I"),"false"),B2,I22),I22))</f>
        <v>#VALUE!</v>
      </c>
      <c r="J22" t="e">
        <f ca="1">IF((A1)=(2),"",IF((19)=(J3),IF(IF((INDEX(B1:XFD1,((A2)+(1))+(0)))=("store"),(INDEX(B1:XFD1,((A2)+(1))+(1)))=("J"),"false"),B2,J22),J22))</f>
        <v>#VALUE!</v>
      </c>
      <c r="K22" t="e">
        <f ca="1">IF((A1)=(2),"",IF((19)=(K3),IF(IF((INDEX(B1:XFD1,((A2)+(1))+(0)))=("store"),(INDEX(B1:XFD1,((A2)+(1))+(1)))=("K"),"false"),B2,K22),K22))</f>
        <v>#VALUE!</v>
      </c>
      <c r="L22" t="e">
        <f ca="1">IF((A1)=(2),"",IF((19)=(L3),IF(IF((INDEX(B1:XFD1,((A2)+(1))+(0)))=("store"),(INDEX(B1:XFD1,((A2)+(1))+(1)))=("L"),"false"),B2,L22),L22))</f>
        <v>#VALUE!</v>
      </c>
      <c r="M22" t="e">
        <f ca="1">IF((A1)=(2),"",IF((19)=(M3),IF(IF((INDEX(B1:XFD1,((A2)+(1))+(0)))=("store"),(INDEX(B1:XFD1,((A2)+(1))+(1)))=("M"),"false"),B2,M22),M22))</f>
        <v>#VALUE!</v>
      </c>
      <c r="N22" t="e">
        <f ca="1">IF((A1)=(2),"",IF((19)=(N3),IF(IF((INDEX(B1:XFD1,((A2)+(1))+(0)))=("store"),(INDEX(B1:XFD1,((A2)+(1))+(1)))=("N"),"false"),B2,N22),N22))</f>
        <v>#VALUE!</v>
      </c>
      <c r="O22" t="e">
        <f ca="1">IF((A1)=(2),"",IF((19)=(O3),IF(IF((INDEX(B1:XFD1,((A2)+(1))+(0)))=("store"),(INDEX(B1:XFD1,((A2)+(1))+(1)))=("O"),"false"),B2,O22),O22))</f>
        <v>#VALUE!</v>
      </c>
      <c r="P22" t="e">
        <f ca="1">IF((A1)=(2),"",IF((19)=(P3),IF(IF((INDEX(B1:XFD1,((A2)+(1))+(0)))=("store"),(INDEX(B1:XFD1,((A2)+(1))+(1)))=("P"),"false"),B2,P22),P22))</f>
        <v>#VALUE!</v>
      </c>
      <c r="Q22" t="e">
        <f ca="1">IF((A1)=(2),"",IF((19)=(Q3),IF(IF((INDEX(B1:XFD1,((A2)+(1))+(0)))=("store"),(INDEX(B1:XFD1,((A2)+(1))+(1)))=("Q"),"false"),B2,Q22),Q22))</f>
        <v>#VALUE!</v>
      </c>
      <c r="R22" t="e">
        <f ca="1">IF((A1)=(2),"",IF((19)=(R3),IF(IF((INDEX(B1:XFD1,((A2)+(1))+(0)))=("store"),(INDEX(B1:XFD1,((A2)+(1))+(1)))=("R"),"false"),B2,R22),R22))</f>
        <v>#VALUE!</v>
      </c>
      <c r="S22" t="e">
        <f ca="1">IF((A1)=(2),"",IF((19)=(S3),IF(IF((INDEX(B1:XFD1,((A2)+(1))+(0)))=("store"),(INDEX(B1:XFD1,((A2)+(1))+(1)))=("S"),"false"),B2,S22),S22))</f>
        <v>#VALUE!</v>
      </c>
      <c r="T22" t="e">
        <f ca="1">IF((A1)=(2),"",IF((19)=(T3),IF(IF((INDEX(B1:XFD1,((A2)+(1))+(0)))=("store"),(INDEX(B1:XFD1,((A2)+(1))+(1)))=("T"),"false"),B2,T22),T22))</f>
        <v>#VALUE!</v>
      </c>
      <c r="U22" t="e">
        <f ca="1">IF((A1)=(2),"",IF((19)=(U3),IF(IF((INDEX(B1:XFD1,((A2)+(1))+(0)))=("store"),(INDEX(B1:XFD1,((A2)+(1))+(1)))=("U"),"false"),B2,U22),U22))</f>
        <v>#VALUE!</v>
      </c>
      <c r="V22" t="e">
        <f ca="1">IF((A1)=(2),"",IF((19)=(V3),IF(IF((INDEX(B1:XFD1,((A2)+(1))+(0)))=("store"),(INDEX(B1:XFD1,((A2)+(1))+(1)))=("V"),"false"),B2,V22),V22))</f>
        <v>#VALUE!</v>
      </c>
      <c r="W22" t="e">
        <f ca="1">IF((A1)=(2),"",IF((19)=(W3),IF(IF((INDEX(B1:XFD1,((A2)+(1))+(0)))=("store"),(INDEX(B1:XFD1,((A2)+(1))+(1)))=("W"),"false"),B2,W22),W22))</f>
        <v>#VALUE!</v>
      </c>
      <c r="X22" t="e">
        <f ca="1">IF((A1)=(2),"",IF((19)=(X3),IF(IF((INDEX(B1:XFD1,((A2)+(1))+(0)))=("store"),(INDEX(B1:XFD1,((A2)+(1))+(1)))=("X"),"false"),B2,X22),X22))</f>
        <v>#VALUE!</v>
      </c>
      <c r="Y22" t="e">
        <f ca="1">IF((A1)=(2),"",IF((19)=(Y3),IF(IF((INDEX(B1:XFD1,((A2)+(1))+(0)))=("store"),(INDEX(B1:XFD1,((A2)+(1))+(1)))=("Y"),"false"),B2,Y22),Y22))</f>
        <v>#VALUE!</v>
      </c>
      <c r="Z22" t="e">
        <f ca="1">IF((A1)=(2),"",IF((19)=(Z3),IF(IF((INDEX(B1:XFD1,((A2)+(1))+(0)))=("store"),(INDEX(B1:XFD1,((A2)+(1))+(1)))=("Z"),"false"),B2,Z22),Z22))</f>
        <v>#VALUE!</v>
      </c>
      <c r="AA22" t="e">
        <f ca="1">IF((A1)=(2),"",IF((19)=(AA3),IF(IF((INDEX(B1:XFD1,((A2)+(1))+(0)))=("store"),(INDEX(B1:XFD1,((A2)+(1))+(1)))=("AA"),"false"),B2,AA22),AA22))</f>
        <v>#VALUE!</v>
      </c>
      <c r="AB22" t="e">
        <f ca="1">IF((A1)=(2),"",IF((19)=(AB3),IF(IF((INDEX(B1:XFD1,((A2)+(1))+(0)))=("store"),(INDEX(B1:XFD1,((A2)+(1))+(1)))=("AB"),"false"),B2,AB22),AB22))</f>
        <v>#VALUE!</v>
      </c>
      <c r="AC22" t="e">
        <f ca="1">IF((A1)=(2),"",IF((19)=(AC3),IF(IF((INDEX(B1:XFD1,((A2)+(1))+(0)))=("store"),(INDEX(B1:XFD1,((A2)+(1))+(1)))=("AC"),"false"),B2,AC22),AC22))</f>
        <v>#VALUE!</v>
      </c>
      <c r="AD22" t="e">
        <f ca="1">IF((A1)=(2),"",IF((19)=(AD3),IF(IF((INDEX(B1:XFD1,((A2)+(1))+(0)))=("store"),(INDEX(B1:XFD1,((A2)+(1))+(1)))=("AD"),"false"),B2,AD22),AD22))</f>
        <v>#VALUE!</v>
      </c>
    </row>
    <row r="23" spans="1:30" x14ac:dyDescent="0.25">
      <c r="A23" t="e">
        <f ca="1">IF((A1)=(2),"",IF((20)=(A3),IF(("call")=(INDEX(B1:XFD1,((A2)+(1))+(0))),(B2)*(2),IF(("goto")=(INDEX(B1:XFD1,((A2)+(1))+(0))),(INDEX(B1:XFD1,((A2)+(1))+(1)))*(2),IF(("gotoiftrue")=(INDEX(B1:XFD1,((A2)+(1))+(0))),IF(B2,(INDEX(B1:XFD1,((A2)+(1))+(1)))*(2),(A23)+(2)),(A23)+(2)))),A23))</f>
        <v>#VALUE!</v>
      </c>
      <c r="B23" t="e">
        <f ca="1">IF((A1)=(2),"",IF((20)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23)+(1)),IF(("add")=(INDEX(B1:XFD1,((A2)+(1))+(0))),(INDEX(B4:B404,(B3)+(1)))+(B23),IF(("equals")=(INDEX(B1:XFD1,((A2)+(1))+(0))),(INDEX(B4:B404,(B3)+(1)))=(B23),IF(("leq")=(INDEX(B1:XFD1,((A2)+(1))+(0))),(INDEX(B4:B404,(B3)+(1)))&lt;=(B23),IF(("greater")=(INDEX(B1:XFD1,((A2)+(1))+(0))),(INDEX(B4:B404,(B3)+(1)))&gt;(B23),IF(("mod")=(INDEX(B1:XFD1,((A2)+(1))+(0))),MOD(INDEX(B4:B404,(B3)+(1)),B23),B23))))))))),B23))</f>
        <v>#VALUE!</v>
      </c>
      <c r="C23" t="e">
        <f ca="1">IF((A1)=(2),1,IF(AND((INDEX(B1:XFD1,((A2)+(1))+(0)))=("writeheap"),(INDEX(B4:B404,(B3)+(1)))=(19)),INDEX(B4:B404,(B3)+(2)),IF((A1)=(2),"",IF((20)=(C3),C23,C23))))</f>
        <v>#VALUE!</v>
      </c>
      <c r="D23" t="e">
        <f ca="1">IF((A1)=(2),"",IF((20)=(D3),D23,D23))</f>
        <v>#VALUE!</v>
      </c>
      <c r="E23" t="e">
        <f ca="1">IF((A1)=(2),"",IF((20)=(E3),IF(("outputline")=(INDEX(B1:XFD1,((A2)+(1))+(0))),B2,E23),E23))</f>
        <v>#VALUE!</v>
      </c>
      <c r="F23" t="e">
        <f ca="1">IF((A1)=(2),"",IF((20)=(F3),IF(IF((INDEX(B1:XFD1,((A2)+(1))+(0)))=("store"),(INDEX(B1:XFD1,((A2)+(1))+(1)))=("F"),"false"),B2,F23),F23))</f>
        <v>#VALUE!</v>
      </c>
      <c r="G23" t="e">
        <f ca="1">IF((A1)=(2),"",IF((20)=(G3),IF(IF((INDEX(B1:XFD1,((A2)+(1))+(0)))=("store"),(INDEX(B1:XFD1,((A2)+(1))+(1)))=("G"),"false"),B2,G23),G23))</f>
        <v>#VALUE!</v>
      </c>
      <c r="H23" t="e">
        <f ca="1">IF((A1)=(2),"",IF((20)=(H3),IF(IF((INDEX(B1:XFD1,((A2)+(1))+(0)))=("store"),(INDEX(B1:XFD1,((A2)+(1))+(1)))=("H"),"false"),B2,H23),H23))</f>
        <v>#VALUE!</v>
      </c>
      <c r="I23" t="e">
        <f ca="1">IF((A1)=(2),"",IF((20)=(I3),IF(IF((INDEX(B1:XFD1,((A2)+(1))+(0)))=("store"),(INDEX(B1:XFD1,((A2)+(1))+(1)))=("I"),"false"),B2,I23),I23))</f>
        <v>#VALUE!</v>
      </c>
      <c r="J23" t="e">
        <f ca="1">IF((A1)=(2),"",IF((20)=(J3),IF(IF((INDEX(B1:XFD1,((A2)+(1))+(0)))=("store"),(INDEX(B1:XFD1,((A2)+(1))+(1)))=("J"),"false"),B2,J23),J23))</f>
        <v>#VALUE!</v>
      </c>
      <c r="K23" t="e">
        <f ca="1">IF((A1)=(2),"",IF((20)=(K3),IF(IF((INDEX(B1:XFD1,((A2)+(1))+(0)))=("store"),(INDEX(B1:XFD1,((A2)+(1))+(1)))=("K"),"false"),B2,K23),K23))</f>
        <v>#VALUE!</v>
      </c>
      <c r="L23" t="e">
        <f ca="1">IF((A1)=(2),"",IF((20)=(L3),IF(IF((INDEX(B1:XFD1,((A2)+(1))+(0)))=("store"),(INDEX(B1:XFD1,((A2)+(1))+(1)))=("L"),"false"),B2,L23),L23))</f>
        <v>#VALUE!</v>
      </c>
      <c r="M23" t="e">
        <f ca="1">IF((A1)=(2),"",IF((20)=(M3),IF(IF((INDEX(B1:XFD1,((A2)+(1))+(0)))=("store"),(INDEX(B1:XFD1,((A2)+(1))+(1)))=("M"),"false"),B2,M23),M23))</f>
        <v>#VALUE!</v>
      </c>
      <c r="N23" t="e">
        <f ca="1">IF((A1)=(2),"",IF((20)=(N3),IF(IF((INDEX(B1:XFD1,((A2)+(1))+(0)))=("store"),(INDEX(B1:XFD1,((A2)+(1))+(1)))=("N"),"false"),B2,N23),N23))</f>
        <v>#VALUE!</v>
      </c>
      <c r="O23" t="e">
        <f ca="1">IF((A1)=(2),"",IF((20)=(O3),IF(IF((INDEX(B1:XFD1,((A2)+(1))+(0)))=("store"),(INDEX(B1:XFD1,((A2)+(1))+(1)))=("O"),"false"),B2,O23),O23))</f>
        <v>#VALUE!</v>
      </c>
      <c r="P23" t="e">
        <f ca="1">IF((A1)=(2),"",IF((20)=(P3),IF(IF((INDEX(B1:XFD1,((A2)+(1))+(0)))=("store"),(INDEX(B1:XFD1,((A2)+(1))+(1)))=("P"),"false"),B2,P23),P23))</f>
        <v>#VALUE!</v>
      </c>
      <c r="Q23" t="e">
        <f ca="1">IF((A1)=(2),"",IF((20)=(Q3),IF(IF((INDEX(B1:XFD1,((A2)+(1))+(0)))=("store"),(INDEX(B1:XFD1,((A2)+(1))+(1)))=("Q"),"false"),B2,Q23),Q23))</f>
        <v>#VALUE!</v>
      </c>
      <c r="R23" t="e">
        <f ca="1">IF((A1)=(2),"",IF((20)=(R3),IF(IF((INDEX(B1:XFD1,((A2)+(1))+(0)))=("store"),(INDEX(B1:XFD1,((A2)+(1))+(1)))=("R"),"false"),B2,R23),R23))</f>
        <v>#VALUE!</v>
      </c>
      <c r="S23" t="e">
        <f ca="1">IF((A1)=(2),"",IF((20)=(S3),IF(IF((INDEX(B1:XFD1,((A2)+(1))+(0)))=("store"),(INDEX(B1:XFD1,((A2)+(1))+(1)))=("S"),"false"),B2,S23),S23))</f>
        <v>#VALUE!</v>
      </c>
      <c r="T23" t="e">
        <f ca="1">IF((A1)=(2),"",IF((20)=(T3),IF(IF((INDEX(B1:XFD1,((A2)+(1))+(0)))=("store"),(INDEX(B1:XFD1,((A2)+(1))+(1)))=("T"),"false"),B2,T23),T23))</f>
        <v>#VALUE!</v>
      </c>
      <c r="U23" t="e">
        <f ca="1">IF((A1)=(2),"",IF((20)=(U3),IF(IF((INDEX(B1:XFD1,((A2)+(1))+(0)))=("store"),(INDEX(B1:XFD1,((A2)+(1))+(1)))=("U"),"false"),B2,U23),U23))</f>
        <v>#VALUE!</v>
      </c>
      <c r="V23" t="e">
        <f ca="1">IF((A1)=(2),"",IF((20)=(V3),IF(IF((INDEX(B1:XFD1,((A2)+(1))+(0)))=("store"),(INDEX(B1:XFD1,((A2)+(1))+(1)))=("V"),"false"),B2,V23),V23))</f>
        <v>#VALUE!</v>
      </c>
      <c r="W23" t="e">
        <f ca="1">IF((A1)=(2),"",IF((20)=(W3),IF(IF((INDEX(B1:XFD1,((A2)+(1))+(0)))=("store"),(INDEX(B1:XFD1,((A2)+(1))+(1)))=("W"),"false"),B2,W23),W23))</f>
        <v>#VALUE!</v>
      </c>
      <c r="X23" t="e">
        <f ca="1">IF((A1)=(2),"",IF((20)=(X3),IF(IF((INDEX(B1:XFD1,((A2)+(1))+(0)))=("store"),(INDEX(B1:XFD1,((A2)+(1))+(1)))=("X"),"false"),B2,X23),X23))</f>
        <v>#VALUE!</v>
      </c>
      <c r="Y23" t="e">
        <f ca="1">IF((A1)=(2),"",IF((20)=(Y3),IF(IF((INDEX(B1:XFD1,((A2)+(1))+(0)))=("store"),(INDEX(B1:XFD1,((A2)+(1))+(1)))=("Y"),"false"),B2,Y23),Y23))</f>
        <v>#VALUE!</v>
      </c>
      <c r="Z23" t="e">
        <f ca="1">IF((A1)=(2),"",IF((20)=(Z3),IF(IF((INDEX(B1:XFD1,((A2)+(1))+(0)))=("store"),(INDEX(B1:XFD1,((A2)+(1))+(1)))=("Z"),"false"),B2,Z23),Z23))</f>
        <v>#VALUE!</v>
      </c>
      <c r="AA23" t="e">
        <f ca="1">IF((A1)=(2),"",IF((20)=(AA3),IF(IF((INDEX(B1:XFD1,((A2)+(1))+(0)))=("store"),(INDEX(B1:XFD1,((A2)+(1))+(1)))=("AA"),"false"),B2,AA23),AA23))</f>
        <v>#VALUE!</v>
      </c>
      <c r="AB23" t="e">
        <f ca="1">IF((A1)=(2),"",IF((20)=(AB3),IF(IF((INDEX(B1:XFD1,((A2)+(1))+(0)))=("store"),(INDEX(B1:XFD1,((A2)+(1))+(1)))=("AB"),"false"),B2,AB23),AB23))</f>
        <v>#VALUE!</v>
      </c>
      <c r="AC23" t="e">
        <f ca="1">IF((A1)=(2),"",IF((20)=(AC3),IF(IF((INDEX(B1:XFD1,((A2)+(1))+(0)))=("store"),(INDEX(B1:XFD1,((A2)+(1))+(1)))=("AC"),"false"),B2,AC23),AC23))</f>
        <v>#VALUE!</v>
      </c>
      <c r="AD23" t="e">
        <f ca="1">IF((A1)=(2),"",IF((20)=(AD3),IF(IF((INDEX(B1:XFD1,((A2)+(1))+(0)))=("store"),(INDEX(B1:XFD1,((A2)+(1))+(1)))=("AD"),"false"),B2,AD23),AD23))</f>
        <v>#VALUE!</v>
      </c>
    </row>
    <row r="24" spans="1:30" x14ac:dyDescent="0.25">
      <c r="A24" t="e">
        <f ca="1">IF((A1)=(2),"",IF((21)=(A3),IF(("call")=(INDEX(B1:XFD1,((A2)+(1))+(0))),(B2)*(2),IF(("goto")=(INDEX(B1:XFD1,((A2)+(1))+(0))),(INDEX(B1:XFD1,((A2)+(1))+(1)))*(2),IF(("gotoiftrue")=(INDEX(B1:XFD1,((A2)+(1))+(0))),IF(B2,(INDEX(B1:XFD1,((A2)+(1))+(1)))*(2),(A24)+(2)),(A24)+(2)))),A24))</f>
        <v>#VALUE!</v>
      </c>
      <c r="B24" t="e">
        <f ca="1">IF((A1)=(2),"",IF((21)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24)+(1)),IF(("add")=(INDEX(B1:XFD1,((A2)+(1))+(0))),(INDEX(B4:B404,(B3)+(1)))+(B24),IF(("equals")=(INDEX(B1:XFD1,((A2)+(1))+(0))),(INDEX(B4:B404,(B3)+(1)))=(B24),IF(("leq")=(INDEX(B1:XFD1,((A2)+(1))+(0))),(INDEX(B4:B404,(B3)+(1)))&lt;=(B24),IF(("greater")=(INDEX(B1:XFD1,((A2)+(1))+(0))),(INDEX(B4:B404,(B3)+(1)))&gt;(B24),IF(("mod")=(INDEX(B1:XFD1,((A2)+(1))+(0))),MOD(INDEX(B4:B404,(B3)+(1)),B24),B24))))))))),B24))</f>
        <v>#VALUE!</v>
      </c>
      <c r="C24" t="e">
        <f ca="1">IF((A1)=(2),1,IF(AND((INDEX(B1:XFD1,((A2)+(1))+(0)))=("writeheap"),(INDEX(B4:B404,(B3)+(1)))=(20)),INDEX(B4:B404,(B3)+(2)),IF((A1)=(2),"",IF((21)=(C3),C24,C24))))</f>
        <v>#VALUE!</v>
      </c>
      <c r="E24" t="e">
        <f ca="1">IF((A1)=(2),"",IF((21)=(E3),IF(("outputline")=(INDEX(B1:XFD1,((A2)+(1))+(0))),B2,E24),E24))</f>
        <v>#VALUE!</v>
      </c>
      <c r="F24" t="e">
        <f ca="1">IF((A1)=(2),"",IF((21)=(F3),IF(IF((INDEX(B1:XFD1,((A2)+(1))+(0)))=("store"),(INDEX(B1:XFD1,((A2)+(1))+(1)))=("F"),"false"),B2,F24),F24))</f>
        <v>#VALUE!</v>
      </c>
      <c r="G24" t="e">
        <f ca="1">IF((A1)=(2),"",IF((21)=(G3),IF(IF((INDEX(B1:XFD1,((A2)+(1))+(0)))=("store"),(INDEX(B1:XFD1,((A2)+(1))+(1)))=("G"),"false"),B2,G24),G24))</f>
        <v>#VALUE!</v>
      </c>
      <c r="H24" t="e">
        <f ca="1">IF((A1)=(2),"",IF((21)=(H3),IF(IF((INDEX(B1:XFD1,((A2)+(1))+(0)))=("store"),(INDEX(B1:XFD1,((A2)+(1))+(1)))=("H"),"false"),B2,H24),H24))</f>
        <v>#VALUE!</v>
      </c>
      <c r="I24" t="e">
        <f ca="1">IF((A1)=(2),"",IF((21)=(I3),IF(IF((INDEX(B1:XFD1,((A2)+(1))+(0)))=("store"),(INDEX(B1:XFD1,((A2)+(1))+(1)))=("I"),"false"),B2,I24),I24))</f>
        <v>#VALUE!</v>
      </c>
      <c r="J24" t="e">
        <f ca="1">IF((A1)=(2),"",IF((21)=(J3),IF(IF((INDEX(B1:XFD1,((A2)+(1))+(0)))=("store"),(INDEX(B1:XFD1,((A2)+(1))+(1)))=("J"),"false"),B2,J24),J24))</f>
        <v>#VALUE!</v>
      </c>
      <c r="K24" t="e">
        <f ca="1">IF((A1)=(2),"",IF((21)=(K3),IF(IF((INDEX(B1:XFD1,((A2)+(1))+(0)))=("store"),(INDEX(B1:XFD1,((A2)+(1))+(1)))=("K"),"false"),B2,K24),K24))</f>
        <v>#VALUE!</v>
      </c>
      <c r="L24" t="e">
        <f ca="1">IF((A1)=(2),"",IF((21)=(L3),IF(IF((INDEX(B1:XFD1,((A2)+(1))+(0)))=("store"),(INDEX(B1:XFD1,((A2)+(1))+(1)))=("L"),"false"),B2,L24),L24))</f>
        <v>#VALUE!</v>
      </c>
      <c r="M24" t="e">
        <f ca="1">IF((A1)=(2),"",IF((21)=(M3),IF(IF((INDEX(B1:XFD1,((A2)+(1))+(0)))=("store"),(INDEX(B1:XFD1,((A2)+(1))+(1)))=("M"),"false"),B2,M24),M24))</f>
        <v>#VALUE!</v>
      </c>
      <c r="N24" t="e">
        <f ca="1">IF((A1)=(2),"",IF((21)=(N3),IF(IF((INDEX(B1:XFD1,((A2)+(1))+(0)))=("store"),(INDEX(B1:XFD1,((A2)+(1))+(1)))=("N"),"false"),B2,N24),N24))</f>
        <v>#VALUE!</v>
      </c>
      <c r="O24" t="e">
        <f ca="1">IF((A1)=(2),"",IF((21)=(O3),IF(IF((INDEX(B1:XFD1,((A2)+(1))+(0)))=("store"),(INDEX(B1:XFD1,((A2)+(1))+(1)))=("O"),"false"),B2,O24),O24))</f>
        <v>#VALUE!</v>
      </c>
      <c r="P24" t="e">
        <f ca="1">IF((A1)=(2),"",IF((21)=(P3),IF(IF((INDEX(B1:XFD1,((A2)+(1))+(0)))=("store"),(INDEX(B1:XFD1,((A2)+(1))+(1)))=("P"),"false"),B2,P24),P24))</f>
        <v>#VALUE!</v>
      </c>
      <c r="Q24" t="e">
        <f ca="1">IF((A1)=(2),"",IF((21)=(Q3),IF(IF((INDEX(B1:XFD1,((A2)+(1))+(0)))=("store"),(INDEX(B1:XFD1,((A2)+(1))+(1)))=("Q"),"false"),B2,Q24),Q24))</f>
        <v>#VALUE!</v>
      </c>
      <c r="R24" t="e">
        <f ca="1">IF((A1)=(2),"",IF((21)=(R3),IF(IF((INDEX(B1:XFD1,((A2)+(1))+(0)))=("store"),(INDEX(B1:XFD1,((A2)+(1))+(1)))=("R"),"false"),B2,R24),R24))</f>
        <v>#VALUE!</v>
      </c>
      <c r="S24" t="e">
        <f ca="1">IF((A1)=(2),"",IF((21)=(S3),IF(IF((INDEX(B1:XFD1,((A2)+(1))+(0)))=("store"),(INDEX(B1:XFD1,((A2)+(1))+(1)))=("S"),"false"),B2,S24),S24))</f>
        <v>#VALUE!</v>
      </c>
      <c r="T24" t="e">
        <f ca="1">IF((A1)=(2),"",IF((21)=(T3),IF(IF((INDEX(B1:XFD1,((A2)+(1))+(0)))=("store"),(INDEX(B1:XFD1,((A2)+(1))+(1)))=("T"),"false"),B2,T24),T24))</f>
        <v>#VALUE!</v>
      </c>
      <c r="U24" t="e">
        <f ca="1">IF((A1)=(2),"",IF((21)=(U3),IF(IF((INDEX(B1:XFD1,((A2)+(1))+(0)))=("store"),(INDEX(B1:XFD1,((A2)+(1))+(1)))=("U"),"false"),B2,U24),U24))</f>
        <v>#VALUE!</v>
      </c>
      <c r="V24" t="e">
        <f ca="1">IF((A1)=(2),"",IF((21)=(V3),IF(IF((INDEX(B1:XFD1,((A2)+(1))+(0)))=("store"),(INDEX(B1:XFD1,((A2)+(1))+(1)))=("V"),"false"),B2,V24),V24))</f>
        <v>#VALUE!</v>
      </c>
      <c r="W24" t="e">
        <f ca="1">IF((A1)=(2),"",IF((21)=(W3),IF(IF((INDEX(B1:XFD1,((A2)+(1))+(0)))=("store"),(INDEX(B1:XFD1,((A2)+(1))+(1)))=("W"),"false"),B2,W24),W24))</f>
        <v>#VALUE!</v>
      </c>
      <c r="X24" t="e">
        <f ca="1">IF((A1)=(2),"",IF((21)=(X3),IF(IF((INDEX(B1:XFD1,((A2)+(1))+(0)))=("store"),(INDEX(B1:XFD1,((A2)+(1))+(1)))=("X"),"false"),B2,X24),X24))</f>
        <v>#VALUE!</v>
      </c>
      <c r="Y24" t="e">
        <f ca="1">IF((A1)=(2),"",IF((21)=(Y3),IF(IF((INDEX(B1:XFD1,((A2)+(1))+(0)))=("store"),(INDEX(B1:XFD1,((A2)+(1))+(1)))=("Y"),"false"),B2,Y24),Y24))</f>
        <v>#VALUE!</v>
      </c>
      <c r="Z24" t="e">
        <f ca="1">IF((A1)=(2),"",IF((21)=(Z3),IF(IF((INDEX(B1:XFD1,((A2)+(1))+(0)))=("store"),(INDEX(B1:XFD1,((A2)+(1))+(1)))=("Z"),"false"),B2,Z24),Z24))</f>
        <v>#VALUE!</v>
      </c>
      <c r="AA24" t="e">
        <f ca="1">IF((A1)=(2),"",IF((21)=(AA3),IF(IF((INDEX(B1:XFD1,((A2)+(1))+(0)))=("store"),(INDEX(B1:XFD1,((A2)+(1))+(1)))=("AA"),"false"),B2,AA24),AA24))</f>
        <v>#VALUE!</v>
      </c>
      <c r="AB24" t="e">
        <f ca="1">IF((A1)=(2),"",IF((21)=(AB3),IF(IF((INDEX(B1:XFD1,((A2)+(1))+(0)))=("store"),(INDEX(B1:XFD1,((A2)+(1))+(1)))=("AB"),"false"),B2,AB24),AB24))</f>
        <v>#VALUE!</v>
      </c>
      <c r="AC24" t="e">
        <f ca="1">IF((A1)=(2),"",IF((21)=(AC3),IF(IF((INDEX(B1:XFD1,((A2)+(1))+(0)))=("store"),(INDEX(B1:XFD1,((A2)+(1))+(1)))=("AC"),"false"),B2,AC24),AC24))</f>
        <v>#VALUE!</v>
      </c>
      <c r="AD24" t="e">
        <f ca="1">IF((A1)=(2),"",IF((21)=(AD3),IF(IF((INDEX(B1:XFD1,((A2)+(1))+(0)))=("store"),(INDEX(B1:XFD1,((A2)+(1))+(1)))=("AD"),"false"),B2,AD24),AD24))</f>
        <v>#VALUE!</v>
      </c>
    </row>
    <row r="25" spans="1:30" x14ac:dyDescent="0.25">
      <c r="A25" t="e">
        <f ca="1">IF((A1)=(2),"",IF((22)=(A3),IF(("call")=(INDEX(B1:XFD1,((A2)+(1))+(0))),(B2)*(2),IF(("goto")=(INDEX(B1:XFD1,((A2)+(1))+(0))),(INDEX(B1:XFD1,((A2)+(1))+(1)))*(2),IF(("gotoiftrue")=(INDEX(B1:XFD1,((A2)+(1))+(0))),IF(B2,(INDEX(B1:XFD1,((A2)+(1))+(1)))*(2),(A25)+(2)),(A25)+(2)))),A25))</f>
        <v>#VALUE!</v>
      </c>
      <c r="B25" t="e">
        <f ca="1">IF((A1)=(2),"",IF((22)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25)+(1)),IF(("add")=(INDEX(B1:XFD1,((A2)+(1))+(0))),(INDEX(B4:B404,(B3)+(1)))+(B25),IF(("equals")=(INDEX(B1:XFD1,((A2)+(1))+(0))),(INDEX(B4:B404,(B3)+(1)))=(B25),IF(("leq")=(INDEX(B1:XFD1,((A2)+(1))+(0))),(INDEX(B4:B404,(B3)+(1)))&lt;=(B25),IF(("greater")=(INDEX(B1:XFD1,((A2)+(1))+(0))),(INDEX(B4:B404,(B3)+(1)))&gt;(B25),IF(("mod")=(INDEX(B1:XFD1,((A2)+(1))+(0))),MOD(INDEX(B4:B404,(B3)+(1)),B25),B25))))))))),B25))</f>
        <v>#VALUE!</v>
      </c>
      <c r="C25" t="e">
        <f ca="1">IF((A1)=(2),1,IF(AND((INDEX(B1:XFD1,((A2)+(1))+(0)))=("writeheap"),(INDEX(B4:B404,(B3)+(1)))=(21)),INDEX(B4:B404,(B3)+(2)),IF((A1)=(2),"",IF((22)=(C3),C25,C25))))</f>
        <v>#VALUE!</v>
      </c>
      <c r="E25" t="e">
        <f ca="1">IF((A1)=(2),"",IF((22)=(E3),IF(("outputline")=(INDEX(B1:XFD1,((A2)+(1))+(0))),B2,E25),E25))</f>
        <v>#VALUE!</v>
      </c>
      <c r="F25" t="e">
        <f ca="1">IF((A1)=(2),"",IF((22)=(F3),IF(IF((INDEX(B1:XFD1,((A2)+(1))+(0)))=("store"),(INDEX(B1:XFD1,((A2)+(1))+(1)))=("F"),"false"),B2,F25),F25))</f>
        <v>#VALUE!</v>
      </c>
      <c r="G25" t="e">
        <f ca="1">IF((A1)=(2),"",IF((22)=(G3),IF(IF((INDEX(B1:XFD1,((A2)+(1))+(0)))=("store"),(INDEX(B1:XFD1,((A2)+(1))+(1)))=("G"),"false"),B2,G25),G25))</f>
        <v>#VALUE!</v>
      </c>
      <c r="H25" t="e">
        <f ca="1">IF((A1)=(2),"",IF((22)=(H3),IF(IF((INDEX(B1:XFD1,((A2)+(1))+(0)))=("store"),(INDEX(B1:XFD1,((A2)+(1))+(1)))=("H"),"false"),B2,H25),H25))</f>
        <v>#VALUE!</v>
      </c>
      <c r="I25" t="e">
        <f ca="1">IF((A1)=(2),"",IF((22)=(I3),IF(IF((INDEX(B1:XFD1,((A2)+(1))+(0)))=("store"),(INDEX(B1:XFD1,((A2)+(1))+(1)))=("I"),"false"),B2,I25),I25))</f>
        <v>#VALUE!</v>
      </c>
      <c r="J25" t="e">
        <f ca="1">IF((A1)=(2),"",IF((22)=(J3),IF(IF((INDEX(B1:XFD1,((A2)+(1))+(0)))=("store"),(INDEX(B1:XFD1,((A2)+(1))+(1)))=("J"),"false"),B2,J25),J25))</f>
        <v>#VALUE!</v>
      </c>
      <c r="K25" t="e">
        <f ca="1">IF((A1)=(2),"",IF((22)=(K3),IF(IF((INDEX(B1:XFD1,((A2)+(1))+(0)))=("store"),(INDEX(B1:XFD1,((A2)+(1))+(1)))=("K"),"false"),B2,K25),K25))</f>
        <v>#VALUE!</v>
      </c>
      <c r="L25" t="e">
        <f ca="1">IF((A1)=(2),"",IF((22)=(L3),IF(IF((INDEX(B1:XFD1,((A2)+(1))+(0)))=("store"),(INDEX(B1:XFD1,((A2)+(1))+(1)))=("L"),"false"),B2,L25),L25))</f>
        <v>#VALUE!</v>
      </c>
      <c r="M25" t="e">
        <f ca="1">IF((A1)=(2),"",IF((22)=(M3),IF(IF((INDEX(B1:XFD1,((A2)+(1))+(0)))=("store"),(INDEX(B1:XFD1,((A2)+(1))+(1)))=("M"),"false"),B2,M25),M25))</f>
        <v>#VALUE!</v>
      </c>
      <c r="N25" t="e">
        <f ca="1">IF((A1)=(2),"",IF((22)=(N3),IF(IF((INDEX(B1:XFD1,((A2)+(1))+(0)))=("store"),(INDEX(B1:XFD1,((A2)+(1))+(1)))=("N"),"false"),B2,N25),N25))</f>
        <v>#VALUE!</v>
      </c>
      <c r="O25" t="e">
        <f ca="1">IF((A1)=(2),"",IF((22)=(O3),IF(IF((INDEX(B1:XFD1,((A2)+(1))+(0)))=("store"),(INDEX(B1:XFD1,((A2)+(1))+(1)))=("O"),"false"),B2,O25),O25))</f>
        <v>#VALUE!</v>
      </c>
      <c r="P25" t="e">
        <f ca="1">IF((A1)=(2),"",IF((22)=(P3),IF(IF((INDEX(B1:XFD1,((A2)+(1))+(0)))=("store"),(INDEX(B1:XFD1,((A2)+(1))+(1)))=("P"),"false"),B2,P25),P25))</f>
        <v>#VALUE!</v>
      </c>
      <c r="Q25" t="e">
        <f ca="1">IF((A1)=(2),"",IF((22)=(Q3),IF(IF((INDEX(B1:XFD1,((A2)+(1))+(0)))=("store"),(INDEX(B1:XFD1,((A2)+(1))+(1)))=("Q"),"false"),B2,Q25),Q25))</f>
        <v>#VALUE!</v>
      </c>
      <c r="R25" t="e">
        <f ca="1">IF((A1)=(2),"",IF((22)=(R3),IF(IF((INDEX(B1:XFD1,((A2)+(1))+(0)))=("store"),(INDEX(B1:XFD1,((A2)+(1))+(1)))=("R"),"false"),B2,R25),R25))</f>
        <v>#VALUE!</v>
      </c>
      <c r="S25" t="e">
        <f ca="1">IF((A1)=(2),"",IF((22)=(S3),IF(IF((INDEX(B1:XFD1,((A2)+(1))+(0)))=("store"),(INDEX(B1:XFD1,((A2)+(1))+(1)))=("S"),"false"),B2,S25),S25))</f>
        <v>#VALUE!</v>
      </c>
      <c r="T25" t="e">
        <f ca="1">IF((A1)=(2),"",IF((22)=(T3),IF(IF((INDEX(B1:XFD1,((A2)+(1))+(0)))=("store"),(INDEX(B1:XFD1,((A2)+(1))+(1)))=("T"),"false"),B2,T25),T25))</f>
        <v>#VALUE!</v>
      </c>
      <c r="U25" t="e">
        <f ca="1">IF((A1)=(2),"",IF((22)=(U3),IF(IF((INDEX(B1:XFD1,((A2)+(1))+(0)))=("store"),(INDEX(B1:XFD1,((A2)+(1))+(1)))=("U"),"false"),B2,U25),U25))</f>
        <v>#VALUE!</v>
      </c>
      <c r="V25" t="e">
        <f ca="1">IF((A1)=(2),"",IF((22)=(V3),IF(IF((INDEX(B1:XFD1,((A2)+(1))+(0)))=("store"),(INDEX(B1:XFD1,((A2)+(1))+(1)))=("V"),"false"),B2,V25),V25))</f>
        <v>#VALUE!</v>
      </c>
      <c r="W25" t="e">
        <f ca="1">IF((A1)=(2),"",IF((22)=(W3),IF(IF((INDEX(B1:XFD1,((A2)+(1))+(0)))=("store"),(INDEX(B1:XFD1,((A2)+(1))+(1)))=("W"),"false"),B2,W25),W25))</f>
        <v>#VALUE!</v>
      </c>
      <c r="X25" t="e">
        <f ca="1">IF((A1)=(2),"",IF((22)=(X3),IF(IF((INDEX(B1:XFD1,((A2)+(1))+(0)))=("store"),(INDEX(B1:XFD1,((A2)+(1))+(1)))=("X"),"false"),B2,X25),X25))</f>
        <v>#VALUE!</v>
      </c>
      <c r="Y25" t="e">
        <f ca="1">IF((A1)=(2),"",IF((22)=(Y3),IF(IF((INDEX(B1:XFD1,((A2)+(1))+(0)))=("store"),(INDEX(B1:XFD1,((A2)+(1))+(1)))=("Y"),"false"),B2,Y25),Y25))</f>
        <v>#VALUE!</v>
      </c>
      <c r="Z25" t="e">
        <f ca="1">IF((A1)=(2),"",IF((22)=(Z3),IF(IF((INDEX(B1:XFD1,((A2)+(1))+(0)))=("store"),(INDEX(B1:XFD1,((A2)+(1))+(1)))=("Z"),"false"),B2,Z25),Z25))</f>
        <v>#VALUE!</v>
      </c>
      <c r="AA25" t="e">
        <f ca="1">IF((A1)=(2),"",IF((22)=(AA3),IF(IF((INDEX(B1:XFD1,((A2)+(1))+(0)))=("store"),(INDEX(B1:XFD1,((A2)+(1))+(1)))=("AA"),"false"),B2,AA25),AA25))</f>
        <v>#VALUE!</v>
      </c>
      <c r="AB25" t="e">
        <f ca="1">IF((A1)=(2),"",IF((22)=(AB3),IF(IF((INDEX(B1:XFD1,((A2)+(1))+(0)))=("store"),(INDEX(B1:XFD1,((A2)+(1))+(1)))=("AB"),"false"),B2,AB25),AB25))</f>
        <v>#VALUE!</v>
      </c>
      <c r="AC25" t="e">
        <f ca="1">IF((A1)=(2),"",IF((22)=(AC3),IF(IF((INDEX(B1:XFD1,((A2)+(1))+(0)))=("store"),(INDEX(B1:XFD1,((A2)+(1))+(1)))=("AC"),"false"),B2,AC25),AC25))</f>
        <v>#VALUE!</v>
      </c>
      <c r="AD25" t="e">
        <f ca="1">IF((A1)=(2),"",IF((22)=(AD3),IF(IF((INDEX(B1:XFD1,((A2)+(1))+(0)))=("store"),(INDEX(B1:XFD1,((A2)+(1))+(1)))=("AD"),"false"),B2,AD25),AD25))</f>
        <v>#VALUE!</v>
      </c>
    </row>
    <row r="26" spans="1:30" x14ac:dyDescent="0.25">
      <c r="A26" t="e">
        <f ca="1">IF((A1)=(2),"",IF((23)=(A3),IF(("call")=(INDEX(B1:XFD1,((A2)+(1))+(0))),(B2)*(2),IF(("goto")=(INDEX(B1:XFD1,((A2)+(1))+(0))),(INDEX(B1:XFD1,((A2)+(1))+(1)))*(2),IF(("gotoiftrue")=(INDEX(B1:XFD1,((A2)+(1))+(0))),IF(B2,(INDEX(B1:XFD1,((A2)+(1))+(1)))*(2),(A26)+(2)),(A26)+(2)))),A26))</f>
        <v>#VALUE!</v>
      </c>
      <c r="B26" t="e">
        <f ca="1">IF((A1)=(2),"",IF((23)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26)+(1)),IF(("add")=(INDEX(B1:XFD1,((A2)+(1))+(0))),(INDEX(B4:B404,(B3)+(1)))+(B26),IF(("equals")=(INDEX(B1:XFD1,((A2)+(1))+(0))),(INDEX(B4:B404,(B3)+(1)))=(B26),IF(("leq")=(INDEX(B1:XFD1,((A2)+(1))+(0))),(INDEX(B4:B404,(B3)+(1)))&lt;=(B26),IF(("greater")=(INDEX(B1:XFD1,((A2)+(1))+(0))),(INDEX(B4:B404,(B3)+(1)))&gt;(B26),IF(("mod")=(INDEX(B1:XFD1,((A2)+(1))+(0))),MOD(INDEX(B4:B404,(B3)+(1)),B26),B26))))))))),B26))</f>
        <v>#VALUE!</v>
      </c>
      <c r="C26" t="e">
        <f ca="1">IF((A1)=(2),1,IF(AND((INDEX(B1:XFD1,((A2)+(1))+(0)))=("writeheap"),(INDEX(B4:B404,(B3)+(1)))=(22)),INDEX(B4:B404,(B3)+(2)),IF((A1)=(2),"",IF((23)=(C3),C26,C26))))</f>
        <v>#VALUE!</v>
      </c>
      <c r="E26" t="e">
        <f ca="1">IF((A1)=(2),"",IF((23)=(E3),IF(("outputline")=(INDEX(B1:XFD1,((A2)+(1))+(0))),B2,E26),E26))</f>
        <v>#VALUE!</v>
      </c>
      <c r="F26" t="e">
        <f ca="1">IF((A1)=(2),"",IF((23)=(F3),IF(IF((INDEX(B1:XFD1,((A2)+(1))+(0)))=("store"),(INDEX(B1:XFD1,((A2)+(1))+(1)))=("F"),"false"),B2,F26),F26))</f>
        <v>#VALUE!</v>
      </c>
      <c r="G26" t="e">
        <f ca="1">IF((A1)=(2),"",IF((23)=(G3),IF(IF((INDEX(B1:XFD1,((A2)+(1))+(0)))=("store"),(INDEX(B1:XFD1,((A2)+(1))+(1)))=("G"),"false"),B2,G26),G26))</f>
        <v>#VALUE!</v>
      </c>
      <c r="H26" t="e">
        <f ca="1">IF((A1)=(2),"",IF((23)=(H3),IF(IF((INDEX(B1:XFD1,((A2)+(1))+(0)))=("store"),(INDEX(B1:XFD1,((A2)+(1))+(1)))=("H"),"false"),B2,H26),H26))</f>
        <v>#VALUE!</v>
      </c>
      <c r="I26" t="e">
        <f ca="1">IF((A1)=(2),"",IF((23)=(I3),IF(IF((INDEX(B1:XFD1,((A2)+(1))+(0)))=("store"),(INDEX(B1:XFD1,((A2)+(1))+(1)))=("I"),"false"),B2,I26),I26))</f>
        <v>#VALUE!</v>
      </c>
      <c r="J26" t="e">
        <f ca="1">IF((A1)=(2),"",IF((23)=(J3),IF(IF((INDEX(B1:XFD1,((A2)+(1))+(0)))=("store"),(INDEX(B1:XFD1,((A2)+(1))+(1)))=("J"),"false"),B2,J26),J26))</f>
        <v>#VALUE!</v>
      </c>
      <c r="K26" t="e">
        <f ca="1">IF((A1)=(2),"",IF((23)=(K3),IF(IF((INDEX(B1:XFD1,((A2)+(1))+(0)))=("store"),(INDEX(B1:XFD1,((A2)+(1))+(1)))=("K"),"false"),B2,K26),K26))</f>
        <v>#VALUE!</v>
      </c>
      <c r="L26" t="e">
        <f ca="1">IF((A1)=(2),"",IF((23)=(L3),IF(IF((INDEX(B1:XFD1,((A2)+(1))+(0)))=("store"),(INDEX(B1:XFD1,((A2)+(1))+(1)))=("L"),"false"),B2,L26),L26))</f>
        <v>#VALUE!</v>
      </c>
      <c r="M26" t="e">
        <f ca="1">IF((A1)=(2),"",IF((23)=(M3),IF(IF((INDEX(B1:XFD1,((A2)+(1))+(0)))=("store"),(INDEX(B1:XFD1,((A2)+(1))+(1)))=("M"),"false"),B2,M26),M26))</f>
        <v>#VALUE!</v>
      </c>
      <c r="N26" t="e">
        <f ca="1">IF((A1)=(2),"",IF((23)=(N3),IF(IF((INDEX(B1:XFD1,((A2)+(1))+(0)))=("store"),(INDEX(B1:XFD1,((A2)+(1))+(1)))=("N"),"false"),B2,N26),N26))</f>
        <v>#VALUE!</v>
      </c>
      <c r="O26" t="e">
        <f ca="1">IF((A1)=(2),"",IF((23)=(O3),IF(IF((INDEX(B1:XFD1,((A2)+(1))+(0)))=("store"),(INDEX(B1:XFD1,((A2)+(1))+(1)))=("O"),"false"),B2,O26),O26))</f>
        <v>#VALUE!</v>
      </c>
      <c r="P26" t="e">
        <f ca="1">IF((A1)=(2),"",IF((23)=(P3),IF(IF((INDEX(B1:XFD1,((A2)+(1))+(0)))=("store"),(INDEX(B1:XFD1,((A2)+(1))+(1)))=("P"),"false"),B2,P26),P26))</f>
        <v>#VALUE!</v>
      </c>
      <c r="Q26" t="e">
        <f ca="1">IF((A1)=(2),"",IF((23)=(Q3),IF(IF((INDEX(B1:XFD1,((A2)+(1))+(0)))=("store"),(INDEX(B1:XFD1,((A2)+(1))+(1)))=("Q"),"false"),B2,Q26),Q26))</f>
        <v>#VALUE!</v>
      </c>
      <c r="R26" t="e">
        <f ca="1">IF((A1)=(2),"",IF((23)=(R3),IF(IF((INDEX(B1:XFD1,((A2)+(1))+(0)))=("store"),(INDEX(B1:XFD1,((A2)+(1))+(1)))=("R"),"false"),B2,R26),R26))</f>
        <v>#VALUE!</v>
      </c>
      <c r="S26" t="e">
        <f ca="1">IF((A1)=(2),"",IF((23)=(S3),IF(IF((INDEX(B1:XFD1,((A2)+(1))+(0)))=("store"),(INDEX(B1:XFD1,((A2)+(1))+(1)))=("S"),"false"),B2,S26),S26))</f>
        <v>#VALUE!</v>
      </c>
      <c r="T26" t="e">
        <f ca="1">IF((A1)=(2),"",IF((23)=(T3),IF(IF((INDEX(B1:XFD1,((A2)+(1))+(0)))=("store"),(INDEX(B1:XFD1,((A2)+(1))+(1)))=("T"),"false"),B2,T26),T26))</f>
        <v>#VALUE!</v>
      </c>
      <c r="U26" t="e">
        <f ca="1">IF((A1)=(2),"",IF((23)=(U3),IF(IF((INDEX(B1:XFD1,((A2)+(1))+(0)))=("store"),(INDEX(B1:XFD1,((A2)+(1))+(1)))=("U"),"false"),B2,U26),U26))</f>
        <v>#VALUE!</v>
      </c>
      <c r="V26" t="e">
        <f ca="1">IF((A1)=(2),"",IF((23)=(V3),IF(IF((INDEX(B1:XFD1,((A2)+(1))+(0)))=("store"),(INDEX(B1:XFD1,((A2)+(1))+(1)))=("V"),"false"),B2,V26),V26))</f>
        <v>#VALUE!</v>
      </c>
      <c r="W26" t="e">
        <f ca="1">IF((A1)=(2),"",IF((23)=(W3),IF(IF((INDEX(B1:XFD1,((A2)+(1))+(0)))=("store"),(INDEX(B1:XFD1,((A2)+(1))+(1)))=("W"),"false"),B2,W26),W26))</f>
        <v>#VALUE!</v>
      </c>
      <c r="X26" t="e">
        <f ca="1">IF((A1)=(2),"",IF((23)=(X3),IF(IF((INDEX(B1:XFD1,((A2)+(1))+(0)))=("store"),(INDEX(B1:XFD1,((A2)+(1))+(1)))=("X"),"false"),B2,X26),X26))</f>
        <v>#VALUE!</v>
      </c>
      <c r="Y26" t="e">
        <f ca="1">IF((A1)=(2),"",IF((23)=(Y3),IF(IF((INDEX(B1:XFD1,((A2)+(1))+(0)))=("store"),(INDEX(B1:XFD1,((A2)+(1))+(1)))=("Y"),"false"),B2,Y26),Y26))</f>
        <v>#VALUE!</v>
      </c>
      <c r="Z26" t="e">
        <f ca="1">IF((A1)=(2),"",IF((23)=(Z3),IF(IF((INDEX(B1:XFD1,((A2)+(1))+(0)))=("store"),(INDEX(B1:XFD1,((A2)+(1))+(1)))=("Z"),"false"),B2,Z26),Z26))</f>
        <v>#VALUE!</v>
      </c>
      <c r="AA26" t="e">
        <f ca="1">IF((A1)=(2),"",IF((23)=(AA3),IF(IF((INDEX(B1:XFD1,((A2)+(1))+(0)))=("store"),(INDEX(B1:XFD1,((A2)+(1))+(1)))=("AA"),"false"),B2,AA26),AA26))</f>
        <v>#VALUE!</v>
      </c>
      <c r="AB26" t="e">
        <f ca="1">IF((A1)=(2),"",IF((23)=(AB3),IF(IF((INDEX(B1:XFD1,((A2)+(1))+(0)))=("store"),(INDEX(B1:XFD1,((A2)+(1))+(1)))=("AB"),"false"),B2,AB26),AB26))</f>
        <v>#VALUE!</v>
      </c>
      <c r="AC26" t="e">
        <f ca="1">IF((A1)=(2),"",IF((23)=(AC3),IF(IF((INDEX(B1:XFD1,((A2)+(1))+(0)))=("store"),(INDEX(B1:XFD1,((A2)+(1))+(1)))=("AC"),"false"),B2,AC26),AC26))</f>
        <v>#VALUE!</v>
      </c>
      <c r="AD26" t="e">
        <f ca="1">IF((A1)=(2),"",IF((23)=(AD3),IF(IF((INDEX(B1:XFD1,((A2)+(1))+(0)))=("store"),(INDEX(B1:XFD1,((A2)+(1))+(1)))=("AD"),"false"),B2,AD26),AD26))</f>
        <v>#VALUE!</v>
      </c>
    </row>
    <row r="27" spans="1:30" x14ac:dyDescent="0.25">
      <c r="A27" t="e">
        <f ca="1">IF((A1)=(2),"",IF((24)=(A3),IF(("call")=(INDEX(B1:XFD1,((A2)+(1))+(0))),(B2)*(2),IF(("goto")=(INDEX(B1:XFD1,((A2)+(1))+(0))),(INDEX(B1:XFD1,((A2)+(1))+(1)))*(2),IF(("gotoiftrue")=(INDEX(B1:XFD1,((A2)+(1))+(0))),IF(B2,(INDEX(B1:XFD1,((A2)+(1))+(1)))*(2),(A27)+(2)),(A27)+(2)))),A27))</f>
        <v>#VALUE!</v>
      </c>
      <c r="B27" t="e">
        <f ca="1">IF((A1)=(2),"",IF((24)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27)+(1)),IF(("add")=(INDEX(B1:XFD1,((A2)+(1))+(0))),(INDEX(B4:B404,(B3)+(1)))+(B27),IF(("equals")=(INDEX(B1:XFD1,((A2)+(1))+(0))),(INDEX(B4:B404,(B3)+(1)))=(B27),IF(("leq")=(INDEX(B1:XFD1,((A2)+(1))+(0))),(INDEX(B4:B404,(B3)+(1)))&lt;=(B27),IF(("greater")=(INDEX(B1:XFD1,((A2)+(1))+(0))),(INDEX(B4:B404,(B3)+(1)))&gt;(B27),IF(("mod")=(INDEX(B1:XFD1,((A2)+(1))+(0))),MOD(INDEX(B4:B404,(B3)+(1)),B27),B27))))))))),B27))</f>
        <v>#VALUE!</v>
      </c>
      <c r="C27" t="e">
        <f ca="1">IF((A1)=(2),1,IF(AND((INDEX(B1:XFD1,((A2)+(1))+(0)))=("writeheap"),(INDEX(B4:B404,(B3)+(1)))=(23)),INDEX(B4:B404,(B3)+(2)),IF((A1)=(2),"",IF((24)=(C3),C27,C27))))</f>
        <v>#VALUE!</v>
      </c>
      <c r="E27" t="e">
        <f ca="1">IF((A1)=(2),"",IF((24)=(E3),IF(("outputline")=(INDEX(B1:XFD1,((A2)+(1))+(0))),B2,E27),E27))</f>
        <v>#VALUE!</v>
      </c>
      <c r="F27" t="e">
        <f ca="1">IF((A1)=(2),"",IF((24)=(F3),IF(IF((INDEX(B1:XFD1,((A2)+(1))+(0)))=("store"),(INDEX(B1:XFD1,((A2)+(1))+(1)))=("F"),"false"),B2,F27),F27))</f>
        <v>#VALUE!</v>
      </c>
      <c r="G27" t="e">
        <f ca="1">IF((A1)=(2),"",IF((24)=(G3),IF(IF((INDEX(B1:XFD1,((A2)+(1))+(0)))=("store"),(INDEX(B1:XFD1,((A2)+(1))+(1)))=("G"),"false"),B2,G27),G27))</f>
        <v>#VALUE!</v>
      </c>
      <c r="H27" t="e">
        <f ca="1">IF((A1)=(2),"",IF((24)=(H3),IF(IF((INDEX(B1:XFD1,((A2)+(1))+(0)))=("store"),(INDEX(B1:XFD1,((A2)+(1))+(1)))=("H"),"false"),B2,H27),H27))</f>
        <v>#VALUE!</v>
      </c>
      <c r="I27" t="e">
        <f ca="1">IF((A1)=(2),"",IF((24)=(I3),IF(IF((INDEX(B1:XFD1,((A2)+(1))+(0)))=("store"),(INDEX(B1:XFD1,((A2)+(1))+(1)))=("I"),"false"),B2,I27),I27))</f>
        <v>#VALUE!</v>
      </c>
      <c r="J27" t="e">
        <f ca="1">IF((A1)=(2),"",IF((24)=(J3),IF(IF((INDEX(B1:XFD1,((A2)+(1))+(0)))=("store"),(INDEX(B1:XFD1,((A2)+(1))+(1)))=("J"),"false"),B2,J27),J27))</f>
        <v>#VALUE!</v>
      </c>
      <c r="K27" t="e">
        <f ca="1">IF((A1)=(2),"",IF((24)=(K3),IF(IF((INDEX(B1:XFD1,((A2)+(1))+(0)))=("store"),(INDEX(B1:XFD1,((A2)+(1))+(1)))=("K"),"false"),B2,K27),K27))</f>
        <v>#VALUE!</v>
      </c>
      <c r="L27" t="e">
        <f ca="1">IF((A1)=(2),"",IF((24)=(L3),IF(IF((INDEX(B1:XFD1,((A2)+(1))+(0)))=("store"),(INDEX(B1:XFD1,((A2)+(1))+(1)))=("L"),"false"),B2,L27),L27))</f>
        <v>#VALUE!</v>
      </c>
      <c r="M27" t="e">
        <f ca="1">IF((A1)=(2),"",IF((24)=(M3),IF(IF((INDEX(B1:XFD1,((A2)+(1))+(0)))=("store"),(INDEX(B1:XFD1,((A2)+(1))+(1)))=("M"),"false"),B2,M27),M27))</f>
        <v>#VALUE!</v>
      </c>
      <c r="N27" t="e">
        <f ca="1">IF((A1)=(2),"",IF((24)=(N3),IF(IF((INDEX(B1:XFD1,((A2)+(1))+(0)))=("store"),(INDEX(B1:XFD1,((A2)+(1))+(1)))=("N"),"false"),B2,N27),N27))</f>
        <v>#VALUE!</v>
      </c>
      <c r="O27" t="e">
        <f ca="1">IF((A1)=(2),"",IF((24)=(O3),IF(IF((INDEX(B1:XFD1,((A2)+(1))+(0)))=("store"),(INDEX(B1:XFD1,((A2)+(1))+(1)))=("O"),"false"),B2,O27),O27))</f>
        <v>#VALUE!</v>
      </c>
      <c r="P27" t="e">
        <f ca="1">IF((A1)=(2),"",IF((24)=(P3),IF(IF((INDEX(B1:XFD1,((A2)+(1))+(0)))=("store"),(INDEX(B1:XFD1,((A2)+(1))+(1)))=("P"),"false"),B2,P27),P27))</f>
        <v>#VALUE!</v>
      </c>
      <c r="Q27" t="e">
        <f ca="1">IF((A1)=(2),"",IF((24)=(Q3),IF(IF((INDEX(B1:XFD1,((A2)+(1))+(0)))=("store"),(INDEX(B1:XFD1,((A2)+(1))+(1)))=("Q"),"false"),B2,Q27),Q27))</f>
        <v>#VALUE!</v>
      </c>
      <c r="R27" t="e">
        <f ca="1">IF((A1)=(2),"",IF((24)=(R3),IF(IF((INDEX(B1:XFD1,((A2)+(1))+(0)))=("store"),(INDEX(B1:XFD1,((A2)+(1))+(1)))=("R"),"false"),B2,R27),R27))</f>
        <v>#VALUE!</v>
      </c>
      <c r="S27" t="e">
        <f ca="1">IF((A1)=(2),"",IF((24)=(S3),IF(IF((INDEX(B1:XFD1,((A2)+(1))+(0)))=("store"),(INDEX(B1:XFD1,((A2)+(1))+(1)))=("S"),"false"),B2,S27),S27))</f>
        <v>#VALUE!</v>
      </c>
      <c r="T27" t="e">
        <f ca="1">IF((A1)=(2),"",IF((24)=(T3),IF(IF((INDEX(B1:XFD1,((A2)+(1))+(0)))=("store"),(INDEX(B1:XFD1,((A2)+(1))+(1)))=("T"),"false"),B2,T27),T27))</f>
        <v>#VALUE!</v>
      </c>
      <c r="U27" t="e">
        <f ca="1">IF((A1)=(2),"",IF((24)=(U3),IF(IF((INDEX(B1:XFD1,((A2)+(1))+(0)))=("store"),(INDEX(B1:XFD1,((A2)+(1))+(1)))=("U"),"false"),B2,U27),U27))</f>
        <v>#VALUE!</v>
      </c>
      <c r="V27" t="e">
        <f ca="1">IF((A1)=(2),"",IF((24)=(V3),IF(IF((INDEX(B1:XFD1,((A2)+(1))+(0)))=("store"),(INDEX(B1:XFD1,((A2)+(1))+(1)))=("V"),"false"),B2,V27),V27))</f>
        <v>#VALUE!</v>
      </c>
      <c r="W27" t="e">
        <f ca="1">IF((A1)=(2),"",IF((24)=(W3),IF(IF((INDEX(B1:XFD1,((A2)+(1))+(0)))=("store"),(INDEX(B1:XFD1,((A2)+(1))+(1)))=("W"),"false"),B2,W27),W27))</f>
        <v>#VALUE!</v>
      </c>
      <c r="X27" t="e">
        <f ca="1">IF((A1)=(2),"",IF((24)=(X3),IF(IF((INDEX(B1:XFD1,((A2)+(1))+(0)))=("store"),(INDEX(B1:XFD1,((A2)+(1))+(1)))=("X"),"false"),B2,X27),X27))</f>
        <v>#VALUE!</v>
      </c>
      <c r="Y27" t="e">
        <f ca="1">IF((A1)=(2),"",IF((24)=(Y3),IF(IF((INDEX(B1:XFD1,((A2)+(1))+(0)))=("store"),(INDEX(B1:XFD1,((A2)+(1))+(1)))=("Y"),"false"),B2,Y27),Y27))</f>
        <v>#VALUE!</v>
      </c>
      <c r="Z27" t="e">
        <f ca="1">IF((A1)=(2),"",IF((24)=(Z3),IF(IF((INDEX(B1:XFD1,((A2)+(1))+(0)))=("store"),(INDEX(B1:XFD1,((A2)+(1))+(1)))=("Z"),"false"),B2,Z27),Z27))</f>
        <v>#VALUE!</v>
      </c>
      <c r="AA27" t="e">
        <f ca="1">IF((A1)=(2),"",IF((24)=(AA3),IF(IF((INDEX(B1:XFD1,((A2)+(1))+(0)))=("store"),(INDEX(B1:XFD1,((A2)+(1))+(1)))=("AA"),"false"),B2,AA27),AA27))</f>
        <v>#VALUE!</v>
      </c>
      <c r="AB27" t="e">
        <f ca="1">IF((A1)=(2),"",IF((24)=(AB3),IF(IF((INDEX(B1:XFD1,((A2)+(1))+(0)))=("store"),(INDEX(B1:XFD1,((A2)+(1))+(1)))=("AB"),"false"),B2,AB27),AB27))</f>
        <v>#VALUE!</v>
      </c>
      <c r="AC27" t="e">
        <f ca="1">IF((A1)=(2),"",IF((24)=(AC3),IF(IF((INDEX(B1:XFD1,((A2)+(1))+(0)))=("store"),(INDEX(B1:XFD1,((A2)+(1))+(1)))=("AC"),"false"),B2,AC27),AC27))</f>
        <v>#VALUE!</v>
      </c>
      <c r="AD27" t="e">
        <f ca="1">IF((A1)=(2),"",IF((24)=(AD3),IF(IF((INDEX(B1:XFD1,((A2)+(1))+(0)))=("store"),(INDEX(B1:XFD1,((A2)+(1))+(1)))=("AD"),"false"),B2,AD27),AD27))</f>
        <v>#VALUE!</v>
      </c>
    </row>
    <row r="28" spans="1:30" x14ac:dyDescent="0.25">
      <c r="A28" t="e">
        <f ca="1">IF((A1)=(2),"",IF((25)=(A3),IF(("call")=(INDEX(B1:XFD1,((A2)+(1))+(0))),(B2)*(2),IF(("goto")=(INDEX(B1:XFD1,((A2)+(1))+(0))),(INDEX(B1:XFD1,((A2)+(1))+(1)))*(2),IF(("gotoiftrue")=(INDEX(B1:XFD1,((A2)+(1))+(0))),IF(B2,(INDEX(B1:XFD1,((A2)+(1))+(1)))*(2),(A28)+(2)),(A28)+(2)))),A28))</f>
        <v>#VALUE!</v>
      </c>
      <c r="B28" t="e">
        <f ca="1">IF((A1)=(2),"",IF((25)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28)+(1)),IF(("add")=(INDEX(B1:XFD1,((A2)+(1))+(0))),(INDEX(B4:B404,(B3)+(1)))+(B28),IF(("equals")=(INDEX(B1:XFD1,((A2)+(1))+(0))),(INDEX(B4:B404,(B3)+(1)))=(B28),IF(("leq")=(INDEX(B1:XFD1,((A2)+(1))+(0))),(INDEX(B4:B404,(B3)+(1)))&lt;=(B28),IF(("greater")=(INDEX(B1:XFD1,((A2)+(1))+(0))),(INDEX(B4:B404,(B3)+(1)))&gt;(B28),IF(("mod")=(INDEX(B1:XFD1,((A2)+(1))+(0))),MOD(INDEX(B4:B404,(B3)+(1)),B28),B28))))))))),B28))</f>
        <v>#VALUE!</v>
      </c>
      <c r="C28" t="e">
        <f ca="1">IF((A1)=(2),1,IF(AND((INDEX(B1:XFD1,((A2)+(1))+(0)))=("writeheap"),(INDEX(B4:B404,(B3)+(1)))=(24)),INDEX(B4:B404,(B3)+(2)),IF((A1)=(2),"",IF((25)=(C3),C28,C28))))</f>
        <v>#VALUE!</v>
      </c>
      <c r="E28" t="e">
        <f ca="1">IF((A1)=(2),"",IF((25)=(E3),IF(("outputline")=(INDEX(B1:XFD1,((A2)+(1))+(0))),B2,E28),E28))</f>
        <v>#VALUE!</v>
      </c>
      <c r="F28" t="e">
        <f ca="1">IF((A1)=(2),"",IF((25)=(F3),IF(IF((INDEX(B1:XFD1,((A2)+(1))+(0)))=("store"),(INDEX(B1:XFD1,((A2)+(1))+(1)))=("F"),"false"),B2,F28),F28))</f>
        <v>#VALUE!</v>
      </c>
      <c r="G28" t="e">
        <f ca="1">IF((A1)=(2),"",IF((25)=(G3),IF(IF((INDEX(B1:XFD1,((A2)+(1))+(0)))=("store"),(INDEX(B1:XFD1,((A2)+(1))+(1)))=("G"),"false"),B2,G28),G28))</f>
        <v>#VALUE!</v>
      </c>
      <c r="H28" t="e">
        <f ca="1">IF((A1)=(2),"",IF((25)=(H3),IF(IF((INDEX(B1:XFD1,((A2)+(1))+(0)))=("store"),(INDEX(B1:XFD1,((A2)+(1))+(1)))=("H"),"false"),B2,H28),H28))</f>
        <v>#VALUE!</v>
      </c>
      <c r="I28" t="e">
        <f ca="1">IF((A1)=(2),"",IF((25)=(I3),IF(IF((INDEX(B1:XFD1,((A2)+(1))+(0)))=("store"),(INDEX(B1:XFD1,((A2)+(1))+(1)))=("I"),"false"),B2,I28),I28))</f>
        <v>#VALUE!</v>
      </c>
      <c r="J28" t="e">
        <f ca="1">IF((A1)=(2),"",IF((25)=(J3),IF(IF((INDEX(B1:XFD1,((A2)+(1))+(0)))=("store"),(INDEX(B1:XFD1,((A2)+(1))+(1)))=("J"),"false"),B2,J28),J28))</f>
        <v>#VALUE!</v>
      </c>
      <c r="K28" t="e">
        <f ca="1">IF((A1)=(2),"",IF((25)=(K3),IF(IF((INDEX(B1:XFD1,((A2)+(1))+(0)))=("store"),(INDEX(B1:XFD1,((A2)+(1))+(1)))=("K"),"false"),B2,K28),K28))</f>
        <v>#VALUE!</v>
      </c>
      <c r="L28" t="e">
        <f ca="1">IF((A1)=(2),"",IF((25)=(L3),IF(IF((INDEX(B1:XFD1,((A2)+(1))+(0)))=("store"),(INDEX(B1:XFD1,((A2)+(1))+(1)))=("L"),"false"),B2,L28),L28))</f>
        <v>#VALUE!</v>
      </c>
      <c r="M28" t="e">
        <f ca="1">IF((A1)=(2),"",IF((25)=(M3),IF(IF((INDEX(B1:XFD1,((A2)+(1))+(0)))=("store"),(INDEX(B1:XFD1,((A2)+(1))+(1)))=("M"),"false"),B2,M28),M28))</f>
        <v>#VALUE!</v>
      </c>
      <c r="N28" t="e">
        <f ca="1">IF((A1)=(2),"",IF((25)=(N3),IF(IF((INDEX(B1:XFD1,((A2)+(1))+(0)))=("store"),(INDEX(B1:XFD1,((A2)+(1))+(1)))=("N"),"false"),B2,N28),N28))</f>
        <v>#VALUE!</v>
      </c>
      <c r="O28" t="e">
        <f ca="1">IF((A1)=(2),"",IF((25)=(O3),IF(IF((INDEX(B1:XFD1,((A2)+(1))+(0)))=("store"),(INDEX(B1:XFD1,((A2)+(1))+(1)))=("O"),"false"),B2,O28),O28))</f>
        <v>#VALUE!</v>
      </c>
      <c r="P28" t="e">
        <f ca="1">IF((A1)=(2),"",IF((25)=(P3),IF(IF((INDEX(B1:XFD1,((A2)+(1))+(0)))=("store"),(INDEX(B1:XFD1,((A2)+(1))+(1)))=("P"),"false"),B2,P28),P28))</f>
        <v>#VALUE!</v>
      </c>
      <c r="Q28" t="e">
        <f ca="1">IF((A1)=(2),"",IF((25)=(Q3),IF(IF((INDEX(B1:XFD1,((A2)+(1))+(0)))=("store"),(INDEX(B1:XFD1,((A2)+(1))+(1)))=("Q"),"false"),B2,Q28),Q28))</f>
        <v>#VALUE!</v>
      </c>
      <c r="R28" t="e">
        <f ca="1">IF((A1)=(2),"",IF((25)=(R3),IF(IF((INDEX(B1:XFD1,((A2)+(1))+(0)))=("store"),(INDEX(B1:XFD1,((A2)+(1))+(1)))=("R"),"false"),B2,R28),R28))</f>
        <v>#VALUE!</v>
      </c>
      <c r="S28" t="e">
        <f ca="1">IF((A1)=(2),"",IF((25)=(S3),IF(IF((INDEX(B1:XFD1,((A2)+(1))+(0)))=("store"),(INDEX(B1:XFD1,((A2)+(1))+(1)))=("S"),"false"),B2,S28),S28))</f>
        <v>#VALUE!</v>
      </c>
      <c r="T28" t="e">
        <f ca="1">IF((A1)=(2),"",IF((25)=(T3),IF(IF((INDEX(B1:XFD1,((A2)+(1))+(0)))=("store"),(INDEX(B1:XFD1,((A2)+(1))+(1)))=("T"),"false"),B2,T28),T28))</f>
        <v>#VALUE!</v>
      </c>
      <c r="U28" t="e">
        <f ca="1">IF((A1)=(2),"",IF((25)=(U3),IF(IF((INDEX(B1:XFD1,((A2)+(1))+(0)))=("store"),(INDEX(B1:XFD1,((A2)+(1))+(1)))=("U"),"false"),B2,U28),U28))</f>
        <v>#VALUE!</v>
      </c>
      <c r="V28" t="e">
        <f ca="1">IF((A1)=(2),"",IF((25)=(V3),IF(IF((INDEX(B1:XFD1,((A2)+(1))+(0)))=("store"),(INDEX(B1:XFD1,((A2)+(1))+(1)))=("V"),"false"),B2,V28),V28))</f>
        <v>#VALUE!</v>
      </c>
      <c r="W28" t="e">
        <f ca="1">IF((A1)=(2),"",IF((25)=(W3),IF(IF((INDEX(B1:XFD1,((A2)+(1))+(0)))=("store"),(INDEX(B1:XFD1,((A2)+(1))+(1)))=("W"),"false"),B2,W28),W28))</f>
        <v>#VALUE!</v>
      </c>
      <c r="X28" t="e">
        <f ca="1">IF((A1)=(2),"",IF((25)=(X3),IF(IF((INDEX(B1:XFD1,((A2)+(1))+(0)))=("store"),(INDEX(B1:XFD1,((A2)+(1))+(1)))=("X"),"false"),B2,X28),X28))</f>
        <v>#VALUE!</v>
      </c>
      <c r="Y28" t="e">
        <f ca="1">IF((A1)=(2),"",IF((25)=(Y3),IF(IF((INDEX(B1:XFD1,((A2)+(1))+(0)))=("store"),(INDEX(B1:XFD1,((A2)+(1))+(1)))=("Y"),"false"),B2,Y28),Y28))</f>
        <v>#VALUE!</v>
      </c>
      <c r="Z28" t="e">
        <f ca="1">IF((A1)=(2),"",IF((25)=(Z3),IF(IF((INDEX(B1:XFD1,((A2)+(1))+(0)))=("store"),(INDEX(B1:XFD1,((A2)+(1))+(1)))=("Z"),"false"),B2,Z28),Z28))</f>
        <v>#VALUE!</v>
      </c>
      <c r="AA28" t="e">
        <f ca="1">IF((A1)=(2),"",IF((25)=(AA3),IF(IF((INDEX(B1:XFD1,((A2)+(1))+(0)))=("store"),(INDEX(B1:XFD1,((A2)+(1))+(1)))=("AA"),"false"),B2,AA28),AA28))</f>
        <v>#VALUE!</v>
      </c>
      <c r="AB28" t="e">
        <f ca="1">IF((A1)=(2),"",IF((25)=(AB3),IF(IF((INDEX(B1:XFD1,((A2)+(1))+(0)))=("store"),(INDEX(B1:XFD1,((A2)+(1))+(1)))=("AB"),"false"),B2,AB28),AB28))</f>
        <v>#VALUE!</v>
      </c>
      <c r="AC28" t="e">
        <f ca="1">IF((A1)=(2),"",IF((25)=(AC3),IF(IF((INDEX(B1:XFD1,((A2)+(1))+(0)))=("store"),(INDEX(B1:XFD1,((A2)+(1))+(1)))=("AC"),"false"),B2,AC28),AC28))</f>
        <v>#VALUE!</v>
      </c>
      <c r="AD28" t="e">
        <f ca="1">IF((A1)=(2),"",IF((25)=(AD3),IF(IF((INDEX(B1:XFD1,((A2)+(1))+(0)))=("store"),(INDEX(B1:XFD1,((A2)+(1))+(1)))=("AD"),"false"),B2,AD28),AD28))</f>
        <v>#VALUE!</v>
      </c>
    </row>
    <row r="29" spans="1:30" x14ac:dyDescent="0.25">
      <c r="A29" t="e">
        <f ca="1">IF((A1)=(2),"",IF((26)=(A3),IF(("call")=(INDEX(B1:XFD1,((A2)+(1))+(0))),(B2)*(2),IF(("goto")=(INDEX(B1:XFD1,((A2)+(1))+(0))),(INDEX(B1:XFD1,((A2)+(1))+(1)))*(2),IF(("gotoiftrue")=(INDEX(B1:XFD1,((A2)+(1))+(0))),IF(B2,(INDEX(B1:XFD1,((A2)+(1))+(1)))*(2),(A29)+(2)),(A29)+(2)))),A29))</f>
        <v>#VALUE!</v>
      </c>
      <c r="B29" t="e">
        <f ca="1">IF((A1)=(2),"",IF((26)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29)+(1)),IF(("add")=(INDEX(B1:XFD1,((A2)+(1))+(0))),(INDEX(B4:B404,(B3)+(1)))+(B29),IF(("equals")=(INDEX(B1:XFD1,((A2)+(1))+(0))),(INDEX(B4:B404,(B3)+(1)))=(B29),IF(("leq")=(INDEX(B1:XFD1,((A2)+(1))+(0))),(INDEX(B4:B404,(B3)+(1)))&lt;=(B29),IF(("greater")=(INDEX(B1:XFD1,((A2)+(1))+(0))),(INDEX(B4:B404,(B3)+(1)))&gt;(B29),IF(("mod")=(INDEX(B1:XFD1,((A2)+(1))+(0))),MOD(INDEX(B4:B404,(B3)+(1)),B29),B29))))))))),B29))</f>
        <v>#VALUE!</v>
      </c>
      <c r="C29" t="e">
        <f ca="1">IF((A1)=(2),1,IF(AND((INDEX(B1:XFD1,((A2)+(1))+(0)))=("writeheap"),(INDEX(B4:B404,(B3)+(1)))=(25)),INDEX(B4:B404,(B3)+(2)),IF((A1)=(2),"",IF((26)=(C3),C29,C29))))</f>
        <v>#VALUE!</v>
      </c>
      <c r="E29" t="e">
        <f ca="1">IF((A1)=(2),"",IF((26)=(E3),IF(("outputline")=(INDEX(B1:XFD1,((A2)+(1))+(0))),B2,E29),E29))</f>
        <v>#VALUE!</v>
      </c>
      <c r="F29" t="e">
        <f ca="1">IF((A1)=(2),"",IF((26)=(F3),IF(IF((INDEX(B1:XFD1,((A2)+(1))+(0)))=("store"),(INDEX(B1:XFD1,((A2)+(1))+(1)))=("F"),"false"),B2,F29),F29))</f>
        <v>#VALUE!</v>
      </c>
      <c r="G29" t="e">
        <f ca="1">IF((A1)=(2),"",IF((26)=(G3),IF(IF((INDEX(B1:XFD1,((A2)+(1))+(0)))=("store"),(INDEX(B1:XFD1,((A2)+(1))+(1)))=("G"),"false"),B2,G29),G29))</f>
        <v>#VALUE!</v>
      </c>
      <c r="H29" t="e">
        <f ca="1">IF((A1)=(2),"",IF((26)=(H3),IF(IF((INDEX(B1:XFD1,((A2)+(1))+(0)))=("store"),(INDEX(B1:XFD1,((A2)+(1))+(1)))=("H"),"false"),B2,H29),H29))</f>
        <v>#VALUE!</v>
      </c>
      <c r="I29" t="e">
        <f ca="1">IF((A1)=(2),"",IF((26)=(I3),IF(IF((INDEX(B1:XFD1,((A2)+(1))+(0)))=("store"),(INDEX(B1:XFD1,((A2)+(1))+(1)))=("I"),"false"),B2,I29),I29))</f>
        <v>#VALUE!</v>
      </c>
      <c r="J29" t="e">
        <f ca="1">IF((A1)=(2),"",IF((26)=(J3),IF(IF((INDEX(B1:XFD1,((A2)+(1))+(0)))=("store"),(INDEX(B1:XFD1,((A2)+(1))+(1)))=("J"),"false"),B2,J29),J29))</f>
        <v>#VALUE!</v>
      </c>
      <c r="K29" t="e">
        <f ca="1">IF((A1)=(2),"",IF((26)=(K3),IF(IF((INDEX(B1:XFD1,((A2)+(1))+(0)))=("store"),(INDEX(B1:XFD1,((A2)+(1))+(1)))=("K"),"false"),B2,K29),K29))</f>
        <v>#VALUE!</v>
      </c>
      <c r="L29" t="e">
        <f ca="1">IF((A1)=(2),"",IF((26)=(L3),IF(IF((INDEX(B1:XFD1,((A2)+(1))+(0)))=("store"),(INDEX(B1:XFD1,((A2)+(1))+(1)))=("L"),"false"),B2,L29),L29))</f>
        <v>#VALUE!</v>
      </c>
      <c r="M29" t="e">
        <f ca="1">IF((A1)=(2),"",IF((26)=(M3),IF(IF((INDEX(B1:XFD1,((A2)+(1))+(0)))=("store"),(INDEX(B1:XFD1,((A2)+(1))+(1)))=("M"),"false"),B2,M29),M29))</f>
        <v>#VALUE!</v>
      </c>
      <c r="N29" t="e">
        <f ca="1">IF((A1)=(2),"",IF((26)=(N3),IF(IF((INDEX(B1:XFD1,((A2)+(1))+(0)))=("store"),(INDEX(B1:XFD1,((A2)+(1))+(1)))=("N"),"false"),B2,N29),N29))</f>
        <v>#VALUE!</v>
      </c>
      <c r="O29" t="e">
        <f ca="1">IF((A1)=(2),"",IF((26)=(O3),IF(IF((INDEX(B1:XFD1,((A2)+(1))+(0)))=("store"),(INDEX(B1:XFD1,((A2)+(1))+(1)))=("O"),"false"),B2,O29),O29))</f>
        <v>#VALUE!</v>
      </c>
      <c r="P29" t="e">
        <f ca="1">IF((A1)=(2),"",IF((26)=(P3),IF(IF((INDEX(B1:XFD1,((A2)+(1))+(0)))=("store"),(INDEX(B1:XFD1,((A2)+(1))+(1)))=("P"),"false"),B2,P29),P29))</f>
        <v>#VALUE!</v>
      </c>
      <c r="Q29" t="e">
        <f ca="1">IF((A1)=(2),"",IF((26)=(Q3),IF(IF((INDEX(B1:XFD1,((A2)+(1))+(0)))=("store"),(INDEX(B1:XFD1,((A2)+(1))+(1)))=("Q"),"false"),B2,Q29),Q29))</f>
        <v>#VALUE!</v>
      </c>
      <c r="R29" t="e">
        <f ca="1">IF((A1)=(2),"",IF((26)=(R3),IF(IF((INDEX(B1:XFD1,((A2)+(1))+(0)))=("store"),(INDEX(B1:XFD1,((A2)+(1))+(1)))=("R"),"false"),B2,R29),R29))</f>
        <v>#VALUE!</v>
      </c>
      <c r="S29" t="e">
        <f ca="1">IF((A1)=(2),"",IF((26)=(S3),IF(IF((INDEX(B1:XFD1,((A2)+(1))+(0)))=("store"),(INDEX(B1:XFD1,((A2)+(1))+(1)))=("S"),"false"),B2,S29),S29))</f>
        <v>#VALUE!</v>
      </c>
      <c r="T29" t="e">
        <f ca="1">IF((A1)=(2),"",IF((26)=(T3),IF(IF((INDEX(B1:XFD1,((A2)+(1))+(0)))=("store"),(INDEX(B1:XFD1,((A2)+(1))+(1)))=("T"),"false"),B2,T29),T29))</f>
        <v>#VALUE!</v>
      </c>
      <c r="U29" t="e">
        <f ca="1">IF((A1)=(2),"",IF((26)=(U3),IF(IF((INDEX(B1:XFD1,((A2)+(1))+(0)))=("store"),(INDEX(B1:XFD1,((A2)+(1))+(1)))=("U"),"false"),B2,U29),U29))</f>
        <v>#VALUE!</v>
      </c>
      <c r="V29" t="e">
        <f ca="1">IF((A1)=(2),"",IF((26)=(V3),IF(IF((INDEX(B1:XFD1,((A2)+(1))+(0)))=("store"),(INDEX(B1:XFD1,((A2)+(1))+(1)))=("V"),"false"),B2,V29),V29))</f>
        <v>#VALUE!</v>
      </c>
      <c r="W29" t="e">
        <f ca="1">IF((A1)=(2),"",IF((26)=(W3),IF(IF((INDEX(B1:XFD1,((A2)+(1))+(0)))=("store"),(INDEX(B1:XFD1,((A2)+(1))+(1)))=("W"),"false"),B2,W29),W29))</f>
        <v>#VALUE!</v>
      </c>
      <c r="X29" t="e">
        <f ca="1">IF((A1)=(2),"",IF((26)=(X3),IF(IF((INDEX(B1:XFD1,((A2)+(1))+(0)))=("store"),(INDEX(B1:XFD1,((A2)+(1))+(1)))=("X"),"false"),B2,X29),X29))</f>
        <v>#VALUE!</v>
      </c>
      <c r="Y29" t="e">
        <f ca="1">IF((A1)=(2),"",IF((26)=(Y3),IF(IF((INDEX(B1:XFD1,((A2)+(1))+(0)))=("store"),(INDEX(B1:XFD1,((A2)+(1))+(1)))=("Y"),"false"),B2,Y29),Y29))</f>
        <v>#VALUE!</v>
      </c>
      <c r="Z29" t="e">
        <f ca="1">IF((A1)=(2),"",IF((26)=(Z3),IF(IF((INDEX(B1:XFD1,((A2)+(1))+(0)))=("store"),(INDEX(B1:XFD1,((A2)+(1))+(1)))=("Z"),"false"),B2,Z29),Z29))</f>
        <v>#VALUE!</v>
      </c>
      <c r="AA29" t="e">
        <f ca="1">IF((A1)=(2),"",IF((26)=(AA3),IF(IF((INDEX(B1:XFD1,((A2)+(1))+(0)))=("store"),(INDEX(B1:XFD1,((A2)+(1))+(1)))=("AA"),"false"),B2,AA29),AA29))</f>
        <v>#VALUE!</v>
      </c>
      <c r="AB29" t="e">
        <f ca="1">IF((A1)=(2),"",IF((26)=(AB3),IF(IF((INDEX(B1:XFD1,((A2)+(1))+(0)))=("store"),(INDEX(B1:XFD1,((A2)+(1))+(1)))=("AB"),"false"),B2,AB29),AB29))</f>
        <v>#VALUE!</v>
      </c>
      <c r="AC29" t="e">
        <f ca="1">IF((A1)=(2),"",IF((26)=(AC3),IF(IF((INDEX(B1:XFD1,((A2)+(1))+(0)))=("store"),(INDEX(B1:XFD1,((A2)+(1))+(1)))=("AC"),"false"),B2,AC29),AC29))</f>
        <v>#VALUE!</v>
      </c>
      <c r="AD29" t="e">
        <f ca="1">IF((A1)=(2),"",IF((26)=(AD3),IF(IF((INDEX(B1:XFD1,((A2)+(1))+(0)))=("store"),(INDEX(B1:XFD1,((A2)+(1))+(1)))=("AD"),"false"),B2,AD29),AD29))</f>
        <v>#VALUE!</v>
      </c>
    </row>
    <row r="30" spans="1:30" x14ac:dyDescent="0.25">
      <c r="A30" t="e">
        <f ca="1">IF((A1)=(2),"",IF((27)=(A3),IF(("call")=(INDEX(B1:XFD1,((A2)+(1))+(0))),(B2)*(2),IF(("goto")=(INDEX(B1:XFD1,((A2)+(1))+(0))),(INDEX(B1:XFD1,((A2)+(1))+(1)))*(2),IF(("gotoiftrue")=(INDEX(B1:XFD1,((A2)+(1))+(0))),IF(B2,(INDEX(B1:XFD1,((A2)+(1))+(1)))*(2),(A30)+(2)),(A30)+(2)))),A30))</f>
        <v>#VALUE!</v>
      </c>
      <c r="B30" t="e">
        <f ca="1">IF((A1)=(2),"",IF((27)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30)+(1)),IF(("add")=(INDEX(B1:XFD1,((A2)+(1))+(0))),(INDEX(B4:B404,(B3)+(1)))+(B30),IF(("equals")=(INDEX(B1:XFD1,((A2)+(1))+(0))),(INDEX(B4:B404,(B3)+(1)))=(B30),IF(("leq")=(INDEX(B1:XFD1,((A2)+(1))+(0))),(INDEX(B4:B404,(B3)+(1)))&lt;=(B30),IF(("greater")=(INDEX(B1:XFD1,((A2)+(1))+(0))),(INDEX(B4:B404,(B3)+(1)))&gt;(B30),IF(("mod")=(INDEX(B1:XFD1,((A2)+(1))+(0))),MOD(INDEX(B4:B404,(B3)+(1)),B30),B30))))))))),B30))</f>
        <v>#VALUE!</v>
      </c>
      <c r="C30" t="e">
        <f ca="1">IF((A1)=(2),1,IF(AND((INDEX(B1:XFD1,((A2)+(1))+(0)))=("writeheap"),(INDEX(B4:B404,(B3)+(1)))=(26)),INDEX(B4:B404,(B3)+(2)),IF((A1)=(2),"",IF((27)=(C3),C30,C30))))</f>
        <v>#VALUE!</v>
      </c>
      <c r="E30" t="e">
        <f ca="1">IF((A1)=(2),"",IF((27)=(E3),IF(("outputline")=(INDEX(B1:XFD1,((A2)+(1))+(0))),B2,E30),E30))</f>
        <v>#VALUE!</v>
      </c>
      <c r="F30" t="e">
        <f ca="1">IF((A1)=(2),"",IF((27)=(F3),IF(IF((INDEX(B1:XFD1,((A2)+(1))+(0)))=("store"),(INDEX(B1:XFD1,((A2)+(1))+(1)))=("F"),"false"),B2,F30),F30))</f>
        <v>#VALUE!</v>
      </c>
      <c r="G30" t="e">
        <f ca="1">IF((A1)=(2),"",IF((27)=(G3),IF(IF((INDEX(B1:XFD1,((A2)+(1))+(0)))=("store"),(INDEX(B1:XFD1,((A2)+(1))+(1)))=("G"),"false"),B2,G30),G30))</f>
        <v>#VALUE!</v>
      </c>
      <c r="H30" t="e">
        <f ca="1">IF((A1)=(2),"",IF((27)=(H3),IF(IF((INDEX(B1:XFD1,((A2)+(1))+(0)))=("store"),(INDEX(B1:XFD1,((A2)+(1))+(1)))=("H"),"false"),B2,H30),H30))</f>
        <v>#VALUE!</v>
      </c>
      <c r="I30" t="e">
        <f ca="1">IF((A1)=(2),"",IF((27)=(I3),IF(IF((INDEX(B1:XFD1,((A2)+(1))+(0)))=("store"),(INDEX(B1:XFD1,((A2)+(1))+(1)))=("I"),"false"),B2,I30),I30))</f>
        <v>#VALUE!</v>
      </c>
      <c r="J30" t="e">
        <f ca="1">IF((A1)=(2),"",IF((27)=(J3),IF(IF((INDEX(B1:XFD1,((A2)+(1))+(0)))=("store"),(INDEX(B1:XFD1,((A2)+(1))+(1)))=("J"),"false"),B2,J30),J30))</f>
        <v>#VALUE!</v>
      </c>
      <c r="K30" t="e">
        <f ca="1">IF((A1)=(2),"",IF((27)=(K3),IF(IF((INDEX(B1:XFD1,((A2)+(1))+(0)))=("store"),(INDEX(B1:XFD1,((A2)+(1))+(1)))=("K"),"false"),B2,K30),K30))</f>
        <v>#VALUE!</v>
      </c>
      <c r="L30" t="e">
        <f ca="1">IF((A1)=(2),"",IF((27)=(L3),IF(IF((INDEX(B1:XFD1,((A2)+(1))+(0)))=("store"),(INDEX(B1:XFD1,((A2)+(1))+(1)))=("L"),"false"),B2,L30),L30))</f>
        <v>#VALUE!</v>
      </c>
      <c r="M30" t="e">
        <f ca="1">IF((A1)=(2),"",IF((27)=(M3),IF(IF((INDEX(B1:XFD1,((A2)+(1))+(0)))=("store"),(INDEX(B1:XFD1,((A2)+(1))+(1)))=("M"),"false"),B2,M30),M30))</f>
        <v>#VALUE!</v>
      </c>
      <c r="N30" t="e">
        <f ca="1">IF((A1)=(2),"",IF((27)=(N3),IF(IF((INDEX(B1:XFD1,((A2)+(1))+(0)))=("store"),(INDEX(B1:XFD1,((A2)+(1))+(1)))=("N"),"false"),B2,N30),N30))</f>
        <v>#VALUE!</v>
      </c>
      <c r="O30" t="e">
        <f ca="1">IF((A1)=(2),"",IF((27)=(O3),IF(IF((INDEX(B1:XFD1,((A2)+(1))+(0)))=("store"),(INDEX(B1:XFD1,((A2)+(1))+(1)))=("O"),"false"),B2,O30),O30))</f>
        <v>#VALUE!</v>
      </c>
      <c r="P30" t="e">
        <f ca="1">IF((A1)=(2),"",IF((27)=(P3),IF(IF((INDEX(B1:XFD1,((A2)+(1))+(0)))=("store"),(INDEX(B1:XFD1,((A2)+(1))+(1)))=("P"),"false"),B2,P30),P30))</f>
        <v>#VALUE!</v>
      </c>
      <c r="Q30" t="e">
        <f ca="1">IF((A1)=(2),"",IF((27)=(Q3),IF(IF((INDEX(B1:XFD1,((A2)+(1))+(0)))=("store"),(INDEX(B1:XFD1,((A2)+(1))+(1)))=("Q"),"false"),B2,Q30),Q30))</f>
        <v>#VALUE!</v>
      </c>
      <c r="R30" t="e">
        <f ca="1">IF((A1)=(2),"",IF((27)=(R3),IF(IF((INDEX(B1:XFD1,((A2)+(1))+(0)))=("store"),(INDEX(B1:XFD1,((A2)+(1))+(1)))=("R"),"false"),B2,R30),R30))</f>
        <v>#VALUE!</v>
      </c>
      <c r="S30" t="e">
        <f ca="1">IF((A1)=(2),"",IF((27)=(S3),IF(IF((INDEX(B1:XFD1,((A2)+(1))+(0)))=("store"),(INDEX(B1:XFD1,((A2)+(1))+(1)))=("S"),"false"),B2,S30),S30))</f>
        <v>#VALUE!</v>
      </c>
      <c r="T30" t="e">
        <f ca="1">IF((A1)=(2),"",IF((27)=(T3),IF(IF((INDEX(B1:XFD1,((A2)+(1))+(0)))=("store"),(INDEX(B1:XFD1,((A2)+(1))+(1)))=("T"),"false"),B2,T30),T30))</f>
        <v>#VALUE!</v>
      </c>
      <c r="U30" t="e">
        <f ca="1">IF((A1)=(2),"",IF((27)=(U3),IF(IF((INDEX(B1:XFD1,((A2)+(1))+(0)))=("store"),(INDEX(B1:XFD1,((A2)+(1))+(1)))=("U"),"false"),B2,U30),U30))</f>
        <v>#VALUE!</v>
      </c>
      <c r="V30" t="e">
        <f ca="1">IF((A1)=(2),"",IF((27)=(V3),IF(IF((INDEX(B1:XFD1,((A2)+(1))+(0)))=("store"),(INDEX(B1:XFD1,((A2)+(1))+(1)))=("V"),"false"),B2,V30),V30))</f>
        <v>#VALUE!</v>
      </c>
      <c r="W30" t="e">
        <f ca="1">IF((A1)=(2),"",IF((27)=(W3),IF(IF((INDEX(B1:XFD1,((A2)+(1))+(0)))=("store"),(INDEX(B1:XFD1,((A2)+(1))+(1)))=("W"),"false"),B2,W30),W30))</f>
        <v>#VALUE!</v>
      </c>
      <c r="X30" t="e">
        <f ca="1">IF((A1)=(2),"",IF((27)=(X3),IF(IF((INDEX(B1:XFD1,((A2)+(1))+(0)))=("store"),(INDEX(B1:XFD1,((A2)+(1))+(1)))=("X"),"false"),B2,X30),X30))</f>
        <v>#VALUE!</v>
      </c>
      <c r="Y30" t="e">
        <f ca="1">IF((A1)=(2),"",IF((27)=(Y3),IF(IF((INDEX(B1:XFD1,((A2)+(1))+(0)))=("store"),(INDEX(B1:XFD1,((A2)+(1))+(1)))=("Y"),"false"),B2,Y30),Y30))</f>
        <v>#VALUE!</v>
      </c>
      <c r="Z30" t="e">
        <f ca="1">IF((A1)=(2),"",IF((27)=(Z3),IF(IF((INDEX(B1:XFD1,((A2)+(1))+(0)))=("store"),(INDEX(B1:XFD1,((A2)+(1))+(1)))=("Z"),"false"),B2,Z30),Z30))</f>
        <v>#VALUE!</v>
      </c>
      <c r="AA30" t="e">
        <f ca="1">IF((A1)=(2),"",IF((27)=(AA3),IF(IF((INDEX(B1:XFD1,((A2)+(1))+(0)))=("store"),(INDEX(B1:XFD1,((A2)+(1))+(1)))=("AA"),"false"),B2,AA30),AA30))</f>
        <v>#VALUE!</v>
      </c>
      <c r="AB30" t="e">
        <f ca="1">IF((A1)=(2),"",IF((27)=(AB3),IF(IF((INDEX(B1:XFD1,((A2)+(1))+(0)))=("store"),(INDEX(B1:XFD1,((A2)+(1))+(1)))=("AB"),"false"),B2,AB30),AB30))</f>
        <v>#VALUE!</v>
      </c>
      <c r="AC30" t="e">
        <f ca="1">IF((A1)=(2),"",IF((27)=(AC3),IF(IF((INDEX(B1:XFD1,((A2)+(1))+(0)))=("store"),(INDEX(B1:XFD1,((A2)+(1))+(1)))=("AC"),"false"),B2,AC30),AC30))</f>
        <v>#VALUE!</v>
      </c>
      <c r="AD30" t="e">
        <f ca="1">IF((A1)=(2),"",IF((27)=(AD3),IF(IF((INDEX(B1:XFD1,((A2)+(1))+(0)))=("store"),(INDEX(B1:XFD1,((A2)+(1))+(1)))=("AD"),"false"),B2,AD30),AD30))</f>
        <v>#VALUE!</v>
      </c>
    </row>
    <row r="31" spans="1:30" x14ac:dyDescent="0.25">
      <c r="A31" t="e">
        <f ca="1">IF((A1)=(2),"",IF((28)=(A3),IF(("call")=(INDEX(B1:XFD1,((A2)+(1))+(0))),(B2)*(2),IF(("goto")=(INDEX(B1:XFD1,((A2)+(1))+(0))),(INDEX(B1:XFD1,((A2)+(1))+(1)))*(2),IF(("gotoiftrue")=(INDEX(B1:XFD1,((A2)+(1))+(0))),IF(B2,(INDEX(B1:XFD1,((A2)+(1))+(1)))*(2),(A31)+(2)),(A31)+(2)))),A31))</f>
        <v>#VALUE!</v>
      </c>
      <c r="B31" t="e">
        <f ca="1">IF((A1)=(2),"",IF((28)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31)+(1)),IF(("add")=(INDEX(B1:XFD1,((A2)+(1))+(0))),(INDEX(B4:B404,(B3)+(1)))+(B31),IF(("equals")=(INDEX(B1:XFD1,((A2)+(1))+(0))),(INDEX(B4:B404,(B3)+(1)))=(B31),IF(("leq")=(INDEX(B1:XFD1,((A2)+(1))+(0))),(INDEX(B4:B404,(B3)+(1)))&lt;=(B31),IF(("greater")=(INDEX(B1:XFD1,((A2)+(1))+(0))),(INDEX(B4:B404,(B3)+(1)))&gt;(B31),IF(("mod")=(INDEX(B1:XFD1,((A2)+(1))+(0))),MOD(INDEX(B4:B404,(B3)+(1)),B31),B31))))))))),B31))</f>
        <v>#VALUE!</v>
      </c>
      <c r="C31" t="e">
        <f ca="1">IF((A1)=(2),1,IF(AND((INDEX(B1:XFD1,((A2)+(1))+(0)))=("writeheap"),(INDEX(B4:B404,(B3)+(1)))=(27)),INDEX(B4:B404,(B3)+(2)),IF((A1)=(2),"",IF((28)=(C3),C31,C31))))</f>
        <v>#VALUE!</v>
      </c>
      <c r="E31" t="e">
        <f ca="1">IF((A1)=(2),"",IF((28)=(E3),IF(("outputline")=(INDEX(B1:XFD1,((A2)+(1))+(0))),B2,E31),E31))</f>
        <v>#VALUE!</v>
      </c>
      <c r="F31" t="e">
        <f ca="1">IF((A1)=(2),"",IF((28)=(F3),IF(IF((INDEX(B1:XFD1,((A2)+(1))+(0)))=("store"),(INDEX(B1:XFD1,((A2)+(1))+(1)))=("F"),"false"),B2,F31),F31))</f>
        <v>#VALUE!</v>
      </c>
      <c r="G31" t="e">
        <f ca="1">IF((A1)=(2),"",IF((28)=(G3),IF(IF((INDEX(B1:XFD1,((A2)+(1))+(0)))=("store"),(INDEX(B1:XFD1,((A2)+(1))+(1)))=("G"),"false"),B2,G31),G31))</f>
        <v>#VALUE!</v>
      </c>
      <c r="H31" t="e">
        <f ca="1">IF((A1)=(2),"",IF((28)=(H3),IF(IF((INDEX(B1:XFD1,((A2)+(1))+(0)))=("store"),(INDEX(B1:XFD1,((A2)+(1))+(1)))=("H"),"false"),B2,H31),H31))</f>
        <v>#VALUE!</v>
      </c>
      <c r="I31" t="e">
        <f ca="1">IF((A1)=(2),"",IF((28)=(I3),IF(IF((INDEX(B1:XFD1,((A2)+(1))+(0)))=("store"),(INDEX(B1:XFD1,((A2)+(1))+(1)))=("I"),"false"),B2,I31),I31))</f>
        <v>#VALUE!</v>
      </c>
      <c r="J31" t="e">
        <f ca="1">IF((A1)=(2),"",IF((28)=(J3),IF(IF((INDEX(B1:XFD1,((A2)+(1))+(0)))=("store"),(INDEX(B1:XFD1,((A2)+(1))+(1)))=("J"),"false"),B2,J31),J31))</f>
        <v>#VALUE!</v>
      </c>
      <c r="K31" t="e">
        <f ca="1">IF((A1)=(2),"",IF((28)=(K3),IF(IF((INDEX(B1:XFD1,((A2)+(1))+(0)))=("store"),(INDEX(B1:XFD1,((A2)+(1))+(1)))=("K"),"false"),B2,K31),K31))</f>
        <v>#VALUE!</v>
      </c>
      <c r="L31" t="e">
        <f ca="1">IF((A1)=(2),"",IF((28)=(L3),IF(IF((INDEX(B1:XFD1,((A2)+(1))+(0)))=("store"),(INDEX(B1:XFD1,((A2)+(1))+(1)))=("L"),"false"),B2,L31),L31))</f>
        <v>#VALUE!</v>
      </c>
      <c r="M31" t="e">
        <f ca="1">IF((A1)=(2),"",IF((28)=(M3),IF(IF((INDEX(B1:XFD1,((A2)+(1))+(0)))=("store"),(INDEX(B1:XFD1,((A2)+(1))+(1)))=("M"),"false"),B2,M31),M31))</f>
        <v>#VALUE!</v>
      </c>
      <c r="N31" t="e">
        <f ca="1">IF((A1)=(2),"",IF((28)=(N3),IF(IF((INDEX(B1:XFD1,((A2)+(1))+(0)))=("store"),(INDEX(B1:XFD1,((A2)+(1))+(1)))=("N"),"false"),B2,N31),N31))</f>
        <v>#VALUE!</v>
      </c>
      <c r="O31" t="e">
        <f ca="1">IF((A1)=(2),"",IF((28)=(O3),IF(IF((INDEX(B1:XFD1,((A2)+(1))+(0)))=("store"),(INDEX(B1:XFD1,((A2)+(1))+(1)))=("O"),"false"),B2,O31),O31))</f>
        <v>#VALUE!</v>
      </c>
      <c r="P31" t="e">
        <f ca="1">IF((A1)=(2),"",IF((28)=(P3),IF(IF((INDEX(B1:XFD1,((A2)+(1))+(0)))=("store"),(INDEX(B1:XFD1,((A2)+(1))+(1)))=("P"),"false"),B2,P31),P31))</f>
        <v>#VALUE!</v>
      </c>
      <c r="Q31" t="e">
        <f ca="1">IF((A1)=(2),"",IF((28)=(Q3),IF(IF((INDEX(B1:XFD1,((A2)+(1))+(0)))=("store"),(INDEX(B1:XFD1,((A2)+(1))+(1)))=("Q"),"false"),B2,Q31),Q31))</f>
        <v>#VALUE!</v>
      </c>
      <c r="R31" t="e">
        <f ca="1">IF((A1)=(2),"",IF((28)=(R3),IF(IF((INDEX(B1:XFD1,((A2)+(1))+(0)))=("store"),(INDEX(B1:XFD1,((A2)+(1))+(1)))=("R"),"false"),B2,R31),R31))</f>
        <v>#VALUE!</v>
      </c>
      <c r="S31" t="e">
        <f ca="1">IF((A1)=(2),"",IF((28)=(S3),IF(IF((INDEX(B1:XFD1,((A2)+(1))+(0)))=("store"),(INDEX(B1:XFD1,((A2)+(1))+(1)))=("S"),"false"),B2,S31),S31))</f>
        <v>#VALUE!</v>
      </c>
      <c r="T31" t="e">
        <f ca="1">IF((A1)=(2),"",IF((28)=(T3),IF(IF((INDEX(B1:XFD1,((A2)+(1))+(0)))=("store"),(INDEX(B1:XFD1,((A2)+(1))+(1)))=("T"),"false"),B2,T31),T31))</f>
        <v>#VALUE!</v>
      </c>
      <c r="U31" t="e">
        <f ca="1">IF((A1)=(2),"",IF((28)=(U3),IF(IF((INDEX(B1:XFD1,((A2)+(1))+(0)))=("store"),(INDEX(B1:XFD1,((A2)+(1))+(1)))=("U"),"false"),B2,U31),U31))</f>
        <v>#VALUE!</v>
      </c>
      <c r="V31" t="e">
        <f ca="1">IF((A1)=(2),"",IF((28)=(V3),IF(IF((INDEX(B1:XFD1,((A2)+(1))+(0)))=("store"),(INDEX(B1:XFD1,((A2)+(1))+(1)))=("V"),"false"),B2,V31),V31))</f>
        <v>#VALUE!</v>
      </c>
      <c r="W31" t="e">
        <f ca="1">IF((A1)=(2),"",IF((28)=(W3),IF(IF((INDEX(B1:XFD1,((A2)+(1))+(0)))=("store"),(INDEX(B1:XFD1,((A2)+(1))+(1)))=("W"),"false"),B2,W31),W31))</f>
        <v>#VALUE!</v>
      </c>
      <c r="X31" t="e">
        <f ca="1">IF((A1)=(2),"",IF((28)=(X3),IF(IF((INDEX(B1:XFD1,((A2)+(1))+(0)))=("store"),(INDEX(B1:XFD1,((A2)+(1))+(1)))=("X"),"false"),B2,X31),X31))</f>
        <v>#VALUE!</v>
      </c>
      <c r="Y31" t="e">
        <f ca="1">IF((A1)=(2),"",IF((28)=(Y3),IF(IF((INDEX(B1:XFD1,((A2)+(1))+(0)))=("store"),(INDEX(B1:XFD1,((A2)+(1))+(1)))=("Y"),"false"),B2,Y31),Y31))</f>
        <v>#VALUE!</v>
      </c>
      <c r="Z31" t="e">
        <f ca="1">IF((A1)=(2),"",IF((28)=(Z3),IF(IF((INDEX(B1:XFD1,((A2)+(1))+(0)))=("store"),(INDEX(B1:XFD1,((A2)+(1))+(1)))=("Z"),"false"),B2,Z31),Z31))</f>
        <v>#VALUE!</v>
      </c>
      <c r="AA31" t="e">
        <f ca="1">IF((A1)=(2),"",IF((28)=(AA3),IF(IF((INDEX(B1:XFD1,((A2)+(1))+(0)))=("store"),(INDEX(B1:XFD1,((A2)+(1))+(1)))=("AA"),"false"),B2,AA31),AA31))</f>
        <v>#VALUE!</v>
      </c>
      <c r="AB31" t="e">
        <f ca="1">IF((A1)=(2),"",IF((28)=(AB3),IF(IF((INDEX(B1:XFD1,((A2)+(1))+(0)))=("store"),(INDEX(B1:XFD1,((A2)+(1))+(1)))=("AB"),"false"),B2,AB31),AB31))</f>
        <v>#VALUE!</v>
      </c>
      <c r="AC31" t="e">
        <f ca="1">IF((A1)=(2),"",IF((28)=(AC3),IF(IF((INDEX(B1:XFD1,((A2)+(1))+(0)))=("store"),(INDEX(B1:XFD1,((A2)+(1))+(1)))=("AC"),"false"),B2,AC31),AC31))</f>
        <v>#VALUE!</v>
      </c>
      <c r="AD31" t="e">
        <f ca="1">IF((A1)=(2),"",IF((28)=(AD3),IF(IF((INDEX(B1:XFD1,((A2)+(1))+(0)))=("store"),(INDEX(B1:XFD1,((A2)+(1))+(1)))=("AD"),"false"),B2,AD31),AD31))</f>
        <v>#VALUE!</v>
      </c>
    </row>
    <row r="32" spans="1:30" x14ac:dyDescent="0.25">
      <c r="A32" t="e">
        <f ca="1">IF((A1)=(2),"",IF((29)=(A3),IF(("call")=(INDEX(B1:XFD1,((A2)+(1))+(0))),(B2)*(2),IF(("goto")=(INDEX(B1:XFD1,((A2)+(1))+(0))),(INDEX(B1:XFD1,((A2)+(1))+(1)))*(2),IF(("gotoiftrue")=(INDEX(B1:XFD1,((A2)+(1))+(0))),IF(B2,(INDEX(B1:XFD1,((A2)+(1))+(1)))*(2),(A32)+(2)),(A32)+(2)))),A32))</f>
        <v>#VALUE!</v>
      </c>
      <c r="B32" t="e">
        <f ca="1">IF((A1)=(2),"",IF((29)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32)+(1)),IF(("add")=(INDEX(B1:XFD1,((A2)+(1))+(0))),(INDEX(B4:B404,(B3)+(1)))+(B32),IF(("equals")=(INDEX(B1:XFD1,((A2)+(1))+(0))),(INDEX(B4:B404,(B3)+(1)))=(B32),IF(("leq")=(INDEX(B1:XFD1,((A2)+(1))+(0))),(INDEX(B4:B404,(B3)+(1)))&lt;=(B32),IF(("greater")=(INDEX(B1:XFD1,((A2)+(1))+(0))),(INDEX(B4:B404,(B3)+(1)))&gt;(B32),IF(("mod")=(INDEX(B1:XFD1,((A2)+(1))+(0))),MOD(INDEX(B4:B404,(B3)+(1)),B32),B32))))))))),B32))</f>
        <v>#VALUE!</v>
      </c>
      <c r="C32" t="e">
        <f ca="1">IF((A1)=(2),1,IF(AND((INDEX(B1:XFD1,((A2)+(1))+(0)))=("writeheap"),(INDEX(B4:B404,(B3)+(1)))=(28)),INDEX(B4:B404,(B3)+(2)),IF((A1)=(2),"",IF((29)=(C3),C32,C32))))</f>
        <v>#VALUE!</v>
      </c>
      <c r="E32" t="e">
        <f ca="1">IF((A1)=(2),"",IF((29)=(E3),IF(("outputline")=(INDEX(B1:XFD1,((A2)+(1))+(0))),B2,E32),E32))</f>
        <v>#VALUE!</v>
      </c>
      <c r="F32" t="e">
        <f ca="1">IF((A1)=(2),"",IF((29)=(F3),IF(IF((INDEX(B1:XFD1,((A2)+(1))+(0)))=("store"),(INDEX(B1:XFD1,((A2)+(1))+(1)))=("F"),"false"),B2,F32),F32))</f>
        <v>#VALUE!</v>
      </c>
      <c r="G32" t="e">
        <f ca="1">IF((A1)=(2),"",IF((29)=(G3),IF(IF((INDEX(B1:XFD1,((A2)+(1))+(0)))=("store"),(INDEX(B1:XFD1,((A2)+(1))+(1)))=("G"),"false"),B2,G32),G32))</f>
        <v>#VALUE!</v>
      </c>
      <c r="H32" t="e">
        <f ca="1">IF((A1)=(2),"",IF((29)=(H3),IF(IF((INDEX(B1:XFD1,((A2)+(1))+(0)))=("store"),(INDEX(B1:XFD1,((A2)+(1))+(1)))=("H"),"false"),B2,H32),H32))</f>
        <v>#VALUE!</v>
      </c>
      <c r="I32" t="e">
        <f ca="1">IF((A1)=(2),"",IF((29)=(I3),IF(IF((INDEX(B1:XFD1,((A2)+(1))+(0)))=("store"),(INDEX(B1:XFD1,((A2)+(1))+(1)))=("I"),"false"),B2,I32),I32))</f>
        <v>#VALUE!</v>
      </c>
      <c r="J32" t="e">
        <f ca="1">IF((A1)=(2),"",IF((29)=(J3),IF(IF((INDEX(B1:XFD1,((A2)+(1))+(0)))=("store"),(INDEX(B1:XFD1,((A2)+(1))+(1)))=("J"),"false"),B2,J32),J32))</f>
        <v>#VALUE!</v>
      </c>
      <c r="K32" t="e">
        <f ca="1">IF((A1)=(2),"",IF((29)=(K3),IF(IF((INDEX(B1:XFD1,((A2)+(1))+(0)))=("store"),(INDEX(B1:XFD1,((A2)+(1))+(1)))=("K"),"false"),B2,K32),K32))</f>
        <v>#VALUE!</v>
      </c>
      <c r="L32" t="e">
        <f ca="1">IF((A1)=(2),"",IF((29)=(L3),IF(IF((INDEX(B1:XFD1,((A2)+(1))+(0)))=("store"),(INDEX(B1:XFD1,((A2)+(1))+(1)))=("L"),"false"),B2,L32),L32))</f>
        <v>#VALUE!</v>
      </c>
      <c r="M32" t="e">
        <f ca="1">IF((A1)=(2),"",IF((29)=(M3),IF(IF((INDEX(B1:XFD1,((A2)+(1))+(0)))=("store"),(INDEX(B1:XFD1,((A2)+(1))+(1)))=("M"),"false"),B2,M32),M32))</f>
        <v>#VALUE!</v>
      </c>
      <c r="N32" t="e">
        <f ca="1">IF((A1)=(2),"",IF((29)=(N3),IF(IF((INDEX(B1:XFD1,((A2)+(1))+(0)))=("store"),(INDEX(B1:XFD1,((A2)+(1))+(1)))=("N"),"false"),B2,N32),N32))</f>
        <v>#VALUE!</v>
      </c>
      <c r="O32" t="e">
        <f ca="1">IF((A1)=(2),"",IF((29)=(O3),IF(IF((INDEX(B1:XFD1,((A2)+(1))+(0)))=("store"),(INDEX(B1:XFD1,((A2)+(1))+(1)))=("O"),"false"),B2,O32),O32))</f>
        <v>#VALUE!</v>
      </c>
      <c r="P32" t="e">
        <f ca="1">IF((A1)=(2),"",IF((29)=(P3),IF(IF((INDEX(B1:XFD1,((A2)+(1))+(0)))=("store"),(INDEX(B1:XFD1,((A2)+(1))+(1)))=("P"),"false"),B2,P32),P32))</f>
        <v>#VALUE!</v>
      </c>
      <c r="Q32" t="e">
        <f ca="1">IF((A1)=(2),"",IF((29)=(Q3),IF(IF((INDEX(B1:XFD1,((A2)+(1))+(0)))=("store"),(INDEX(B1:XFD1,((A2)+(1))+(1)))=("Q"),"false"),B2,Q32),Q32))</f>
        <v>#VALUE!</v>
      </c>
      <c r="R32" t="e">
        <f ca="1">IF((A1)=(2),"",IF((29)=(R3),IF(IF((INDEX(B1:XFD1,((A2)+(1))+(0)))=("store"),(INDEX(B1:XFD1,((A2)+(1))+(1)))=("R"),"false"),B2,R32),R32))</f>
        <v>#VALUE!</v>
      </c>
      <c r="S32" t="e">
        <f ca="1">IF((A1)=(2),"",IF((29)=(S3),IF(IF((INDEX(B1:XFD1,((A2)+(1))+(0)))=("store"),(INDEX(B1:XFD1,((A2)+(1))+(1)))=("S"),"false"),B2,S32),S32))</f>
        <v>#VALUE!</v>
      </c>
      <c r="T32" t="e">
        <f ca="1">IF((A1)=(2),"",IF((29)=(T3),IF(IF((INDEX(B1:XFD1,((A2)+(1))+(0)))=("store"),(INDEX(B1:XFD1,((A2)+(1))+(1)))=("T"),"false"),B2,T32),T32))</f>
        <v>#VALUE!</v>
      </c>
      <c r="U32" t="e">
        <f ca="1">IF((A1)=(2),"",IF((29)=(U3),IF(IF((INDEX(B1:XFD1,((A2)+(1))+(0)))=("store"),(INDEX(B1:XFD1,((A2)+(1))+(1)))=("U"),"false"),B2,U32),U32))</f>
        <v>#VALUE!</v>
      </c>
      <c r="V32" t="e">
        <f ca="1">IF((A1)=(2),"",IF((29)=(V3),IF(IF((INDEX(B1:XFD1,((A2)+(1))+(0)))=("store"),(INDEX(B1:XFD1,((A2)+(1))+(1)))=("V"),"false"),B2,V32),V32))</f>
        <v>#VALUE!</v>
      </c>
      <c r="W32" t="e">
        <f ca="1">IF((A1)=(2),"",IF((29)=(W3),IF(IF((INDEX(B1:XFD1,((A2)+(1))+(0)))=("store"),(INDEX(B1:XFD1,((A2)+(1))+(1)))=("W"),"false"),B2,W32),W32))</f>
        <v>#VALUE!</v>
      </c>
      <c r="X32" t="e">
        <f ca="1">IF((A1)=(2),"",IF((29)=(X3),IF(IF((INDEX(B1:XFD1,((A2)+(1))+(0)))=("store"),(INDEX(B1:XFD1,((A2)+(1))+(1)))=("X"),"false"),B2,X32),X32))</f>
        <v>#VALUE!</v>
      </c>
      <c r="Y32" t="e">
        <f ca="1">IF((A1)=(2),"",IF((29)=(Y3),IF(IF((INDEX(B1:XFD1,((A2)+(1))+(0)))=("store"),(INDEX(B1:XFD1,((A2)+(1))+(1)))=("Y"),"false"),B2,Y32),Y32))</f>
        <v>#VALUE!</v>
      </c>
      <c r="Z32" t="e">
        <f ca="1">IF((A1)=(2),"",IF((29)=(Z3),IF(IF((INDEX(B1:XFD1,((A2)+(1))+(0)))=("store"),(INDEX(B1:XFD1,((A2)+(1))+(1)))=("Z"),"false"),B2,Z32),Z32))</f>
        <v>#VALUE!</v>
      </c>
      <c r="AA32" t="e">
        <f ca="1">IF((A1)=(2),"",IF((29)=(AA3),IF(IF((INDEX(B1:XFD1,((A2)+(1))+(0)))=("store"),(INDEX(B1:XFD1,((A2)+(1))+(1)))=("AA"),"false"),B2,AA32),AA32))</f>
        <v>#VALUE!</v>
      </c>
      <c r="AB32" t="e">
        <f ca="1">IF((A1)=(2),"",IF((29)=(AB3),IF(IF((INDEX(B1:XFD1,((A2)+(1))+(0)))=("store"),(INDEX(B1:XFD1,((A2)+(1))+(1)))=("AB"),"false"),B2,AB32),AB32))</f>
        <v>#VALUE!</v>
      </c>
      <c r="AC32" t="e">
        <f ca="1">IF((A1)=(2),"",IF((29)=(AC3),IF(IF((INDEX(B1:XFD1,((A2)+(1))+(0)))=("store"),(INDEX(B1:XFD1,((A2)+(1))+(1)))=("AC"),"false"),B2,AC32),AC32))</f>
        <v>#VALUE!</v>
      </c>
      <c r="AD32" t="e">
        <f ca="1">IF((A1)=(2),"",IF((29)=(AD3),IF(IF((INDEX(B1:XFD1,((A2)+(1))+(0)))=("store"),(INDEX(B1:XFD1,((A2)+(1))+(1)))=("AD"),"false"),B2,AD32),AD32))</f>
        <v>#VALUE!</v>
      </c>
    </row>
    <row r="33" spans="1:30" x14ac:dyDescent="0.25">
      <c r="A33" t="e">
        <f ca="1">IF((A1)=(2),"",IF((30)=(A3),IF(("call")=(INDEX(B1:XFD1,((A2)+(1))+(0))),(B2)*(2),IF(("goto")=(INDEX(B1:XFD1,((A2)+(1))+(0))),(INDEX(B1:XFD1,((A2)+(1))+(1)))*(2),IF(("gotoiftrue")=(INDEX(B1:XFD1,((A2)+(1))+(0))),IF(B2,(INDEX(B1:XFD1,((A2)+(1))+(1)))*(2),(A33)+(2)),(A33)+(2)))),A33))</f>
        <v>#VALUE!</v>
      </c>
      <c r="B33" t="e">
        <f ca="1">IF((A1)=(2),"",IF((30)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33)+(1)),IF(("add")=(INDEX(B1:XFD1,((A2)+(1))+(0))),(INDEX(B4:B404,(B3)+(1)))+(B33),IF(("equals")=(INDEX(B1:XFD1,((A2)+(1))+(0))),(INDEX(B4:B404,(B3)+(1)))=(B33),IF(("leq")=(INDEX(B1:XFD1,((A2)+(1))+(0))),(INDEX(B4:B404,(B3)+(1)))&lt;=(B33),IF(("greater")=(INDEX(B1:XFD1,((A2)+(1))+(0))),(INDEX(B4:B404,(B3)+(1)))&gt;(B33),IF(("mod")=(INDEX(B1:XFD1,((A2)+(1))+(0))),MOD(INDEX(B4:B404,(B3)+(1)),B33),B33))))))))),B33))</f>
        <v>#VALUE!</v>
      </c>
      <c r="C33" t="e">
        <f ca="1">IF((A1)=(2),1,IF(AND((INDEX(B1:XFD1,((A2)+(1))+(0)))=("writeheap"),(INDEX(B4:B404,(B3)+(1)))=(29)),INDEX(B4:B404,(B3)+(2)),IF((A1)=(2),"",IF((30)=(C3),C33,C33))))</f>
        <v>#VALUE!</v>
      </c>
      <c r="E33" t="e">
        <f ca="1">IF((A1)=(2),"",IF((30)=(E3),IF(("outputline")=(INDEX(B1:XFD1,((A2)+(1))+(0))),B2,E33),E33))</f>
        <v>#VALUE!</v>
      </c>
      <c r="F33" t="e">
        <f ca="1">IF((A1)=(2),"",IF((30)=(F3),IF(IF((INDEX(B1:XFD1,((A2)+(1))+(0)))=("store"),(INDEX(B1:XFD1,((A2)+(1))+(1)))=("F"),"false"),B2,F33),F33))</f>
        <v>#VALUE!</v>
      </c>
      <c r="G33" t="e">
        <f ca="1">IF((A1)=(2),"",IF((30)=(G3),IF(IF((INDEX(B1:XFD1,((A2)+(1))+(0)))=("store"),(INDEX(B1:XFD1,((A2)+(1))+(1)))=("G"),"false"),B2,G33),G33))</f>
        <v>#VALUE!</v>
      </c>
      <c r="H33" t="e">
        <f ca="1">IF((A1)=(2),"",IF((30)=(H3),IF(IF((INDEX(B1:XFD1,((A2)+(1))+(0)))=("store"),(INDEX(B1:XFD1,((A2)+(1))+(1)))=("H"),"false"),B2,H33),H33))</f>
        <v>#VALUE!</v>
      </c>
      <c r="I33" t="e">
        <f ca="1">IF((A1)=(2),"",IF((30)=(I3),IF(IF((INDEX(B1:XFD1,((A2)+(1))+(0)))=("store"),(INDEX(B1:XFD1,((A2)+(1))+(1)))=("I"),"false"),B2,I33),I33))</f>
        <v>#VALUE!</v>
      </c>
      <c r="J33" t="e">
        <f ca="1">IF((A1)=(2),"",IF((30)=(J3),IF(IF((INDEX(B1:XFD1,((A2)+(1))+(0)))=("store"),(INDEX(B1:XFD1,((A2)+(1))+(1)))=("J"),"false"),B2,J33),J33))</f>
        <v>#VALUE!</v>
      </c>
      <c r="K33" t="e">
        <f ca="1">IF((A1)=(2),"",IF((30)=(K3),IF(IF((INDEX(B1:XFD1,((A2)+(1))+(0)))=("store"),(INDEX(B1:XFD1,((A2)+(1))+(1)))=("K"),"false"),B2,K33),K33))</f>
        <v>#VALUE!</v>
      </c>
      <c r="L33" t="e">
        <f ca="1">IF((A1)=(2),"",IF((30)=(L3),IF(IF((INDEX(B1:XFD1,((A2)+(1))+(0)))=("store"),(INDEX(B1:XFD1,((A2)+(1))+(1)))=("L"),"false"),B2,L33),L33))</f>
        <v>#VALUE!</v>
      </c>
      <c r="M33" t="e">
        <f ca="1">IF((A1)=(2),"",IF((30)=(M3),IF(IF((INDEX(B1:XFD1,((A2)+(1))+(0)))=("store"),(INDEX(B1:XFD1,((A2)+(1))+(1)))=("M"),"false"),B2,M33),M33))</f>
        <v>#VALUE!</v>
      </c>
      <c r="N33" t="e">
        <f ca="1">IF((A1)=(2),"",IF((30)=(N3),IF(IF((INDEX(B1:XFD1,((A2)+(1))+(0)))=("store"),(INDEX(B1:XFD1,((A2)+(1))+(1)))=("N"),"false"),B2,N33),N33))</f>
        <v>#VALUE!</v>
      </c>
      <c r="O33" t="e">
        <f ca="1">IF((A1)=(2),"",IF((30)=(O3),IF(IF((INDEX(B1:XFD1,((A2)+(1))+(0)))=("store"),(INDEX(B1:XFD1,((A2)+(1))+(1)))=("O"),"false"),B2,O33),O33))</f>
        <v>#VALUE!</v>
      </c>
      <c r="P33" t="e">
        <f ca="1">IF((A1)=(2),"",IF((30)=(P3),IF(IF((INDEX(B1:XFD1,((A2)+(1))+(0)))=("store"),(INDEX(B1:XFD1,((A2)+(1))+(1)))=("P"),"false"),B2,P33),P33))</f>
        <v>#VALUE!</v>
      </c>
      <c r="Q33" t="e">
        <f ca="1">IF((A1)=(2),"",IF((30)=(Q3),IF(IF((INDEX(B1:XFD1,((A2)+(1))+(0)))=("store"),(INDEX(B1:XFD1,((A2)+(1))+(1)))=("Q"),"false"),B2,Q33),Q33))</f>
        <v>#VALUE!</v>
      </c>
      <c r="R33" t="e">
        <f ca="1">IF((A1)=(2),"",IF((30)=(R3),IF(IF((INDEX(B1:XFD1,((A2)+(1))+(0)))=("store"),(INDEX(B1:XFD1,((A2)+(1))+(1)))=("R"),"false"),B2,R33),R33))</f>
        <v>#VALUE!</v>
      </c>
      <c r="S33" t="e">
        <f ca="1">IF((A1)=(2),"",IF((30)=(S3),IF(IF((INDEX(B1:XFD1,((A2)+(1))+(0)))=("store"),(INDEX(B1:XFD1,((A2)+(1))+(1)))=("S"),"false"),B2,S33),S33))</f>
        <v>#VALUE!</v>
      </c>
      <c r="T33" t="e">
        <f ca="1">IF((A1)=(2),"",IF((30)=(T3),IF(IF((INDEX(B1:XFD1,((A2)+(1))+(0)))=("store"),(INDEX(B1:XFD1,((A2)+(1))+(1)))=("T"),"false"),B2,T33),T33))</f>
        <v>#VALUE!</v>
      </c>
      <c r="U33" t="e">
        <f ca="1">IF((A1)=(2),"",IF((30)=(U3),IF(IF((INDEX(B1:XFD1,((A2)+(1))+(0)))=("store"),(INDEX(B1:XFD1,((A2)+(1))+(1)))=("U"),"false"),B2,U33),U33))</f>
        <v>#VALUE!</v>
      </c>
      <c r="V33" t="e">
        <f ca="1">IF((A1)=(2),"",IF((30)=(V3),IF(IF((INDEX(B1:XFD1,((A2)+(1))+(0)))=("store"),(INDEX(B1:XFD1,((A2)+(1))+(1)))=("V"),"false"),B2,V33),V33))</f>
        <v>#VALUE!</v>
      </c>
      <c r="W33" t="e">
        <f ca="1">IF((A1)=(2),"",IF((30)=(W3),IF(IF((INDEX(B1:XFD1,((A2)+(1))+(0)))=("store"),(INDEX(B1:XFD1,((A2)+(1))+(1)))=("W"),"false"),B2,W33),W33))</f>
        <v>#VALUE!</v>
      </c>
      <c r="X33" t="e">
        <f ca="1">IF((A1)=(2),"",IF((30)=(X3),IF(IF((INDEX(B1:XFD1,((A2)+(1))+(0)))=("store"),(INDEX(B1:XFD1,((A2)+(1))+(1)))=("X"),"false"),B2,X33),X33))</f>
        <v>#VALUE!</v>
      </c>
      <c r="Y33" t="e">
        <f ca="1">IF((A1)=(2),"",IF((30)=(Y3),IF(IF((INDEX(B1:XFD1,((A2)+(1))+(0)))=("store"),(INDEX(B1:XFD1,((A2)+(1))+(1)))=("Y"),"false"),B2,Y33),Y33))</f>
        <v>#VALUE!</v>
      </c>
      <c r="Z33" t="e">
        <f ca="1">IF((A1)=(2),"",IF((30)=(Z3),IF(IF((INDEX(B1:XFD1,((A2)+(1))+(0)))=("store"),(INDEX(B1:XFD1,((A2)+(1))+(1)))=("Z"),"false"),B2,Z33),Z33))</f>
        <v>#VALUE!</v>
      </c>
      <c r="AA33" t="e">
        <f ca="1">IF((A1)=(2),"",IF((30)=(AA3),IF(IF((INDEX(B1:XFD1,((A2)+(1))+(0)))=("store"),(INDEX(B1:XFD1,((A2)+(1))+(1)))=("AA"),"false"),B2,AA33),AA33))</f>
        <v>#VALUE!</v>
      </c>
      <c r="AB33" t="e">
        <f ca="1">IF((A1)=(2),"",IF((30)=(AB3),IF(IF((INDEX(B1:XFD1,((A2)+(1))+(0)))=("store"),(INDEX(B1:XFD1,((A2)+(1))+(1)))=("AB"),"false"),B2,AB33),AB33))</f>
        <v>#VALUE!</v>
      </c>
      <c r="AC33" t="e">
        <f ca="1">IF((A1)=(2),"",IF((30)=(AC3),IF(IF((INDEX(B1:XFD1,((A2)+(1))+(0)))=("store"),(INDEX(B1:XFD1,((A2)+(1))+(1)))=("AC"),"false"),B2,AC33),AC33))</f>
        <v>#VALUE!</v>
      </c>
      <c r="AD33" t="e">
        <f ca="1">IF((A1)=(2),"",IF((30)=(AD3),IF(IF((INDEX(B1:XFD1,((A2)+(1))+(0)))=("store"),(INDEX(B1:XFD1,((A2)+(1))+(1)))=("AD"),"false"),B2,AD33),AD33))</f>
        <v>#VALUE!</v>
      </c>
    </row>
    <row r="34" spans="1:30" x14ac:dyDescent="0.25">
      <c r="A34" t="e">
        <f ca="1">IF((A1)=(2),"",IF((31)=(A3),IF(("call")=(INDEX(B1:XFD1,((A2)+(1))+(0))),(B2)*(2),IF(("goto")=(INDEX(B1:XFD1,((A2)+(1))+(0))),(INDEX(B1:XFD1,((A2)+(1))+(1)))*(2),IF(("gotoiftrue")=(INDEX(B1:XFD1,((A2)+(1))+(0))),IF(B2,(INDEX(B1:XFD1,((A2)+(1))+(1)))*(2),(A34)+(2)),(A34)+(2)))),A34))</f>
        <v>#VALUE!</v>
      </c>
      <c r="B34" t="e">
        <f ca="1">IF((A1)=(2),"",IF((31)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34)+(1)),IF(("add")=(INDEX(B1:XFD1,((A2)+(1))+(0))),(INDEX(B4:B404,(B3)+(1)))+(B34),IF(("equals")=(INDEX(B1:XFD1,((A2)+(1))+(0))),(INDEX(B4:B404,(B3)+(1)))=(B34),IF(("leq")=(INDEX(B1:XFD1,((A2)+(1))+(0))),(INDEX(B4:B404,(B3)+(1)))&lt;=(B34),IF(("greater")=(INDEX(B1:XFD1,((A2)+(1))+(0))),(INDEX(B4:B404,(B3)+(1)))&gt;(B34),IF(("mod")=(INDEX(B1:XFD1,((A2)+(1))+(0))),MOD(INDEX(B4:B404,(B3)+(1)),B34),B34))))))))),B34))</f>
        <v>#VALUE!</v>
      </c>
      <c r="C34" t="e">
        <f ca="1">IF((A1)=(2),1,IF(AND((INDEX(B1:XFD1,((A2)+(1))+(0)))=("writeheap"),(INDEX(B4:B404,(B3)+(1)))=(30)),INDEX(B4:B404,(B3)+(2)),IF((A1)=(2),"",IF((31)=(C3),C34,C34))))</f>
        <v>#VALUE!</v>
      </c>
      <c r="E34" t="e">
        <f ca="1">IF((A1)=(2),"",IF((31)=(E3),IF(("outputline")=(INDEX(B1:XFD1,((A2)+(1))+(0))),B2,E34),E34))</f>
        <v>#VALUE!</v>
      </c>
      <c r="F34" t="e">
        <f ca="1">IF((A1)=(2),"",IF((31)=(F3),IF(IF((INDEX(B1:XFD1,((A2)+(1))+(0)))=("store"),(INDEX(B1:XFD1,((A2)+(1))+(1)))=("F"),"false"),B2,F34),F34))</f>
        <v>#VALUE!</v>
      </c>
      <c r="G34" t="e">
        <f ca="1">IF((A1)=(2),"",IF((31)=(G3),IF(IF((INDEX(B1:XFD1,((A2)+(1))+(0)))=("store"),(INDEX(B1:XFD1,((A2)+(1))+(1)))=("G"),"false"),B2,G34),G34))</f>
        <v>#VALUE!</v>
      </c>
      <c r="H34" t="e">
        <f ca="1">IF((A1)=(2),"",IF((31)=(H3),IF(IF((INDEX(B1:XFD1,((A2)+(1))+(0)))=("store"),(INDEX(B1:XFD1,((A2)+(1))+(1)))=("H"),"false"),B2,H34),H34))</f>
        <v>#VALUE!</v>
      </c>
      <c r="I34" t="e">
        <f ca="1">IF((A1)=(2),"",IF((31)=(I3),IF(IF((INDEX(B1:XFD1,((A2)+(1))+(0)))=("store"),(INDEX(B1:XFD1,((A2)+(1))+(1)))=("I"),"false"),B2,I34),I34))</f>
        <v>#VALUE!</v>
      </c>
      <c r="J34" t="e">
        <f ca="1">IF((A1)=(2),"",IF((31)=(J3),IF(IF((INDEX(B1:XFD1,((A2)+(1))+(0)))=("store"),(INDEX(B1:XFD1,((A2)+(1))+(1)))=("J"),"false"),B2,J34),J34))</f>
        <v>#VALUE!</v>
      </c>
      <c r="K34" t="e">
        <f ca="1">IF((A1)=(2),"",IF((31)=(K3),IF(IF((INDEX(B1:XFD1,((A2)+(1))+(0)))=("store"),(INDEX(B1:XFD1,((A2)+(1))+(1)))=("K"),"false"),B2,K34),K34))</f>
        <v>#VALUE!</v>
      </c>
      <c r="L34" t="e">
        <f ca="1">IF((A1)=(2),"",IF((31)=(L3),IF(IF((INDEX(B1:XFD1,((A2)+(1))+(0)))=("store"),(INDEX(B1:XFD1,((A2)+(1))+(1)))=("L"),"false"),B2,L34),L34))</f>
        <v>#VALUE!</v>
      </c>
      <c r="M34" t="e">
        <f ca="1">IF((A1)=(2),"",IF((31)=(M3),IF(IF((INDEX(B1:XFD1,((A2)+(1))+(0)))=("store"),(INDEX(B1:XFD1,((A2)+(1))+(1)))=("M"),"false"),B2,M34),M34))</f>
        <v>#VALUE!</v>
      </c>
      <c r="N34" t="e">
        <f ca="1">IF((A1)=(2),"",IF((31)=(N3),IF(IF((INDEX(B1:XFD1,((A2)+(1))+(0)))=("store"),(INDEX(B1:XFD1,((A2)+(1))+(1)))=("N"),"false"),B2,N34),N34))</f>
        <v>#VALUE!</v>
      </c>
      <c r="O34" t="e">
        <f ca="1">IF((A1)=(2),"",IF((31)=(O3),IF(IF((INDEX(B1:XFD1,((A2)+(1))+(0)))=("store"),(INDEX(B1:XFD1,((A2)+(1))+(1)))=("O"),"false"),B2,O34),O34))</f>
        <v>#VALUE!</v>
      </c>
      <c r="P34" t="e">
        <f ca="1">IF((A1)=(2),"",IF((31)=(P3),IF(IF((INDEX(B1:XFD1,((A2)+(1))+(0)))=("store"),(INDEX(B1:XFD1,((A2)+(1))+(1)))=("P"),"false"),B2,P34),P34))</f>
        <v>#VALUE!</v>
      </c>
      <c r="Q34" t="e">
        <f ca="1">IF((A1)=(2),"",IF((31)=(Q3),IF(IF((INDEX(B1:XFD1,((A2)+(1))+(0)))=("store"),(INDEX(B1:XFD1,((A2)+(1))+(1)))=("Q"),"false"),B2,Q34),Q34))</f>
        <v>#VALUE!</v>
      </c>
      <c r="R34" t="e">
        <f ca="1">IF((A1)=(2),"",IF((31)=(R3),IF(IF((INDEX(B1:XFD1,((A2)+(1))+(0)))=("store"),(INDEX(B1:XFD1,((A2)+(1))+(1)))=("R"),"false"),B2,R34),R34))</f>
        <v>#VALUE!</v>
      </c>
      <c r="S34" t="e">
        <f ca="1">IF((A1)=(2),"",IF((31)=(S3),IF(IF((INDEX(B1:XFD1,((A2)+(1))+(0)))=("store"),(INDEX(B1:XFD1,((A2)+(1))+(1)))=("S"),"false"),B2,S34),S34))</f>
        <v>#VALUE!</v>
      </c>
      <c r="T34" t="e">
        <f ca="1">IF((A1)=(2),"",IF((31)=(T3),IF(IF((INDEX(B1:XFD1,((A2)+(1))+(0)))=("store"),(INDEX(B1:XFD1,((A2)+(1))+(1)))=("T"),"false"),B2,T34),T34))</f>
        <v>#VALUE!</v>
      </c>
      <c r="U34" t="e">
        <f ca="1">IF((A1)=(2),"",IF((31)=(U3),IF(IF((INDEX(B1:XFD1,((A2)+(1))+(0)))=("store"),(INDEX(B1:XFD1,((A2)+(1))+(1)))=("U"),"false"),B2,U34),U34))</f>
        <v>#VALUE!</v>
      </c>
      <c r="V34" t="e">
        <f ca="1">IF((A1)=(2),"",IF((31)=(V3),IF(IF((INDEX(B1:XFD1,((A2)+(1))+(0)))=("store"),(INDEX(B1:XFD1,((A2)+(1))+(1)))=("V"),"false"),B2,V34),V34))</f>
        <v>#VALUE!</v>
      </c>
      <c r="W34" t="e">
        <f ca="1">IF((A1)=(2),"",IF((31)=(W3),IF(IF((INDEX(B1:XFD1,((A2)+(1))+(0)))=("store"),(INDEX(B1:XFD1,((A2)+(1))+(1)))=("W"),"false"),B2,W34),W34))</f>
        <v>#VALUE!</v>
      </c>
      <c r="X34" t="e">
        <f ca="1">IF((A1)=(2),"",IF((31)=(X3),IF(IF((INDEX(B1:XFD1,((A2)+(1))+(0)))=("store"),(INDEX(B1:XFD1,((A2)+(1))+(1)))=("X"),"false"),B2,X34),X34))</f>
        <v>#VALUE!</v>
      </c>
      <c r="Y34" t="e">
        <f ca="1">IF((A1)=(2),"",IF((31)=(Y3),IF(IF((INDEX(B1:XFD1,((A2)+(1))+(0)))=("store"),(INDEX(B1:XFD1,((A2)+(1))+(1)))=("Y"),"false"),B2,Y34),Y34))</f>
        <v>#VALUE!</v>
      </c>
      <c r="Z34" t="e">
        <f ca="1">IF((A1)=(2),"",IF((31)=(Z3),IF(IF((INDEX(B1:XFD1,((A2)+(1))+(0)))=("store"),(INDEX(B1:XFD1,((A2)+(1))+(1)))=("Z"),"false"),B2,Z34),Z34))</f>
        <v>#VALUE!</v>
      </c>
      <c r="AA34" t="e">
        <f ca="1">IF((A1)=(2),"",IF((31)=(AA3),IF(IF((INDEX(B1:XFD1,((A2)+(1))+(0)))=("store"),(INDEX(B1:XFD1,((A2)+(1))+(1)))=("AA"),"false"),B2,AA34),AA34))</f>
        <v>#VALUE!</v>
      </c>
      <c r="AB34" t="e">
        <f ca="1">IF((A1)=(2),"",IF((31)=(AB3),IF(IF((INDEX(B1:XFD1,((A2)+(1))+(0)))=("store"),(INDEX(B1:XFD1,((A2)+(1))+(1)))=("AB"),"false"),B2,AB34),AB34))</f>
        <v>#VALUE!</v>
      </c>
      <c r="AC34" t="e">
        <f ca="1">IF((A1)=(2),"",IF((31)=(AC3),IF(IF((INDEX(B1:XFD1,((A2)+(1))+(0)))=("store"),(INDEX(B1:XFD1,((A2)+(1))+(1)))=("AC"),"false"),B2,AC34),AC34))</f>
        <v>#VALUE!</v>
      </c>
      <c r="AD34" t="e">
        <f ca="1">IF((A1)=(2),"",IF((31)=(AD3),IF(IF((INDEX(B1:XFD1,((A2)+(1))+(0)))=("store"),(INDEX(B1:XFD1,((A2)+(1))+(1)))=("AD"),"false"),B2,AD34),AD34))</f>
        <v>#VALUE!</v>
      </c>
    </row>
    <row r="35" spans="1:30" x14ac:dyDescent="0.25">
      <c r="A35" t="e">
        <f ca="1">IF((A1)=(2),"",IF((32)=(A3),IF(("call")=(INDEX(B1:XFD1,((A2)+(1))+(0))),(B2)*(2),IF(("goto")=(INDEX(B1:XFD1,((A2)+(1))+(0))),(INDEX(B1:XFD1,((A2)+(1))+(1)))*(2),IF(("gotoiftrue")=(INDEX(B1:XFD1,((A2)+(1))+(0))),IF(B2,(INDEX(B1:XFD1,((A2)+(1))+(1)))*(2),(A35)+(2)),(A35)+(2)))),A35))</f>
        <v>#VALUE!</v>
      </c>
      <c r="B35" t="e">
        <f ca="1">IF((A1)=(2),"",IF((32)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35)+(1)),IF(("add")=(INDEX(B1:XFD1,((A2)+(1))+(0))),(INDEX(B4:B404,(B3)+(1)))+(B35),IF(("equals")=(INDEX(B1:XFD1,((A2)+(1))+(0))),(INDEX(B4:B404,(B3)+(1)))=(B35),IF(("leq")=(INDEX(B1:XFD1,((A2)+(1))+(0))),(INDEX(B4:B404,(B3)+(1)))&lt;=(B35),IF(("greater")=(INDEX(B1:XFD1,((A2)+(1))+(0))),(INDEX(B4:B404,(B3)+(1)))&gt;(B35),IF(("mod")=(INDEX(B1:XFD1,((A2)+(1))+(0))),MOD(INDEX(B4:B404,(B3)+(1)),B35),B35))))))))),B35))</f>
        <v>#VALUE!</v>
      </c>
      <c r="C35" t="e">
        <f ca="1">IF((A1)=(2),1,IF(AND((INDEX(B1:XFD1,((A2)+(1))+(0)))=("writeheap"),(INDEX(B4:B404,(B3)+(1)))=(31)),INDEX(B4:B404,(B3)+(2)),IF((A1)=(2),"",IF((32)=(C3),C35,C35))))</f>
        <v>#VALUE!</v>
      </c>
      <c r="E35" t="e">
        <f ca="1">IF((A1)=(2),"",IF((32)=(E3),IF(("outputline")=(INDEX(B1:XFD1,((A2)+(1))+(0))),B2,E35),E35))</f>
        <v>#VALUE!</v>
      </c>
      <c r="F35" t="e">
        <f ca="1">IF((A1)=(2),"",IF((32)=(F3),IF(IF((INDEX(B1:XFD1,((A2)+(1))+(0)))=("store"),(INDEX(B1:XFD1,((A2)+(1))+(1)))=("F"),"false"),B2,F35),F35))</f>
        <v>#VALUE!</v>
      </c>
      <c r="G35" t="e">
        <f ca="1">IF((A1)=(2),"",IF((32)=(G3),IF(IF((INDEX(B1:XFD1,((A2)+(1))+(0)))=("store"),(INDEX(B1:XFD1,((A2)+(1))+(1)))=("G"),"false"),B2,G35),G35))</f>
        <v>#VALUE!</v>
      </c>
      <c r="H35" t="e">
        <f ca="1">IF((A1)=(2),"",IF((32)=(H3),IF(IF((INDEX(B1:XFD1,((A2)+(1))+(0)))=("store"),(INDEX(B1:XFD1,((A2)+(1))+(1)))=("H"),"false"),B2,H35),H35))</f>
        <v>#VALUE!</v>
      </c>
      <c r="I35" t="e">
        <f ca="1">IF((A1)=(2),"",IF((32)=(I3),IF(IF((INDEX(B1:XFD1,((A2)+(1))+(0)))=("store"),(INDEX(B1:XFD1,((A2)+(1))+(1)))=("I"),"false"),B2,I35),I35))</f>
        <v>#VALUE!</v>
      </c>
      <c r="J35" t="e">
        <f ca="1">IF((A1)=(2),"",IF((32)=(J3),IF(IF((INDEX(B1:XFD1,((A2)+(1))+(0)))=("store"),(INDEX(B1:XFD1,((A2)+(1))+(1)))=("J"),"false"),B2,J35),J35))</f>
        <v>#VALUE!</v>
      </c>
      <c r="K35" t="e">
        <f ca="1">IF((A1)=(2),"",IF((32)=(K3),IF(IF((INDEX(B1:XFD1,((A2)+(1))+(0)))=("store"),(INDEX(B1:XFD1,((A2)+(1))+(1)))=("K"),"false"),B2,K35),K35))</f>
        <v>#VALUE!</v>
      </c>
      <c r="L35" t="e">
        <f ca="1">IF((A1)=(2),"",IF((32)=(L3),IF(IF((INDEX(B1:XFD1,((A2)+(1))+(0)))=("store"),(INDEX(B1:XFD1,((A2)+(1))+(1)))=("L"),"false"),B2,L35),L35))</f>
        <v>#VALUE!</v>
      </c>
      <c r="M35" t="e">
        <f ca="1">IF((A1)=(2),"",IF((32)=(M3),IF(IF((INDEX(B1:XFD1,((A2)+(1))+(0)))=("store"),(INDEX(B1:XFD1,((A2)+(1))+(1)))=("M"),"false"),B2,M35),M35))</f>
        <v>#VALUE!</v>
      </c>
      <c r="N35" t="e">
        <f ca="1">IF((A1)=(2),"",IF((32)=(N3),IF(IF((INDEX(B1:XFD1,((A2)+(1))+(0)))=("store"),(INDEX(B1:XFD1,((A2)+(1))+(1)))=("N"),"false"),B2,N35),N35))</f>
        <v>#VALUE!</v>
      </c>
      <c r="O35" t="e">
        <f ca="1">IF((A1)=(2),"",IF((32)=(O3),IF(IF((INDEX(B1:XFD1,((A2)+(1))+(0)))=("store"),(INDEX(B1:XFD1,((A2)+(1))+(1)))=("O"),"false"),B2,O35),O35))</f>
        <v>#VALUE!</v>
      </c>
      <c r="P35" t="e">
        <f ca="1">IF((A1)=(2),"",IF((32)=(P3),IF(IF((INDEX(B1:XFD1,((A2)+(1))+(0)))=("store"),(INDEX(B1:XFD1,((A2)+(1))+(1)))=("P"),"false"),B2,P35),P35))</f>
        <v>#VALUE!</v>
      </c>
      <c r="Q35" t="e">
        <f ca="1">IF((A1)=(2),"",IF((32)=(Q3),IF(IF((INDEX(B1:XFD1,((A2)+(1))+(0)))=("store"),(INDEX(B1:XFD1,((A2)+(1))+(1)))=("Q"),"false"),B2,Q35),Q35))</f>
        <v>#VALUE!</v>
      </c>
      <c r="R35" t="e">
        <f ca="1">IF((A1)=(2),"",IF((32)=(R3),IF(IF((INDEX(B1:XFD1,((A2)+(1))+(0)))=("store"),(INDEX(B1:XFD1,((A2)+(1))+(1)))=("R"),"false"),B2,R35),R35))</f>
        <v>#VALUE!</v>
      </c>
      <c r="S35" t="e">
        <f ca="1">IF((A1)=(2),"",IF((32)=(S3),IF(IF((INDEX(B1:XFD1,((A2)+(1))+(0)))=("store"),(INDEX(B1:XFD1,((A2)+(1))+(1)))=("S"),"false"),B2,S35),S35))</f>
        <v>#VALUE!</v>
      </c>
      <c r="T35" t="e">
        <f ca="1">IF((A1)=(2),"",IF((32)=(T3),IF(IF((INDEX(B1:XFD1,((A2)+(1))+(0)))=("store"),(INDEX(B1:XFD1,((A2)+(1))+(1)))=("T"),"false"),B2,T35),T35))</f>
        <v>#VALUE!</v>
      </c>
      <c r="U35" t="e">
        <f ca="1">IF((A1)=(2),"",IF((32)=(U3),IF(IF((INDEX(B1:XFD1,((A2)+(1))+(0)))=("store"),(INDEX(B1:XFD1,((A2)+(1))+(1)))=("U"),"false"),B2,U35),U35))</f>
        <v>#VALUE!</v>
      </c>
      <c r="V35" t="e">
        <f ca="1">IF((A1)=(2),"",IF((32)=(V3),IF(IF((INDEX(B1:XFD1,((A2)+(1))+(0)))=("store"),(INDEX(B1:XFD1,((A2)+(1))+(1)))=("V"),"false"),B2,V35),V35))</f>
        <v>#VALUE!</v>
      </c>
      <c r="W35" t="e">
        <f ca="1">IF((A1)=(2),"",IF((32)=(W3),IF(IF((INDEX(B1:XFD1,((A2)+(1))+(0)))=("store"),(INDEX(B1:XFD1,((A2)+(1))+(1)))=("W"),"false"),B2,W35),W35))</f>
        <v>#VALUE!</v>
      </c>
      <c r="X35" t="e">
        <f ca="1">IF((A1)=(2),"",IF((32)=(X3),IF(IF((INDEX(B1:XFD1,((A2)+(1))+(0)))=("store"),(INDEX(B1:XFD1,((A2)+(1))+(1)))=("X"),"false"),B2,X35),X35))</f>
        <v>#VALUE!</v>
      </c>
      <c r="Y35" t="e">
        <f ca="1">IF((A1)=(2),"",IF((32)=(Y3),IF(IF((INDEX(B1:XFD1,((A2)+(1))+(0)))=("store"),(INDEX(B1:XFD1,((A2)+(1))+(1)))=("Y"),"false"),B2,Y35),Y35))</f>
        <v>#VALUE!</v>
      </c>
      <c r="Z35" t="e">
        <f ca="1">IF((A1)=(2),"",IF((32)=(Z3),IF(IF((INDEX(B1:XFD1,((A2)+(1))+(0)))=("store"),(INDEX(B1:XFD1,((A2)+(1))+(1)))=("Z"),"false"),B2,Z35),Z35))</f>
        <v>#VALUE!</v>
      </c>
      <c r="AA35" t="e">
        <f ca="1">IF((A1)=(2),"",IF((32)=(AA3),IF(IF((INDEX(B1:XFD1,((A2)+(1))+(0)))=("store"),(INDEX(B1:XFD1,((A2)+(1))+(1)))=("AA"),"false"),B2,AA35),AA35))</f>
        <v>#VALUE!</v>
      </c>
      <c r="AB35" t="e">
        <f ca="1">IF((A1)=(2),"",IF((32)=(AB3),IF(IF((INDEX(B1:XFD1,((A2)+(1))+(0)))=("store"),(INDEX(B1:XFD1,((A2)+(1))+(1)))=("AB"),"false"),B2,AB35),AB35))</f>
        <v>#VALUE!</v>
      </c>
      <c r="AC35" t="e">
        <f ca="1">IF((A1)=(2),"",IF((32)=(AC3),IF(IF((INDEX(B1:XFD1,((A2)+(1))+(0)))=("store"),(INDEX(B1:XFD1,((A2)+(1))+(1)))=("AC"),"false"),B2,AC35),AC35))</f>
        <v>#VALUE!</v>
      </c>
      <c r="AD35" t="e">
        <f ca="1">IF((A1)=(2),"",IF((32)=(AD3),IF(IF((INDEX(B1:XFD1,((A2)+(1))+(0)))=("store"),(INDEX(B1:XFD1,((A2)+(1))+(1)))=("AD"),"false"),B2,AD35),AD35))</f>
        <v>#VALUE!</v>
      </c>
    </row>
    <row r="36" spans="1:30" x14ac:dyDescent="0.25">
      <c r="A36" t="e">
        <f ca="1">IF((A1)=(2),"",IF((33)=(A3),IF(("call")=(INDEX(B1:XFD1,((A2)+(1))+(0))),(B2)*(2),IF(("goto")=(INDEX(B1:XFD1,((A2)+(1))+(0))),(INDEX(B1:XFD1,((A2)+(1))+(1)))*(2),IF(("gotoiftrue")=(INDEX(B1:XFD1,((A2)+(1))+(0))),IF(B2,(INDEX(B1:XFD1,((A2)+(1))+(1)))*(2),(A36)+(2)),(A36)+(2)))),A36))</f>
        <v>#VALUE!</v>
      </c>
      <c r="B36" t="e">
        <f ca="1">IF((A1)=(2),"",IF((33)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36)+(1)),IF(("add")=(INDEX(B1:XFD1,((A2)+(1))+(0))),(INDEX(B4:B404,(B3)+(1)))+(B36),IF(("equals")=(INDEX(B1:XFD1,((A2)+(1))+(0))),(INDEX(B4:B404,(B3)+(1)))=(B36),IF(("leq")=(INDEX(B1:XFD1,((A2)+(1))+(0))),(INDEX(B4:B404,(B3)+(1)))&lt;=(B36),IF(("greater")=(INDEX(B1:XFD1,((A2)+(1))+(0))),(INDEX(B4:B404,(B3)+(1)))&gt;(B36),IF(("mod")=(INDEX(B1:XFD1,((A2)+(1))+(0))),MOD(INDEX(B4:B404,(B3)+(1)),B36),B36))))))))),B36))</f>
        <v>#VALUE!</v>
      </c>
      <c r="C36" t="e">
        <f ca="1">IF((A1)=(2),1,IF(AND((INDEX(B1:XFD1,((A2)+(1))+(0)))=("writeheap"),(INDEX(B4:B404,(B3)+(1)))=(32)),INDEX(B4:B404,(B3)+(2)),IF((A1)=(2),"",IF((33)=(C3),C36,C36))))</f>
        <v>#VALUE!</v>
      </c>
      <c r="E36" t="e">
        <f ca="1">IF((A1)=(2),"",IF((33)=(E3),IF(("outputline")=(INDEX(B1:XFD1,((A2)+(1))+(0))),B2,E36),E36))</f>
        <v>#VALUE!</v>
      </c>
      <c r="F36" t="e">
        <f ca="1">IF((A1)=(2),"",IF((33)=(F3),IF(IF((INDEX(B1:XFD1,((A2)+(1))+(0)))=("store"),(INDEX(B1:XFD1,((A2)+(1))+(1)))=("F"),"false"),B2,F36),F36))</f>
        <v>#VALUE!</v>
      </c>
      <c r="G36" t="e">
        <f ca="1">IF((A1)=(2),"",IF((33)=(G3),IF(IF((INDEX(B1:XFD1,((A2)+(1))+(0)))=("store"),(INDEX(B1:XFD1,((A2)+(1))+(1)))=("G"),"false"),B2,G36),G36))</f>
        <v>#VALUE!</v>
      </c>
      <c r="H36" t="e">
        <f ca="1">IF((A1)=(2),"",IF((33)=(H3),IF(IF((INDEX(B1:XFD1,((A2)+(1))+(0)))=("store"),(INDEX(B1:XFD1,((A2)+(1))+(1)))=("H"),"false"),B2,H36),H36))</f>
        <v>#VALUE!</v>
      </c>
      <c r="I36" t="e">
        <f ca="1">IF((A1)=(2),"",IF((33)=(I3),IF(IF((INDEX(B1:XFD1,((A2)+(1))+(0)))=("store"),(INDEX(B1:XFD1,((A2)+(1))+(1)))=("I"),"false"),B2,I36),I36))</f>
        <v>#VALUE!</v>
      </c>
      <c r="J36" t="e">
        <f ca="1">IF((A1)=(2),"",IF((33)=(J3),IF(IF((INDEX(B1:XFD1,((A2)+(1))+(0)))=("store"),(INDEX(B1:XFD1,((A2)+(1))+(1)))=("J"),"false"),B2,J36),J36))</f>
        <v>#VALUE!</v>
      </c>
      <c r="K36" t="e">
        <f ca="1">IF((A1)=(2),"",IF((33)=(K3),IF(IF((INDEX(B1:XFD1,((A2)+(1))+(0)))=("store"),(INDEX(B1:XFD1,((A2)+(1))+(1)))=("K"),"false"),B2,K36),K36))</f>
        <v>#VALUE!</v>
      </c>
      <c r="L36" t="e">
        <f ca="1">IF((A1)=(2),"",IF((33)=(L3),IF(IF((INDEX(B1:XFD1,((A2)+(1))+(0)))=("store"),(INDEX(B1:XFD1,((A2)+(1))+(1)))=("L"),"false"),B2,L36),L36))</f>
        <v>#VALUE!</v>
      </c>
      <c r="M36" t="e">
        <f ca="1">IF((A1)=(2),"",IF((33)=(M3),IF(IF((INDEX(B1:XFD1,((A2)+(1))+(0)))=("store"),(INDEX(B1:XFD1,((A2)+(1))+(1)))=("M"),"false"),B2,M36),M36))</f>
        <v>#VALUE!</v>
      </c>
      <c r="N36" t="e">
        <f ca="1">IF((A1)=(2),"",IF((33)=(N3),IF(IF((INDEX(B1:XFD1,((A2)+(1))+(0)))=("store"),(INDEX(B1:XFD1,((A2)+(1))+(1)))=("N"),"false"),B2,N36),N36))</f>
        <v>#VALUE!</v>
      </c>
      <c r="O36" t="e">
        <f ca="1">IF((A1)=(2),"",IF((33)=(O3),IF(IF((INDEX(B1:XFD1,((A2)+(1))+(0)))=("store"),(INDEX(B1:XFD1,((A2)+(1))+(1)))=("O"),"false"),B2,O36),O36))</f>
        <v>#VALUE!</v>
      </c>
      <c r="P36" t="e">
        <f ca="1">IF((A1)=(2),"",IF((33)=(P3),IF(IF((INDEX(B1:XFD1,((A2)+(1))+(0)))=("store"),(INDEX(B1:XFD1,((A2)+(1))+(1)))=("P"),"false"),B2,P36),P36))</f>
        <v>#VALUE!</v>
      </c>
      <c r="Q36" t="e">
        <f ca="1">IF((A1)=(2),"",IF((33)=(Q3),IF(IF((INDEX(B1:XFD1,((A2)+(1))+(0)))=("store"),(INDEX(B1:XFD1,((A2)+(1))+(1)))=("Q"),"false"),B2,Q36),Q36))</f>
        <v>#VALUE!</v>
      </c>
      <c r="R36" t="e">
        <f ca="1">IF((A1)=(2),"",IF((33)=(R3),IF(IF((INDEX(B1:XFD1,((A2)+(1))+(0)))=("store"),(INDEX(B1:XFD1,((A2)+(1))+(1)))=("R"),"false"),B2,R36),R36))</f>
        <v>#VALUE!</v>
      </c>
      <c r="S36" t="e">
        <f ca="1">IF((A1)=(2),"",IF((33)=(S3),IF(IF((INDEX(B1:XFD1,((A2)+(1))+(0)))=("store"),(INDEX(B1:XFD1,((A2)+(1))+(1)))=("S"),"false"),B2,S36),S36))</f>
        <v>#VALUE!</v>
      </c>
      <c r="T36" t="e">
        <f ca="1">IF((A1)=(2),"",IF((33)=(T3),IF(IF((INDEX(B1:XFD1,((A2)+(1))+(0)))=("store"),(INDEX(B1:XFD1,((A2)+(1))+(1)))=("T"),"false"),B2,T36),T36))</f>
        <v>#VALUE!</v>
      </c>
      <c r="U36" t="e">
        <f ca="1">IF((A1)=(2),"",IF((33)=(U3),IF(IF((INDEX(B1:XFD1,((A2)+(1))+(0)))=("store"),(INDEX(B1:XFD1,((A2)+(1))+(1)))=("U"),"false"),B2,U36),U36))</f>
        <v>#VALUE!</v>
      </c>
      <c r="V36" t="e">
        <f ca="1">IF((A1)=(2),"",IF((33)=(V3),IF(IF((INDEX(B1:XFD1,((A2)+(1))+(0)))=("store"),(INDEX(B1:XFD1,((A2)+(1))+(1)))=("V"),"false"),B2,V36),V36))</f>
        <v>#VALUE!</v>
      </c>
      <c r="W36" t="e">
        <f ca="1">IF((A1)=(2),"",IF((33)=(W3),IF(IF((INDEX(B1:XFD1,((A2)+(1))+(0)))=("store"),(INDEX(B1:XFD1,((A2)+(1))+(1)))=("W"),"false"),B2,W36),W36))</f>
        <v>#VALUE!</v>
      </c>
      <c r="X36" t="e">
        <f ca="1">IF((A1)=(2),"",IF((33)=(X3),IF(IF((INDEX(B1:XFD1,((A2)+(1))+(0)))=("store"),(INDEX(B1:XFD1,((A2)+(1))+(1)))=("X"),"false"),B2,X36),X36))</f>
        <v>#VALUE!</v>
      </c>
      <c r="Y36" t="e">
        <f ca="1">IF((A1)=(2),"",IF((33)=(Y3),IF(IF((INDEX(B1:XFD1,((A2)+(1))+(0)))=("store"),(INDEX(B1:XFD1,((A2)+(1))+(1)))=("Y"),"false"),B2,Y36),Y36))</f>
        <v>#VALUE!</v>
      </c>
      <c r="Z36" t="e">
        <f ca="1">IF((A1)=(2),"",IF((33)=(Z3),IF(IF((INDEX(B1:XFD1,((A2)+(1))+(0)))=("store"),(INDEX(B1:XFD1,((A2)+(1))+(1)))=("Z"),"false"),B2,Z36),Z36))</f>
        <v>#VALUE!</v>
      </c>
      <c r="AA36" t="e">
        <f ca="1">IF((A1)=(2),"",IF((33)=(AA3),IF(IF((INDEX(B1:XFD1,((A2)+(1))+(0)))=("store"),(INDEX(B1:XFD1,((A2)+(1))+(1)))=("AA"),"false"),B2,AA36),AA36))</f>
        <v>#VALUE!</v>
      </c>
      <c r="AB36" t="e">
        <f ca="1">IF((A1)=(2),"",IF((33)=(AB3),IF(IF((INDEX(B1:XFD1,((A2)+(1))+(0)))=("store"),(INDEX(B1:XFD1,((A2)+(1))+(1)))=("AB"),"false"),B2,AB36),AB36))</f>
        <v>#VALUE!</v>
      </c>
      <c r="AC36" t="e">
        <f ca="1">IF((A1)=(2),"",IF((33)=(AC3),IF(IF((INDEX(B1:XFD1,((A2)+(1))+(0)))=("store"),(INDEX(B1:XFD1,((A2)+(1))+(1)))=("AC"),"false"),B2,AC36),AC36))</f>
        <v>#VALUE!</v>
      </c>
      <c r="AD36" t="e">
        <f ca="1">IF((A1)=(2),"",IF((33)=(AD3),IF(IF((INDEX(B1:XFD1,((A2)+(1))+(0)))=("store"),(INDEX(B1:XFD1,((A2)+(1))+(1)))=("AD"),"false"),B2,AD36),AD36))</f>
        <v>#VALUE!</v>
      </c>
    </row>
    <row r="37" spans="1:30" x14ac:dyDescent="0.25">
      <c r="A37" t="e">
        <f ca="1">IF((A1)=(2),"",IF((34)=(A3),IF(("call")=(INDEX(B1:XFD1,((A2)+(1))+(0))),(B2)*(2),IF(("goto")=(INDEX(B1:XFD1,((A2)+(1))+(0))),(INDEX(B1:XFD1,((A2)+(1))+(1)))*(2),IF(("gotoiftrue")=(INDEX(B1:XFD1,((A2)+(1))+(0))),IF(B2,(INDEX(B1:XFD1,((A2)+(1))+(1)))*(2),(A37)+(2)),(A37)+(2)))),A37))</f>
        <v>#VALUE!</v>
      </c>
      <c r="B37" t="e">
        <f ca="1">IF((A1)=(2),"",IF((34)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37)+(1)),IF(("add")=(INDEX(B1:XFD1,((A2)+(1))+(0))),(INDEX(B4:B404,(B3)+(1)))+(B37),IF(("equals")=(INDEX(B1:XFD1,((A2)+(1))+(0))),(INDEX(B4:B404,(B3)+(1)))=(B37),IF(("leq")=(INDEX(B1:XFD1,((A2)+(1))+(0))),(INDEX(B4:B404,(B3)+(1)))&lt;=(B37),IF(("greater")=(INDEX(B1:XFD1,((A2)+(1))+(0))),(INDEX(B4:B404,(B3)+(1)))&gt;(B37),IF(("mod")=(INDEX(B1:XFD1,((A2)+(1))+(0))),MOD(INDEX(B4:B404,(B3)+(1)),B37),B37))))))))),B37))</f>
        <v>#VALUE!</v>
      </c>
      <c r="C37" t="e">
        <f ca="1">IF((A1)=(2),1,IF(AND((INDEX(B1:XFD1,((A2)+(1))+(0)))=("writeheap"),(INDEX(B4:B404,(B3)+(1)))=(33)),INDEX(B4:B404,(B3)+(2)),IF((A1)=(2),"",IF((34)=(C3),C37,C37))))</f>
        <v>#VALUE!</v>
      </c>
      <c r="E37" t="e">
        <f ca="1">IF((A1)=(2),"",IF((34)=(E3),IF(("outputline")=(INDEX(B1:XFD1,((A2)+(1))+(0))),B2,E37),E37))</f>
        <v>#VALUE!</v>
      </c>
      <c r="F37" t="e">
        <f ca="1">IF((A1)=(2),"",IF((34)=(F3),IF(IF((INDEX(B1:XFD1,((A2)+(1))+(0)))=("store"),(INDEX(B1:XFD1,((A2)+(1))+(1)))=("F"),"false"),B2,F37),F37))</f>
        <v>#VALUE!</v>
      </c>
      <c r="G37" t="e">
        <f ca="1">IF((A1)=(2),"",IF((34)=(G3),IF(IF((INDEX(B1:XFD1,((A2)+(1))+(0)))=("store"),(INDEX(B1:XFD1,((A2)+(1))+(1)))=("G"),"false"),B2,G37),G37))</f>
        <v>#VALUE!</v>
      </c>
      <c r="H37" t="e">
        <f ca="1">IF((A1)=(2),"",IF((34)=(H3),IF(IF((INDEX(B1:XFD1,((A2)+(1))+(0)))=("store"),(INDEX(B1:XFD1,((A2)+(1))+(1)))=("H"),"false"),B2,H37),H37))</f>
        <v>#VALUE!</v>
      </c>
      <c r="I37" t="e">
        <f ca="1">IF((A1)=(2),"",IF((34)=(I3),IF(IF((INDEX(B1:XFD1,((A2)+(1))+(0)))=("store"),(INDEX(B1:XFD1,((A2)+(1))+(1)))=("I"),"false"),B2,I37),I37))</f>
        <v>#VALUE!</v>
      </c>
      <c r="J37" t="e">
        <f ca="1">IF((A1)=(2),"",IF((34)=(J3),IF(IF((INDEX(B1:XFD1,((A2)+(1))+(0)))=("store"),(INDEX(B1:XFD1,((A2)+(1))+(1)))=("J"),"false"),B2,J37),J37))</f>
        <v>#VALUE!</v>
      </c>
      <c r="K37" t="e">
        <f ca="1">IF((A1)=(2),"",IF((34)=(K3),IF(IF((INDEX(B1:XFD1,((A2)+(1))+(0)))=("store"),(INDEX(B1:XFD1,((A2)+(1))+(1)))=("K"),"false"),B2,K37),K37))</f>
        <v>#VALUE!</v>
      </c>
      <c r="L37" t="e">
        <f ca="1">IF((A1)=(2),"",IF((34)=(L3),IF(IF((INDEX(B1:XFD1,((A2)+(1))+(0)))=("store"),(INDEX(B1:XFD1,((A2)+(1))+(1)))=("L"),"false"),B2,L37),L37))</f>
        <v>#VALUE!</v>
      </c>
      <c r="M37" t="e">
        <f ca="1">IF((A1)=(2),"",IF((34)=(M3),IF(IF((INDEX(B1:XFD1,((A2)+(1))+(0)))=("store"),(INDEX(B1:XFD1,((A2)+(1))+(1)))=("M"),"false"),B2,M37),M37))</f>
        <v>#VALUE!</v>
      </c>
      <c r="N37" t="e">
        <f ca="1">IF((A1)=(2),"",IF((34)=(N3),IF(IF((INDEX(B1:XFD1,((A2)+(1))+(0)))=("store"),(INDEX(B1:XFD1,((A2)+(1))+(1)))=("N"),"false"),B2,N37),N37))</f>
        <v>#VALUE!</v>
      </c>
      <c r="O37" t="e">
        <f ca="1">IF((A1)=(2),"",IF((34)=(O3),IF(IF((INDEX(B1:XFD1,((A2)+(1))+(0)))=("store"),(INDEX(B1:XFD1,((A2)+(1))+(1)))=("O"),"false"),B2,O37),O37))</f>
        <v>#VALUE!</v>
      </c>
      <c r="P37" t="e">
        <f ca="1">IF((A1)=(2),"",IF((34)=(P3),IF(IF((INDEX(B1:XFD1,((A2)+(1))+(0)))=("store"),(INDEX(B1:XFD1,((A2)+(1))+(1)))=("P"),"false"),B2,P37),P37))</f>
        <v>#VALUE!</v>
      </c>
      <c r="Q37" t="e">
        <f ca="1">IF((A1)=(2),"",IF((34)=(Q3),IF(IF((INDEX(B1:XFD1,((A2)+(1))+(0)))=("store"),(INDEX(B1:XFD1,((A2)+(1))+(1)))=("Q"),"false"),B2,Q37),Q37))</f>
        <v>#VALUE!</v>
      </c>
      <c r="R37" t="e">
        <f ca="1">IF((A1)=(2),"",IF((34)=(R3),IF(IF((INDEX(B1:XFD1,((A2)+(1))+(0)))=("store"),(INDEX(B1:XFD1,((A2)+(1))+(1)))=("R"),"false"),B2,R37),R37))</f>
        <v>#VALUE!</v>
      </c>
      <c r="S37" t="e">
        <f ca="1">IF((A1)=(2),"",IF((34)=(S3),IF(IF((INDEX(B1:XFD1,((A2)+(1))+(0)))=("store"),(INDEX(B1:XFD1,((A2)+(1))+(1)))=("S"),"false"),B2,S37),S37))</f>
        <v>#VALUE!</v>
      </c>
      <c r="T37" t="e">
        <f ca="1">IF((A1)=(2),"",IF((34)=(T3),IF(IF((INDEX(B1:XFD1,((A2)+(1))+(0)))=("store"),(INDEX(B1:XFD1,((A2)+(1))+(1)))=("T"),"false"),B2,T37),T37))</f>
        <v>#VALUE!</v>
      </c>
      <c r="U37" t="e">
        <f ca="1">IF((A1)=(2),"",IF((34)=(U3),IF(IF((INDEX(B1:XFD1,((A2)+(1))+(0)))=("store"),(INDEX(B1:XFD1,((A2)+(1))+(1)))=("U"),"false"),B2,U37),U37))</f>
        <v>#VALUE!</v>
      </c>
      <c r="V37" t="e">
        <f ca="1">IF((A1)=(2),"",IF((34)=(V3),IF(IF((INDEX(B1:XFD1,((A2)+(1))+(0)))=("store"),(INDEX(B1:XFD1,((A2)+(1))+(1)))=("V"),"false"),B2,V37),V37))</f>
        <v>#VALUE!</v>
      </c>
      <c r="W37" t="e">
        <f ca="1">IF((A1)=(2),"",IF((34)=(W3),IF(IF((INDEX(B1:XFD1,((A2)+(1))+(0)))=("store"),(INDEX(B1:XFD1,((A2)+(1))+(1)))=("W"),"false"),B2,W37),W37))</f>
        <v>#VALUE!</v>
      </c>
      <c r="X37" t="e">
        <f ca="1">IF((A1)=(2),"",IF((34)=(X3),IF(IF((INDEX(B1:XFD1,((A2)+(1))+(0)))=("store"),(INDEX(B1:XFD1,((A2)+(1))+(1)))=("X"),"false"),B2,X37),X37))</f>
        <v>#VALUE!</v>
      </c>
      <c r="Y37" t="e">
        <f ca="1">IF((A1)=(2),"",IF((34)=(Y3),IF(IF((INDEX(B1:XFD1,((A2)+(1))+(0)))=("store"),(INDEX(B1:XFD1,((A2)+(1))+(1)))=("Y"),"false"),B2,Y37),Y37))</f>
        <v>#VALUE!</v>
      </c>
      <c r="Z37" t="e">
        <f ca="1">IF((A1)=(2),"",IF((34)=(Z3),IF(IF((INDEX(B1:XFD1,((A2)+(1))+(0)))=("store"),(INDEX(B1:XFD1,((A2)+(1))+(1)))=("Z"),"false"),B2,Z37),Z37))</f>
        <v>#VALUE!</v>
      </c>
      <c r="AA37" t="e">
        <f ca="1">IF((A1)=(2),"",IF((34)=(AA3),IF(IF((INDEX(B1:XFD1,((A2)+(1))+(0)))=("store"),(INDEX(B1:XFD1,((A2)+(1))+(1)))=("AA"),"false"),B2,AA37),AA37))</f>
        <v>#VALUE!</v>
      </c>
      <c r="AB37" t="e">
        <f ca="1">IF((A1)=(2),"",IF((34)=(AB3),IF(IF((INDEX(B1:XFD1,((A2)+(1))+(0)))=("store"),(INDEX(B1:XFD1,((A2)+(1))+(1)))=("AB"),"false"),B2,AB37),AB37))</f>
        <v>#VALUE!</v>
      </c>
      <c r="AC37" t="e">
        <f ca="1">IF((A1)=(2),"",IF((34)=(AC3),IF(IF((INDEX(B1:XFD1,((A2)+(1))+(0)))=("store"),(INDEX(B1:XFD1,((A2)+(1))+(1)))=("AC"),"false"),B2,AC37),AC37))</f>
        <v>#VALUE!</v>
      </c>
      <c r="AD37" t="e">
        <f ca="1">IF((A1)=(2),"",IF((34)=(AD3),IF(IF((INDEX(B1:XFD1,((A2)+(1))+(0)))=("store"),(INDEX(B1:XFD1,((A2)+(1))+(1)))=("AD"),"false"),B2,AD37),AD37))</f>
        <v>#VALUE!</v>
      </c>
    </row>
    <row r="38" spans="1:30" x14ac:dyDescent="0.25">
      <c r="A38" t="e">
        <f ca="1">IF((A1)=(2),"",IF((35)=(A3),IF(("call")=(INDEX(B1:XFD1,((A2)+(1))+(0))),(B2)*(2),IF(("goto")=(INDEX(B1:XFD1,((A2)+(1))+(0))),(INDEX(B1:XFD1,((A2)+(1))+(1)))*(2),IF(("gotoiftrue")=(INDEX(B1:XFD1,((A2)+(1))+(0))),IF(B2,(INDEX(B1:XFD1,((A2)+(1))+(1)))*(2),(A38)+(2)),(A38)+(2)))),A38))</f>
        <v>#VALUE!</v>
      </c>
      <c r="B38" t="e">
        <f ca="1">IF((A1)=(2),"",IF((35)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38)+(1)),IF(("add")=(INDEX(B1:XFD1,((A2)+(1))+(0))),(INDEX(B4:B404,(B3)+(1)))+(B38),IF(("equals")=(INDEX(B1:XFD1,((A2)+(1))+(0))),(INDEX(B4:B404,(B3)+(1)))=(B38),IF(("leq")=(INDEX(B1:XFD1,((A2)+(1))+(0))),(INDEX(B4:B404,(B3)+(1)))&lt;=(B38),IF(("greater")=(INDEX(B1:XFD1,((A2)+(1))+(0))),(INDEX(B4:B404,(B3)+(1)))&gt;(B38),IF(("mod")=(INDEX(B1:XFD1,((A2)+(1))+(0))),MOD(INDEX(B4:B404,(B3)+(1)),B38),B38))))))))),B38))</f>
        <v>#VALUE!</v>
      </c>
      <c r="C38" t="e">
        <f ca="1">IF((A1)=(2),1,IF(AND((INDEX(B1:XFD1,((A2)+(1))+(0)))=("writeheap"),(INDEX(B4:B404,(B3)+(1)))=(34)),INDEX(B4:B404,(B3)+(2)),IF((A1)=(2),"",IF((35)=(C3),C38,C38))))</f>
        <v>#VALUE!</v>
      </c>
      <c r="E38" t="e">
        <f ca="1">IF((A1)=(2),"",IF((35)=(E3),IF(("outputline")=(INDEX(B1:XFD1,((A2)+(1))+(0))),B2,E38),E38))</f>
        <v>#VALUE!</v>
      </c>
      <c r="F38" t="e">
        <f ca="1">IF((A1)=(2),"",IF((35)=(F3),IF(IF((INDEX(B1:XFD1,((A2)+(1))+(0)))=("store"),(INDEX(B1:XFD1,((A2)+(1))+(1)))=("F"),"false"),B2,F38),F38))</f>
        <v>#VALUE!</v>
      </c>
      <c r="G38" t="e">
        <f ca="1">IF((A1)=(2),"",IF((35)=(G3),IF(IF((INDEX(B1:XFD1,((A2)+(1))+(0)))=("store"),(INDEX(B1:XFD1,((A2)+(1))+(1)))=("G"),"false"),B2,G38),G38))</f>
        <v>#VALUE!</v>
      </c>
      <c r="H38" t="e">
        <f ca="1">IF((A1)=(2),"",IF((35)=(H3),IF(IF((INDEX(B1:XFD1,((A2)+(1))+(0)))=("store"),(INDEX(B1:XFD1,((A2)+(1))+(1)))=("H"),"false"),B2,H38),H38))</f>
        <v>#VALUE!</v>
      </c>
      <c r="I38" t="e">
        <f ca="1">IF((A1)=(2),"",IF((35)=(I3),IF(IF((INDEX(B1:XFD1,((A2)+(1))+(0)))=("store"),(INDEX(B1:XFD1,((A2)+(1))+(1)))=("I"),"false"),B2,I38),I38))</f>
        <v>#VALUE!</v>
      </c>
      <c r="J38" t="e">
        <f ca="1">IF((A1)=(2),"",IF((35)=(J3),IF(IF((INDEX(B1:XFD1,((A2)+(1))+(0)))=("store"),(INDEX(B1:XFD1,((A2)+(1))+(1)))=("J"),"false"),B2,J38),J38))</f>
        <v>#VALUE!</v>
      </c>
      <c r="K38" t="e">
        <f ca="1">IF((A1)=(2),"",IF((35)=(K3),IF(IF((INDEX(B1:XFD1,((A2)+(1))+(0)))=("store"),(INDEX(B1:XFD1,((A2)+(1))+(1)))=("K"),"false"),B2,K38),K38))</f>
        <v>#VALUE!</v>
      </c>
      <c r="L38" t="e">
        <f ca="1">IF((A1)=(2),"",IF((35)=(L3),IF(IF((INDEX(B1:XFD1,((A2)+(1))+(0)))=("store"),(INDEX(B1:XFD1,((A2)+(1))+(1)))=("L"),"false"),B2,L38),L38))</f>
        <v>#VALUE!</v>
      </c>
      <c r="M38" t="e">
        <f ca="1">IF((A1)=(2),"",IF((35)=(M3),IF(IF((INDEX(B1:XFD1,((A2)+(1))+(0)))=("store"),(INDEX(B1:XFD1,((A2)+(1))+(1)))=("M"),"false"),B2,M38),M38))</f>
        <v>#VALUE!</v>
      </c>
      <c r="N38" t="e">
        <f ca="1">IF((A1)=(2),"",IF((35)=(N3),IF(IF((INDEX(B1:XFD1,((A2)+(1))+(0)))=("store"),(INDEX(B1:XFD1,((A2)+(1))+(1)))=("N"),"false"),B2,N38),N38))</f>
        <v>#VALUE!</v>
      </c>
      <c r="O38" t="e">
        <f ca="1">IF((A1)=(2),"",IF((35)=(O3),IF(IF((INDEX(B1:XFD1,((A2)+(1))+(0)))=("store"),(INDEX(B1:XFD1,((A2)+(1))+(1)))=("O"),"false"),B2,O38),O38))</f>
        <v>#VALUE!</v>
      </c>
      <c r="P38" t="e">
        <f ca="1">IF((A1)=(2),"",IF((35)=(P3),IF(IF((INDEX(B1:XFD1,((A2)+(1))+(0)))=("store"),(INDEX(B1:XFD1,((A2)+(1))+(1)))=("P"),"false"),B2,P38),P38))</f>
        <v>#VALUE!</v>
      </c>
      <c r="Q38" t="e">
        <f ca="1">IF((A1)=(2),"",IF((35)=(Q3),IF(IF((INDEX(B1:XFD1,((A2)+(1))+(0)))=("store"),(INDEX(B1:XFD1,((A2)+(1))+(1)))=("Q"),"false"),B2,Q38),Q38))</f>
        <v>#VALUE!</v>
      </c>
      <c r="R38" t="e">
        <f ca="1">IF((A1)=(2),"",IF((35)=(R3),IF(IF((INDEX(B1:XFD1,((A2)+(1))+(0)))=("store"),(INDEX(B1:XFD1,((A2)+(1))+(1)))=("R"),"false"),B2,R38),R38))</f>
        <v>#VALUE!</v>
      </c>
      <c r="S38" t="e">
        <f ca="1">IF((A1)=(2),"",IF((35)=(S3),IF(IF((INDEX(B1:XFD1,((A2)+(1))+(0)))=("store"),(INDEX(B1:XFD1,((A2)+(1))+(1)))=("S"),"false"),B2,S38),S38))</f>
        <v>#VALUE!</v>
      </c>
      <c r="T38" t="e">
        <f ca="1">IF((A1)=(2),"",IF((35)=(T3),IF(IF((INDEX(B1:XFD1,((A2)+(1))+(0)))=("store"),(INDEX(B1:XFD1,((A2)+(1))+(1)))=("T"),"false"),B2,T38),T38))</f>
        <v>#VALUE!</v>
      </c>
      <c r="U38" t="e">
        <f ca="1">IF((A1)=(2),"",IF((35)=(U3),IF(IF((INDEX(B1:XFD1,((A2)+(1))+(0)))=("store"),(INDEX(B1:XFD1,((A2)+(1))+(1)))=("U"),"false"),B2,U38),U38))</f>
        <v>#VALUE!</v>
      </c>
      <c r="V38" t="e">
        <f ca="1">IF((A1)=(2),"",IF((35)=(V3),IF(IF((INDEX(B1:XFD1,((A2)+(1))+(0)))=("store"),(INDEX(B1:XFD1,((A2)+(1))+(1)))=("V"),"false"),B2,V38),V38))</f>
        <v>#VALUE!</v>
      </c>
      <c r="W38" t="e">
        <f ca="1">IF((A1)=(2),"",IF((35)=(W3),IF(IF((INDEX(B1:XFD1,((A2)+(1))+(0)))=("store"),(INDEX(B1:XFD1,((A2)+(1))+(1)))=("W"),"false"),B2,W38),W38))</f>
        <v>#VALUE!</v>
      </c>
      <c r="X38" t="e">
        <f ca="1">IF((A1)=(2),"",IF((35)=(X3),IF(IF((INDEX(B1:XFD1,((A2)+(1))+(0)))=("store"),(INDEX(B1:XFD1,((A2)+(1))+(1)))=("X"),"false"),B2,X38),X38))</f>
        <v>#VALUE!</v>
      </c>
      <c r="Y38" t="e">
        <f ca="1">IF((A1)=(2),"",IF((35)=(Y3),IF(IF((INDEX(B1:XFD1,((A2)+(1))+(0)))=("store"),(INDEX(B1:XFD1,((A2)+(1))+(1)))=("Y"),"false"),B2,Y38),Y38))</f>
        <v>#VALUE!</v>
      </c>
      <c r="Z38" t="e">
        <f ca="1">IF((A1)=(2),"",IF((35)=(Z3),IF(IF((INDEX(B1:XFD1,((A2)+(1))+(0)))=("store"),(INDEX(B1:XFD1,((A2)+(1))+(1)))=("Z"),"false"),B2,Z38),Z38))</f>
        <v>#VALUE!</v>
      </c>
      <c r="AA38" t="e">
        <f ca="1">IF((A1)=(2),"",IF((35)=(AA3),IF(IF((INDEX(B1:XFD1,((A2)+(1))+(0)))=("store"),(INDEX(B1:XFD1,((A2)+(1))+(1)))=("AA"),"false"),B2,AA38),AA38))</f>
        <v>#VALUE!</v>
      </c>
      <c r="AB38" t="e">
        <f ca="1">IF((A1)=(2),"",IF((35)=(AB3),IF(IF((INDEX(B1:XFD1,((A2)+(1))+(0)))=("store"),(INDEX(B1:XFD1,((A2)+(1))+(1)))=("AB"),"false"),B2,AB38),AB38))</f>
        <v>#VALUE!</v>
      </c>
      <c r="AC38" t="e">
        <f ca="1">IF((A1)=(2),"",IF((35)=(AC3),IF(IF((INDEX(B1:XFD1,((A2)+(1))+(0)))=("store"),(INDEX(B1:XFD1,((A2)+(1))+(1)))=("AC"),"false"),B2,AC38),AC38))</f>
        <v>#VALUE!</v>
      </c>
      <c r="AD38" t="e">
        <f ca="1">IF((A1)=(2),"",IF((35)=(AD3),IF(IF((INDEX(B1:XFD1,((A2)+(1))+(0)))=("store"),(INDEX(B1:XFD1,((A2)+(1))+(1)))=("AD"),"false"),B2,AD38),AD38))</f>
        <v>#VALUE!</v>
      </c>
    </row>
    <row r="39" spans="1:30" x14ac:dyDescent="0.25">
      <c r="A39" t="e">
        <f ca="1">IF((A1)=(2),"",IF((36)=(A3),IF(("call")=(INDEX(B1:XFD1,((A2)+(1))+(0))),(B2)*(2),IF(("goto")=(INDEX(B1:XFD1,((A2)+(1))+(0))),(INDEX(B1:XFD1,((A2)+(1))+(1)))*(2),IF(("gotoiftrue")=(INDEX(B1:XFD1,((A2)+(1))+(0))),IF(B2,(INDEX(B1:XFD1,((A2)+(1))+(1)))*(2),(A39)+(2)),(A39)+(2)))),A39))</f>
        <v>#VALUE!</v>
      </c>
      <c r="B39" t="e">
        <f ca="1">IF((A1)=(2),"",IF((36)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39)+(1)),IF(("add")=(INDEX(B1:XFD1,((A2)+(1))+(0))),(INDEX(B4:B404,(B3)+(1)))+(B39),IF(("equals")=(INDEX(B1:XFD1,((A2)+(1))+(0))),(INDEX(B4:B404,(B3)+(1)))=(B39),IF(("leq")=(INDEX(B1:XFD1,((A2)+(1))+(0))),(INDEX(B4:B404,(B3)+(1)))&lt;=(B39),IF(("greater")=(INDEX(B1:XFD1,((A2)+(1))+(0))),(INDEX(B4:B404,(B3)+(1)))&gt;(B39),IF(("mod")=(INDEX(B1:XFD1,((A2)+(1))+(0))),MOD(INDEX(B4:B404,(B3)+(1)),B39),B39))))))))),B39))</f>
        <v>#VALUE!</v>
      </c>
      <c r="C39" t="e">
        <f ca="1">IF((A1)=(2),1,IF(AND((INDEX(B1:XFD1,((A2)+(1))+(0)))=("writeheap"),(INDEX(B4:B404,(B3)+(1)))=(35)),INDEX(B4:B404,(B3)+(2)),IF((A1)=(2),"",IF((36)=(C3),C39,C39))))</f>
        <v>#VALUE!</v>
      </c>
      <c r="E39" t="e">
        <f ca="1">IF((A1)=(2),"",IF((36)=(E3),IF(("outputline")=(INDEX(B1:XFD1,((A2)+(1))+(0))),B2,E39),E39))</f>
        <v>#VALUE!</v>
      </c>
      <c r="F39" t="e">
        <f ca="1">IF((A1)=(2),"",IF((36)=(F3),IF(IF((INDEX(B1:XFD1,((A2)+(1))+(0)))=("store"),(INDEX(B1:XFD1,((A2)+(1))+(1)))=("F"),"false"),B2,F39),F39))</f>
        <v>#VALUE!</v>
      </c>
      <c r="G39" t="e">
        <f ca="1">IF((A1)=(2),"",IF((36)=(G3),IF(IF((INDEX(B1:XFD1,((A2)+(1))+(0)))=("store"),(INDEX(B1:XFD1,((A2)+(1))+(1)))=("G"),"false"),B2,G39),G39))</f>
        <v>#VALUE!</v>
      </c>
      <c r="H39" t="e">
        <f ca="1">IF((A1)=(2),"",IF((36)=(H3),IF(IF((INDEX(B1:XFD1,((A2)+(1))+(0)))=("store"),(INDEX(B1:XFD1,((A2)+(1))+(1)))=("H"),"false"),B2,H39),H39))</f>
        <v>#VALUE!</v>
      </c>
      <c r="I39" t="e">
        <f ca="1">IF((A1)=(2),"",IF((36)=(I3),IF(IF((INDEX(B1:XFD1,((A2)+(1))+(0)))=("store"),(INDEX(B1:XFD1,((A2)+(1))+(1)))=("I"),"false"),B2,I39),I39))</f>
        <v>#VALUE!</v>
      </c>
      <c r="J39" t="e">
        <f ca="1">IF((A1)=(2),"",IF((36)=(J3),IF(IF((INDEX(B1:XFD1,((A2)+(1))+(0)))=("store"),(INDEX(B1:XFD1,((A2)+(1))+(1)))=("J"),"false"),B2,J39),J39))</f>
        <v>#VALUE!</v>
      </c>
      <c r="K39" t="e">
        <f ca="1">IF((A1)=(2),"",IF((36)=(K3),IF(IF((INDEX(B1:XFD1,((A2)+(1))+(0)))=("store"),(INDEX(B1:XFD1,((A2)+(1))+(1)))=("K"),"false"),B2,K39),K39))</f>
        <v>#VALUE!</v>
      </c>
      <c r="L39" t="e">
        <f ca="1">IF((A1)=(2),"",IF((36)=(L3),IF(IF((INDEX(B1:XFD1,((A2)+(1))+(0)))=("store"),(INDEX(B1:XFD1,((A2)+(1))+(1)))=("L"),"false"),B2,L39),L39))</f>
        <v>#VALUE!</v>
      </c>
      <c r="M39" t="e">
        <f ca="1">IF((A1)=(2),"",IF((36)=(M3),IF(IF((INDEX(B1:XFD1,((A2)+(1))+(0)))=("store"),(INDEX(B1:XFD1,((A2)+(1))+(1)))=("M"),"false"),B2,M39),M39))</f>
        <v>#VALUE!</v>
      </c>
      <c r="N39" t="e">
        <f ca="1">IF((A1)=(2),"",IF((36)=(N3),IF(IF((INDEX(B1:XFD1,((A2)+(1))+(0)))=("store"),(INDEX(B1:XFD1,((A2)+(1))+(1)))=("N"),"false"),B2,N39),N39))</f>
        <v>#VALUE!</v>
      </c>
      <c r="O39" t="e">
        <f ca="1">IF((A1)=(2),"",IF((36)=(O3),IF(IF((INDEX(B1:XFD1,((A2)+(1))+(0)))=("store"),(INDEX(B1:XFD1,((A2)+(1))+(1)))=("O"),"false"),B2,O39),O39))</f>
        <v>#VALUE!</v>
      </c>
      <c r="P39" t="e">
        <f ca="1">IF((A1)=(2),"",IF((36)=(P3),IF(IF((INDEX(B1:XFD1,((A2)+(1))+(0)))=("store"),(INDEX(B1:XFD1,((A2)+(1))+(1)))=("P"),"false"),B2,P39),P39))</f>
        <v>#VALUE!</v>
      </c>
      <c r="Q39" t="e">
        <f ca="1">IF((A1)=(2),"",IF((36)=(Q3),IF(IF((INDEX(B1:XFD1,((A2)+(1))+(0)))=("store"),(INDEX(B1:XFD1,((A2)+(1))+(1)))=("Q"),"false"),B2,Q39),Q39))</f>
        <v>#VALUE!</v>
      </c>
      <c r="R39" t="e">
        <f ca="1">IF((A1)=(2),"",IF((36)=(R3),IF(IF((INDEX(B1:XFD1,((A2)+(1))+(0)))=("store"),(INDEX(B1:XFD1,((A2)+(1))+(1)))=("R"),"false"),B2,R39),R39))</f>
        <v>#VALUE!</v>
      </c>
      <c r="S39" t="e">
        <f ca="1">IF((A1)=(2),"",IF((36)=(S3),IF(IF((INDEX(B1:XFD1,((A2)+(1))+(0)))=("store"),(INDEX(B1:XFD1,((A2)+(1))+(1)))=("S"),"false"),B2,S39),S39))</f>
        <v>#VALUE!</v>
      </c>
      <c r="T39" t="e">
        <f ca="1">IF((A1)=(2),"",IF((36)=(T3),IF(IF((INDEX(B1:XFD1,((A2)+(1))+(0)))=("store"),(INDEX(B1:XFD1,((A2)+(1))+(1)))=("T"),"false"),B2,T39),T39))</f>
        <v>#VALUE!</v>
      </c>
      <c r="U39" t="e">
        <f ca="1">IF((A1)=(2),"",IF((36)=(U3),IF(IF((INDEX(B1:XFD1,((A2)+(1))+(0)))=("store"),(INDEX(B1:XFD1,((A2)+(1))+(1)))=("U"),"false"),B2,U39),U39))</f>
        <v>#VALUE!</v>
      </c>
      <c r="V39" t="e">
        <f ca="1">IF((A1)=(2),"",IF((36)=(V3),IF(IF((INDEX(B1:XFD1,((A2)+(1))+(0)))=("store"),(INDEX(B1:XFD1,((A2)+(1))+(1)))=("V"),"false"),B2,V39),V39))</f>
        <v>#VALUE!</v>
      </c>
      <c r="W39" t="e">
        <f ca="1">IF((A1)=(2),"",IF((36)=(W3),IF(IF((INDEX(B1:XFD1,((A2)+(1))+(0)))=("store"),(INDEX(B1:XFD1,((A2)+(1))+(1)))=("W"),"false"),B2,W39),W39))</f>
        <v>#VALUE!</v>
      </c>
      <c r="X39" t="e">
        <f ca="1">IF((A1)=(2),"",IF((36)=(X3),IF(IF((INDEX(B1:XFD1,((A2)+(1))+(0)))=("store"),(INDEX(B1:XFD1,((A2)+(1))+(1)))=("X"),"false"),B2,X39),X39))</f>
        <v>#VALUE!</v>
      </c>
      <c r="Y39" t="e">
        <f ca="1">IF((A1)=(2),"",IF((36)=(Y3),IF(IF((INDEX(B1:XFD1,((A2)+(1))+(0)))=("store"),(INDEX(B1:XFD1,((A2)+(1))+(1)))=("Y"),"false"),B2,Y39),Y39))</f>
        <v>#VALUE!</v>
      </c>
      <c r="Z39" t="e">
        <f ca="1">IF((A1)=(2),"",IF((36)=(Z3),IF(IF((INDEX(B1:XFD1,((A2)+(1))+(0)))=("store"),(INDEX(B1:XFD1,((A2)+(1))+(1)))=("Z"),"false"),B2,Z39),Z39))</f>
        <v>#VALUE!</v>
      </c>
      <c r="AA39" t="e">
        <f ca="1">IF((A1)=(2),"",IF((36)=(AA3),IF(IF((INDEX(B1:XFD1,((A2)+(1))+(0)))=("store"),(INDEX(B1:XFD1,((A2)+(1))+(1)))=("AA"),"false"),B2,AA39),AA39))</f>
        <v>#VALUE!</v>
      </c>
      <c r="AB39" t="e">
        <f ca="1">IF((A1)=(2),"",IF((36)=(AB3),IF(IF((INDEX(B1:XFD1,((A2)+(1))+(0)))=("store"),(INDEX(B1:XFD1,((A2)+(1))+(1)))=("AB"),"false"),B2,AB39),AB39))</f>
        <v>#VALUE!</v>
      </c>
      <c r="AC39" t="e">
        <f ca="1">IF((A1)=(2),"",IF((36)=(AC3),IF(IF((INDEX(B1:XFD1,((A2)+(1))+(0)))=("store"),(INDEX(B1:XFD1,((A2)+(1))+(1)))=("AC"),"false"),B2,AC39),AC39))</f>
        <v>#VALUE!</v>
      </c>
      <c r="AD39" t="e">
        <f ca="1">IF((A1)=(2),"",IF((36)=(AD3),IF(IF((INDEX(B1:XFD1,((A2)+(1))+(0)))=("store"),(INDEX(B1:XFD1,((A2)+(1))+(1)))=("AD"),"false"),B2,AD39),AD39))</f>
        <v>#VALUE!</v>
      </c>
    </row>
    <row r="40" spans="1:30" x14ac:dyDescent="0.25">
      <c r="A40" t="e">
        <f ca="1">IF((A1)=(2),"",IF((37)=(A3),IF(("call")=(INDEX(B1:XFD1,((A2)+(1))+(0))),(B2)*(2),IF(("goto")=(INDEX(B1:XFD1,((A2)+(1))+(0))),(INDEX(B1:XFD1,((A2)+(1))+(1)))*(2),IF(("gotoiftrue")=(INDEX(B1:XFD1,((A2)+(1))+(0))),IF(B2,(INDEX(B1:XFD1,((A2)+(1))+(1)))*(2),(A40)+(2)),(A40)+(2)))),A40))</f>
        <v>#VALUE!</v>
      </c>
      <c r="B40" t="e">
        <f ca="1">IF((A1)=(2),"",IF((37)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40)+(1)),IF(("add")=(INDEX(B1:XFD1,((A2)+(1))+(0))),(INDEX(B4:B404,(B3)+(1)))+(B40),IF(("equals")=(INDEX(B1:XFD1,((A2)+(1))+(0))),(INDEX(B4:B404,(B3)+(1)))=(B40),IF(("leq")=(INDEX(B1:XFD1,((A2)+(1))+(0))),(INDEX(B4:B404,(B3)+(1)))&lt;=(B40),IF(("greater")=(INDEX(B1:XFD1,((A2)+(1))+(0))),(INDEX(B4:B404,(B3)+(1)))&gt;(B40),IF(("mod")=(INDEX(B1:XFD1,((A2)+(1))+(0))),MOD(INDEX(B4:B404,(B3)+(1)),B40),B40))))))))),B40))</f>
        <v>#VALUE!</v>
      </c>
      <c r="C40" t="e">
        <f ca="1">IF((A1)=(2),1,IF(AND((INDEX(B1:XFD1,((A2)+(1))+(0)))=("writeheap"),(INDEX(B4:B404,(B3)+(1)))=(36)),INDEX(B4:B404,(B3)+(2)),IF((A1)=(2),"",IF((37)=(C3),C40,C40))))</f>
        <v>#VALUE!</v>
      </c>
      <c r="E40" t="e">
        <f ca="1">IF((A1)=(2),"",IF((37)=(E3),IF(("outputline")=(INDEX(B1:XFD1,((A2)+(1))+(0))),B2,E40),E40))</f>
        <v>#VALUE!</v>
      </c>
      <c r="F40" t="e">
        <f ca="1">IF((A1)=(2),"",IF((37)=(F3),IF(IF((INDEX(B1:XFD1,((A2)+(1))+(0)))=("store"),(INDEX(B1:XFD1,((A2)+(1))+(1)))=("F"),"false"),B2,F40),F40))</f>
        <v>#VALUE!</v>
      </c>
      <c r="G40" t="e">
        <f ca="1">IF((A1)=(2),"",IF((37)=(G3),IF(IF((INDEX(B1:XFD1,((A2)+(1))+(0)))=("store"),(INDEX(B1:XFD1,((A2)+(1))+(1)))=("G"),"false"),B2,G40),G40))</f>
        <v>#VALUE!</v>
      </c>
      <c r="H40" t="e">
        <f ca="1">IF((A1)=(2),"",IF((37)=(H3),IF(IF((INDEX(B1:XFD1,((A2)+(1))+(0)))=("store"),(INDEX(B1:XFD1,((A2)+(1))+(1)))=("H"),"false"),B2,H40),H40))</f>
        <v>#VALUE!</v>
      </c>
      <c r="I40" t="e">
        <f ca="1">IF((A1)=(2),"",IF((37)=(I3),IF(IF((INDEX(B1:XFD1,((A2)+(1))+(0)))=("store"),(INDEX(B1:XFD1,((A2)+(1))+(1)))=("I"),"false"),B2,I40),I40))</f>
        <v>#VALUE!</v>
      </c>
      <c r="J40" t="e">
        <f ca="1">IF((A1)=(2),"",IF((37)=(J3),IF(IF((INDEX(B1:XFD1,((A2)+(1))+(0)))=("store"),(INDEX(B1:XFD1,((A2)+(1))+(1)))=("J"),"false"),B2,J40),J40))</f>
        <v>#VALUE!</v>
      </c>
      <c r="K40" t="e">
        <f ca="1">IF((A1)=(2),"",IF((37)=(K3),IF(IF((INDEX(B1:XFD1,((A2)+(1))+(0)))=("store"),(INDEX(B1:XFD1,((A2)+(1))+(1)))=("K"),"false"),B2,K40),K40))</f>
        <v>#VALUE!</v>
      </c>
      <c r="L40" t="e">
        <f ca="1">IF((A1)=(2),"",IF((37)=(L3),IF(IF((INDEX(B1:XFD1,((A2)+(1))+(0)))=("store"),(INDEX(B1:XFD1,((A2)+(1))+(1)))=("L"),"false"),B2,L40),L40))</f>
        <v>#VALUE!</v>
      </c>
      <c r="M40" t="e">
        <f ca="1">IF((A1)=(2),"",IF((37)=(M3),IF(IF((INDEX(B1:XFD1,((A2)+(1))+(0)))=("store"),(INDEX(B1:XFD1,((A2)+(1))+(1)))=("M"),"false"),B2,M40),M40))</f>
        <v>#VALUE!</v>
      </c>
      <c r="N40" t="e">
        <f ca="1">IF((A1)=(2),"",IF((37)=(N3),IF(IF((INDEX(B1:XFD1,((A2)+(1))+(0)))=("store"),(INDEX(B1:XFD1,((A2)+(1))+(1)))=("N"),"false"),B2,N40),N40))</f>
        <v>#VALUE!</v>
      </c>
      <c r="O40" t="e">
        <f ca="1">IF((A1)=(2),"",IF((37)=(O3),IF(IF((INDEX(B1:XFD1,((A2)+(1))+(0)))=("store"),(INDEX(B1:XFD1,((A2)+(1))+(1)))=("O"),"false"),B2,O40),O40))</f>
        <v>#VALUE!</v>
      </c>
      <c r="P40" t="e">
        <f ca="1">IF((A1)=(2),"",IF((37)=(P3),IF(IF((INDEX(B1:XFD1,((A2)+(1))+(0)))=("store"),(INDEX(B1:XFD1,((A2)+(1))+(1)))=("P"),"false"),B2,P40),P40))</f>
        <v>#VALUE!</v>
      </c>
      <c r="Q40" t="e">
        <f ca="1">IF((A1)=(2),"",IF((37)=(Q3),IF(IF((INDEX(B1:XFD1,((A2)+(1))+(0)))=("store"),(INDEX(B1:XFD1,((A2)+(1))+(1)))=("Q"),"false"),B2,Q40),Q40))</f>
        <v>#VALUE!</v>
      </c>
      <c r="R40" t="e">
        <f ca="1">IF((A1)=(2),"",IF((37)=(R3),IF(IF((INDEX(B1:XFD1,((A2)+(1))+(0)))=("store"),(INDEX(B1:XFD1,((A2)+(1))+(1)))=("R"),"false"),B2,R40),R40))</f>
        <v>#VALUE!</v>
      </c>
      <c r="S40" t="e">
        <f ca="1">IF((A1)=(2),"",IF((37)=(S3),IF(IF((INDEX(B1:XFD1,((A2)+(1))+(0)))=("store"),(INDEX(B1:XFD1,((A2)+(1))+(1)))=("S"),"false"),B2,S40),S40))</f>
        <v>#VALUE!</v>
      </c>
      <c r="T40" t="e">
        <f ca="1">IF((A1)=(2),"",IF((37)=(T3),IF(IF((INDEX(B1:XFD1,((A2)+(1))+(0)))=("store"),(INDEX(B1:XFD1,((A2)+(1))+(1)))=("T"),"false"),B2,T40),T40))</f>
        <v>#VALUE!</v>
      </c>
      <c r="U40" t="e">
        <f ca="1">IF((A1)=(2),"",IF((37)=(U3),IF(IF((INDEX(B1:XFD1,((A2)+(1))+(0)))=("store"),(INDEX(B1:XFD1,((A2)+(1))+(1)))=("U"),"false"),B2,U40),U40))</f>
        <v>#VALUE!</v>
      </c>
      <c r="V40" t="e">
        <f ca="1">IF((A1)=(2),"",IF((37)=(V3),IF(IF((INDEX(B1:XFD1,((A2)+(1))+(0)))=("store"),(INDEX(B1:XFD1,((A2)+(1))+(1)))=("V"),"false"),B2,V40),V40))</f>
        <v>#VALUE!</v>
      </c>
      <c r="W40" t="e">
        <f ca="1">IF((A1)=(2),"",IF((37)=(W3),IF(IF((INDEX(B1:XFD1,((A2)+(1))+(0)))=("store"),(INDEX(B1:XFD1,((A2)+(1))+(1)))=("W"),"false"),B2,W40),W40))</f>
        <v>#VALUE!</v>
      </c>
      <c r="X40" t="e">
        <f ca="1">IF((A1)=(2),"",IF((37)=(X3),IF(IF((INDEX(B1:XFD1,((A2)+(1))+(0)))=("store"),(INDEX(B1:XFD1,((A2)+(1))+(1)))=("X"),"false"),B2,X40),X40))</f>
        <v>#VALUE!</v>
      </c>
      <c r="Y40" t="e">
        <f ca="1">IF((A1)=(2),"",IF((37)=(Y3),IF(IF((INDEX(B1:XFD1,((A2)+(1))+(0)))=("store"),(INDEX(B1:XFD1,((A2)+(1))+(1)))=("Y"),"false"),B2,Y40),Y40))</f>
        <v>#VALUE!</v>
      </c>
      <c r="Z40" t="e">
        <f ca="1">IF((A1)=(2),"",IF((37)=(Z3),IF(IF((INDEX(B1:XFD1,((A2)+(1))+(0)))=("store"),(INDEX(B1:XFD1,((A2)+(1))+(1)))=("Z"),"false"),B2,Z40),Z40))</f>
        <v>#VALUE!</v>
      </c>
      <c r="AA40" t="e">
        <f ca="1">IF((A1)=(2),"",IF((37)=(AA3),IF(IF((INDEX(B1:XFD1,((A2)+(1))+(0)))=("store"),(INDEX(B1:XFD1,((A2)+(1))+(1)))=("AA"),"false"),B2,AA40),AA40))</f>
        <v>#VALUE!</v>
      </c>
      <c r="AB40" t="e">
        <f ca="1">IF((A1)=(2),"",IF((37)=(AB3),IF(IF((INDEX(B1:XFD1,((A2)+(1))+(0)))=("store"),(INDEX(B1:XFD1,((A2)+(1))+(1)))=("AB"),"false"),B2,AB40),AB40))</f>
        <v>#VALUE!</v>
      </c>
      <c r="AC40" t="e">
        <f ca="1">IF((A1)=(2),"",IF((37)=(AC3),IF(IF((INDEX(B1:XFD1,((A2)+(1))+(0)))=("store"),(INDEX(B1:XFD1,((A2)+(1))+(1)))=("AC"),"false"),B2,AC40),AC40))</f>
        <v>#VALUE!</v>
      </c>
      <c r="AD40" t="e">
        <f ca="1">IF((A1)=(2),"",IF((37)=(AD3),IF(IF((INDEX(B1:XFD1,((A2)+(1))+(0)))=("store"),(INDEX(B1:XFD1,((A2)+(1))+(1)))=("AD"),"false"),B2,AD40),AD40))</f>
        <v>#VALUE!</v>
      </c>
    </row>
    <row r="41" spans="1:30" x14ac:dyDescent="0.25">
      <c r="A41" t="e">
        <f ca="1">IF((A1)=(2),"",IF((38)=(A3),IF(("call")=(INDEX(B1:XFD1,((A2)+(1))+(0))),(B2)*(2),IF(("goto")=(INDEX(B1:XFD1,((A2)+(1))+(0))),(INDEX(B1:XFD1,((A2)+(1))+(1)))*(2),IF(("gotoiftrue")=(INDEX(B1:XFD1,((A2)+(1))+(0))),IF(B2,(INDEX(B1:XFD1,((A2)+(1))+(1)))*(2),(A41)+(2)),(A41)+(2)))),A41))</f>
        <v>#VALUE!</v>
      </c>
      <c r="B41" t="e">
        <f ca="1">IF((A1)=(2),"",IF((38)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41)+(1)),IF(("add")=(INDEX(B1:XFD1,((A2)+(1))+(0))),(INDEX(B4:B404,(B3)+(1)))+(B41),IF(("equals")=(INDEX(B1:XFD1,((A2)+(1))+(0))),(INDEX(B4:B404,(B3)+(1)))=(B41),IF(("leq")=(INDEX(B1:XFD1,((A2)+(1))+(0))),(INDEX(B4:B404,(B3)+(1)))&lt;=(B41),IF(("greater")=(INDEX(B1:XFD1,((A2)+(1))+(0))),(INDEX(B4:B404,(B3)+(1)))&gt;(B41),IF(("mod")=(INDEX(B1:XFD1,((A2)+(1))+(0))),MOD(INDEX(B4:B404,(B3)+(1)),B41),B41))))))))),B41))</f>
        <v>#VALUE!</v>
      </c>
      <c r="C41" t="e">
        <f ca="1">IF((A1)=(2),1,IF(AND((INDEX(B1:XFD1,((A2)+(1))+(0)))=("writeheap"),(INDEX(B4:B404,(B3)+(1)))=(37)),INDEX(B4:B404,(B3)+(2)),IF((A1)=(2),"",IF((38)=(C3),C41,C41))))</f>
        <v>#VALUE!</v>
      </c>
      <c r="E41" t="e">
        <f ca="1">IF((A1)=(2),"",IF((38)=(E3),IF(("outputline")=(INDEX(B1:XFD1,((A2)+(1))+(0))),B2,E41),E41))</f>
        <v>#VALUE!</v>
      </c>
      <c r="F41" t="e">
        <f ca="1">IF((A1)=(2),"",IF((38)=(F3),IF(IF((INDEX(B1:XFD1,((A2)+(1))+(0)))=("store"),(INDEX(B1:XFD1,((A2)+(1))+(1)))=("F"),"false"),B2,F41),F41))</f>
        <v>#VALUE!</v>
      </c>
      <c r="G41" t="e">
        <f ca="1">IF((A1)=(2),"",IF((38)=(G3),IF(IF((INDEX(B1:XFD1,((A2)+(1))+(0)))=("store"),(INDEX(B1:XFD1,((A2)+(1))+(1)))=("G"),"false"),B2,G41),G41))</f>
        <v>#VALUE!</v>
      </c>
      <c r="H41" t="e">
        <f ca="1">IF((A1)=(2),"",IF((38)=(H3),IF(IF((INDEX(B1:XFD1,((A2)+(1))+(0)))=("store"),(INDEX(B1:XFD1,((A2)+(1))+(1)))=("H"),"false"),B2,H41),H41))</f>
        <v>#VALUE!</v>
      </c>
      <c r="I41" t="e">
        <f ca="1">IF((A1)=(2),"",IF((38)=(I3),IF(IF((INDEX(B1:XFD1,((A2)+(1))+(0)))=("store"),(INDEX(B1:XFD1,((A2)+(1))+(1)))=("I"),"false"),B2,I41),I41))</f>
        <v>#VALUE!</v>
      </c>
      <c r="J41" t="e">
        <f ca="1">IF((A1)=(2),"",IF((38)=(J3),IF(IF((INDEX(B1:XFD1,((A2)+(1))+(0)))=("store"),(INDEX(B1:XFD1,((A2)+(1))+(1)))=("J"),"false"),B2,J41),J41))</f>
        <v>#VALUE!</v>
      </c>
      <c r="K41" t="e">
        <f ca="1">IF((A1)=(2),"",IF((38)=(K3),IF(IF((INDEX(B1:XFD1,((A2)+(1))+(0)))=("store"),(INDEX(B1:XFD1,((A2)+(1))+(1)))=("K"),"false"),B2,K41),K41))</f>
        <v>#VALUE!</v>
      </c>
      <c r="L41" t="e">
        <f ca="1">IF((A1)=(2),"",IF((38)=(L3),IF(IF((INDEX(B1:XFD1,((A2)+(1))+(0)))=("store"),(INDEX(B1:XFD1,((A2)+(1))+(1)))=("L"),"false"),B2,L41),L41))</f>
        <v>#VALUE!</v>
      </c>
      <c r="M41" t="e">
        <f ca="1">IF((A1)=(2),"",IF((38)=(M3),IF(IF((INDEX(B1:XFD1,((A2)+(1))+(0)))=("store"),(INDEX(B1:XFD1,((A2)+(1))+(1)))=("M"),"false"),B2,M41),M41))</f>
        <v>#VALUE!</v>
      </c>
      <c r="N41" t="e">
        <f ca="1">IF((A1)=(2),"",IF((38)=(N3),IF(IF((INDEX(B1:XFD1,((A2)+(1))+(0)))=("store"),(INDEX(B1:XFD1,((A2)+(1))+(1)))=("N"),"false"),B2,N41),N41))</f>
        <v>#VALUE!</v>
      </c>
      <c r="O41" t="e">
        <f ca="1">IF((A1)=(2),"",IF((38)=(O3),IF(IF((INDEX(B1:XFD1,((A2)+(1))+(0)))=("store"),(INDEX(B1:XFD1,((A2)+(1))+(1)))=("O"),"false"),B2,O41),O41))</f>
        <v>#VALUE!</v>
      </c>
      <c r="P41" t="e">
        <f ca="1">IF((A1)=(2),"",IF((38)=(P3),IF(IF((INDEX(B1:XFD1,((A2)+(1))+(0)))=("store"),(INDEX(B1:XFD1,((A2)+(1))+(1)))=("P"),"false"),B2,P41),P41))</f>
        <v>#VALUE!</v>
      </c>
      <c r="Q41" t="e">
        <f ca="1">IF((A1)=(2),"",IF((38)=(Q3),IF(IF((INDEX(B1:XFD1,((A2)+(1))+(0)))=("store"),(INDEX(B1:XFD1,((A2)+(1))+(1)))=("Q"),"false"),B2,Q41),Q41))</f>
        <v>#VALUE!</v>
      </c>
      <c r="R41" t="e">
        <f ca="1">IF((A1)=(2),"",IF((38)=(R3),IF(IF((INDEX(B1:XFD1,((A2)+(1))+(0)))=("store"),(INDEX(B1:XFD1,((A2)+(1))+(1)))=("R"),"false"),B2,R41),R41))</f>
        <v>#VALUE!</v>
      </c>
      <c r="S41" t="e">
        <f ca="1">IF((A1)=(2),"",IF((38)=(S3),IF(IF((INDEX(B1:XFD1,((A2)+(1))+(0)))=("store"),(INDEX(B1:XFD1,((A2)+(1))+(1)))=("S"),"false"),B2,S41),S41))</f>
        <v>#VALUE!</v>
      </c>
      <c r="T41" t="e">
        <f ca="1">IF((A1)=(2),"",IF((38)=(T3),IF(IF((INDEX(B1:XFD1,((A2)+(1))+(0)))=("store"),(INDEX(B1:XFD1,((A2)+(1))+(1)))=("T"),"false"),B2,T41),T41))</f>
        <v>#VALUE!</v>
      </c>
      <c r="U41" t="e">
        <f ca="1">IF((A1)=(2),"",IF((38)=(U3),IF(IF((INDEX(B1:XFD1,((A2)+(1))+(0)))=("store"),(INDEX(B1:XFD1,((A2)+(1))+(1)))=("U"),"false"),B2,U41),U41))</f>
        <v>#VALUE!</v>
      </c>
      <c r="V41" t="e">
        <f ca="1">IF((A1)=(2),"",IF((38)=(V3),IF(IF((INDEX(B1:XFD1,((A2)+(1))+(0)))=("store"),(INDEX(B1:XFD1,((A2)+(1))+(1)))=("V"),"false"),B2,V41),V41))</f>
        <v>#VALUE!</v>
      </c>
      <c r="W41" t="e">
        <f ca="1">IF((A1)=(2),"",IF((38)=(W3),IF(IF((INDEX(B1:XFD1,((A2)+(1))+(0)))=("store"),(INDEX(B1:XFD1,((A2)+(1))+(1)))=("W"),"false"),B2,W41),W41))</f>
        <v>#VALUE!</v>
      </c>
      <c r="X41" t="e">
        <f ca="1">IF((A1)=(2),"",IF((38)=(X3),IF(IF((INDEX(B1:XFD1,((A2)+(1))+(0)))=("store"),(INDEX(B1:XFD1,((A2)+(1))+(1)))=("X"),"false"),B2,X41),X41))</f>
        <v>#VALUE!</v>
      </c>
      <c r="Y41" t="e">
        <f ca="1">IF((A1)=(2),"",IF((38)=(Y3),IF(IF((INDEX(B1:XFD1,((A2)+(1))+(0)))=("store"),(INDEX(B1:XFD1,((A2)+(1))+(1)))=("Y"),"false"),B2,Y41),Y41))</f>
        <v>#VALUE!</v>
      </c>
      <c r="Z41" t="e">
        <f ca="1">IF((A1)=(2),"",IF((38)=(Z3),IF(IF((INDEX(B1:XFD1,((A2)+(1))+(0)))=("store"),(INDEX(B1:XFD1,((A2)+(1))+(1)))=("Z"),"false"),B2,Z41),Z41))</f>
        <v>#VALUE!</v>
      </c>
      <c r="AA41" t="e">
        <f ca="1">IF((A1)=(2),"",IF((38)=(AA3),IF(IF((INDEX(B1:XFD1,((A2)+(1))+(0)))=("store"),(INDEX(B1:XFD1,((A2)+(1))+(1)))=("AA"),"false"),B2,AA41),AA41))</f>
        <v>#VALUE!</v>
      </c>
      <c r="AB41" t="e">
        <f ca="1">IF((A1)=(2),"",IF((38)=(AB3),IF(IF((INDEX(B1:XFD1,((A2)+(1))+(0)))=("store"),(INDEX(B1:XFD1,((A2)+(1))+(1)))=("AB"),"false"),B2,AB41),AB41))</f>
        <v>#VALUE!</v>
      </c>
      <c r="AC41" t="e">
        <f ca="1">IF((A1)=(2),"",IF((38)=(AC3),IF(IF((INDEX(B1:XFD1,((A2)+(1))+(0)))=("store"),(INDEX(B1:XFD1,((A2)+(1))+(1)))=("AC"),"false"),B2,AC41),AC41))</f>
        <v>#VALUE!</v>
      </c>
      <c r="AD41" t="e">
        <f ca="1">IF((A1)=(2),"",IF((38)=(AD3),IF(IF((INDEX(B1:XFD1,((A2)+(1))+(0)))=("store"),(INDEX(B1:XFD1,((A2)+(1))+(1)))=("AD"),"false"),B2,AD41),AD41))</f>
        <v>#VALUE!</v>
      </c>
    </row>
    <row r="42" spans="1:30" x14ac:dyDescent="0.25">
      <c r="A42" t="e">
        <f ca="1">IF((A1)=(2),"",IF((39)=(A3),IF(("call")=(INDEX(B1:XFD1,((A2)+(1))+(0))),(B2)*(2),IF(("goto")=(INDEX(B1:XFD1,((A2)+(1))+(0))),(INDEX(B1:XFD1,((A2)+(1))+(1)))*(2),IF(("gotoiftrue")=(INDEX(B1:XFD1,((A2)+(1))+(0))),IF(B2,(INDEX(B1:XFD1,((A2)+(1))+(1)))*(2),(A42)+(2)),(A42)+(2)))),A42))</f>
        <v>#VALUE!</v>
      </c>
      <c r="B42" t="e">
        <f ca="1">IF((A1)=(2),"",IF((39)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42)+(1)),IF(("add")=(INDEX(B1:XFD1,((A2)+(1))+(0))),(INDEX(B4:B404,(B3)+(1)))+(B42),IF(("equals")=(INDEX(B1:XFD1,((A2)+(1))+(0))),(INDEX(B4:B404,(B3)+(1)))=(B42),IF(("leq")=(INDEX(B1:XFD1,((A2)+(1))+(0))),(INDEX(B4:B404,(B3)+(1)))&lt;=(B42),IF(("greater")=(INDEX(B1:XFD1,((A2)+(1))+(0))),(INDEX(B4:B404,(B3)+(1)))&gt;(B42),IF(("mod")=(INDEX(B1:XFD1,((A2)+(1))+(0))),MOD(INDEX(B4:B404,(B3)+(1)),B42),B42))))))))),B42))</f>
        <v>#VALUE!</v>
      </c>
      <c r="C42" t="e">
        <f ca="1">IF((A1)=(2),1,IF(AND((INDEX(B1:XFD1,((A2)+(1))+(0)))=("writeheap"),(INDEX(B4:B404,(B3)+(1)))=(38)),INDEX(B4:B404,(B3)+(2)),IF((A1)=(2),"",IF((39)=(C3),C42,C42))))</f>
        <v>#VALUE!</v>
      </c>
      <c r="E42" t="e">
        <f ca="1">IF((A1)=(2),"",IF((39)=(E3),IF(("outputline")=(INDEX(B1:XFD1,((A2)+(1))+(0))),B2,E42),E42))</f>
        <v>#VALUE!</v>
      </c>
      <c r="F42" t="e">
        <f ca="1">IF((A1)=(2),"",IF((39)=(F3),IF(IF((INDEX(B1:XFD1,((A2)+(1))+(0)))=("store"),(INDEX(B1:XFD1,((A2)+(1))+(1)))=("F"),"false"),B2,F42),F42))</f>
        <v>#VALUE!</v>
      </c>
      <c r="G42" t="e">
        <f ca="1">IF((A1)=(2),"",IF((39)=(G3),IF(IF((INDEX(B1:XFD1,((A2)+(1))+(0)))=("store"),(INDEX(B1:XFD1,((A2)+(1))+(1)))=("G"),"false"),B2,G42),G42))</f>
        <v>#VALUE!</v>
      </c>
      <c r="H42" t="e">
        <f ca="1">IF((A1)=(2),"",IF((39)=(H3),IF(IF((INDEX(B1:XFD1,((A2)+(1))+(0)))=("store"),(INDEX(B1:XFD1,((A2)+(1))+(1)))=("H"),"false"),B2,H42),H42))</f>
        <v>#VALUE!</v>
      </c>
      <c r="I42" t="e">
        <f ca="1">IF((A1)=(2),"",IF((39)=(I3),IF(IF((INDEX(B1:XFD1,((A2)+(1))+(0)))=("store"),(INDEX(B1:XFD1,((A2)+(1))+(1)))=("I"),"false"),B2,I42),I42))</f>
        <v>#VALUE!</v>
      </c>
      <c r="J42" t="e">
        <f ca="1">IF((A1)=(2),"",IF((39)=(J3),IF(IF((INDEX(B1:XFD1,((A2)+(1))+(0)))=("store"),(INDEX(B1:XFD1,((A2)+(1))+(1)))=("J"),"false"),B2,J42),J42))</f>
        <v>#VALUE!</v>
      </c>
      <c r="K42" t="e">
        <f ca="1">IF((A1)=(2),"",IF((39)=(K3),IF(IF((INDEX(B1:XFD1,((A2)+(1))+(0)))=("store"),(INDEX(B1:XFD1,((A2)+(1))+(1)))=("K"),"false"),B2,K42),K42))</f>
        <v>#VALUE!</v>
      </c>
      <c r="L42" t="e">
        <f ca="1">IF((A1)=(2),"",IF((39)=(L3),IF(IF((INDEX(B1:XFD1,((A2)+(1))+(0)))=("store"),(INDEX(B1:XFD1,((A2)+(1))+(1)))=("L"),"false"),B2,L42),L42))</f>
        <v>#VALUE!</v>
      </c>
      <c r="M42" t="e">
        <f ca="1">IF((A1)=(2),"",IF((39)=(M3),IF(IF((INDEX(B1:XFD1,((A2)+(1))+(0)))=("store"),(INDEX(B1:XFD1,((A2)+(1))+(1)))=("M"),"false"),B2,M42),M42))</f>
        <v>#VALUE!</v>
      </c>
      <c r="N42" t="e">
        <f ca="1">IF((A1)=(2),"",IF((39)=(N3),IF(IF((INDEX(B1:XFD1,((A2)+(1))+(0)))=("store"),(INDEX(B1:XFD1,((A2)+(1))+(1)))=("N"),"false"),B2,N42),N42))</f>
        <v>#VALUE!</v>
      </c>
      <c r="O42" t="e">
        <f ca="1">IF((A1)=(2),"",IF((39)=(O3),IF(IF((INDEX(B1:XFD1,((A2)+(1))+(0)))=("store"),(INDEX(B1:XFD1,((A2)+(1))+(1)))=("O"),"false"),B2,O42),O42))</f>
        <v>#VALUE!</v>
      </c>
      <c r="P42" t="e">
        <f ca="1">IF((A1)=(2),"",IF((39)=(P3),IF(IF((INDEX(B1:XFD1,((A2)+(1))+(0)))=("store"),(INDEX(B1:XFD1,((A2)+(1))+(1)))=("P"),"false"),B2,P42),P42))</f>
        <v>#VALUE!</v>
      </c>
      <c r="Q42" t="e">
        <f ca="1">IF((A1)=(2),"",IF((39)=(Q3),IF(IF((INDEX(B1:XFD1,((A2)+(1))+(0)))=("store"),(INDEX(B1:XFD1,((A2)+(1))+(1)))=("Q"),"false"),B2,Q42),Q42))</f>
        <v>#VALUE!</v>
      </c>
      <c r="R42" t="e">
        <f ca="1">IF((A1)=(2),"",IF((39)=(R3),IF(IF((INDEX(B1:XFD1,((A2)+(1))+(0)))=("store"),(INDEX(B1:XFD1,((A2)+(1))+(1)))=("R"),"false"),B2,R42),R42))</f>
        <v>#VALUE!</v>
      </c>
      <c r="S42" t="e">
        <f ca="1">IF((A1)=(2),"",IF((39)=(S3),IF(IF((INDEX(B1:XFD1,((A2)+(1))+(0)))=("store"),(INDEX(B1:XFD1,((A2)+(1))+(1)))=("S"),"false"),B2,S42),S42))</f>
        <v>#VALUE!</v>
      </c>
      <c r="T42" t="e">
        <f ca="1">IF((A1)=(2),"",IF((39)=(T3),IF(IF((INDEX(B1:XFD1,((A2)+(1))+(0)))=("store"),(INDEX(B1:XFD1,((A2)+(1))+(1)))=("T"),"false"),B2,T42),T42))</f>
        <v>#VALUE!</v>
      </c>
      <c r="U42" t="e">
        <f ca="1">IF((A1)=(2),"",IF((39)=(U3),IF(IF((INDEX(B1:XFD1,((A2)+(1))+(0)))=("store"),(INDEX(B1:XFD1,((A2)+(1))+(1)))=("U"),"false"),B2,U42),U42))</f>
        <v>#VALUE!</v>
      </c>
      <c r="V42" t="e">
        <f ca="1">IF((A1)=(2),"",IF((39)=(V3),IF(IF((INDEX(B1:XFD1,((A2)+(1))+(0)))=("store"),(INDEX(B1:XFD1,((A2)+(1))+(1)))=("V"),"false"),B2,V42),V42))</f>
        <v>#VALUE!</v>
      </c>
      <c r="W42" t="e">
        <f ca="1">IF((A1)=(2),"",IF((39)=(W3),IF(IF((INDEX(B1:XFD1,((A2)+(1))+(0)))=("store"),(INDEX(B1:XFD1,((A2)+(1))+(1)))=("W"),"false"),B2,W42),W42))</f>
        <v>#VALUE!</v>
      </c>
      <c r="X42" t="e">
        <f ca="1">IF((A1)=(2),"",IF((39)=(X3),IF(IF((INDEX(B1:XFD1,((A2)+(1))+(0)))=("store"),(INDEX(B1:XFD1,((A2)+(1))+(1)))=("X"),"false"),B2,X42),X42))</f>
        <v>#VALUE!</v>
      </c>
      <c r="Y42" t="e">
        <f ca="1">IF((A1)=(2),"",IF((39)=(Y3),IF(IF((INDEX(B1:XFD1,((A2)+(1))+(0)))=("store"),(INDEX(B1:XFD1,((A2)+(1))+(1)))=("Y"),"false"),B2,Y42),Y42))</f>
        <v>#VALUE!</v>
      </c>
      <c r="Z42" t="e">
        <f ca="1">IF((A1)=(2),"",IF((39)=(Z3),IF(IF((INDEX(B1:XFD1,((A2)+(1))+(0)))=("store"),(INDEX(B1:XFD1,((A2)+(1))+(1)))=("Z"),"false"),B2,Z42),Z42))</f>
        <v>#VALUE!</v>
      </c>
      <c r="AA42" t="e">
        <f ca="1">IF((A1)=(2),"",IF((39)=(AA3),IF(IF((INDEX(B1:XFD1,((A2)+(1))+(0)))=("store"),(INDEX(B1:XFD1,((A2)+(1))+(1)))=("AA"),"false"),B2,AA42),AA42))</f>
        <v>#VALUE!</v>
      </c>
      <c r="AB42" t="e">
        <f ca="1">IF((A1)=(2),"",IF((39)=(AB3),IF(IF((INDEX(B1:XFD1,((A2)+(1))+(0)))=("store"),(INDEX(B1:XFD1,((A2)+(1))+(1)))=("AB"),"false"),B2,AB42),AB42))</f>
        <v>#VALUE!</v>
      </c>
      <c r="AC42" t="e">
        <f ca="1">IF((A1)=(2),"",IF((39)=(AC3),IF(IF((INDEX(B1:XFD1,((A2)+(1))+(0)))=("store"),(INDEX(B1:XFD1,((A2)+(1))+(1)))=("AC"),"false"),B2,AC42),AC42))</f>
        <v>#VALUE!</v>
      </c>
      <c r="AD42" t="e">
        <f ca="1">IF((A1)=(2),"",IF((39)=(AD3),IF(IF((INDEX(B1:XFD1,((A2)+(1))+(0)))=("store"),(INDEX(B1:XFD1,((A2)+(1))+(1)))=("AD"),"false"),B2,AD42),AD42))</f>
        <v>#VALUE!</v>
      </c>
    </row>
    <row r="43" spans="1:30" x14ac:dyDescent="0.25">
      <c r="A43" t="e">
        <f ca="1">IF((A1)=(2),"",IF((40)=(A3),IF(("call")=(INDEX(B1:XFD1,((A2)+(1))+(0))),(B2)*(2),IF(("goto")=(INDEX(B1:XFD1,((A2)+(1))+(0))),(INDEX(B1:XFD1,((A2)+(1))+(1)))*(2),IF(("gotoiftrue")=(INDEX(B1:XFD1,((A2)+(1))+(0))),IF(B2,(INDEX(B1:XFD1,((A2)+(1))+(1)))*(2),(A43)+(2)),(A43)+(2)))),A43))</f>
        <v>#VALUE!</v>
      </c>
      <c r="B43" t="e">
        <f ca="1">IF((A1)=(2),"",IF((40)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43)+(1)),IF(("add")=(INDEX(B1:XFD1,((A2)+(1))+(0))),(INDEX(B4:B404,(B3)+(1)))+(B43),IF(("equals")=(INDEX(B1:XFD1,((A2)+(1))+(0))),(INDEX(B4:B404,(B3)+(1)))=(B43),IF(("leq")=(INDEX(B1:XFD1,((A2)+(1))+(0))),(INDEX(B4:B404,(B3)+(1)))&lt;=(B43),IF(("greater")=(INDEX(B1:XFD1,((A2)+(1))+(0))),(INDEX(B4:B404,(B3)+(1)))&gt;(B43),IF(("mod")=(INDEX(B1:XFD1,((A2)+(1))+(0))),MOD(INDEX(B4:B404,(B3)+(1)),B43),B43))))))))),B43))</f>
        <v>#VALUE!</v>
      </c>
      <c r="C43" t="e">
        <f ca="1">IF((A1)=(2),1,IF(AND((INDEX(B1:XFD1,((A2)+(1))+(0)))=("writeheap"),(INDEX(B4:B404,(B3)+(1)))=(39)),INDEX(B4:B404,(B3)+(2)),IF((A1)=(2),"",IF((40)=(C3),C43,C43))))</f>
        <v>#VALUE!</v>
      </c>
      <c r="E43" t="e">
        <f ca="1">IF((A1)=(2),"",IF((40)=(E3),IF(("outputline")=(INDEX(B1:XFD1,((A2)+(1))+(0))),B2,E43),E43))</f>
        <v>#VALUE!</v>
      </c>
      <c r="F43" t="e">
        <f ca="1">IF((A1)=(2),"",IF((40)=(F3),IF(IF((INDEX(B1:XFD1,((A2)+(1))+(0)))=("store"),(INDEX(B1:XFD1,((A2)+(1))+(1)))=("F"),"false"),B2,F43),F43))</f>
        <v>#VALUE!</v>
      </c>
      <c r="G43" t="e">
        <f ca="1">IF((A1)=(2),"",IF((40)=(G3),IF(IF((INDEX(B1:XFD1,((A2)+(1))+(0)))=("store"),(INDEX(B1:XFD1,((A2)+(1))+(1)))=("G"),"false"),B2,G43),G43))</f>
        <v>#VALUE!</v>
      </c>
      <c r="H43" t="e">
        <f ca="1">IF((A1)=(2),"",IF((40)=(H3),IF(IF((INDEX(B1:XFD1,((A2)+(1))+(0)))=("store"),(INDEX(B1:XFD1,((A2)+(1))+(1)))=("H"),"false"),B2,H43),H43))</f>
        <v>#VALUE!</v>
      </c>
      <c r="I43" t="e">
        <f ca="1">IF((A1)=(2),"",IF((40)=(I3),IF(IF((INDEX(B1:XFD1,((A2)+(1))+(0)))=("store"),(INDEX(B1:XFD1,((A2)+(1))+(1)))=("I"),"false"),B2,I43),I43))</f>
        <v>#VALUE!</v>
      </c>
      <c r="J43" t="e">
        <f ca="1">IF((A1)=(2),"",IF((40)=(J3),IF(IF((INDEX(B1:XFD1,((A2)+(1))+(0)))=("store"),(INDEX(B1:XFD1,((A2)+(1))+(1)))=("J"),"false"),B2,J43),J43))</f>
        <v>#VALUE!</v>
      </c>
      <c r="K43" t="e">
        <f ca="1">IF((A1)=(2),"",IF((40)=(K3),IF(IF((INDEX(B1:XFD1,((A2)+(1))+(0)))=("store"),(INDEX(B1:XFD1,((A2)+(1))+(1)))=("K"),"false"),B2,K43),K43))</f>
        <v>#VALUE!</v>
      </c>
      <c r="L43" t="e">
        <f ca="1">IF((A1)=(2),"",IF((40)=(L3),IF(IF((INDEX(B1:XFD1,((A2)+(1))+(0)))=("store"),(INDEX(B1:XFD1,((A2)+(1))+(1)))=("L"),"false"),B2,L43),L43))</f>
        <v>#VALUE!</v>
      </c>
      <c r="M43" t="e">
        <f ca="1">IF((A1)=(2),"",IF((40)=(M3),IF(IF((INDEX(B1:XFD1,((A2)+(1))+(0)))=("store"),(INDEX(B1:XFD1,((A2)+(1))+(1)))=("M"),"false"),B2,M43),M43))</f>
        <v>#VALUE!</v>
      </c>
      <c r="N43" t="e">
        <f ca="1">IF((A1)=(2),"",IF((40)=(N3),IF(IF((INDEX(B1:XFD1,((A2)+(1))+(0)))=("store"),(INDEX(B1:XFD1,((A2)+(1))+(1)))=("N"),"false"),B2,N43),N43))</f>
        <v>#VALUE!</v>
      </c>
      <c r="O43" t="e">
        <f ca="1">IF((A1)=(2),"",IF((40)=(O3),IF(IF((INDEX(B1:XFD1,((A2)+(1))+(0)))=("store"),(INDEX(B1:XFD1,((A2)+(1))+(1)))=("O"),"false"),B2,O43),O43))</f>
        <v>#VALUE!</v>
      </c>
      <c r="P43" t="e">
        <f ca="1">IF((A1)=(2),"",IF((40)=(P3),IF(IF((INDEX(B1:XFD1,((A2)+(1))+(0)))=("store"),(INDEX(B1:XFD1,((A2)+(1))+(1)))=("P"),"false"),B2,P43),P43))</f>
        <v>#VALUE!</v>
      </c>
      <c r="Q43" t="e">
        <f ca="1">IF((A1)=(2),"",IF((40)=(Q3),IF(IF((INDEX(B1:XFD1,((A2)+(1))+(0)))=("store"),(INDEX(B1:XFD1,((A2)+(1))+(1)))=("Q"),"false"),B2,Q43),Q43))</f>
        <v>#VALUE!</v>
      </c>
      <c r="R43" t="e">
        <f ca="1">IF((A1)=(2),"",IF((40)=(R3),IF(IF((INDEX(B1:XFD1,((A2)+(1))+(0)))=("store"),(INDEX(B1:XFD1,((A2)+(1))+(1)))=("R"),"false"),B2,R43),R43))</f>
        <v>#VALUE!</v>
      </c>
      <c r="S43" t="e">
        <f ca="1">IF((A1)=(2),"",IF((40)=(S3),IF(IF((INDEX(B1:XFD1,((A2)+(1))+(0)))=("store"),(INDEX(B1:XFD1,((A2)+(1))+(1)))=("S"),"false"),B2,S43),S43))</f>
        <v>#VALUE!</v>
      </c>
      <c r="T43" t="e">
        <f ca="1">IF((A1)=(2),"",IF((40)=(T3),IF(IF((INDEX(B1:XFD1,((A2)+(1))+(0)))=("store"),(INDEX(B1:XFD1,((A2)+(1))+(1)))=("T"),"false"),B2,T43),T43))</f>
        <v>#VALUE!</v>
      </c>
      <c r="U43" t="e">
        <f ca="1">IF((A1)=(2),"",IF((40)=(U3),IF(IF((INDEX(B1:XFD1,((A2)+(1))+(0)))=("store"),(INDEX(B1:XFD1,((A2)+(1))+(1)))=("U"),"false"),B2,U43),U43))</f>
        <v>#VALUE!</v>
      </c>
      <c r="V43" t="e">
        <f ca="1">IF((A1)=(2),"",IF((40)=(V3),IF(IF((INDEX(B1:XFD1,((A2)+(1))+(0)))=("store"),(INDEX(B1:XFD1,((A2)+(1))+(1)))=("V"),"false"),B2,V43),V43))</f>
        <v>#VALUE!</v>
      </c>
      <c r="W43" t="e">
        <f ca="1">IF((A1)=(2),"",IF((40)=(W3),IF(IF((INDEX(B1:XFD1,((A2)+(1))+(0)))=("store"),(INDEX(B1:XFD1,((A2)+(1))+(1)))=("W"),"false"),B2,W43),W43))</f>
        <v>#VALUE!</v>
      </c>
      <c r="X43" t="e">
        <f ca="1">IF((A1)=(2),"",IF((40)=(X3),IF(IF((INDEX(B1:XFD1,((A2)+(1))+(0)))=("store"),(INDEX(B1:XFD1,((A2)+(1))+(1)))=("X"),"false"),B2,X43),X43))</f>
        <v>#VALUE!</v>
      </c>
      <c r="Y43" t="e">
        <f ca="1">IF((A1)=(2),"",IF((40)=(Y3),IF(IF((INDEX(B1:XFD1,((A2)+(1))+(0)))=("store"),(INDEX(B1:XFD1,((A2)+(1))+(1)))=("Y"),"false"),B2,Y43),Y43))</f>
        <v>#VALUE!</v>
      </c>
      <c r="Z43" t="e">
        <f ca="1">IF((A1)=(2),"",IF((40)=(Z3),IF(IF((INDEX(B1:XFD1,((A2)+(1))+(0)))=("store"),(INDEX(B1:XFD1,((A2)+(1))+(1)))=("Z"),"false"),B2,Z43),Z43))</f>
        <v>#VALUE!</v>
      </c>
      <c r="AA43" t="e">
        <f ca="1">IF((A1)=(2),"",IF((40)=(AA3),IF(IF((INDEX(B1:XFD1,((A2)+(1))+(0)))=("store"),(INDEX(B1:XFD1,((A2)+(1))+(1)))=("AA"),"false"),B2,AA43),AA43))</f>
        <v>#VALUE!</v>
      </c>
      <c r="AB43" t="e">
        <f ca="1">IF((A1)=(2),"",IF((40)=(AB3),IF(IF((INDEX(B1:XFD1,((A2)+(1))+(0)))=("store"),(INDEX(B1:XFD1,((A2)+(1))+(1)))=("AB"),"false"),B2,AB43),AB43))</f>
        <v>#VALUE!</v>
      </c>
      <c r="AC43" t="e">
        <f ca="1">IF((A1)=(2),"",IF((40)=(AC3),IF(IF((INDEX(B1:XFD1,((A2)+(1))+(0)))=("store"),(INDEX(B1:XFD1,((A2)+(1))+(1)))=("AC"),"false"),B2,AC43),AC43))</f>
        <v>#VALUE!</v>
      </c>
      <c r="AD43" t="e">
        <f ca="1">IF((A1)=(2),"",IF((40)=(AD3),IF(IF((INDEX(B1:XFD1,((A2)+(1))+(0)))=("store"),(INDEX(B1:XFD1,((A2)+(1))+(1)))=("AD"),"false"),B2,AD43),AD43))</f>
        <v>#VALUE!</v>
      </c>
    </row>
    <row r="44" spans="1:30" x14ac:dyDescent="0.25">
      <c r="A44" t="e">
        <f ca="1">IF((A1)=(2),"",IF((41)=(A3),IF(("call")=(INDEX(B1:XFD1,((A2)+(1))+(0))),(B2)*(2),IF(("goto")=(INDEX(B1:XFD1,((A2)+(1))+(0))),(INDEX(B1:XFD1,((A2)+(1))+(1)))*(2),IF(("gotoiftrue")=(INDEX(B1:XFD1,((A2)+(1))+(0))),IF(B2,(INDEX(B1:XFD1,((A2)+(1))+(1)))*(2),(A44)+(2)),(A44)+(2)))),A44))</f>
        <v>#VALUE!</v>
      </c>
      <c r="B44" t="e">
        <f ca="1">IF((A1)=(2),"",IF((41)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44)+(1)),IF(("add")=(INDEX(B1:XFD1,((A2)+(1))+(0))),(INDEX(B4:B404,(B3)+(1)))+(B44),IF(("equals")=(INDEX(B1:XFD1,((A2)+(1))+(0))),(INDEX(B4:B404,(B3)+(1)))=(B44),IF(("leq")=(INDEX(B1:XFD1,((A2)+(1))+(0))),(INDEX(B4:B404,(B3)+(1)))&lt;=(B44),IF(("greater")=(INDEX(B1:XFD1,((A2)+(1))+(0))),(INDEX(B4:B404,(B3)+(1)))&gt;(B44),IF(("mod")=(INDEX(B1:XFD1,((A2)+(1))+(0))),MOD(INDEX(B4:B404,(B3)+(1)),B44),B44))))))))),B44))</f>
        <v>#VALUE!</v>
      </c>
      <c r="C44" t="e">
        <f ca="1">IF((A1)=(2),1,IF(AND((INDEX(B1:XFD1,((A2)+(1))+(0)))=("writeheap"),(INDEX(B4:B404,(B3)+(1)))=(40)),INDEX(B4:B404,(B3)+(2)),IF((A1)=(2),"",IF((41)=(C3),C44,C44))))</f>
        <v>#VALUE!</v>
      </c>
      <c r="E44" t="e">
        <f ca="1">IF((A1)=(2),"",IF((41)=(E3),IF(("outputline")=(INDEX(B1:XFD1,((A2)+(1))+(0))),B2,E44),E44))</f>
        <v>#VALUE!</v>
      </c>
      <c r="F44" t="e">
        <f ca="1">IF((A1)=(2),"",IF((41)=(F3),IF(IF((INDEX(B1:XFD1,((A2)+(1))+(0)))=("store"),(INDEX(B1:XFD1,((A2)+(1))+(1)))=("F"),"false"),B2,F44),F44))</f>
        <v>#VALUE!</v>
      </c>
      <c r="G44" t="e">
        <f ca="1">IF((A1)=(2),"",IF((41)=(G3),IF(IF((INDEX(B1:XFD1,((A2)+(1))+(0)))=("store"),(INDEX(B1:XFD1,((A2)+(1))+(1)))=("G"),"false"),B2,G44),G44))</f>
        <v>#VALUE!</v>
      </c>
      <c r="H44" t="e">
        <f ca="1">IF((A1)=(2),"",IF((41)=(H3),IF(IF((INDEX(B1:XFD1,((A2)+(1))+(0)))=("store"),(INDEX(B1:XFD1,((A2)+(1))+(1)))=("H"),"false"),B2,H44),H44))</f>
        <v>#VALUE!</v>
      </c>
      <c r="I44" t="e">
        <f ca="1">IF((A1)=(2),"",IF((41)=(I3),IF(IF((INDEX(B1:XFD1,((A2)+(1))+(0)))=("store"),(INDEX(B1:XFD1,((A2)+(1))+(1)))=("I"),"false"),B2,I44),I44))</f>
        <v>#VALUE!</v>
      </c>
      <c r="J44" t="e">
        <f ca="1">IF((A1)=(2),"",IF((41)=(J3),IF(IF((INDEX(B1:XFD1,((A2)+(1))+(0)))=("store"),(INDEX(B1:XFD1,((A2)+(1))+(1)))=("J"),"false"),B2,J44),J44))</f>
        <v>#VALUE!</v>
      </c>
      <c r="K44" t="e">
        <f ca="1">IF((A1)=(2),"",IF((41)=(K3),IF(IF((INDEX(B1:XFD1,((A2)+(1))+(0)))=("store"),(INDEX(B1:XFD1,((A2)+(1))+(1)))=("K"),"false"),B2,K44),K44))</f>
        <v>#VALUE!</v>
      </c>
      <c r="L44" t="e">
        <f ca="1">IF((A1)=(2),"",IF((41)=(L3),IF(IF((INDEX(B1:XFD1,((A2)+(1))+(0)))=("store"),(INDEX(B1:XFD1,((A2)+(1))+(1)))=("L"),"false"),B2,L44),L44))</f>
        <v>#VALUE!</v>
      </c>
      <c r="M44" t="e">
        <f ca="1">IF((A1)=(2),"",IF((41)=(M3),IF(IF((INDEX(B1:XFD1,((A2)+(1))+(0)))=("store"),(INDEX(B1:XFD1,((A2)+(1))+(1)))=("M"),"false"),B2,M44),M44))</f>
        <v>#VALUE!</v>
      </c>
      <c r="N44" t="e">
        <f ca="1">IF((A1)=(2),"",IF((41)=(N3),IF(IF((INDEX(B1:XFD1,((A2)+(1))+(0)))=("store"),(INDEX(B1:XFD1,((A2)+(1))+(1)))=("N"),"false"),B2,N44),N44))</f>
        <v>#VALUE!</v>
      </c>
      <c r="O44" t="e">
        <f ca="1">IF((A1)=(2),"",IF((41)=(O3),IF(IF((INDEX(B1:XFD1,((A2)+(1))+(0)))=("store"),(INDEX(B1:XFD1,((A2)+(1))+(1)))=("O"),"false"),B2,O44),O44))</f>
        <v>#VALUE!</v>
      </c>
      <c r="P44" t="e">
        <f ca="1">IF((A1)=(2),"",IF((41)=(P3),IF(IF((INDEX(B1:XFD1,((A2)+(1))+(0)))=("store"),(INDEX(B1:XFD1,((A2)+(1))+(1)))=("P"),"false"),B2,P44),P44))</f>
        <v>#VALUE!</v>
      </c>
      <c r="Q44" t="e">
        <f ca="1">IF((A1)=(2),"",IF((41)=(Q3),IF(IF((INDEX(B1:XFD1,((A2)+(1))+(0)))=("store"),(INDEX(B1:XFD1,((A2)+(1))+(1)))=("Q"),"false"),B2,Q44),Q44))</f>
        <v>#VALUE!</v>
      </c>
      <c r="R44" t="e">
        <f ca="1">IF((A1)=(2),"",IF((41)=(R3),IF(IF((INDEX(B1:XFD1,((A2)+(1))+(0)))=("store"),(INDEX(B1:XFD1,((A2)+(1))+(1)))=("R"),"false"),B2,R44),R44))</f>
        <v>#VALUE!</v>
      </c>
      <c r="S44" t="e">
        <f ca="1">IF((A1)=(2),"",IF((41)=(S3),IF(IF((INDEX(B1:XFD1,((A2)+(1))+(0)))=("store"),(INDEX(B1:XFD1,((A2)+(1))+(1)))=("S"),"false"),B2,S44),S44))</f>
        <v>#VALUE!</v>
      </c>
      <c r="T44" t="e">
        <f ca="1">IF((A1)=(2),"",IF((41)=(T3),IF(IF((INDEX(B1:XFD1,((A2)+(1))+(0)))=("store"),(INDEX(B1:XFD1,((A2)+(1))+(1)))=("T"),"false"),B2,T44),T44))</f>
        <v>#VALUE!</v>
      </c>
      <c r="U44" t="e">
        <f ca="1">IF((A1)=(2),"",IF((41)=(U3),IF(IF((INDEX(B1:XFD1,((A2)+(1))+(0)))=("store"),(INDEX(B1:XFD1,((A2)+(1))+(1)))=("U"),"false"),B2,U44),U44))</f>
        <v>#VALUE!</v>
      </c>
      <c r="V44" t="e">
        <f ca="1">IF((A1)=(2),"",IF((41)=(V3),IF(IF((INDEX(B1:XFD1,((A2)+(1))+(0)))=("store"),(INDEX(B1:XFD1,((A2)+(1))+(1)))=("V"),"false"),B2,V44),V44))</f>
        <v>#VALUE!</v>
      </c>
      <c r="W44" t="e">
        <f ca="1">IF((A1)=(2),"",IF((41)=(W3),IF(IF((INDEX(B1:XFD1,((A2)+(1))+(0)))=("store"),(INDEX(B1:XFD1,((A2)+(1))+(1)))=("W"),"false"),B2,W44),W44))</f>
        <v>#VALUE!</v>
      </c>
      <c r="X44" t="e">
        <f ca="1">IF((A1)=(2),"",IF((41)=(X3),IF(IF((INDEX(B1:XFD1,((A2)+(1))+(0)))=("store"),(INDEX(B1:XFD1,((A2)+(1))+(1)))=("X"),"false"),B2,X44),X44))</f>
        <v>#VALUE!</v>
      </c>
      <c r="Y44" t="e">
        <f ca="1">IF((A1)=(2),"",IF((41)=(Y3),IF(IF((INDEX(B1:XFD1,((A2)+(1))+(0)))=("store"),(INDEX(B1:XFD1,((A2)+(1))+(1)))=("Y"),"false"),B2,Y44),Y44))</f>
        <v>#VALUE!</v>
      </c>
      <c r="Z44" t="e">
        <f ca="1">IF((A1)=(2),"",IF((41)=(Z3),IF(IF((INDEX(B1:XFD1,((A2)+(1))+(0)))=("store"),(INDEX(B1:XFD1,((A2)+(1))+(1)))=("Z"),"false"),B2,Z44),Z44))</f>
        <v>#VALUE!</v>
      </c>
      <c r="AA44" t="e">
        <f ca="1">IF((A1)=(2),"",IF((41)=(AA3),IF(IF((INDEX(B1:XFD1,((A2)+(1))+(0)))=("store"),(INDEX(B1:XFD1,((A2)+(1))+(1)))=("AA"),"false"),B2,AA44),AA44))</f>
        <v>#VALUE!</v>
      </c>
      <c r="AB44" t="e">
        <f ca="1">IF((A1)=(2),"",IF((41)=(AB3),IF(IF((INDEX(B1:XFD1,((A2)+(1))+(0)))=("store"),(INDEX(B1:XFD1,((A2)+(1))+(1)))=("AB"),"false"),B2,AB44),AB44))</f>
        <v>#VALUE!</v>
      </c>
      <c r="AC44" t="e">
        <f ca="1">IF((A1)=(2),"",IF((41)=(AC3),IF(IF((INDEX(B1:XFD1,((A2)+(1))+(0)))=("store"),(INDEX(B1:XFD1,((A2)+(1))+(1)))=("AC"),"false"),B2,AC44),AC44))</f>
        <v>#VALUE!</v>
      </c>
      <c r="AD44" t="e">
        <f ca="1">IF((A1)=(2),"",IF((41)=(AD3),IF(IF((INDEX(B1:XFD1,((A2)+(1))+(0)))=("store"),(INDEX(B1:XFD1,((A2)+(1))+(1)))=("AD"),"false"),B2,AD44),AD44))</f>
        <v>#VALUE!</v>
      </c>
    </row>
    <row r="45" spans="1:30" x14ac:dyDescent="0.25">
      <c r="A45" t="e">
        <f ca="1">IF((A1)=(2),"",IF((42)=(A3),IF(("call")=(INDEX(B1:XFD1,((A2)+(1))+(0))),(B2)*(2),IF(("goto")=(INDEX(B1:XFD1,((A2)+(1))+(0))),(INDEX(B1:XFD1,((A2)+(1))+(1)))*(2),IF(("gotoiftrue")=(INDEX(B1:XFD1,((A2)+(1))+(0))),IF(B2,(INDEX(B1:XFD1,((A2)+(1))+(1)))*(2),(A45)+(2)),(A45)+(2)))),A45))</f>
        <v>#VALUE!</v>
      </c>
      <c r="B45" t="e">
        <f ca="1">IF((A1)=(2),"",IF((42)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45)+(1)),IF(("add")=(INDEX(B1:XFD1,((A2)+(1))+(0))),(INDEX(B4:B404,(B3)+(1)))+(B45),IF(("equals")=(INDEX(B1:XFD1,((A2)+(1))+(0))),(INDEX(B4:B404,(B3)+(1)))=(B45),IF(("leq")=(INDEX(B1:XFD1,((A2)+(1))+(0))),(INDEX(B4:B404,(B3)+(1)))&lt;=(B45),IF(("greater")=(INDEX(B1:XFD1,((A2)+(1))+(0))),(INDEX(B4:B404,(B3)+(1)))&gt;(B45),IF(("mod")=(INDEX(B1:XFD1,((A2)+(1))+(0))),MOD(INDEX(B4:B404,(B3)+(1)),B45),B45))))))))),B45))</f>
        <v>#VALUE!</v>
      </c>
      <c r="C45" t="e">
        <f ca="1">IF((A1)=(2),1,IF(AND((INDEX(B1:XFD1,((A2)+(1))+(0)))=("writeheap"),(INDEX(B4:B404,(B3)+(1)))=(41)),INDEX(B4:B404,(B3)+(2)),IF((A1)=(2),"",IF((42)=(C3),C45,C45))))</f>
        <v>#VALUE!</v>
      </c>
      <c r="E45" t="e">
        <f ca="1">IF((A1)=(2),"",IF((42)=(E3),IF(("outputline")=(INDEX(B1:XFD1,((A2)+(1))+(0))),B2,E45),E45))</f>
        <v>#VALUE!</v>
      </c>
      <c r="F45" t="e">
        <f ca="1">IF((A1)=(2),"",IF((42)=(F3),IF(IF((INDEX(B1:XFD1,((A2)+(1))+(0)))=("store"),(INDEX(B1:XFD1,((A2)+(1))+(1)))=("F"),"false"),B2,F45),F45))</f>
        <v>#VALUE!</v>
      </c>
      <c r="G45" t="e">
        <f ca="1">IF((A1)=(2),"",IF((42)=(G3),IF(IF((INDEX(B1:XFD1,((A2)+(1))+(0)))=("store"),(INDEX(B1:XFD1,((A2)+(1))+(1)))=("G"),"false"),B2,G45),G45))</f>
        <v>#VALUE!</v>
      </c>
      <c r="H45" t="e">
        <f ca="1">IF((A1)=(2),"",IF((42)=(H3),IF(IF((INDEX(B1:XFD1,((A2)+(1))+(0)))=("store"),(INDEX(B1:XFD1,((A2)+(1))+(1)))=("H"),"false"),B2,H45),H45))</f>
        <v>#VALUE!</v>
      </c>
      <c r="I45" t="e">
        <f ca="1">IF((A1)=(2),"",IF((42)=(I3),IF(IF((INDEX(B1:XFD1,((A2)+(1))+(0)))=("store"),(INDEX(B1:XFD1,((A2)+(1))+(1)))=("I"),"false"),B2,I45),I45))</f>
        <v>#VALUE!</v>
      </c>
      <c r="J45" t="e">
        <f ca="1">IF((A1)=(2),"",IF((42)=(J3),IF(IF((INDEX(B1:XFD1,((A2)+(1))+(0)))=("store"),(INDEX(B1:XFD1,((A2)+(1))+(1)))=("J"),"false"),B2,J45),J45))</f>
        <v>#VALUE!</v>
      </c>
      <c r="K45" t="e">
        <f ca="1">IF((A1)=(2),"",IF((42)=(K3),IF(IF((INDEX(B1:XFD1,((A2)+(1))+(0)))=("store"),(INDEX(B1:XFD1,((A2)+(1))+(1)))=("K"),"false"),B2,K45),K45))</f>
        <v>#VALUE!</v>
      </c>
      <c r="L45" t="e">
        <f ca="1">IF((A1)=(2),"",IF((42)=(L3),IF(IF((INDEX(B1:XFD1,((A2)+(1))+(0)))=("store"),(INDEX(B1:XFD1,((A2)+(1))+(1)))=("L"),"false"),B2,L45),L45))</f>
        <v>#VALUE!</v>
      </c>
      <c r="M45" t="e">
        <f ca="1">IF((A1)=(2),"",IF((42)=(M3),IF(IF((INDEX(B1:XFD1,((A2)+(1))+(0)))=("store"),(INDEX(B1:XFD1,((A2)+(1))+(1)))=("M"),"false"),B2,M45),M45))</f>
        <v>#VALUE!</v>
      </c>
      <c r="N45" t="e">
        <f ca="1">IF((A1)=(2),"",IF((42)=(N3),IF(IF((INDEX(B1:XFD1,((A2)+(1))+(0)))=("store"),(INDEX(B1:XFD1,((A2)+(1))+(1)))=("N"),"false"),B2,N45),N45))</f>
        <v>#VALUE!</v>
      </c>
      <c r="O45" t="e">
        <f ca="1">IF((A1)=(2),"",IF((42)=(O3),IF(IF((INDEX(B1:XFD1,((A2)+(1))+(0)))=("store"),(INDEX(B1:XFD1,((A2)+(1))+(1)))=("O"),"false"),B2,O45),O45))</f>
        <v>#VALUE!</v>
      </c>
      <c r="P45" t="e">
        <f ca="1">IF((A1)=(2),"",IF((42)=(P3),IF(IF((INDEX(B1:XFD1,((A2)+(1))+(0)))=("store"),(INDEX(B1:XFD1,((A2)+(1))+(1)))=("P"),"false"),B2,P45),P45))</f>
        <v>#VALUE!</v>
      </c>
      <c r="Q45" t="e">
        <f ca="1">IF((A1)=(2),"",IF((42)=(Q3),IF(IF((INDEX(B1:XFD1,((A2)+(1))+(0)))=("store"),(INDEX(B1:XFD1,((A2)+(1))+(1)))=("Q"),"false"),B2,Q45),Q45))</f>
        <v>#VALUE!</v>
      </c>
      <c r="R45" t="e">
        <f ca="1">IF((A1)=(2),"",IF((42)=(R3),IF(IF((INDEX(B1:XFD1,((A2)+(1))+(0)))=("store"),(INDEX(B1:XFD1,((A2)+(1))+(1)))=("R"),"false"),B2,R45),R45))</f>
        <v>#VALUE!</v>
      </c>
      <c r="S45" t="e">
        <f ca="1">IF((A1)=(2),"",IF((42)=(S3),IF(IF((INDEX(B1:XFD1,((A2)+(1))+(0)))=("store"),(INDEX(B1:XFD1,((A2)+(1))+(1)))=("S"),"false"),B2,S45),S45))</f>
        <v>#VALUE!</v>
      </c>
      <c r="T45" t="e">
        <f ca="1">IF((A1)=(2),"",IF((42)=(T3),IF(IF((INDEX(B1:XFD1,((A2)+(1))+(0)))=("store"),(INDEX(B1:XFD1,((A2)+(1))+(1)))=("T"),"false"),B2,T45),T45))</f>
        <v>#VALUE!</v>
      </c>
      <c r="U45" t="e">
        <f ca="1">IF((A1)=(2),"",IF((42)=(U3),IF(IF((INDEX(B1:XFD1,((A2)+(1))+(0)))=("store"),(INDEX(B1:XFD1,((A2)+(1))+(1)))=("U"),"false"),B2,U45),U45))</f>
        <v>#VALUE!</v>
      </c>
      <c r="V45" t="e">
        <f ca="1">IF((A1)=(2),"",IF((42)=(V3),IF(IF((INDEX(B1:XFD1,((A2)+(1))+(0)))=("store"),(INDEX(B1:XFD1,((A2)+(1))+(1)))=("V"),"false"),B2,V45),V45))</f>
        <v>#VALUE!</v>
      </c>
      <c r="W45" t="e">
        <f ca="1">IF((A1)=(2),"",IF((42)=(W3),IF(IF((INDEX(B1:XFD1,((A2)+(1))+(0)))=("store"),(INDEX(B1:XFD1,((A2)+(1))+(1)))=("W"),"false"),B2,W45),W45))</f>
        <v>#VALUE!</v>
      </c>
      <c r="X45" t="e">
        <f ca="1">IF((A1)=(2),"",IF((42)=(X3),IF(IF((INDEX(B1:XFD1,((A2)+(1))+(0)))=("store"),(INDEX(B1:XFD1,((A2)+(1))+(1)))=("X"),"false"),B2,X45),X45))</f>
        <v>#VALUE!</v>
      </c>
      <c r="Y45" t="e">
        <f ca="1">IF((A1)=(2),"",IF((42)=(Y3),IF(IF((INDEX(B1:XFD1,((A2)+(1))+(0)))=("store"),(INDEX(B1:XFD1,((A2)+(1))+(1)))=("Y"),"false"),B2,Y45),Y45))</f>
        <v>#VALUE!</v>
      </c>
      <c r="Z45" t="e">
        <f ca="1">IF((A1)=(2),"",IF((42)=(Z3),IF(IF((INDEX(B1:XFD1,((A2)+(1))+(0)))=("store"),(INDEX(B1:XFD1,((A2)+(1))+(1)))=("Z"),"false"),B2,Z45),Z45))</f>
        <v>#VALUE!</v>
      </c>
      <c r="AA45" t="e">
        <f ca="1">IF((A1)=(2),"",IF((42)=(AA3),IF(IF((INDEX(B1:XFD1,((A2)+(1))+(0)))=("store"),(INDEX(B1:XFD1,((A2)+(1))+(1)))=("AA"),"false"),B2,AA45),AA45))</f>
        <v>#VALUE!</v>
      </c>
      <c r="AB45" t="e">
        <f ca="1">IF((A1)=(2),"",IF((42)=(AB3),IF(IF((INDEX(B1:XFD1,((A2)+(1))+(0)))=("store"),(INDEX(B1:XFD1,((A2)+(1))+(1)))=("AB"),"false"),B2,AB45),AB45))</f>
        <v>#VALUE!</v>
      </c>
      <c r="AC45" t="e">
        <f ca="1">IF((A1)=(2),"",IF((42)=(AC3),IF(IF((INDEX(B1:XFD1,((A2)+(1))+(0)))=("store"),(INDEX(B1:XFD1,((A2)+(1))+(1)))=("AC"),"false"),B2,AC45),AC45))</f>
        <v>#VALUE!</v>
      </c>
      <c r="AD45" t="e">
        <f ca="1">IF((A1)=(2),"",IF((42)=(AD3),IF(IF((INDEX(B1:XFD1,((A2)+(1))+(0)))=("store"),(INDEX(B1:XFD1,((A2)+(1))+(1)))=("AD"),"false"),B2,AD45),AD45))</f>
        <v>#VALUE!</v>
      </c>
    </row>
    <row r="46" spans="1:30" x14ac:dyDescent="0.25">
      <c r="A46" t="e">
        <f ca="1">IF((A1)=(2),"",IF((43)=(A3),IF(("call")=(INDEX(B1:XFD1,((A2)+(1))+(0))),(B2)*(2),IF(("goto")=(INDEX(B1:XFD1,((A2)+(1))+(0))),(INDEX(B1:XFD1,((A2)+(1))+(1)))*(2),IF(("gotoiftrue")=(INDEX(B1:XFD1,((A2)+(1))+(0))),IF(B2,(INDEX(B1:XFD1,((A2)+(1))+(1)))*(2),(A46)+(2)),(A46)+(2)))),A46))</f>
        <v>#VALUE!</v>
      </c>
      <c r="B46" t="e">
        <f ca="1">IF((A1)=(2),"",IF((43)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46)+(1)),IF(("add")=(INDEX(B1:XFD1,((A2)+(1))+(0))),(INDEX(B4:B404,(B3)+(1)))+(B46),IF(("equals")=(INDEX(B1:XFD1,((A2)+(1))+(0))),(INDEX(B4:B404,(B3)+(1)))=(B46),IF(("leq")=(INDEX(B1:XFD1,((A2)+(1))+(0))),(INDEX(B4:B404,(B3)+(1)))&lt;=(B46),IF(("greater")=(INDEX(B1:XFD1,((A2)+(1))+(0))),(INDEX(B4:B404,(B3)+(1)))&gt;(B46),IF(("mod")=(INDEX(B1:XFD1,((A2)+(1))+(0))),MOD(INDEX(B4:B404,(B3)+(1)),B46),B46))))))))),B46))</f>
        <v>#VALUE!</v>
      </c>
      <c r="C46" t="e">
        <f ca="1">IF((A1)=(2),1,IF(AND((INDEX(B1:XFD1,((A2)+(1))+(0)))=("writeheap"),(INDEX(B4:B404,(B3)+(1)))=(42)),INDEX(B4:B404,(B3)+(2)),IF((A1)=(2),"",IF((43)=(C3),C46,C46))))</f>
        <v>#VALUE!</v>
      </c>
      <c r="E46" t="e">
        <f ca="1">IF((A1)=(2),"",IF((43)=(E3),IF(("outputline")=(INDEX(B1:XFD1,((A2)+(1))+(0))),B2,E46),E46))</f>
        <v>#VALUE!</v>
      </c>
      <c r="F46" t="e">
        <f ca="1">IF((A1)=(2),"",IF((43)=(F3),IF(IF((INDEX(B1:XFD1,((A2)+(1))+(0)))=("store"),(INDEX(B1:XFD1,((A2)+(1))+(1)))=("F"),"false"),B2,F46),F46))</f>
        <v>#VALUE!</v>
      </c>
      <c r="G46" t="e">
        <f ca="1">IF((A1)=(2),"",IF((43)=(G3),IF(IF((INDEX(B1:XFD1,((A2)+(1))+(0)))=("store"),(INDEX(B1:XFD1,((A2)+(1))+(1)))=("G"),"false"),B2,G46),G46))</f>
        <v>#VALUE!</v>
      </c>
      <c r="H46" t="e">
        <f ca="1">IF((A1)=(2),"",IF((43)=(H3),IF(IF((INDEX(B1:XFD1,((A2)+(1))+(0)))=("store"),(INDEX(B1:XFD1,((A2)+(1))+(1)))=("H"),"false"),B2,H46),H46))</f>
        <v>#VALUE!</v>
      </c>
      <c r="I46" t="e">
        <f ca="1">IF((A1)=(2),"",IF((43)=(I3),IF(IF((INDEX(B1:XFD1,((A2)+(1))+(0)))=("store"),(INDEX(B1:XFD1,((A2)+(1))+(1)))=("I"),"false"),B2,I46),I46))</f>
        <v>#VALUE!</v>
      </c>
      <c r="J46" t="e">
        <f ca="1">IF((A1)=(2),"",IF((43)=(J3),IF(IF((INDEX(B1:XFD1,((A2)+(1))+(0)))=("store"),(INDEX(B1:XFD1,((A2)+(1))+(1)))=("J"),"false"),B2,J46),J46))</f>
        <v>#VALUE!</v>
      </c>
      <c r="K46" t="e">
        <f ca="1">IF((A1)=(2),"",IF((43)=(K3),IF(IF((INDEX(B1:XFD1,((A2)+(1))+(0)))=("store"),(INDEX(B1:XFD1,((A2)+(1))+(1)))=("K"),"false"),B2,K46),K46))</f>
        <v>#VALUE!</v>
      </c>
      <c r="L46" t="e">
        <f ca="1">IF((A1)=(2),"",IF((43)=(L3),IF(IF((INDEX(B1:XFD1,((A2)+(1))+(0)))=("store"),(INDEX(B1:XFD1,((A2)+(1))+(1)))=("L"),"false"),B2,L46),L46))</f>
        <v>#VALUE!</v>
      </c>
      <c r="M46" t="e">
        <f ca="1">IF((A1)=(2),"",IF((43)=(M3),IF(IF((INDEX(B1:XFD1,((A2)+(1))+(0)))=("store"),(INDEX(B1:XFD1,((A2)+(1))+(1)))=("M"),"false"),B2,M46),M46))</f>
        <v>#VALUE!</v>
      </c>
      <c r="N46" t="e">
        <f ca="1">IF((A1)=(2),"",IF((43)=(N3),IF(IF((INDEX(B1:XFD1,((A2)+(1))+(0)))=("store"),(INDEX(B1:XFD1,((A2)+(1))+(1)))=("N"),"false"),B2,N46),N46))</f>
        <v>#VALUE!</v>
      </c>
      <c r="O46" t="e">
        <f ca="1">IF((A1)=(2),"",IF((43)=(O3),IF(IF((INDEX(B1:XFD1,((A2)+(1))+(0)))=("store"),(INDEX(B1:XFD1,((A2)+(1))+(1)))=("O"),"false"),B2,O46),O46))</f>
        <v>#VALUE!</v>
      </c>
      <c r="P46" t="e">
        <f ca="1">IF((A1)=(2),"",IF((43)=(P3),IF(IF((INDEX(B1:XFD1,((A2)+(1))+(0)))=("store"),(INDEX(B1:XFD1,((A2)+(1))+(1)))=("P"),"false"),B2,P46),P46))</f>
        <v>#VALUE!</v>
      </c>
      <c r="Q46" t="e">
        <f ca="1">IF((A1)=(2),"",IF((43)=(Q3),IF(IF((INDEX(B1:XFD1,((A2)+(1))+(0)))=("store"),(INDEX(B1:XFD1,((A2)+(1))+(1)))=("Q"),"false"),B2,Q46),Q46))</f>
        <v>#VALUE!</v>
      </c>
      <c r="R46" t="e">
        <f ca="1">IF((A1)=(2),"",IF((43)=(R3),IF(IF((INDEX(B1:XFD1,((A2)+(1))+(0)))=("store"),(INDEX(B1:XFD1,((A2)+(1))+(1)))=("R"),"false"),B2,R46),R46))</f>
        <v>#VALUE!</v>
      </c>
      <c r="S46" t="e">
        <f ca="1">IF((A1)=(2),"",IF((43)=(S3),IF(IF((INDEX(B1:XFD1,((A2)+(1))+(0)))=("store"),(INDEX(B1:XFD1,((A2)+(1))+(1)))=("S"),"false"),B2,S46),S46))</f>
        <v>#VALUE!</v>
      </c>
      <c r="T46" t="e">
        <f ca="1">IF((A1)=(2),"",IF((43)=(T3),IF(IF((INDEX(B1:XFD1,((A2)+(1))+(0)))=("store"),(INDEX(B1:XFD1,((A2)+(1))+(1)))=("T"),"false"),B2,T46),T46))</f>
        <v>#VALUE!</v>
      </c>
      <c r="U46" t="e">
        <f ca="1">IF((A1)=(2),"",IF((43)=(U3),IF(IF((INDEX(B1:XFD1,((A2)+(1))+(0)))=("store"),(INDEX(B1:XFD1,((A2)+(1))+(1)))=("U"),"false"),B2,U46),U46))</f>
        <v>#VALUE!</v>
      </c>
      <c r="V46" t="e">
        <f ca="1">IF((A1)=(2),"",IF((43)=(V3),IF(IF((INDEX(B1:XFD1,((A2)+(1))+(0)))=("store"),(INDEX(B1:XFD1,((A2)+(1))+(1)))=("V"),"false"),B2,V46),V46))</f>
        <v>#VALUE!</v>
      </c>
      <c r="W46" t="e">
        <f ca="1">IF((A1)=(2),"",IF((43)=(W3),IF(IF((INDEX(B1:XFD1,((A2)+(1))+(0)))=("store"),(INDEX(B1:XFD1,((A2)+(1))+(1)))=("W"),"false"),B2,W46),W46))</f>
        <v>#VALUE!</v>
      </c>
      <c r="X46" t="e">
        <f ca="1">IF((A1)=(2),"",IF((43)=(X3),IF(IF((INDEX(B1:XFD1,((A2)+(1))+(0)))=("store"),(INDEX(B1:XFD1,((A2)+(1))+(1)))=("X"),"false"),B2,X46),X46))</f>
        <v>#VALUE!</v>
      </c>
      <c r="Y46" t="e">
        <f ca="1">IF((A1)=(2),"",IF((43)=(Y3),IF(IF((INDEX(B1:XFD1,((A2)+(1))+(0)))=("store"),(INDEX(B1:XFD1,((A2)+(1))+(1)))=("Y"),"false"),B2,Y46),Y46))</f>
        <v>#VALUE!</v>
      </c>
      <c r="Z46" t="e">
        <f ca="1">IF((A1)=(2),"",IF((43)=(Z3),IF(IF((INDEX(B1:XFD1,((A2)+(1))+(0)))=("store"),(INDEX(B1:XFD1,((A2)+(1))+(1)))=("Z"),"false"),B2,Z46),Z46))</f>
        <v>#VALUE!</v>
      </c>
      <c r="AA46" t="e">
        <f ca="1">IF((A1)=(2),"",IF((43)=(AA3),IF(IF((INDEX(B1:XFD1,((A2)+(1))+(0)))=("store"),(INDEX(B1:XFD1,((A2)+(1))+(1)))=("AA"),"false"),B2,AA46),AA46))</f>
        <v>#VALUE!</v>
      </c>
      <c r="AB46" t="e">
        <f ca="1">IF((A1)=(2),"",IF((43)=(AB3),IF(IF((INDEX(B1:XFD1,((A2)+(1))+(0)))=("store"),(INDEX(B1:XFD1,((A2)+(1))+(1)))=("AB"),"false"),B2,AB46),AB46))</f>
        <v>#VALUE!</v>
      </c>
      <c r="AC46" t="e">
        <f ca="1">IF((A1)=(2),"",IF((43)=(AC3),IF(IF((INDEX(B1:XFD1,((A2)+(1))+(0)))=("store"),(INDEX(B1:XFD1,((A2)+(1))+(1)))=("AC"),"false"),B2,AC46),AC46))</f>
        <v>#VALUE!</v>
      </c>
      <c r="AD46" t="e">
        <f ca="1">IF((A1)=(2),"",IF((43)=(AD3),IF(IF((INDEX(B1:XFD1,((A2)+(1))+(0)))=("store"),(INDEX(B1:XFD1,((A2)+(1))+(1)))=("AD"),"false"),B2,AD46),AD46))</f>
        <v>#VALUE!</v>
      </c>
    </row>
    <row r="47" spans="1:30" x14ac:dyDescent="0.25">
      <c r="A47" t="e">
        <f ca="1">IF((A1)=(2),"",IF((44)=(A3),IF(("call")=(INDEX(B1:XFD1,((A2)+(1))+(0))),(B2)*(2),IF(("goto")=(INDEX(B1:XFD1,((A2)+(1))+(0))),(INDEX(B1:XFD1,((A2)+(1))+(1)))*(2),IF(("gotoiftrue")=(INDEX(B1:XFD1,((A2)+(1))+(0))),IF(B2,(INDEX(B1:XFD1,((A2)+(1))+(1)))*(2),(A47)+(2)),(A47)+(2)))),A47))</f>
        <v>#VALUE!</v>
      </c>
      <c r="B47" t="e">
        <f ca="1">IF((A1)=(2),"",IF((44)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47)+(1)),IF(("add")=(INDEX(B1:XFD1,((A2)+(1))+(0))),(INDEX(B4:B404,(B3)+(1)))+(B47),IF(("equals")=(INDEX(B1:XFD1,((A2)+(1))+(0))),(INDEX(B4:B404,(B3)+(1)))=(B47),IF(("leq")=(INDEX(B1:XFD1,((A2)+(1))+(0))),(INDEX(B4:B404,(B3)+(1)))&lt;=(B47),IF(("greater")=(INDEX(B1:XFD1,((A2)+(1))+(0))),(INDEX(B4:B404,(B3)+(1)))&gt;(B47),IF(("mod")=(INDEX(B1:XFD1,((A2)+(1))+(0))),MOD(INDEX(B4:B404,(B3)+(1)),B47),B47))))))))),B47))</f>
        <v>#VALUE!</v>
      </c>
      <c r="C47" t="e">
        <f ca="1">IF((A1)=(2),1,IF(AND((INDEX(B1:XFD1,((A2)+(1))+(0)))=("writeheap"),(INDEX(B4:B404,(B3)+(1)))=(43)),INDEX(B4:B404,(B3)+(2)),IF((A1)=(2),"",IF((44)=(C3),C47,C47))))</f>
        <v>#VALUE!</v>
      </c>
      <c r="E47" t="e">
        <f ca="1">IF((A1)=(2),"",IF((44)=(E3),IF(("outputline")=(INDEX(B1:XFD1,((A2)+(1))+(0))),B2,E47),E47))</f>
        <v>#VALUE!</v>
      </c>
      <c r="F47" t="e">
        <f ca="1">IF((A1)=(2),"",IF((44)=(F3),IF(IF((INDEX(B1:XFD1,((A2)+(1))+(0)))=("store"),(INDEX(B1:XFD1,((A2)+(1))+(1)))=("F"),"false"),B2,F47),F47))</f>
        <v>#VALUE!</v>
      </c>
      <c r="G47" t="e">
        <f ca="1">IF((A1)=(2),"",IF((44)=(G3),IF(IF((INDEX(B1:XFD1,((A2)+(1))+(0)))=("store"),(INDEX(B1:XFD1,((A2)+(1))+(1)))=("G"),"false"),B2,G47),G47))</f>
        <v>#VALUE!</v>
      </c>
      <c r="H47" t="e">
        <f ca="1">IF((A1)=(2),"",IF((44)=(H3),IF(IF((INDEX(B1:XFD1,((A2)+(1))+(0)))=("store"),(INDEX(B1:XFD1,((A2)+(1))+(1)))=("H"),"false"),B2,H47),H47))</f>
        <v>#VALUE!</v>
      </c>
      <c r="I47" t="e">
        <f ca="1">IF((A1)=(2),"",IF((44)=(I3),IF(IF((INDEX(B1:XFD1,((A2)+(1))+(0)))=("store"),(INDEX(B1:XFD1,((A2)+(1))+(1)))=("I"),"false"),B2,I47),I47))</f>
        <v>#VALUE!</v>
      </c>
      <c r="J47" t="e">
        <f ca="1">IF((A1)=(2),"",IF((44)=(J3),IF(IF((INDEX(B1:XFD1,((A2)+(1))+(0)))=("store"),(INDEX(B1:XFD1,((A2)+(1))+(1)))=("J"),"false"),B2,J47),J47))</f>
        <v>#VALUE!</v>
      </c>
      <c r="K47" t="e">
        <f ca="1">IF((A1)=(2),"",IF((44)=(K3),IF(IF((INDEX(B1:XFD1,((A2)+(1))+(0)))=("store"),(INDEX(B1:XFD1,((A2)+(1))+(1)))=("K"),"false"),B2,K47),K47))</f>
        <v>#VALUE!</v>
      </c>
      <c r="L47" t="e">
        <f ca="1">IF((A1)=(2),"",IF((44)=(L3),IF(IF((INDEX(B1:XFD1,((A2)+(1))+(0)))=("store"),(INDEX(B1:XFD1,((A2)+(1))+(1)))=("L"),"false"),B2,L47),L47))</f>
        <v>#VALUE!</v>
      </c>
      <c r="M47" t="e">
        <f ca="1">IF((A1)=(2),"",IF((44)=(M3),IF(IF((INDEX(B1:XFD1,((A2)+(1))+(0)))=("store"),(INDEX(B1:XFD1,((A2)+(1))+(1)))=("M"),"false"),B2,M47),M47))</f>
        <v>#VALUE!</v>
      </c>
      <c r="N47" t="e">
        <f ca="1">IF((A1)=(2),"",IF((44)=(N3),IF(IF((INDEX(B1:XFD1,((A2)+(1))+(0)))=("store"),(INDEX(B1:XFD1,((A2)+(1))+(1)))=("N"),"false"),B2,N47),N47))</f>
        <v>#VALUE!</v>
      </c>
      <c r="O47" t="e">
        <f ca="1">IF((A1)=(2),"",IF((44)=(O3),IF(IF((INDEX(B1:XFD1,((A2)+(1))+(0)))=("store"),(INDEX(B1:XFD1,((A2)+(1))+(1)))=("O"),"false"),B2,O47),O47))</f>
        <v>#VALUE!</v>
      </c>
      <c r="P47" t="e">
        <f ca="1">IF((A1)=(2),"",IF((44)=(P3),IF(IF((INDEX(B1:XFD1,((A2)+(1))+(0)))=("store"),(INDEX(B1:XFD1,((A2)+(1))+(1)))=("P"),"false"),B2,P47),P47))</f>
        <v>#VALUE!</v>
      </c>
      <c r="Q47" t="e">
        <f ca="1">IF((A1)=(2),"",IF((44)=(Q3),IF(IF((INDEX(B1:XFD1,((A2)+(1))+(0)))=("store"),(INDEX(B1:XFD1,((A2)+(1))+(1)))=("Q"),"false"),B2,Q47),Q47))</f>
        <v>#VALUE!</v>
      </c>
      <c r="R47" t="e">
        <f ca="1">IF((A1)=(2),"",IF((44)=(R3),IF(IF((INDEX(B1:XFD1,((A2)+(1))+(0)))=("store"),(INDEX(B1:XFD1,((A2)+(1))+(1)))=("R"),"false"),B2,R47),R47))</f>
        <v>#VALUE!</v>
      </c>
      <c r="S47" t="e">
        <f ca="1">IF((A1)=(2),"",IF((44)=(S3),IF(IF((INDEX(B1:XFD1,((A2)+(1))+(0)))=("store"),(INDEX(B1:XFD1,((A2)+(1))+(1)))=("S"),"false"),B2,S47),S47))</f>
        <v>#VALUE!</v>
      </c>
      <c r="T47" t="e">
        <f ca="1">IF((A1)=(2),"",IF((44)=(T3),IF(IF((INDEX(B1:XFD1,((A2)+(1))+(0)))=("store"),(INDEX(B1:XFD1,((A2)+(1))+(1)))=("T"),"false"),B2,T47),T47))</f>
        <v>#VALUE!</v>
      </c>
      <c r="U47" t="e">
        <f ca="1">IF((A1)=(2),"",IF((44)=(U3),IF(IF((INDEX(B1:XFD1,((A2)+(1))+(0)))=("store"),(INDEX(B1:XFD1,((A2)+(1))+(1)))=("U"),"false"),B2,U47),U47))</f>
        <v>#VALUE!</v>
      </c>
      <c r="V47" t="e">
        <f ca="1">IF((A1)=(2),"",IF((44)=(V3),IF(IF((INDEX(B1:XFD1,((A2)+(1))+(0)))=("store"),(INDEX(B1:XFD1,((A2)+(1))+(1)))=("V"),"false"),B2,V47),V47))</f>
        <v>#VALUE!</v>
      </c>
      <c r="W47" t="e">
        <f ca="1">IF((A1)=(2),"",IF((44)=(W3),IF(IF((INDEX(B1:XFD1,((A2)+(1))+(0)))=("store"),(INDEX(B1:XFD1,((A2)+(1))+(1)))=("W"),"false"),B2,W47),W47))</f>
        <v>#VALUE!</v>
      </c>
      <c r="X47" t="e">
        <f ca="1">IF((A1)=(2),"",IF((44)=(X3),IF(IF((INDEX(B1:XFD1,((A2)+(1))+(0)))=("store"),(INDEX(B1:XFD1,((A2)+(1))+(1)))=("X"),"false"),B2,X47),X47))</f>
        <v>#VALUE!</v>
      </c>
      <c r="Y47" t="e">
        <f ca="1">IF((A1)=(2),"",IF((44)=(Y3),IF(IF((INDEX(B1:XFD1,((A2)+(1))+(0)))=("store"),(INDEX(B1:XFD1,((A2)+(1))+(1)))=("Y"),"false"),B2,Y47),Y47))</f>
        <v>#VALUE!</v>
      </c>
      <c r="Z47" t="e">
        <f ca="1">IF((A1)=(2),"",IF((44)=(Z3),IF(IF((INDEX(B1:XFD1,((A2)+(1))+(0)))=("store"),(INDEX(B1:XFD1,((A2)+(1))+(1)))=("Z"),"false"),B2,Z47),Z47))</f>
        <v>#VALUE!</v>
      </c>
      <c r="AA47" t="e">
        <f ca="1">IF((A1)=(2),"",IF((44)=(AA3),IF(IF((INDEX(B1:XFD1,((A2)+(1))+(0)))=("store"),(INDEX(B1:XFD1,((A2)+(1))+(1)))=("AA"),"false"),B2,AA47),AA47))</f>
        <v>#VALUE!</v>
      </c>
      <c r="AB47" t="e">
        <f ca="1">IF((A1)=(2),"",IF((44)=(AB3),IF(IF((INDEX(B1:XFD1,((A2)+(1))+(0)))=("store"),(INDEX(B1:XFD1,((A2)+(1))+(1)))=("AB"),"false"),B2,AB47),AB47))</f>
        <v>#VALUE!</v>
      </c>
      <c r="AC47" t="e">
        <f ca="1">IF((A1)=(2),"",IF((44)=(AC3),IF(IF((INDEX(B1:XFD1,((A2)+(1))+(0)))=("store"),(INDEX(B1:XFD1,((A2)+(1))+(1)))=("AC"),"false"),B2,AC47),AC47))</f>
        <v>#VALUE!</v>
      </c>
      <c r="AD47" t="e">
        <f ca="1">IF((A1)=(2),"",IF((44)=(AD3),IF(IF((INDEX(B1:XFD1,((A2)+(1))+(0)))=("store"),(INDEX(B1:XFD1,((A2)+(1))+(1)))=("AD"),"false"),B2,AD47),AD47))</f>
        <v>#VALUE!</v>
      </c>
    </row>
    <row r="48" spans="1:30" x14ac:dyDescent="0.25">
      <c r="A48" t="e">
        <f ca="1">IF((A1)=(2),"",IF((45)=(A3),IF(("call")=(INDEX(B1:XFD1,((A2)+(1))+(0))),(B2)*(2),IF(("goto")=(INDEX(B1:XFD1,((A2)+(1))+(0))),(INDEX(B1:XFD1,((A2)+(1))+(1)))*(2),IF(("gotoiftrue")=(INDEX(B1:XFD1,((A2)+(1))+(0))),IF(B2,(INDEX(B1:XFD1,((A2)+(1))+(1)))*(2),(A48)+(2)),(A48)+(2)))),A48))</f>
        <v>#VALUE!</v>
      </c>
      <c r="B48" t="e">
        <f ca="1">IF((A1)=(2),"",IF((45)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48)+(1)),IF(("add")=(INDEX(B1:XFD1,((A2)+(1))+(0))),(INDEX(B4:B404,(B3)+(1)))+(B48),IF(("equals")=(INDEX(B1:XFD1,((A2)+(1))+(0))),(INDEX(B4:B404,(B3)+(1)))=(B48),IF(("leq")=(INDEX(B1:XFD1,((A2)+(1))+(0))),(INDEX(B4:B404,(B3)+(1)))&lt;=(B48),IF(("greater")=(INDEX(B1:XFD1,((A2)+(1))+(0))),(INDEX(B4:B404,(B3)+(1)))&gt;(B48),IF(("mod")=(INDEX(B1:XFD1,((A2)+(1))+(0))),MOD(INDEX(B4:B404,(B3)+(1)),B48),B48))))))))),B48))</f>
        <v>#VALUE!</v>
      </c>
      <c r="C48" t="e">
        <f ca="1">IF((A1)=(2),1,IF(AND((INDEX(B1:XFD1,((A2)+(1))+(0)))=("writeheap"),(INDEX(B4:B404,(B3)+(1)))=(44)),INDEX(B4:B404,(B3)+(2)),IF((A1)=(2),"",IF((45)=(C3),C48,C48))))</f>
        <v>#VALUE!</v>
      </c>
      <c r="E48" t="e">
        <f ca="1">IF((A1)=(2),"",IF((45)=(E3),IF(("outputline")=(INDEX(B1:XFD1,((A2)+(1))+(0))),B2,E48),E48))</f>
        <v>#VALUE!</v>
      </c>
      <c r="F48" t="e">
        <f ca="1">IF((A1)=(2),"",IF((45)=(F3),IF(IF((INDEX(B1:XFD1,((A2)+(1))+(0)))=("store"),(INDEX(B1:XFD1,((A2)+(1))+(1)))=("F"),"false"),B2,F48),F48))</f>
        <v>#VALUE!</v>
      </c>
      <c r="G48" t="e">
        <f ca="1">IF((A1)=(2),"",IF((45)=(G3),IF(IF((INDEX(B1:XFD1,((A2)+(1))+(0)))=("store"),(INDEX(B1:XFD1,((A2)+(1))+(1)))=("G"),"false"),B2,G48),G48))</f>
        <v>#VALUE!</v>
      </c>
      <c r="H48" t="e">
        <f ca="1">IF((A1)=(2),"",IF((45)=(H3),IF(IF((INDEX(B1:XFD1,((A2)+(1))+(0)))=("store"),(INDEX(B1:XFD1,((A2)+(1))+(1)))=("H"),"false"),B2,H48),H48))</f>
        <v>#VALUE!</v>
      </c>
      <c r="I48" t="e">
        <f ca="1">IF((A1)=(2),"",IF((45)=(I3),IF(IF((INDEX(B1:XFD1,((A2)+(1))+(0)))=("store"),(INDEX(B1:XFD1,((A2)+(1))+(1)))=("I"),"false"),B2,I48),I48))</f>
        <v>#VALUE!</v>
      </c>
      <c r="J48" t="e">
        <f ca="1">IF((A1)=(2),"",IF((45)=(J3),IF(IF((INDEX(B1:XFD1,((A2)+(1))+(0)))=("store"),(INDEX(B1:XFD1,((A2)+(1))+(1)))=("J"),"false"),B2,J48),J48))</f>
        <v>#VALUE!</v>
      </c>
      <c r="K48" t="e">
        <f ca="1">IF((A1)=(2),"",IF((45)=(K3),IF(IF((INDEX(B1:XFD1,((A2)+(1))+(0)))=("store"),(INDEX(B1:XFD1,((A2)+(1))+(1)))=("K"),"false"),B2,K48),K48))</f>
        <v>#VALUE!</v>
      </c>
      <c r="L48" t="e">
        <f ca="1">IF((A1)=(2),"",IF((45)=(L3),IF(IF((INDEX(B1:XFD1,((A2)+(1))+(0)))=("store"),(INDEX(B1:XFD1,((A2)+(1))+(1)))=("L"),"false"),B2,L48),L48))</f>
        <v>#VALUE!</v>
      </c>
      <c r="M48" t="e">
        <f ca="1">IF((A1)=(2),"",IF((45)=(M3),IF(IF((INDEX(B1:XFD1,((A2)+(1))+(0)))=("store"),(INDEX(B1:XFD1,((A2)+(1))+(1)))=("M"),"false"),B2,M48),M48))</f>
        <v>#VALUE!</v>
      </c>
      <c r="N48" t="e">
        <f ca="1">IF((A1)=(2),"",IF((45)=(N3),IF(IF((INDEX(B1:XFD1,((A2)+(1))+(0)))=("store"),(INDEX(B1:XFD1,((A2)+(1))+(1)))=("N"),"false"),B2,N48),N48))</f>
        <v>#VALUE!</v>
      </c>
      <c r="O48" t="e">
        <f ca="1">IF((A1)=(2),"",IF((45)=(O3),IF(IF((INDEX(B1:XFD1,((A2)+(1))+(0)))=("store"),(INDEX(B1:XFD1,((A2)+(1))+(1)))=("O"),"false"),B2,O48),O48))</f>
        <v>#VALUE!</v>
      </c>
      <c r="P48" t="e">
        <f ca="1">IF((A1)=(2),"",IF((45)=(P3),IF(IF((INDEX(B1:XFD1,((A2)+(1))+(0)))=("store"),(INDEX(B1:XFD1,((A2)+(1))+(1)))=("P"),"false"),B2,P48),P48))</f>
        <v>#VALUE!</v>
      </c>
      <c r="Q48" t="e">
        <f ca="1">IF((A1)=(2),"",IF((45)=(Q3),IF(IF((INDEX(B1:XFD1,((A2)+(1))+(0)))=("store"),(INDEX(B1:XFD1,((A2)+(1))+(1)))=("Q"),"false"),B2,Q48),Q48))</f>
        <v>#VALUE!</v>
      </c>
      <c r="R48" t="e">
        <f ca="1">IF((A1)=(2),"",IF((45)=(R3),IF(IF((INDEX(B1:XFD1,((A2)+(1))+(0)))=("store"),(INDEX(B1:XFD1,((A2)+(1))+(1)))=("R"),"false"),B2,R48),R48))</f>
        <v>#VALUE!</v>
      </c>
      <c r="S48" t="e">
        <f ca="1">IF((A1)=(2),"",IF((45)=(S3),IF(IF((INDEX(B1:XFD1,((A2)+(1))+(0)))=("store"),(INDEX(B1:XFD1,((A2)+(1))+(1)))=("S"),"false"),B2,S48),S48))</f>
        <v>#VALUE!</v>
      </c>
      <c r="T48" t="e">
        <f ca="1">IF((A1)=(2),"",IF((45)=(T3),IF(IF((INDEX(B1:XFD1,((A2)+(1))+(0)))=("store"),(INDEX(B1:XFD1,((A2)+(1))+(1)))=("T"),"false"),B2,T48),T48))</f>
        <v>#VALUE!</v>
      </c>
      <c r="U48" t="e">
        <f ca="1">IF((A1)=(2),"",IF((45)=(U3),IF(IF((INDEX(B1:XFD1,((A2)+(1))+(0)))=("store"),(INDEX(B1:XFD1,((A2)+(1))+(1)))=("U"),"false"),B2,U48),U48))</f>
        <v>#VALUE!</v>
      </c>
      <c r="V48" t="e">
        <f ca="1">IF((A1)=(2),"",IF((45)=(V3),IF(IF((INDEX(B1:XFD1,((A2)+(1))+(0)))=("store"),(INDEX(B1:XFD1,((A2)+(1))+(1)))=("V"),"false"),B2,V48),V48))</f>
        <v>#VALUE!</v>
      </c>
      <c r="W48" t="e">
        <f ca="1">IF((A1)=(2),"",IF((45)=(W3),IF(IF((INDEX(B1:XFD1,((A2)+(1))+(0)))=("store"),(INDEX(B1:XFD1,((A2)+(1))+(1)))=("W"),"false"),B2,W48),W48))</f>
        <v>#VALUE!</v>
      </c>
      <c r="X48" t="e">
        <f ca="1">IF((A1)=(2),"",IF((45)=(X3),IF(IF((INDEX(B1:XFD1,((A2)+(1))+(0)))=("store"),(INDEX(B1:XFD1,((A2)+(1))+(1)))=("X"),"false"),B2,X48),X48))</f>
        <v>#VALUE!</v>
      </c>
      <c r="Y48" t="e">
        <f ca="1">IF((A1)=(2),"",IF((45)=(Y3),IF(IF((INDEX(B1:XFD1,((A2)+(1))+(0)))=("store"),(INDEX(B1:XFD1,((A2)+(1))+(1)))=("Y"),"false"),B2,Y48),Y48))</f>
        <v>#VALUE!</v>
      </c>
      <c r="Z48" t="e">
        <f ca="1">IF((A1)=(2),"",IF((45)=(Z3),IF(IF((INDEX(B1:XFD1,((A2)+(1))+(0)))=("store"),(INDEX(B1:XFD1,((A2)+(1))+(1)))=("Z"),"false"),B2,Z48),Z48))</f>
        <v>#VALUE!</v>
      </c>
      <c r="AA48" t="e">
        <f ca="1">IF((A1)=(2),"",IF((45)=(AA3),IF(IF((INDEX(B1:XFD1,((A2)+(1))+(0)))=("store"),(INDEX(B1:XFD1,((A2)+(1))+(1)))=("AA"),"false"),B2,AA48),AA48))</f>
        <v>#VALUE!</v>
      </c>
      <c r="AB48" t="e">
        <f ca="1">IF((A1)=(2),"",IF((45)=(AB3),IF(IF((INDEX(B1:XFD1,((A2)+(1))+(0)))=("store"),(INDEX(B1:XFD1,((A2)+(1))+(1)))=("AB"),"false"),B2,AB48),AB48))</f>
        <v>#VALUE!</v>
      </c>
      <c r="AC48" t="e">
        <f ca="1">IF((A1)=(2),"",IF((45)=(AC3),IF(IF((INDEX(B1:XFD1,((A2)+(1))+(0)))=("store"),(INDEX(B1:XFD1,((A2)+(1))+(1)))=("AC"),"false"),B2,AC48),AC48))</f>
        <v>#VALUE!</v>
      </c>
      <c r="AD48" t="e">
        <f ca="1">IF((A1)=(2),"",IF((45)=(AD3),IF(IF((INDEX(B1:XFD1,((A2)+(1))+(0)))=("store"),(INDEX(B1:XFD1,((A2)+(1))+(1)))=("AD"),"false"),B2,AD48),AD48))</f>
        <v>#VALUE!</v>
      </c>
    </row>
    <row r="49" spans="1:30" x14ac:dyDescent="0.25">
      <c r="A49" t="e">
        <f ca="1">IF((A1)=(2),"",IF((46)=(A3),IF(("call")=(INDEX(B1:XFD1,((A2)+(1))+(0))),(B2)*(2),IF(("goto")=(INDEX(B1:XFD1,((A2)+(1))+(0))),(INDEX(B1:XFD1,((A2)+(1))+(1)))*(2),IF(("gotoiftrue")=(INDEX(B1:XFD1,((A2)+(1))+(0))),IF(B2,(INDEX(B1:XFD1,((A2)+(1))+(1)))*(2),(A49)+(2)),(A49)+(2)))),A49))</f>
        <v>#VALUE!</v>
      </c>
      <c r="B49" t="e">
        <f ca="1">IF((A1)=(2),"",IF((46)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49)+(1)),IF(("add")=(INDEX(B1:XFD1,((A2)+(1))+(0))),(INDEX(B4:B404,(B3)+(1)))+(B49),IF(("equals")=(INDEX(B1:XFD1,((A2)+(1))+(0))),(INDEX(B4:B404,(B3)+(1)))=(B49),IF(("leq")=(INDEX(B1:XFD1,((A2)+(1))+(0))),(INDEX(B4:B404,(B3)+(1)))&lt;=(B49),IF(("greater")=(INDEX(B1:XFD1,((A2)+(1))+(0))),(INDEX(B4:B404,(B3)+(1)))&gt;(B49),IF(("mod")=(INDEX(B1:XFD1,((A2)+(1))+(0))),MOD(INDEX(B4:B404,(B3)+(1)),B49),B49))))))))),B49))</f>
        <v>#VALUE!</v>
      </c>
      <c r="C49" t="e">
        <f ca="1">IF((A1)=(2),1,IF(AND((INDEX(B1:XFD1,((A2)+(1))+(0)))=("writeheap"),(INDEX(B4:B404,(B3)+(1)))=(45)),INDEX(B4:B404,(B3)+(2)),IF((A1)=(2),"",IF((46)=(C3),C49,C49))))</f>
        <v>#VALUE!</v>
      </c>
      <c r="E49" t="e">
        <f ca="1">IF((A1)=(2),"",IF((46)=(E3),IF(("outputline")=(INDEX(B1:XFD1,((A2)+(1))+(0))),B2,E49),E49))</f>
        <v>#VALUE!</v>
      </c>
      <c r="F49" t="e">
        <f ca="1">IF((A1)=(2),"",IF((46)=(F3),IF(IF((INDEX(B1:XFD1,((A2)+(1))+(0)))=("store"),(INDEX(B1:XFD1,((A2)+(1))+(1)))=("F"),"false"),B2,F49),F49))</f>
        <v>#VALUE!</v>
      </c>
      <c r="G49" t="e">
        <f ca="1">IF((A1)=(2),"",IF((46)=(G3),IF(IF((INDEX(B1:XFD1,((A2)+(1))+(0)))=("store"),(INDEX(B1:XFD1,((A2)+(1))+(1)))=("G"),"false"),B2,G49),G49))</f>
        <v>#VALUE!</v>
      </c>
      <c r="H49" t="e">
        <f ca="1">IF((A1)=(2),"",IF((46)=(H3),IF(IF((INDEX(B1:XFD1,((A2)+(1))+(0)))=("store"),(INDEX(B1:XFD1,((A2)+(1))+(1)))=("H"),"false"),B2,H49),H49))</f>
        <v>#VALUE!</v>
      </c>
      <c r="I49" t="e">
        <f ca="1">IF((A1)=(2),"",IF((46)=(I3),IF(IF((INDEX(B1:XFD1,((A2)+(1))+(0)))=("store"),(INDEX(B1:XFD1,((A2)+(1))+(1)))=("I"),"false"),B2,I49),I49))</f>
        <v>#VALUE!</v>
      </c>
      <c r="J49" t="e">
        <f ca="1">IF((A1)=(2),"",IF((46)=(J3),IF(IF((INDEX(B1:XFD1,((A2)+(1))+(0)))=("store"),(INDEX(B1:XFD1,((A2)+(1))+(1)))=("J"),"false"),B2,J49),J49))</f>
        <v>#VALUE!</v>
      </c>
      <c r="K49" t="e">
        <f ca="1">IF((A1)=(2),"",IF((46)=(K3),IF(IF((INDEX(B1:XFD1,((A2)+(1))+(0)))=("store"),(INDEX(B1:XFD1,((A2)+(1))+(1)))=("K"),"false"),B2,K49),K49))</f>
        <v>#VALUE!</v>
      </c>
      <c r="L49" t="e">
        <f ca="1">IF((A1)=(2),"",IF((46)=(L3),IF(IF((INDEX(B1:XFD1,((A2)+(1))+(0)))=("store"),(INDEX(B1:XFD1,((A2)+(1))+(1)))=("L"),"false"),B2,L49),L49))</f>
        <v>#VALUE!</v>
      </c>
      <c r="M49" t="e">
        <f ca="1">IF((A1)=(2),"",IF((46)=(M3),IF(IF((INDEX(B1:XFD1,((A2)+(1))+(0)))=("store"),(INDEX(B1:XFD1,((A2)+(1))+(1)))=("M"),"false"),B2,M49),M49))</f>
        <v>#VALUE!</v>
      </c>
      <c r="N49" t="e">
        <f ca="1">IF((A1)=(2),"",IF((46)=(N3),IF(IF((INDEX(B1:XFD1,((A2)+(1))+(0)))=("store"),(INDEX(B1:XFD1,((A2)+(1))+(1)))=("N"),"false"),B2,N49),N49))</f>
        <v>#VALUE!</v>
      </c>
      <c r="O49" t="e">
        <f ca="1">IF((A1)=(2),"",IF((46)=(O3),IF(IF((INDEX(B1:XFD1,((A2)+(1))+(0)))=("store"),(INDEX(B1:XFD1,((A2)+(1))+(1)))=("O"),"false"),B2,O49),O49))</f>
        <v>#VALUE!</v>
      </c>
      <c r="P49" t="e">
        <f ca="1">IF((A1)=(2),"",IF((46)=(P3),IF(IF((INDEX(B1:XFD1,((A2)+(1))+(0)))=("store"),(INDEX(B1:XFD1,((A2)+(1))+(1)))=("P"),"false"),B2,P49),P49))</f>
        <v>#VALUE!</v>
      </c>
      <c r="Q49" t="e">
        <f ca="1">IF((A1)=(2),"",IF((46)=(Q3),IF(IF((INDEX(B1:XFD1,((A2)+(1))+(0)))=("store"),(INDEX(B1:XFD1,((A2)+(1))+(1)))=("Q"),"false"),B2,Q49),Q49))</f>
        <v>#VALUE!</v>
      </c>
      <c r="R49" t="e">
        <f ca="1">IF((A1)=(2),"",IF((46)=(R3),IF(IF((INDEX(B1:XFD1,((A2)+(1))+(0)))=("store"),(INDEX(B1:XFD1,((A2)+(1))+(1)))=("R"),"false"),B2,R49),R49))</f>
        <v>#VALUE!</v>
      </c>
      <c r="S49" t="e">
        <f ca="1">IF((A1)=(2),"",IF((46)=(S3),IF(IF((INDEX(B1:XFD1,((A2)+(1))+(0)))=("store"),(INDEX(B1:XFD1,((A2)+(1))+(1)))=("S"),"false"),B2,S49),S49))</f>
        <v>#VALUE!</v>
      </c>
      <c r="T49" t="e">
        <f ca="1">IF((A1)=(2),"",IF((46)=(T3),IF(IF((INDEX(B1:XFD1,((A2)+(1))+(0)))=("store"),(INDEX(B1:XFD1,((A2)+(1))+(1)))=("T"),"false"),B2,T49),T49))</f>
        <v>#VALUE!</v>
      </c>
      <c r="U49" t="e">
        <f ca="1">IF((A1)=(2),"",IF((46)=(U3),IF(IF((INDEX(B1:XFD1,((A2)+(1))+(0)))=("store"),(INDEX(B1:XFD1,((A2)+(1))+(1)))=("U"),"false"),B2,U49),U49))</f>
        <v>#VALUE!</v>
      </c>
      <c r="V49" t="e">
        <f ca="1">IF((A1)=(2),"",IF((46)=(V3),IF(IF((INDEX(B1:XFD1,((A2)+(1))+(0)))=("store"),(INDEX(B1:XFD1,((A2)+(1))+(1)))=("V"),"false"),B2,V49),V49))</f>
        <v>#VALUE!</v>
      </c>
      <c r="W49" t="e">
        <f ca="1">IF((A1)=(2),"",IF((46)=(W3),IF(IF((INDEX(B1:XFD1,((A2)+(1))+(0)))=("store"),(INDEX(B1:XFD1,((A2)+(1))+(1)))=("W"),"false"),B2,W49),W49))</f>
        <v>#VALUE!</v>
      </c>
      <c r="X49" t="e">
        <f ca="1">IF((A1)=(2),"",IF((46)=(X3),IF(IF((INDEX(B1:XFD1,((A2)+(1))+(0)))=("store"),(INDEX(B1:XFD1,((A2)+(1))+(1)))=("X"),"false"),B2,X49),X49))</f>
        <v>#VALUE!</v>
      </c>
      <c r="Y49" t="e">
        <f ca="1">IF((A1)=(2),"",IF((46)=(Y3),IF(IF((INDEX(B1:XFD1,((A2)+(1))+(0)))=("store"),(INDEX(B1:XFD1,((A2)+(1))+(1)))=("Y"),"false"),B2,Y49),Y49))</f>
        <v>#VALUE!</v>
      </c>
      <c r="Z49" t="e">
        <f ca="1">IF((A1)=(2),"",IF((46)=(Z3),IF(IF((INDEX(B1:XFD1,((A2)+(1))+(0)))=("store"),(INDEX(B1:XFD1,((A2)+(1))+(1)))=("Z"),"false"),B2,Z49),Z49))</f>
        <v>#VALUE!</v>
      </c>
      <c r="AA49" t="e">
        <f ca="1">IF((A1)=(2),"",IF((46)=(AA3),IF(IF((INDEX(B1:XFD1,((A2)+(1))+(0)))=("store"),(INDEX(B1:XFD1,((A2)+(1))+(1)))=("AA"),"false"),B2,AA49),AA49))</f>
        <v>#VALUE!</v>
      </c>
      <c r="AB49" t="e">
        <f ca="1">IF((A1)=(2),"",IF((46)=(AB3),IF(IF((INDEX(B1:XFD1,((A2)+(1))+(0)))=("store"),(INDEX(B1:XFD1,((A2)+(1))+(1)))=("AB"),"false"),B2,AB49),AB49))</f>
        <v>#VALUE!</v>
      </c>
      <c r="AC49" t="e">
        <f ca="1">IF((A1)=(2),"",IF((46)=(AC3),IF(IF((INDEX(B1:XFD1,((A2)+(1))+(0)))=("store"),(INDEX(B1:XFD1,((A2)+(1))+(1)))=("AC"),"false"),B2,AC49),AC49))</f>
        <v>#VALUE!</v>
      </c>
      <c r="AD49" t="e">
        <f ca="1">IF((A1)=(2),"",IF((46)=(AD3),IF(IF((INDEX(B1:XFD1,((A2)+(1))+(0)))=("store"),(INDEX(B1:XFD1,((A2)+(1))+(1)))=("AD"),"false"),B2,AD49),AD49))</f>
        <v>#VALUE!</v>
      </c>
    </row>
    <row r="50" spans="1:30" x14ac:dyDescent="0.25">
      <c r="A50" t="e">
        <f ca="1">IF((A1)=(2),"",IF((47)=(A3),IF(("call")=(INDEX(B1:XFD1,((A2)+(1))+(0))),(B2)*(2),IF(("goto")=(INDEX(B1:XFD1,((A2)+(1))+(0))),(INDEX(B1:XFD1,((A2)+(1))+(1)))*(2),IF(("gotoiftrue")=(INDEX(B1:XFD1,((A2)+(1))+(0))),IF(B2,(INDEX(B1:XFD1,((A2)+(1))+(1)))*(2),(A50)+(2)),(A50)+(2)))),A50))</f>
        <v>#VALUE!</v>
      </c>
      <c r="B50" t="e">
        <f ca="1">IF((A1)=(2),"",IF((47)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50)+(1)),IF(("add")=(INDEX(B1:XFD1,((A2)+(1))+(0))),(INDEX(B4:B404,(B3)+(1)))+(B50),IF(("equals")=(INDEX(B1:XFD1,((A2)+(1))+(0))),(INDEX(B4:B404,(B3)+(1)))=(B50),IF(("leq")=(INDEX(B1:XFD1,((A2)+(1))+(0))),(INDEX(B4:B404,(B3)+(1)))&lt;=(B50),IF(("greater")=(INDEX(B1:XFD1,((A2)+(1))+(0))),(INDEX(B4:B404,(B3)+(1)))&gt;(B50),IF(("mod")=(INDEX(B1:XFD1,((A2)+(1))+(0))),MOD(INDEX(B4:B404,(B3)+(1)),B50),B50))))))))),B50))</f>
        <v>#VALUE!</v>
      </c>
      <c r="C50" t="e">
        <f ca="1">IF((A1)=(2),1,IF(AND((INDEX(B1:XFD1,((A2)+(1))+(0)))=("writeheap"),(INDEX(B4:B404,(B3)+(1)))=(46)),INDEX(B4:B404,(B3)+(2)),IF((A1)=(2),"",IF((47)=(C3),C50,C50))))</f>
        <v>#VALUE!</v>
      </c>
      <c r="E50" t="e">
        <f ca="1">IF((A1)=(2),"",IF((47)=(E3),IF(("outputline")=(INDEX(B1:XFD1,((A2)+(1))+(0))),B2,E50),E50))</f>
        <v>#VALUE!</v>
      </c>
      <c r="F50" t="e">
        <f ca="1">IF((A1)=(2),"",IF((47)=(F3),IF(IF((INDEX(B1:XFD1,((A2)+(1))+(0)))=("store"),(INDEX(B1:XFD1,((A2)+(1))+(1)))=("F"),"false"),B2,F50),F50))</f>
        <v>#VALUE!</v>
      </c>
      <c r="G50" t="e">
        <f ca="1">IF((A1)=(2),"",IF((47)=(G3),IF(IF((INDEX(B1:XFD1,((A2)+(1))+(0)))=("store"),(INDEX(B1:XFD1,((A2)+(1))+(1)))=("G"),"false"),B2,G50),G50))</f>
        <v>#VALUE!</v>
      </c>
      <c r="H50" t="e">
        <f ca="1">IF((A1)=(2),"",IF((47)=(H3),IF(IF((INDEX(B1:XFD1,((A2)+(1))+(0)))=("store"),(INDEX(B1:XFD1,((A2)+(1))+(1)))=("H"),"false"),B2,H50),H50))</f>
        <v>#VALUE!</v>
      </c>
      <c r="I50" t="e">
        <f ca="1">IF((A1)=(2),"",IF((47)=(I3),IF(IF((INDEX(B1:XFD1,((A2)+(1))+(0)))=("store"),(INDEX(B1:XFD1,((A2)+(1))+(1)))=("I"),"false"),B2,I50),I50))</f>
        <v>#VALUE!</v>
      </c>
      <c r="J50" t="e">
        <f ca="1">IF((A1)=(2),"",IF((47)=(J3),IF(IF((INDEX(B1:XFD1,((A2)+(1))+(0)))=("store"),(INDEX(B1:XFD1,((A2)+(1))+(1)))=("J"),"false"),B2,J50),J50))</f>
        <v>#VALUE!</v>
      </c>
      <c r="K50" t="e">
        <f ca="1">IF((A1)=(2),"",IF((47)=(K3),IF(IF((INDEX(B1:XFD1,((A2)+(1))+(0)))=("store"),(INDEX(B1:XFD1,((A2)+(1))+(1)))=("K"),"false"),B2,K50),K50))</f>
        <v>#VALUE!</v>
      </c>
      <c r="L50" t="e">
        <f ca="1">IF((A1)=(2),"",IF((47)=(L3),IF(IF((INDEX(B1:XFD1,((A2)+(1))+(0)))=("store"),(INDEX(B1:XFD1,((A2)+(1))+(1)))=("L"),"false"),B2,L50),L50))</f>
        <v>#VALUE!</v>
      </c>
      <c r="M50" t="e">
        <f ca="1">IF((A1)=(2),"",IF((47)=(M3),IF(IF((INDEX(B1:XFD1,((A2)+(1))+(0)))=("store"),(INDEX(B1:XFD1,((A2)+(1))+(1)))=("M"),"false"),B2,M50),M50))</f>
        <v>#VALUE!</v>
      </c>
      <c r="N50" t="e">
        <f ca="1">IF((A1)=(2),"",IF((47)=(N3),IF(IF((INDEX(B1:XFD1,((A2)+(1))+(0)))=("store"),(INDEX(B1:XFD1,((A2)+(1))+(1)))=("N"),"false"),B2,N50),N50))</f>
        <v>#VALUE!</v>
      </c>
      <c r="O50" t="e">
        <f ca="1">IF((A1)=(2),"",IF((47)=(O3),IF(IF((INDEX(B1:XFD1,((A2)+(1))+(0)))=("store"),(INDEX(B1:XFD1,((A2)+(1))+(1)))=("O"),"false"),B2,O50),O50))</f>
        <v>#VALUE!</v>
      </c>
      <c r="P50" t="e">
        <f ca="1">IF((A1)=(2),"",IF((47)=(P3),IF(IF((INDEX(B1:XFD1,((A2)+(1))+(0)))=("store"),(INDEX(B1:XFD1,((A2)+(1))+(1)))=("P"),"false"),B2,P50),P50))</f>
        <v>#VALUE!</v>
      </c>
      <c r="Q50" t="e">
        <f ca="1">IF((A1)=(2),"",IF((47)=(Q3),IF(IF((INDEX(B1:XFD1,((A2)+(1))+(0)))=("store"),(INDEX(B1:XFD1,((A2)+(1))+(1)))=("Q"),"false"),B2,Q50),Q50))</f>
        <v>#VALUE!</v>
      </c>
      <c r="R50" t="e">
        <f ca="1">IF((A1)=(2),"",IF((47)=(R3),IF(IF((INDEX(B1:XFD1,((A2)+(1))+(0)))=("store"),(INDEX(B1:XFD1,((A2)+(1))+(1)))=("R"),"false"),B2,R50),R50))</f>
        <v>#VALUE!</v>
      </c>
      <c r="S50" t="e">
        <f ca="1">IF((A1)=(2),"",IF((47)=(S3),IF(IF((INDEX(B1:XFD1,((A2)+(1))+(0)))=("store"),(INDEX(B1:XFD1,((A2)+(1))+(1)))=("S"),"false"),B2,S50),S50))</f>
        <v>#VALUE!</v>
      </c>
      <c r="T50" t="e">
        <f ca="1">IF((A1)=(2),"",IF((47)=(T3),IF(IF((INDEX(B1:XFD1,((A2)+(1))+(0)))=("store"),(INDEX(B1:XFD1,((A2)+(1))+(1)))=("T"),"false"),B2,T50),T50))</f>
        <v>#VALUE!</v>
      </c>
      <c r="U50" t="e">
        <f ca="1">IF((A1)=(2),"",IF((47)=(U3),IF(IF((INDEX(B1:XFD1,((A2)+(1))+(0)))=("store"),(INDEX(B1:XFD1,((A2)+(1))+(1)))=("U"),"false"),B2,U50),U50))</f>
        <v>#VALUE!</v>
      </c>
      <c r="V50" t="e">
        <f ca="1">IF((A1)=(2),"",IF((47)=(V3),IF(IF((INDEX(B1:XFD1,((A2)+(1))+(0)))=("store"),(INDEX(B1:XFD1,((A2)+(1))+(1)))=("V"),"false"),B2,V50),V50))</f>
        <v>#VALUE!</v>
      </c>
      <c r="W50" t="e">
        <f ca="1">IF((A1)=(2),"",IF((47)=(W3),IF(IF((INDEX(B1:XFD1,((A2)+(1))+(0)))=("store"),(INDEX(B1:XFD1,((A2)+(1))+(1)))=("W"),"false"),B2,W50),W50))</f>
        <v>#VALUE!</v>
      </c>
      <c r="X50" t="e">
        <f ca="1">IF((A1)=(2),"",IF((47)=(X3),IF(IF((INDEX(B1:XFD1,((A2)+(1))+(0)))=("store"),(INDEX(B1:XFD1,((A2)+(1))+(1)))=("X"),"false"),B2,X50),X50))</f>
        <v>#VALUE!</v>
      </c>
      <c r="Y50" t="e">
        <f ca="1">IF((A1)=(2),"",IF((47)=(Y3),IF(IF((INDEX(B1:XFD1,((A2)+(1))+(0)))=("store"),(INDEX(B1:XFD1,((A2)+(1))+(1)))=("Y"),"false"),B2,Y50),Y50))</f>
        <v>#VALUE!</v>
      </c>
      <c r="Z50" t="e">
        <f ca="1">IF((A1)=(2),"",IF((47)=(Z3),IF(IF((INDEX(B1:XFD1,((A2)+(1))+(0)))=("store"),(INDEX(B1:XFD1,((A2)+(1))+(1)))=("Z"),"false"),B2,Z50),Z50))</f>
        <v>#VALUE!</v>
      </c>
      <c r="AA50" t="e">
        <f ca="1">IF((A1)=(2),"",IF((47)=(AA3),IF(IF((INDEX(B1:XFD1,((A2)+(1))+(0)))=("store"),(INDEX(B1:XFD1,((A2)+(1))+(1)))=("AA"),"false"),B2,AA50),AA50))</f>
        <v>#VALUE!</v>
      </c>
      <c r="AB50" t="e">
        <f ca="1">IF((A1)=(2),"",IF((47)=(AB3),IF(IF((INDEX(B1:XFD1,((A2)+(1))+(0)))=("store"),(INDEX(B1:XFD1,((A2)+(1))+(1)))=("AB"),"false"),B2,AB50),AB50))</f>
        <v>#VALUE!</v>
      </c>
      <c r="AC50" t="e">
        <f ca="1">IF((A1)=(2),"",IF((47)=(AC3),IF(IF((INDEX(B1:XFD1,((A2)+(1))+(0)))=("store"),(INDEX(B1:XFD1,((A2)+(1))+(1)))=("AC"),"false"),B2,AC50),AC50))</f>
        <v>#VALUE!</v>
      </c>
      <c r="AD50" t="e">
        <f ca="1">IF((A1)=(2),"",IF((47)=(AD3),IF(IF((INDEX(B1:XFD1,((A2)+(1))+(0)))=("store"),(INDEX(B1:XFD1,((A2)+(1))+(1)))=("AD"),"false"),B2,AD50),AD50))</f>
        <v>#VALUE!</v>
      </c>
    </row>
    <row r="51" spans="1:30" x14ac:dyDescent="0.25">
      <c r="A51" t="e">
        <f ca="1">IF((A1)=(2),"",IF((48)=(A3),IF(("call")=(INDEX(B1:XFD1,((A2)+(1))+(0))),(B2)*(2),IF(("goto")=(INDEX(B1:XFD1,((A2)+(1))+(0))),(INDEX(B1:XFD1,((A2)+(1))+(1)))*(2),IF(("gotoiftrue")=(INDEX(B1:XFD1,((A2)+(1))+(0))),IF(B2,(INDEX(B1:XFD1,((A2)+(1))+(1)))*(2),(A51)+(2)),(A51)+(2)))),A51))</f>
        <v>#VALUE!</v>
      </c>
      <c r="B51" t="e">
        <f ca="1">IF((A1)=(2),"",IF((48)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51)+(1)),IF(("add")=(INDEX(B1:XFD1,((A2)+(1))+(0))),(INDEX(B4:B404,(B3)+(1)))+(B51),IF(("equals")=(INDEX(B1:XFD1,((A2)+(1))+(0))),(INDEX(B4:B404,(B3)+(1)))=(B51),IF(("leq")=(INDEX(B1:XFD1,((A2)+(1))+(0))),(INDEX(B4:B404,(B3)+(1)))&lt;=(B51),IF(("greater")=(INDEX(B1:XFD1,((A2)+(1))+(0))),(INDEX(B4:B404,(B3)+(1)))&gt;(B51),IF(("mod")=(INDEX(B1:XFD1,((A2)+(1))+(0))),MOD(INDEX(B4:B404,(B3)+(1)),B51),B51))))))))),B51))</f>
        <v>#VALUE!</v>
      </c>
      <c r="C51" t="e">
        <f ca="1">IF((A1)=(2),1,IF(AND((INDEX(B1:XFD1,((A2)+(1))+(0)))=("writeheap"),(INDEX(B4:B404,(B3)+(1)))=(47)),INDEX(B4:B404,(B3)+(2)),IF((A1)=(2),"",IF((48)=(C3),C51,C51))))</f>
        <v>#VALUE!</v>
      </c>
      <c r="E51" t="e">
        <f ca="1">IF((A1)=(2),"",IF((48)=(E3),IF(("outputline")=(INDEX(B1:XFD1,((A2)+(1))+(0))),B2,E51),E51))</f>
        <v>#VALUE!</v>
      </c>
      <c r="F51" t="e">
        <f ca="1">IF((A1)=(2),"",IF((48)=(F3),IF(IF((INDEX(B1:XFD1,((A2)+(1))+(0)))=("store"),(INDEX(B1:XFD1,((A2)+(1))+(1)))=("F"),"false"),B2,F51),F51))</f>
        <v>#VALUE!</v>
      </c>
      <c r="G51" t="e">
        <f ca="1">IF((A1)=(2),"",IF((48)=(G3),IF(IF((INDEX(B1:XFD1,((A2)+(1))+(0)))=("store"),(INDEX(B1:XFD1,((A2)+(1))+(1)))=("G"),"false"),B2,G51),G51))</f>
        <v>#VALUE!</v>
      </c>
      <c r="H51" t="e">
        <f ca="1">IF((A1)=(2),"",IF((48)=(H3),IF(IF((INDEX(B1:XFD1,((A2)+(1))+(0)))=("store"),(INDEX(B1:XFD1,((A2)+(1))+(1)))=("H"),"false"),B2,H51),H51))</f>
        <v>#VALUE!</v>
      </c>
      <c r="I51" t="e">
        <f ca="1">IF((A1)=(2),"",IF((48)=(I3),IF(IF((INDEX(B1:XFD1,((A2)+(1))+(0)))=("store"),(INDEX(B1:XFD1,((A2)+(1))+(1)))=("I"),"false"),B2,I51),I51))</f>
        <v>#VALUE!</v>
      </c>
      <c r="J51" t="e">
        <f ca="1">IF((A1)=(2),"",IF((48)=(J3),IF(IF((INDEX(B1:XFD1,((A2)+(1))+(0)))=("store"),(INDEX(B1:XFD1,((A2)+(1))+(1)))=("J"),"false"),B2,J51),J51))</f>
        <v>#VALUE!</v>
      </c>
      <c r="K51" t="e">
        <f ca="1">IF((A1)=(2),"",IF((48)=(K3),IF(IF((INDEX(B1:XFD1,((A2)+(1))+(0)))=("store"),(INDEX(B1:XFD1,((A2)+(1))+(1)))=("K"),"false"),B2,K51),K51))</f>
        <v>#VALUE!</v>
      </c>
      <c r="L51" t="e">
        <f ca="1">IF((A1)=(2),"",IF((48)=(L3),IF(IF((INDEX(B1:XFD1,((A2)+(1))+(0)))=("store"),(INDEX(B1:XFD1,((A2)+(1))+(1)))=("L"),"false"),B2,L51),L51))</f>
        <v>#VALUE!</v>
      </c>
      <c r="M51" t="e">
        <f ca="1">IF((A1)=(2),"",IF((48)=(M3),IF(IF((INDEX(B1:XFD1,((A2)+(1))+(0)))=("store"),(INDEX(B1:XFD1,((A2)+(1))+(1)))=("M"),"false"),B2,M51),M51))</f>
        <v>#VALUE!</v>
      </c>
      <c r="N51" t="e">
        <f ca="1">IF((A1)=(2),"",IF((48)=(N3),IF(IF((INDEX(B1:XFD1,((A2)+(1))+(0)))=("store"),(INDEX(B1:XFD1,((A2)+(1))+(1)))=("N"),"false"),B2,N51),N51))</f>
        <v>#VALUE!</v>
      </c>
      <c r="O51" t="e">
        <f ca="1">IF((A1)=(2),"",IF((48)=(O3),IF(IF((INDEX(B1:XFD1,((A2)+(1))+(0)))=("store"),(INDEX(B1:XFD1,((A2)+(1))+(1)))=("O"),"false"),B2,O51),O51))</f>
        <v>#VALUE!</v>
      </c>
      <c r="P51" t="e">
        <f ca="1">IF((A1)=(2),"",IF((48)=(P3),IF(IF((INDEX(B1:XFD1,((A2)+(1))+(0)))=("store"),(INDEX(B1:XFD1,((A2)+(1))+(1)))=("P"),"false"),B2,P51),P51))</f>
        <v>#VALUE!</v>
      </c>
      <c r="Q51" t="e">
        <f ca="1">IF((A1)=(2),"",IF((48)=(Q3),IF(IF((INDEX(B1:XFD1,((A2)+(1))+(0)))=("store"),(INDEX(B1:XFD1,((A2)+(1))+(1)))=("Q"),"false"),B2,Q51),Q51))</f>
        <v>#VALUE!</v>
      </c>
      <c r="R51" t="e">
        <f ca="1">IF((A1)=(2),"",IF((48)=(R3),IF(IF((INDEX(B1:XFD1,((A2)+(1))+(0)))=("store"),(INDEX(B1:XFD1,((A2)+(1))+(1)))=("R"),"false"),B2,R51),R51))</f>
        <v>#VALUE!</v>
      </c>
      <c r="S51" t="e">
        <f ca="1">IF((A1)=(2),"",IF((48)=(S3),IF(IF((INDEX(B1:XFD1,((A2)+(1))+(0)))=("store"),(INDEX(B1:XFD1,((A2)+(1))+(1)))=("S"),"false"),B2,S51),S51))</f>
        <v>#VALUE!</v>
      </c>
      <c r="T51" t="e">
        <f ca="1">IF((A1)=(2),"",IF((48)=(T3),IF(IF((INDEX(B1:XFD1,((A2)+(1))+(0)))=("store"),(INDEX(B1:XFD1,((A2)+(1))+(1)))=("T"),"false"),B2,T51),T51))</f>
        <v>#VALUE!</v>
      </c>
      <c r="U51" t="e">
        <f ca="1">IF((A1)=(2),"",IF((48)=(U3),IF(IF((INDEX(B1:XFD1,((A2)+(1))+(0)))=("store"),(INDEX(B1:XFD1,((A2)+(1))+(1)))=("U"),"false"),B2,U51),U51))</f>
        <v>#VALUE!</v>
      </c>
      <c r="V51" t="e">
        <f ca="1">IF((A1)=(2),"",IF((48)=(V3),IF(IF((INDEX(B1:XFD1,((A2)+(1))+(0)))=("store"),(INDEX(B1:XFD1,((A2)+(1))+(1)))=("V"),"false"),B2,V51),V51))</f>
        <v>#VALUE!</v>
      </c>
      <c r="W51" t="e">
        <f ca="1">IF((A1)=(2),"",IF((48)=(W3),IF(IF((INDEX(B1:XFD1,((A2)+(1))+(0)))=("store"),(INDEX(B1:XFD1,((A2)+(1))+(1)))=("W"),"false"),B2,W51),W51))</f>
        <v>#VALUE!</v>
      </c>
      <c r="X51" t="e">
        <f ca="1">IF((A1)=(2),"",IF((48)=(X3),IF(IF((INDEX(B1:XFD1,((A2)+(1))+(0)))=("store"),(INDEX(B1:XFD1,((A2)+(1))+(1)))=("X"),"false"),B2,X51),X51))</f>
        <v>#VALUE!</v>
      </c>
      <c r="Y51" t="e">
        <f ca="1">IF((A1)=(2),"",IF((48)=(Y3),IF(IF((INDEX(B1:XFD1,((A2)+(1))+(0)))=("store"),(INDEX(B1:XFD1,((A2)+(1))+(1)))=("Y"),"false"),B2,Y51),Y51))</f>
        <v>#VALUE!</v>
      </c>
      <c r="Z51" t="e">
        <f ca="1">IF((A1)=(2),"",IF((48)=(Z3),IF(IF((INDEX(B1:XFD1,((A2)+(1))+(0)))=("store"),(INDEX(B1:XFD1,((A2)+(1))+(1)))=("Z"),"false"),B2,Z51),Z51))</f>
        <v>#VALUE!</v>
      </c>
      <c r="AA51" t="e">
        <f ca="1">IF((A1)=(2),"",IF((48)=(AA3),IF(IF((INDEX(B1:XFD1,((A2)+(1))+(0)))=("store"),(INDEX(B1:XFD1,((A2)+(1))+(1)))=("AA"),"false"),B2,AA51),AA51))</f>
        <v>#VALUE!</v>
      </c>
      <c r="AB51" t="e">
        <f ca="1">IF((A1)=(2),"",IF((48)=(AB3),IF(IF((INDEX(B1:XFD1,((A2)+(1))+(0)))=("store"),(INDEX(B1:XFD1,((A2)+(1))+(1)))=("AB"),"false"),B2,AB51),AB51))</f>
        <v>#VALUE!</v>
      </c>
      <c r="AC51" t="e">
        <f ca="1">IF((A1)=(2),"",IF((48)=(AC3),IF(IF((INDEX(B1:XFD1,((A2)+(1))+(0)))=("store"),(INDEX(B1:XFD1,((A2)+(1))+(1)))=("AC"),"false"),B2,AC51),AC51))</f>
        <v>#VALUE!</v>
      </c>
      <c r="AD51" t="e">
        <f ca="1">IF((A1)=(2),"",IF((48)=(AD3),IF(IF((INDEX(B1:XFD1,((A2)+(1))+(0)))=("store"),(INDEX(B1:XFD1,((A2)+(1))+(1)))=("AD"),"false"),B2,AD51),AD51))</f>
        <v>#VALUE!</v>
      </c>
    </row>
    <row r="52" spans="1:30" x14ac:dyDescent="0.25">
      <c r="A52" t="e">
        <f ca="1">IF((A1)=(2),"",IF((49)=(A3),IF(("call")=(INDEX(B1:XFD1,((A2)+(1))+(0))),(B2)*(2),IF(("goto")=(INDEX(B1:XFD1,((A2)+(1))+(0))),(INDEX(B1:XFD1,((A2)+(1))+(1)))*(2),IF(("gotoiftrue")=(INDEX(B1:XFD1,((A2)+(1))+(0))),IF(B2,(INDEX(B1:XFD1,((A2)+(1))+(1)))*(2),(A52)+(2)),(A52)+(2)))),A52))</f>
        <v>#VALUE!</v>
      </c>
      <c r="B52" t="e">
        <f ca="1">IF((A1)=(2),"",IF((49)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52)+(1)),IF(("add")=(INDEX(B1:XFD1,((A2)+(1))+(0))),(INDEX(B4:B404,(B3)+(1)))+(B52),IF(("equals")=(INDEX(B1:XFD1,((A2)+(1))+(0))),(INDEX(B4:B404,(B3)+(1)))=(B52),IF(("leq")=(INDEX(B1:XFD1,((A2)+(1))+(0))),(INDEX(B4:B404,(B3)+(1)))&lt;=(B52),IF(("greater")=(INDEX(B1:XFD1,((A2)+(1))+(0))),(INDEX(B4:B404,(B3)+(1)))&gt;(B52),IF(("mod")=(INDEX(B1:XFD1,((A2)+(1))+(0))),MOD(INDEX(B4:B404,(B3)+(1)),B52),B52))))))))),B52))</f>
        <v>#VALUE!</v>
      </c>
      <c r="C52" t="e">
        <f ca="1">IF((A1)=(2),1,IF(AND((INDEX(B1:XFD1,((A2)+(1))+(0)))=("writeheap"),(INDEX(B4:B404,(B3)+(1)))=(48)),INDEX(B4:B404,(B3)+(2)),IF((A1)=(2),"",IF((49)=(C3),C52,C52))))</f>
        <v>#VALUE!</v>
      </c>
      <c r="E52" t="e">
        <f ca="1">IF((A1)=(2),"",IF((49)=(E3),IF(("outputline")=(INDEX(B1:XFD1,((A2)+(1))+(0))),B2,E52),E52))</f>
        <v>#VALUE!</v>
      </c>
      <c r="F52" t="e">
        <f ca="1">IF((A1)=(2),"",IF((49)=(F3),IF(IF((INDEX(B1:XFD1,((A2)+(1))+(0)))=("store"),(INDEX(B1:XFD1,((A2)+(1))+(1)))=("F"),"false"),B2,F52),F52))</f>
        <v>#VALUE!</v>
      </c>
      <c r="G52" t="e">
        <f ca="1">IF((A1)=(2),"",IF((49)=(G3),IF(IF((INDEX(B1:XFD1,((A2)+(1))+(0)))=("store"),(INDEX(B1:XFD1,((A2)+(1))+(1)))=("G"),"false"),B2,G52),G52))</f>
        <v>#VALUE!</v>
      </c>
      <c r="H52" t="e">
        <f ca="1">IF((A1)=(2),"",IF((49)=(H3),IF(IF((INDEX(B1:XFD1,((A2)+(1))+(0)))=("store"),(INDEX(B1:XFD1,((A2)+(1))+(1)))=("H"),"false"),B2,H52),H52))</f>
        <v>#VALUE!</v>
      </c>
      <c r="I52" t="e">
        <f ca="1">IF((A1)=(2),"",IF((49)=(I3),IF(IF((INDEX(B1:XFD1,((A2)+(1))+(0)))=("store"),(INDEX(B1:XFD1,((A2)+(1))+(1)))=("I"),"false"),B2,I52),I52))</f>
        <v>#VALUE!</v>
      </c>
      <c r="J52" t="e">
        <f ca="1">IF((A1)=(2),"",IF((49)=(J3),IF(IF((INDEX(B1:XFD1,((A2)+(1))+(0)))=("store"),(INDEX(B1:XFD1,((A2)+(1))+(1)))=("J"),"false"),B2,J52),J52))</f>
        <v>#VALUE!</v>
      </c>
      <c r="K52" t="e">
        <f ca="1">IF((A1)=(2),"",IF((49)=(K3),IF(IF((INDEX(B1:XFD1,((A2)+(1))+(0)))=("store"),(INDEX(B1:XFD1,((A2)+(1))+(1)))=("K"),"false"),B2,K52),K52))</f>
        <v>#VALUE!</v>
      </c>
      <c r="L52" t="e">
        <f ca="1">IF((A1)=(2),"",IF((49)=(L3),IF(IF((INDEX(B1:XFD1,((A2)+(1))+(0)))=("store"),(INDEX(B1:XFD1,((A2)+(1))+(1)))=("L"),"false"),B2,L52),L52))</f>
        <v>#VALUE!</v>
      </c>
      <c r="M52" t="e">
        <f ca="1">IF((A1)=(2),"",IF((49)=(M3),IF(IF((INDEX(B1:XFD1,((A2)+(1))+(0)))=("store"),(INDEX(B1:XFD1,((A2)+(1))+(1)))=("M"),"false"),B2,M52),M52))</f>
        <v>#VALUE!</v>
      </c>
      <c r="N52" t="e">
        <f ca="1">IF((A1)=(2),"",IF((49)=(N3),IF(IF((INDEX(B1:XFD1,((A2)+(1))+(0)))=("store"),(INDEX(B1:XFD1,((A2)+(1))+(1)))=("N"),"false"),B2,N52),N52))</f>
        <v>#VALUE!</v>
      </c>
      <c r="O52" t="e">
        <f ca="1">IF((A1)=(2),"",IF((49)=(O3),IF(IF((INDEX(B1:XFD1,((A2)+(1))+(0)))=("store"),(INDEX(B1:XFD1,((A2)+(1))+(1)))=("O"),"false"),B2,O52),O52))</f>
        <v>#VALUE!</v>
      </c>
      <c r="P52" t="e">
        <f ca="1">IF((A1)=(2),"",IF((49)=(P3),IF(IF((INDEX(B1:XFD1,((A2)+(1))+(0)))=("store"),(INDEX(B1:XFD1,((A2)+(1))+(1)))=("P"),"false"),B2,P52),P52))</f>
        <v>#VALUE!</v>
      </c>
      <c r="Q52" t="e">
        <f ca="1">IF((A1)=(2),"",IF((49)=(Q3),IF(IF((INDEX(B1:XFD1,((A2)+(1))+(0)))=("store"),(INDEX(B1:XFD1,((A2)+(1))+(1)))=("Q"),"false"),B2,Q52),Q52))</f>
        <v>#VALUE!</v>
      </c>
      <c r="R52" t="e">
        <f ca="1">IF((A1)=(2),"",IF((49)=(R3),IF(IF((INDEX(B1:XFD1,((A2)+(1))+(0)))=("store"),(INDEX(B1:XFD1,((A2)+(1))+(1)))=("R"),"false"),B2,R52),R52))</f>
        <v>#VALUE!</v>
      </c>
      <c r="S52" t="e">
        <f ca="1">IF((A1)=(2),"",IF((49)=(S3),IF(IF((INDEX(B1:XFD1,((A2)+(1))+(0)))=("store"),(INDEX(B1:XFD1,((A2)+(1))+(1)))=("S"),"false"),B2,S52),S52))</f>
        <v>#VALUE!</v>
      </c>
      <c r="T52" t="e">
        <f ca="1">IF((A1)=(2),"",IF((49)=(T3),IF(IF((INDEX(B1:XFD1,((A2)+(1))+(0)))=("store"),(INDEX(B1:XFD1,((A2)+(1))+(1)))=("T"),"false"),B2,T52),T52))</f>
        <v>#VALUE!</v>
      </c>
      <c r="U52" t="e">
        <f ca="1">IF((A1)=(2),"",IF((49)=(U3),IF(IF((INDEX(B1:XFD1,((A2)+(1))+(0)))=("store"),(INDEX(B1:XFD1,((A2)+(1))+(1)))=("U"),"false"),B2,U52),U52))</f>
        <v>#VALUE!</v>
      </c>
      <c r="V52" t="e">
        <f ca="1">IF((A1)=(2),"",IF((49)=(V3),IF(IF((INDEX(B1:XFD1,((A2)+(1))+(0)))=("store"),(INDEX(B1:XFD1,((A2)+(1))+(1)))=("V"),"false"),B2,V52),V52))</f>
        <v>#VALUE!</v>
      </c>
      <c r="W52" t="e">
        <f ca="1">IF((A1)=(2),"",IF((49)=(W3),IF(IF((INDEX(B1:XFD1,((A2)+(1))+(0)))=("store"),(INDEX(B1:XFD1,((A2)+(1))+(1)))=("W"),"false"),B2,W52),W52))</f>
        <v>#VALUE!</v>
      </c>
      <c r="X52" t="e">
        <f ca="1">IF((A1)=(2),"",IF((49)=(X3),IF(IF((INDEX(B1:XFD1,((A2)+(1))+(0)))=("store"),(INDEX(B1:XFD1,((A2)+(1))+(1)))=("X"),"false"),B2,X52),X52))</f>
        <v>#VALUE!</v>
      </c>
      <c r="Y52" t="e">
        <f ca="1">IF((A1)=(2),"",IF((49)=(Y3),IF(IF((INDEX(B1:XFD1,((A2)+(1))+(0)))=("store"),(INDEX(B1:XFD1,((A2)+(1))+(1)))=("Y"),"false"),B2,Y52),Y52))</f>
        <v>#VALUE!</v>
      </c>
      <c r="Z52" t="e">
        <f ca="1">IF((A1)=(2),"",IF((49)=(Z3),IF(IF((INDEX(B1:XFD1,((A2)+(1))+(0)))=("store"),(INDEX(B1:XFD1,((A2)+(1))+(1)))=("Z"),"false"),B2,Z52),Z52))</f>
        <v>#VALUE!</v>
      </c>
      <c r="AA52" t="e">
        <f ca="1">IF((A1)=(2),"",IF((49)=(AA3),IF(IF((INDEX(B1:XFD1,((A2)+(1))+(0)))=("store"),(INDEX(B1:XFD1,((A2)+(1))+(1)))=("AA"),"false"),B2,AA52),AA52))</f>
        <v>#VALUE!</v>
      </c>
      <c r="AB52" t="e">
        <f ca="1">IF((A1)=(2),"",IF((49)=(AB3),IF(IF((INDEX(B1:XFD1,((A2)+(1))+(0)))=("store"),(INDEX(B1:XFD1,((A2)+(1))+(1)))=("AB"),"false"),B2,AB52),AB52))</f>
        <v>#VALUE!</v>
      </c>
      <c r="AC52" t="e">
        <f ca="1">IF((A1)=(2),"",IF((49)=(AC3),IF(IF((INDEX(B1:XFD1,((A2)+(1))+(0)))=("store"),(INDEX(B1:XFD1,((A2)+(1))+(1)))=("AC"),"false"),B2,AC52),AC52))</f>
        <v>#VALUE!</v>
      </c>
      <c r="AD52" t="e">
        <f ca="1">IF((A1)=(2),"",IF((49)=(AD3),IF(IF((INDEX(B1:XFD1,((A2)+(1))+(0)))=("store"),(INDEX(B1:XFD1,((A2)+(1))+(1)))=("AD"),"false"),B2,AD52),AD52))</f>
        <v>#VALUE!</v>
      </c>
    </row>
    <row r="53" spans="1:30" x14ac:dyDescent="0.25">
      <c r="A53" t="e">
        <f ca="1">IF((A1)=(2),"",IF((50)=(A3),IF(("call")=(INDEX(B1:XFD1,((A2)+(1))+(0))),(B2)*(2),IF(("goto")=(INDEX(B1:XFD1,((A2)+(1))+(0))),(INDEX(B1:XFD1,((A2)+(1))+(1)))*(2),IF(("gotoiftrue")=(INDEX(B1:XFD1,((A2)+(1))+(0))),IF(B2,(INDEX(B1:XFD1,((A2)+(1))+(1)))*(2),(A53)+(2)),(A53)+(2)))),A53))</f>
        <v>#VALUE!</v>
      </c>
      <c r="B53" t="e">
        <f ca="1">IF((A1)=(2),"",IF((50)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53)+(1)),IF(("add")=(INDEX(B1:XFD1,((A2)+(1))+(0))),(INDEX(B4:B404,(B3)+(1)))+(B53),IF(("equals")=(INDEX(B1:XFD1,((A2)+(1))+(0))),(INDEX(B4:B404,(B3)+(1)))=(B53),IF(("leq")=(INDEX(B1:XFD1,((A2)+(1))+(0))),(INDEX(B4:B404,(B3)+(1)))&lt;=(B53),IF(("greater")=(INDEX(B1:XFD1,((A2)+(1))+(0))),(INDEX(B4:B404,(B3)+(1)))&gt;(B53),IF(("mod")=(INDEX(B1:XFD1,((A2)+(1))+(0))),MOD(INDEX(B4:B404,(B3)+(1)),B53),B53))))))))),B53))</f>
        <v>#VALUE!</v>
      </c>
      <c r="C53" t="e">
        <f ca="1">IF((A1)=(2),1,IF(AND((INDEX(B1:XFD1,((A2)+(1))+(0)))=("writeheap"),(INDEX(B4:B404,(B3)+(1)))=(49)),INDEX(B4:B404,(B3)+(2)),IF((A1)=(2),"",IF((50)=(C3),C53,C53))))</f>
        <v>#VALUE!</v>
      </c>
      <c r="E53" t="e">
        <f ca="1">IF((A1)=(2),"",IF((50)=(E3),IF(("outputline")=(INDEX(B1:XFD1,((A2)+(1))+(0))),B2,E53),E53))</f>
        <v>#VALUE!</v>
      </c>
      <c r="F53" t="e">
        <f ca="1">IF((A1)=(2),"",IF((50)=(F3),IF(IF((INDEX(B1:XFD1,((A2)+(1))+(0)))=("store"),(INDEX(B1:XFD1,((A2)+(1))+(1)))=("F"),"false"),B2,F53),F53))</f>
        <v>#VALUE!</v>
      </c>
      <c r="G53" t="e">
        <f ca="1">IF((A1)=(2),"",IF((50)=(G3),IF(IF((INDEX(B1:XFD1,((A2)+(1))+(0)))=("store"),(INDEX(B1:XFD1,((A2)+(1))+(1)))=("G"),"false"),B2,G53),G53))</f>
        <v>#VALUE!</v>
      </c>
      <c r="H53" t="e">
        <f ca="1">IF((A1)=(2),"",IF((50)=(H3),IF(IF((INDEX(B1:XFD1,((A2)+(1))+(0)))=("store"),(INDEX(B1:XFD1,((A2)+(1))+(1)))=("H"),"false"),B2,H53),H53))</f>
        <v>#VALUE!</v>
      </c>
      <c r="I53" t="e">
        <f ca="1">IF((A1)=(2),"",IF((50)=(I3),IF(IF((INDEX(B1:XFD1,((A2)+(1))+(0)))=("store"),(INDEX(B1:XFD1,((A2)+(1))+(1)))=("I"),"false"),B2,I53),I53))</f>
        <v>#VALUE!</v>
      </c>
      <c r="J53" t="e">
        <f ca="1">IF((A1)=(2),"",IF((50)=(J3),IF(IF((INDEX(B1:XFD1,((A2)+(1))+(0)))=("store"),(INDEX(B1:XFD1,((A2)+(1))+(1)))=("J"),"false"),B2,J53),J53))</f>
        <v>#VALUE!</v>
      </c>
      <c r="K53" t="e">
        <f ca="1">IF((A1)=(2),"",IF((50)=(K3),IF(IF((INDEX(B1:XFD1,((A2)+(1))+(0)))=("store"),(INDEX(B1:XFD1,((A2)+(1))+(1)))=("K"),"false"),B2,K53),K53))</f>
        <v>#VALUE!</v>
      </c>
      <c r="L53" t="e">
        <f ca="1">IF((A1)=(2),"",IF((50)=(L3),IF(IF((INDEX(B1:XFD1,((A2)+(1))+(0)))=("store"),(INDEX(B1:XFD1,((A2)+(1))+(1)))=("L"),"false"),B2,L53),L53))</f>
        <v>#VALUE!</v>
      </c>
      <c r="M53" t="e">
        <f ca="1">IF((A1)=(2),"",IF((50)=(M3),IF(IF((INDEX(B1:XFD1,((A2)+(1))+(0)))=("store"),(INDEX(B1:XFD1,((A2)+(1))+(1)))=("M"),"false"),B2,M53),M53))</f>
        <v>#VALUE!</v>
      </c>
      <c r="N53" t="e">
        <f ca="1">IF((A1)=(2),"",IF((50)=(N3),IF(IF((INDEX(B1:XFD1,((A2)+(1))+(0)))=("store"),(INDEX(B1:XFD1,((A2)+(1))+(1)))=("N"),"false"),B2,N53),N53))</f>
        <v>#VALUE!</v>
      </c>
      <c r="O53" t="e">
        <f ca="1">IF((A1)=(2),"",IF((50)=(O3),IF(IF((INDEX(B1:XFD1,((A2)+(1))+(0)))=("store"),(INDEX(B1:XFD1,((A2)+(1))+(1)))=("O"),"false"),B2,O53),O53))</f>
        <v>#VALUE!</v>
      </c>
      <c r="P53" t="e">
        <f ca="1">IF((A1)=(2),"",IF((50)=(P3),IF(IF((INDEX(B1:XFD1,((A2)+(1))+(0)))=("store"),(INDEX(B1:XFD1,((A2)+(1))+(1)))=("P"),"false"),B2,P53),P53))</f>
        <v>#VALUE!</v>
      </c>
      <c r="Q53" t="e">
        <f ca="1">IF((A1)=(2),"",IF((50)=(Q3),IF(IF((INDEX(B1:XFD1,((A2)+(1))+(0)))=("store"),(INDEX(B1:XFD1,((A2)+(1))+(1)))=("Q"),"false"),B2,Q53),Q53))</f>
        <v>#VALUE!</v>
      </c>
      <c r="R53" t="e">
        <f ca="1">IF((A1)=(2),"",IF((50)=(R3),IF(IF((INDEX(B1:XFD1,((A2)+(1))+(0)))=("store"),(INDEX(B1:XFD1,((A2)+(1))+(1)))=("R"),"false"),B2,R53),R53))</f>
        <v>#VALUE!</v>
      </c>
      <c r="S53" t="e">
        <f ca="1">IF((A1)=(2),"",IF((50)=(S3),IF(IF((INDEX(B1:XFD1,((A2)+(1))+(0)))=("store"),(INDEX(B1:XFD1,((A2)+(1))+(1)))=("S"),"false"),B2,S53),S53))</f>
        <v>#VALUE!</v>
      </c>
      <c r="T53" t="e">
        <f ca="1">IF((A1)=(2),"",IF((50)=(T3),IF(IF((INDEX(B1:XFD1,((A2)+(1))+(0)))=("store"),(INDEX(B1:XFD1,((A2)+(1))+(1)))=("T"),"false"),B2,T53),T53))</f>
        <v>#VALUE!</v>
      </c>
      <c r="U53" t="e">
        <f ca="1">IF((A1)=(2),"",IF((50)=(U3),IF(IF((INDEX(B1:XFD1,((A2)+(1))+(0)))=("store"),(INDEX(B1:XFD1,((A2)+(1))+(1)))=("U"),"false"),B2,U53),U53))</f>
        <v>#VALUE!</v>
      </c>
      <c r="V53" t="e">
        <f ca="1">IF((A1)=(2),"",IF((50)=(V3),IF(IF((INDEX(B1:XFD1,((A2)+(1))+(0)))=("store"),(INDEX(B1:XFD1,((A2)+(1))+(1)))=("V"),"false"),B2,V53),V53))</f>
        <v>#VALUE!</v>
      </c>
      <c r="W53" t="e">
        <f ca="1">IF((A1)=(2),"",IF((50)=(W3),IF(IF((INDEX(B1:XFD1,((A2)+(1))+(0)))=("store"),(INDEX(B1:XFD1,((A2)+(1))+(1)))=("W"),"false"),B2,W53),W53))</f>
        <v>#VALUE!</v>
      </c>
      <c r="X53" t="e">
        <f ca="1">IF((A1)=(2),"",IF((50)=(X3),IF(IF((INDEX(B1:XFD1,((A2)+(1))+(0)))=("store"),(INDEX(B1:XFD1,((A2)+(1))+(1)))=("X"),"false"),B2,X53),X53))</f>
        <v>#VALUE!</v>
      </c>
      <c r="Y53" t="e">
        <f ca="1">IF((A1)=(2),"",IF((50)=(Y3),IF(IF((INDEX(B1:XFD1,((A2)+(1))+(0)))=("store"),(INDEX(B1:XFD1,((A2)+(1))+(1)))=("Y"),"false"),B2,Y53),Y53))</f>
        <v>#VALUE!</v>
      </c>
      <c r="Z53" t="e">
        <f ca="1">IF((A1)=(2),"",IF((50)=(Z3),IF(IF((INDEX(B1:XFD1,((A2)+(1))+(0)))=("store"),(INDEX(B1:XFD1,((A2)+(1))+(1)))=("Z"),"false"),B2,Z53),Z53))</f>
        <v>#VALUE!</v>
      </c>
      <c r="AA53" t="e">
        <f ca="1">IF((A1)=(2),"",IF((50)=(AA3),IF(IF((INDEX(B1:XFD1,((A2)+(1))+(0)))=("store"),(INDEX(B1:XFD1,((A2)+(1))+(1)))=("AA"),"false"),B2,AA53),AA53))</f>
        <v>#VALUE!</v>
      </c>
      <c r="AB53" t="e">
        <f ca="1">IF((A1)=(2),"",IF((50)=(AB3),IF(IF((INDEX(B1:XFD1,((A2)+(1))+(0)))=("store"),(INDEX(B1:XFD1,((A2)+(1))+(1)))=("AB"),"false"),B2,AB53),AB53))</f>
        <v>#VALUE!</v>
      </c>
      <c r="AC53" t="e">
        <f ca="1">IF((A1)=(2),"",IF((50)=(AC3),IF(IF((INDEX(B1:XFD1,((A2)+(1))+(0)))=("store"),(INDEX(B1:XFD1,((A2)+(1))+(1)))=("AC"),"false"),B2,AC53),AC53))</f>
        <v>#VALUE!</v>
      </c>
      <c r="AD53" t="e">
        <f ca="1">IF((A1)=(2),"",IF((50)=(AD3),IF(IF((INDEX(B1:XFD1,((A2)+(1))+(0)))=("store"),(INDEX(B1:XFD1,((A2)+(1))+(1)))=("AD"),"false"),B2,AD53),AD53))</f>
        <v>#VALUE!</v>
      </c>
    </row>
    <row r="54" spans="1:30" x14ac:dyDescent="0.25">
      <c r="A54" t="e">
        <f ca="1">IF((A1)=(2),"",IF((51)=(A3),IF(("call")=(INDEX(B1:XFD1,((A2)+(1))+(0))),(B2)*(2),IF(("goto")=(INDEX(B1:XFD1,((A2)+(1))+(0))),(INDEX(B1:XFD1,((A2)+(1))+(1)))*(2),IF(("gotoiftrue")=(INDEX(B1:XFD1,((A2)+(1))+(0))),IF(B2,(INDEX(B1:XFD1,((A2)+(1))+(1)))*(2),(A54)+(2)),(A54)+(2)))),A54))</f>
        <v>#VALUE!</v>
      </c>
      <c r="B54" t="e">
        <f ca="1">IF((A1)=(2),"",IF((51)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54)+(1)),IF(("add")=(INDEX(B1:XFD1,((A2)+(1))+(0))),(INDEX(B4:B404,(B3)+(1)))+(B54),IF(("equals")=(INDEX(B1:XFD1,((A2)+(1))+(0))),(INDEX(B4:B404,(B3)+(1)))=(B54),IF(("leq")=(INDEX(B1:XFD1,((A2)+(1))+(0))),(INDEX(B4:B404,(B3)+(1)))&lt;=(B54),IF(("greater")=(INDEX(B1:XFD1,((A2)+(1))+(0))),(INDEX(B4:B404,(B3)+(1)))&gt;(B54),IF(("mod")=(INDEX(B1:XFD1,((A2)+(1))+(0))),MOD(INDEX(B4:B404,(B3)+(1)),B54),B54))))))))),B54))</f>
        <v>#VALUE!</v>
      </c>
      <c r="C54" t="e">
        <f ca="1">IF((A1)=(2),1,IF(AND((INDEX(B1:XFD1,((A2)+(1))+(0)))=("writeheap"),(INDEX(B4:B404,(B3)+(1)))=(50)),INDEX(B4:B404,(B3)+(2)),IF((A1)=(2),"",IF((51)=(C3),C54,C54))))</f>
        <v>#VALUE!</v>
      </c>
      <c r="E54" t="e">
        <f ca="1">IF((A1)=(2),"",IF((51)=(E3),IF(("outputline")=(INDEX(B1:XFD1,((A2)+(1))+(0))),B2,E54),E54))</f>
        <v>#VALUE!</v>
      </c>
      <c r="F54" t="e">
        <f ca="1">IF((A1)=(2),"",IF((51)=(F3),IF(IF((INDEX(B1:XFD1,((A2)+(1))+(0)))=("store"),(INDEX(B1:XFD1,((A2)+(1))+(1)))=("F"),"false"),B2,F54),F54))</f>
        <v>#VALUE!</v>
      </c>
      <c r="G54" t="e">
        <f ca="1">IF((A1)=(2),"",IF((51)=(G3),IF(IF((INDEX(B1:XFD1,((A2)+(1))+(0)))=("store"),(INDEX(B1:XFD1,((A2)+(1))+(1)))=("G"),"false"),B2,G54),G54))</f>
        <v>#VALUE!</v>
      </c>
      <c r="H54" t="e">
        <f ca="1">IF((A1)=(2),"",IF((51)=(H3),IF(IF((INDEX(B1:XFD1,((A2)+(1))+(0)))=("store"),(INDEX(B1:XFD1,((A2)+(1))+(1)))=("H"),"false"),B2,H54),H54))</f>
        <v>#VALUE!</v>
      </c>
      <c r="I54" t="e">
        <f ca="1">IF((A1)=(2),"",IF((51)=(I3),IF(IF((INDEX(B1:XFD1,((A2)+(1))+(0)))=("store"),(INDEX(B1:XFD1,((A2)+(1))+(1)))=("I"),"false"),B2,I54),I54))</f>
        <v>#VALUE!</v>
      </c>
      <c r="J54" t="e">
        <f ca="1">IF((A1)=(2),"",IF((51)=(J3),IF(IF((INDEX(B1:XFD1,((A2)+(1))+(0)))=("store"),(INDEX(B1:XFD1,((A2)+(1))+(1)))=("J"),"false"),B2,J54),J54))</f>
        <v>#VALUE!</v>
      </c>
      <c r="K54" t="e">
        <f ca="1">IF((A1)=(2),"",IF((51)=(K3),IF(IF((INDEX(B1:XFD1,((A2)+(1))+(0)))=("store"),(INDEX(B1:XFD1,((A2)+(1))+(1)))=("K"),"false"),B2,K54),K54))</f>
        <v>#VALUE!</v>
      </c>
      <c r="L54" t="e">
        <f ca="1">IF((A1)=(2),"",IF((51)=(L3),IF(IF((INDEX(B1:XFD1,((A2)+(1))+(0)))=("store"),(INDEX(B1:XFD1,((A2)+(1))+(1)))=("L"),"false"),B2,L54),L54))</f>
        <v>#VALUE!</v>
      </c>
      <c r="M54" t="e">
        <f ca="1">IF((A1)=(2),"",IF((51)=(M3),IF(IF((INDEX(B1:XFD1,((A2)+(1))+(0)))=("store"),(INDEX(B1:XFD1,((A2)+(1))+(1)))=("M"),"false"),B2,M54),M54))</f>
        <v>#VALUE!</v>
      </c>
      <c r="N54" t="e">
        <f ca="1">IF((A1)=(2),"",IF((51)=(N3),IF(IF((INDEX(B1:XFD1,((A2)+(1))+(0)))=("store"),(INDEX(B1:XFD1,((A2)+(1))+(1)))=("N"),"false"),B2,N54),N54))</f>
        <v>#VALUE!</v>
      </c>
      <c r="O54" t="e">
        <f ca="1">IF((A1)=(2),"",IF((51)=(O3),IF(IF((INDEX(B1:XFD1,((A2)+(1))+(0)))=("store"),(INDEX(B1:XFD1,((A2)+(1))+(1)))=("O"),"false"),B2,O54),O54))</f>
        <v>#VALUE!</v>
      </c>
      <c r="P54" t="e">
        <f ca="1">IF((A1)=(2),"",IF((51)=(P3),IF(IF((INDEX(B1:XFD1,((A2)+(1))+(0)))=("store"),(INDEX(B1:XFD1,((A2)+(1))+(1)))=("P"),"false"),B2,P54),P54))</f>
        <v>#VALUE!</v>
      </c>
      <c r="Q54" t="e">
        <f ca="1">IF((A1)=(2),"",IF((51)=(Q3),IF(IF((INDEX(B1:XFD1,((A2)+(1))+(0)))=("store"),(INDEX(B1:XFD1,((A2)+(1))+(1)))=("Q"),"false"),B2,Q54),Q54))</f>
        <v>#VALUE!</v>
      </c>
      <c r="R54" t="e">
        <f ca="1">IF((A1)=(2),"",IF((51)=(R3),IF(IF((INDEX(B1:XFD1,((A2)+(1))+(0)))=("store"),(INDEX(B1:XFD1,((A2)+(1))+(1)))=("R"),"false"),B2,R54),R54))</f>
        <v>#VALUE!</v>
      </c>
      <c r="S54" t="e">
        <f ca="1">IF((A1)=(2),"",IF((51)=(S3),IF(IF((INDEX(B1:XFD1,((A2)+(1))+(0)))=("store"),(INDEX(B1:XFD1,((A2)+(1))+(1)))=("S"),"false"),B2,S54),S54))</f>
        <v>#VALUE!</v>
      </c>
      <c r="T54" t="e">
        <f ca="1">IF((A1)=(2),"",IF((51)=(T3),IF(IF((INDEX(B1:XFD1,((A2)+(1))+(0)))=("store"),(INDEX(B1:XFD1,((A2)+(1))+(1)))=("T"),"false"),B2,T54),T54))</f>
        <v>#VALUE!</v>
      </c>
      <c r="U54" t="e">
        <f ca="1">IF((A1)=(2),"",IF((51)=(U3),IF(IF((INDEX(B1:XFD1,((A2)+(1))+(0)))=("store"),(INDEX(B1:XFD1,((A2)+(1))+(1)))=("U"),"false"),B2,U54),U54))</f>
        <v>#VALUE!</v>
      </c>
      <c r="V54" t="e">
        <f ca="1">IF((A1)=(2),"",IF((51)=(V3),IF(IF((INDEX(B1:XFD1,((A2)+(1))+(0)))=("store"),(INDEX(B1:XFD1,((A2)+(1))+(1)))=("V"),"false"),B2,V54),V54))</f>
        <v>#VALUE!</v>
      </c>
      <c r="W54" t="e">
        <f ca="1">IF((A1)=(2),"",IF((51)=(W3),IF(IF((INDEX(B1:XFD1,((A2)+(1))+(0)))=("store"),(INDEX(B1:XFD1,((A2)+(1))+(1)))=("W"),"false"),B2,W54),W54))</f>
        <v>#VALUE!</v>
      </c>
      <c r="X54" t="e">
        <f ca="1">IF((A1)=(2),"",IF((51)=(X3),IF(IF((INDEX(B1:XFD1,((A2)+(1))+(0)))=("store"),(INDEX(B1:XFD1,((A2)+(1))+(1)))=("X"),"false"),B2,X54),X54))</f>
        <v>#VALUE!</v>
      </c>
      <c r="Y54" t="e">
        <f ca="1">IF((A1)=(2),"",IF((51)=(Y3),IF(IF((INDEX(B1:XFD1,((A2)+(1))+(0)))=("store"),(INDEX(B1:XFD1,((A2)+(1))+(1)))=("Y"),"false"),B2,Y54),Y54))</f>
        <v>#VALUE!</v>
      </c>
      <c r="Z54" t="e">
        <f ca="1">IF((A1)=(2),"",IF((51)=(Z3),IF(IF((INDEX(B1:XFD1,((A2)+(1))+(0)))=("store"),(INDEX(B1:XFD1,((A2)+(1))+(1)))=("Z"),"false"),B2,Z54),Z54))</f>
        <v>#VALUE!</v>
      </c>
      <c r="AA54" t="e">
        <f ca="1">IF((A1)=(2),"",IF((51)=(AA3),IF(IF((INDEX(B1:XFD1,((A2)+(1))+(0)))=("store"),(INDEX(B1:XFD1,((A2)+(1))+(1)))=("AA"),"false"),B2,AA54),AA54))</f>
        <v>#VALUE!</v>
      </c>
      <c r="AB54" t="e">
        <f ca="1">IF((A1)=(2),"",IF((51)=(AB3),IF(IF((INDEX(B1:XFD1,((A2)+(1))+(0)))=("store"),(INDEX(B1:XFD1,((A2)+(1))+(1)))=("AB"),"false"),B2,AB54),AB54))</f>
        <v>#VALUE!</v>
      </c>
      <c r="AC54" t="e">
        <f ca="1">IF((A1)=(2),"",IF((51)=(AC3),IF(IF((INDEX(B1:XFD1,((A2)+(1))+(0)))=("store"),(INDEX(B1:XFD1,((A2)+(1))+(1)))=("AC"),"false"),B2,AC54),AC54))</f>
        <v>#VALUE!</v>
      </c>
      <c r="AD54" t="e">
        <f ca="1">IF((A1)=(2),"",IF((51)=(AD3),IF(IF((INDEX(B1:XFD1,((A2)+(1))+(0)))=("store"),(INDEX(B1:XFD1,((A2)+(1))+(1)))=("AD"),"false"),B2,AD54),AD54))</f>
        <v>#VALUE!</v>
      </c>
    </row>
    <row r="55" spans="1:30" x14ac:dyDescent="0.25">
      <c r="A55" t="e">
        <f ca="1">IF((A1)=(2),"",IF((52)=(A3),IF(("call")=(INDEX(B1:XFD1,((A2)+(1))+(0))),(B2)*(2),IF(("goto")=(INDEX(B1:XFD1,((A2)+(1))+(0))),(INDEX(B1:XFD1,((A2)+(1))+(1)))*(2),IF(("gotoiftrue")=(INDEX(B1:XFD1,((A2)+(1))+(0))),IF(B2,(INDEX(B1:XFD1,((A2)+(1))+(1)))*(2),(A55)+(2)),(A55)+(2)))),A55))</f>
        <v>#VALUE!</v>
      </c>
      <c r="B55" t="e">
        <f ca="1">IF((A1)=(2),"",IF((52)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55)+(1)),IF(("add")=(INDEX(B1:XFD1,((A2)+(1))+(0))),(INDEX(B4:B404,(B3)+(1)))+(B55),IF(("equals")=(INDEX(B1:XFD1,((A2)+(1))+(0))),(INDEX(B4:B404,(B3)+(1)))=(B55),IF(("leq")=(INDEX(B1:XFD1,((A2)+(1))+(0))),(INDEX(B4:B404,(B3)+(1)))&lt;=(B55),IF(("greater")=(INDEX(B1:XFD1,((A2)+(1))+(0))),(INDEX(B4:B404,(B3)+(1)))&gt;(B55),IF(("mod")=(INDEX(B1:XFD1,((A2)+(1))+(0))),MOD(INDEX(B4:B404,(B3)+(1)),B55),B55))))))))),B55))</f>
        <v>#VALUE!</v>
      </c>
      <c r="C55" t="e">
        <f ca="1">IF((A1)=(2),1,IF(AND((INDEX(B1:XFD1,((A2)+(1))+(0)))=("writeheap"),(INDEX(B4:B404,(B3)+(1)))=(51)),INDEX(B4:B404,(B3)+(2)),IF((A1)=(2),"",IF((52)=(C3),C55,C55))))</f>
        <v>#VALUE!</v>
      </c>
      <c r="E55" t="e">
        <f ca="1">IF((A1)=(2),"",IF((52)=(E3),IF(("outputline")=(INDEX(B1:XFD1,((A2)+(1))+(0))),B2,E55),E55))</f>
        <v>#VALUE!</v>
      </c>
      <c r="F55" t="e">
        <f ca="1">IF((A1)=(2),"",IF((52)=(F3),IF(IF((INDEX(B1:XFD1,((A2)+(1))+(0)))=("store"),(INDEX(B1:XFD1,((A2)+(1))+(1)))=("F"),"false"),B2,F55),F55))</f>
        <v>#VALUE!</v>
      </c>
      <c r="G55" t="e">
        <f ca="1">IF((A1)=(2),"",IF((52)=(G3),IF(IF((INDEX(B1:XFD1,((A2)+(1))+(0)))=("store"),(INDEX(B1:XFD1,((A2)+(1))+(1)))=("G"),"false"),B2,G55),G55))</f>
        <v>#VALUE!</v>
      </c>
      <c r="H55" t="e">
        <f ca="1">IF((A1)=(2),"",IF((52)=(H3),IF(IF((INDEX(B1:XFD1,((A2)+(1))+(0)))=("store"),(INDEX(B1:XFD1,((A2)+(1))+(1)))=("H"),"false"),B2,H55),H55))</f>
        <v>#VALUE!</v>
      </c>
      <c r="I55" t="e">
        <f ca="1">IF((A1)=(2),"",IF((52)=(I3),IF(IF((INDEX(B1:XFD1,((A2)+(1))+(0)))=("store"),(INDEX(B1:XFD1,((A2)+(1))+(1)))=("I"),"false"),B2,I55),I55))</f>
        <v>#VALUE!</v>
      </c>
      <c r="J55" t="e">
        <f ca="1">IF((A1)=(2),"",IF((52)=(J3),IF(IF((INDEX(B1:XFD1,((A2)+(1))+(0)))=("store"),(INDEX(B1:XFD1,((A2)+(1))+(1)))=("J"),"false"),B2,J55),J55))</f>
        <v>#VALUE!</v>
      </c>
      <c r="K55" t="e">
        <f ca="1">IF((A1)=(2),"",IF((52)=(K3),IF(IF((INDEX(B1:XFD1,((A2)+(1))+(0)))=("store"),(INDEX(B1:XFD1,((A2)+(1))+(1)))=("K"),"false"),B2,K55),K55))</f>
        <v>#VALUE!</v>
      </c>
      <c r="L55" t="e">
        <f ca="1">IF((A1)=(2),"",IF((52)=(L3),IF(IF((INDEX(B1:XFD1,((A2)+(1))+(0)))=("store"),(INDEX(B1:XFD1,((A2)+(1))+(1)))=("L"),"false"),B2,L55),L55))</f>
        <v>#VALUE!</v>
      </c>
      <c r="M55" t="e">
        <f ca="1">IF((A1)=(2),"",IF((52)=(M3),IF(IF((INDEX(B1:XFD1,((A2)+(1))+(0)))=("store"),(INDEX(B1:XFD1,((A2)+(1))+(1)))=("M"),"false"),B2,M55),M55))</f>
        <v>#VALUE!</v>
      </c>
      <c r="N55" t="e">
        <f ca="1">IF((A1)=(2),"",IF((52)=(N3),IF(IF((INDEX(B1:XFD1,((A2)+(1))+(0)))=("store"),(INDEX(B1:XFD1,((A2)+(1))+(1)))=("N"),"false"),B2,N55),N55))</f>
        <v>#VALUE!</v>
      </c>
      <c r="O55" t="e">
        <f ca="1">IF((A1)=(2),"",IF((52)=(O3),IF(IF((INDEX(B1:XFD1,((A2)+(1))+(0)))=("store"),(INDEX(B1:XFD1,((A2)+(1))+(1)))=("O"),"false"),B2,O55),O55))</f>
        <v>#VALUE!</v>
      </c>
      <c r="P55" t="e">
        <f ca="1">IF((A1)=(2),"",IF((52)=(P3),IF(IF((INDEX(B1:XFD1,((A2)+(1))+(0)))=("store"),(INDEX(B1:XFD1,((A2)+(1))+(1)))=("P"),"false"),B2,P55),P55))</f>
        <v>#VALUE!</v>
      </c>
      <c r="Q55" t="e">
        <f ca="1">IF((A1)=(2),"",IF((52)=(Q3),IF(IF((INDEX(B1:XFD1,((A2)+(1))+(0)))=("store"),(INDEX(B1:XFD1,((A2)+(1))+(1)))=("Q"),"false"),B2,Q55),Q55))</f>
        <v>#VALUE!</v>
      </c>
      <c r="R55" t="e">
        <f ca="1">IF((A1)=(2),"",IF((52)=(R3),IF(IF((INDEX(B1:XFD1,((A2)+(1))+(0)))=("store"),(INDEX(B1:XFD1,((A2)+(1))+(1)))=("R"),"false"),B2,R55),R55))</f>
        <v>#VALUE!</v>
      </c>
      <c r="S55" t="e">
        <f ca="1">IF((A1)=(2),"",IF((52)=(S3),IF(IF((INDEX(B1:XFD1,((A2)+(1))+(0)))=("store"),(INDEX(B1:XFD1,((A2)+(1))+(1)))=("S"),"false"),B2,S55),S55))</f>
        <v>#VALUE!</v>
      </c>
      <c r="T55" t="e">
        <f ca="1">IF((A1)=(2),"",IF((52)=(T3),IF(IF((INDEX(B1:XFD1,((A2)+(1))+(0)))=("store"),(INDEX(B1:XFD1,((A2)+(1))+(1)))=("T"),"false"),B2,T55),T55))</f>
        <v>#VALUE!</v>
      </c>
      <c r="U55" t="e">
        <f ca="1">IF((A1)=(2),"",IF((52)=(U3),IF(IF((INDEX(B1:XFD1,((A2)+(1))+(0)))=("store"),(INDEX(B1:XFD1,((A2)+(1))+(1)))=("U"),"false"),B2,U55),U55))</f>
        <v>#VALUE!</v>
      </c>
      <c r="V55" t="e">
        <f ca="1">IF((A1)=(2),"",IF((52)=(V3),IF(IF((INDEX(B1:XFD1,((A2)+(1))+(0)))=("store"),(INDEX(B1:XFD1,((A2)+(1))+(1)))=("V"),"false"),B2,V55),V55))</f>
        <v>#VALUE!</v>
      </c>
      <c r="W55" t="e">
        <f ca="1">IF((A1)=(2),"",IF((52)=(W3),IF(IF((INDEX(B1:XFD1,((A2)+(1))+(0)))=("store"),(INDEX(B1:XFD1,((A2)+(1))+(1)))=("W"),"false"),B2,W55),W55))</f>
        <v>#VALUE!</v>
      </c>
      <c r="X55" t="e">
        <f ca="1">IF((A1)=(2),"",IF((52)=(X3),IF(IF((INDEX(B1:XFD1,((A2)+(1))+(0)))=("store"),(INDEX(B1:XFD1,((A2)+(1))+(1)))=("X"),"false"),B2,X55),X55))</f>
        <v>#VALUE!</v>
      </c>
      <c r="Y55" t="e">
        <f ca="1">IF((A1)=(2),"",IF((52)=(Y3),IF(IF((INDEX(B1:XFD1,((A2)+(1))+(0)))=("store"),(INDEX(B1:XFD1,((A2)+(1))+(1)))=("Y"),"false"),B2,Y55),Y55))</f>
        <v>#VALUE!</v>
      </c>
      <c r="Z55" t="e">
        <f ca="1">IF((A1)=(2),"",IF((52)=(Z3),IF(IF((INDEX(B1:XFD1,((A2)+(1))+(0)))=("store"),(INDEX(B1:XFD1,((A2)+(1))+(1)))=("Z"),"false"),B2,Z55),Z55))</f>
        <v>#VALUE!</v>
      </c>
      <c r="AA55" t="e">
        <f ca="1">IF((A1)=(2),"",IF((52)=(AA3),IF(IF((INDEX(B1:XFD1,((A2)+(1))+(0)))=("store"),(INDEX(B1:XFD1,((A2)+(1))+(1)))=("AA"),"false"),B2,AA55),AA55))</f>
        <v>#VALUE!</v>
      </c>
      <c r="AB55" t="e">
        <f ca="1">IF((A1)=(2),"",IF((52)=(AB3),IF(IF((INDEX(B1:XFD1,((A2)+(1))+(0)))=("store"),(INDEX(B1:XFD1,((A2)+(1))+(1)))=("AB"),"false"),B2,AB55),AB55))</f>
        <v>#VALUE!</v>
      </c>
      <c r="AC55" t="e">
        <f ca="1">IF((A1)=(2),"",IF((52)=(AC3),IF(IF((INDEX(B1:XFD1,((A2)+(1))+(0)))=("store"),(INDEX(B1:XFD1,((A2)+(1))+(1)))=("AC"),"false"),B2,AC55),AC55))</f>
        <v>#VALUE!</v>
      </c>
      <c r="AD55" t="e">
        <f ca="1">IF((A1)=(2),"",IF((52)=(AD3),IF(IF((INDEX(B1:XFD1,((A2)+(1))+(0)))=("store"),(INDEX(B1:XFD1,((A2)+(1))+(1)))=("AD"),"false"),B2,AD55),AD55))</f>
        <v>#VALUE!</v>
      </c>
    </row>
    <row r="56" spans="1:30" x14ac:dyDescent="0.25">
      <c r="A56" t="e">
        <f ca="1">IF((A1)=(2),"",IF((53)=(A3),IF(("call")=(INDEX(B1:XFD1,((A2)+(1))+(0))),(B2)*(2),IF(("goto")=(INDEX(B1:XFD1,((A2)+(1))+(0))),(INDEX(B1:XFD1,((A2)+(1))+(1)))*(2),IF(("gotoiftrue")=(INDEX(B1:XFD1,((A2)+(1))+(0))),IF(B2,(INDEX(B1:XFD1,((A2)+(1))+(1)))*(2),(A56)+(2)),(A56)+(2)))),A56))</f>
        <v>#VALUE!</v>
      </c>
      <c r="B56" t="e">
        <f ca="1">IF((A1)=(2),"",IF((53)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56)+(1)),IF(("add")=(INDEX(B1:XFD1,((A2)+(1))+(0))),(INDEX(B4:B404,(B3)+(1)))+(B56),IF(("equals")=(INDEX(B1:XFD1,((A2)+(1))+(0))),(INDEX(B4:B404,(B3)+(1)))=(B56),IF(("leq")=(INDEX(B1:XFD1,((A2)+(1))+(0))),(INDEX(B4:B404,(B3)+(1)))&lt;=(B56),IF(("greater")=(INDEX(B1:XFD1,((A2)+(1))+(0))),(INDEX(B4:B404,(B3)+(1)))&gt;(B56),IF(("mod")=(INDEX(B1:XFD1,((A2)+(1))+(0))),MOD(INDEX(B4:B404,(B3)+(1)),B56),B56))))))))),B56))</f>
        <v>#VALUE!</v>
      </c>
      <c r="C56" t="e">
        <f ca="1">IF((A1)=(2),1,IF(AND((INDEX(B1:XFD1,((A2)+(1))+(0)))=("writeheap"),(INDEX(B4:B404,(B3)+(1)))=(52)),INDEX(B4:B404,(B3)+(2)),IF((A1)=(2),"",IF((53)=(C3),C56,C56))))</f>
        <v>#VALUE!</v>
      </c>
      <c r="E56" t="e">
        <f ca="1">IF((A1)=(2),"",IF((53)=(E3),IF(("outputline")=(INDEX(B1:XFD1,((A2)+(1))+(0))),B2,E56),E56))</f>
        <v>#VALUE!</v>
      </c>
      <c r="F56" t="e">
        <f ca="1">IF((A1)=(2),"",IF((53)=(F3),IF(IF((INDEX(B1:XFD1,((A2)+(1))+(0)))=("store"),(INDEX(B1:XFD1,((A2)+(1))+(1)))=("F"),"false"),B2,F56),F56))</f>
        <v>#VALUE!</v>
      </c>
      <c r="G56" t="e">
        <f ca="1">IF((A1)=(2),"",IF((53)=(G3),IF(IF((INDEX(B1:XFD1,((A2)+(1))+(0)))=("store"),(INDEX(B1:XFD1,((A2)+(1))+(1)))=("G"),"false"),B2,G56),G56))</f>
        <v>#VALUE!</v>
      </c>
      <c r="H56" t="e">
        <f ca="1">IF((A1)=(2),"",IF((53)=(H3),IF(IF((INDEX(B1:XFD1,((A2)+(1))+(0)))=("store"),(INDEX(B1:XFD1,((A2)+(1))+(1)))=("H"),"false"),B2,H56),H56))</f>
        <v>#VALUE!</v>
      </c>
      <c r="I56" t="e">
        <f ca="1">IF((A1)=(2),"",IF((53)=(I3),IF(IF((INDEX(B1:XFD1,((A2)+(1))+(0)))=("store"),(INDEX(B1:XFD1,((A2)+(1))+(1)))=("I"),"false"),B2,I56),I56))</f>
        <v>#VALUE!</v>
      </c>
      <c r="J56" t="e">
        <f ca="1">IF((A1)=(2),"",IF((53)=(J3),IF(IF((INDEX(B1:XFD1,((A2)+(1))+(0)))=("store"),(INDEX(B1:XFD1,((A2)+(1))+(1)))=("J"),"false"),B2,J56),J56))</f>
        <v>#VALUE!</v>
      </c>
      <c r="K56" t="e">
        <f ca="1">IF((A1)=(2),"",IF((53)=(K3),IF(IF((INDEX(B1:XFD1,((A2)+(1))+(0)))=("store"),(INDEX(B1:XFD1,((A2)+(1))+(1)))=("K"),"false"),B2,K56),K56))</f>
        <v>#VALUE!</v>
      </c>
      <c r="L56" t="e">
        <f ca="1">IF((A1)=(2),"",IF((53)=(L3),IF(IF((INDEX(B1:XFD1,((A2)+(1))+(0)))=("store"),(INDEX(B1:XFD1,((A2)+(1))+(1)))=("L"),"false"),B2,L56),L56))</f>
        <v>#VALUE!</v>
      </c>
      <c r="M56" t="e">
        <f ca="1">IF((A1)=(2),"",IF((53)=(M3),IF(IF((INDEX(B1:XFD1,((A2)+(1))+(0)))=("store"),(INDEX(B1:XFD1,((A2)+(1))+(1)))=("M"),"false"),B2,M56),M56))</f>
        <v>#VALUE!</v>
      </c>
      <c r="N56" t="e">
        <f ca="1">IF((A1)=(2),"",IF((53)=(N3),IF(IF((INDEX(B1:XFD1,((A2)+(1))+(0)))=("store"),(INDEX(B1:XFD1,((A2)+(1))+(1)))=("N"),"false"),B2,N56),N56))</f>
        <v>#VALUE!</v>
      </c>
      <c r="O56" t="e">
        <f ca="1">IF((A1)=(2),"",IF((53)=(O3),IF(IF((INDEX(B1:XFD1,((A2)+(1))+(0)))=("store"),(INDEX(B1:XFD1,((A2)+(1))+(1)))=("O"),"false"),B2,O56),O56))</f>
        <v>#VALUE!</v>
      </c>
      <c r="P56" t="e">
        <f ca="1">IF((A1)=(2),"",IF((53)=(P3),IF(IF((INDEX(B1:XFD1,((A2)+(1))+(0)))=("store"),(INDEX(B1:XFD1,((A2)+(1))+(1)))=("P"),"false"),B2,P56),P56))</f>
        <v>#VALUE!</v>
      </c>
      <c r="Q56" t="e">
        <f ca="1">IF((A1)=(2),"",IF((53)=(Q3),IF(IF((INDEX(B1:XFD1,((A2)+(1))+(0)))=("store"),(INDEX(B1:XFD1,((A2)+(1))+(1)))=("Q"),"false"),B2,Q56),Q56))</f>
        <v>#VALUE!</v>
      </c>
      <c r="R56" t="e">
        <f ca="1">IF((A1)=(2),"",IF((53)=(R3),IF(IF((INDEX(B1:XFD1,((A2)+(1))+(0)))=("store"),(INDEX(B1:XFD1,((A2)+(1))+(1)))=("R"),"false"),B2,R56),R56))</f>
        <v>#VALUE!</v>
      </c>
      <c r="S56" t="e">
        <f ca="1">IF((A1)=(2),"",IF((53)=(S3),IF(IF((INDEX(B1:XFD1,((A2)+(1))+(0)))=("store"),(INDEX(B1:XFD1,((A2)+(1))+(1)))=("S"),"false"),B2,S56),S56))</f>
        <v>#VALUE!</v>
      </c>
      <c r="T56" t="e">
        <f ca="1">IF((A1)=(2),"",IF((53)=(T3),IF(IF((INDEX(B1:XFD1,((A2)+(1))+(0)))=("store"),(INDEX(B1:XFD1,((A2)+(1))+(1)))=("T"),"false"),B2,T56),T56))</f>
        <v>#VALUE!</v>
      </c>
      <c r="U56" t="e">
        <f ca="1">IF((A1)=(2),"",IF((53)=(U3),IF(IF((INDEX(B1:XFD1,((A2)+(1))+(0)))=("store"),(INDEX(B1:XFD1,((A2)+(1))+(1)))=("U"),"false"),B2,U56),U56))</f>
        <v>#VALUE!</v>
      </c>
      <c r="V56" t="e">
        <f ca="1">IF((A1)=(2),"",IF((53)=(V3),IF(IF((INDEX(B1:XFD1,((A2)+(1))+(0)))=("store"),(INDEX(B1:XFD1,((A2)+(1))+(1)))=("V"),"false"),B2,V56),V56))</f>
        <v>#VALUE!</v>
      </c>
      <c r="W56" t="e">
        <f ca="1">IF((A1)=(2),"",IF((53)=(W3),IF(IF((INDEX(B1:XFD1,((A2)+(1))+(0)))=("store"),(INDEX(B1:XFD1,((A2)+(1))+(1)))=("W"),"false"),B2,W56),W56))</f>
        <v>#VALUE!</v>
      </c>
      <c r="X56" t="e">
        <f ca="1">IF((A1)=(2),"",IF((53)=(X3),IF(IF((INDEX(B1:XFD1,((A2)+(1))+(0)))=("store"),(INDEX(B1:XFD1,((A2)+(1))+(1)))=("X"),"false"),B2,X56),X56))</f>
        <v>#VALUE!</v>
      </c>
      <c r="Y56" t="e">
        <f ca="1">IF((A1)=(2),"",IF((53)=(Y3),IF(IF((INDEX(B1:XFD1,((A2)+(1))+(0)))=("store"),(INDEX(B1:XFD1,((A2)+(1))+(1)))=("Y"),"false"),B2,Y56),Y56))</f>
        <v>#VALUE!</v>
      </c>
      <c r="Z56" t="e">
        <f ca="1">IF((A1)=(2),"",IF((53)=(Z3),IF(IF((INDEX(B1:XFD1,((A2)+(1))+(0)))=("store"),(INDEX(B1:XFD1,((A2)+(1))+(1)))=("Z"),"false"),B2,Z56),Z56))</f>
        <v>#VALUE!</v>
      </c>
      <c r="AA56" t="e">
        <f ca="1">IF((A1)=(2),"",IF((53)=(AA3),IF(IF((INDEX(B1:XFD1,((A2)+(1))+(0)))=("store"),(INDEX(B1:XFD1,((A2)+(1))+(1)))=("AA"),"false"),B2,AA56),AA56))</f>
        <v>#VALUE!</v>
      </c>
      <c r="AB56" t="e">
        <f ca="1">IF((A1)=(2),"",IF((53)=(AB3),IF(IF((INDEX(B1:XFD1,((A2)+(1))+(0)))=("store"),(INDEX(B1:XFD1,((A2)+(1))+(1)))=("AB"),"false"),B2,AB56),AB56))</f>
        <v>#VALUE!</v>
      </c>
      <c r="AC56" t="e">
        <f ca="1">IF((A1)=(2),"",IF((53)=(AC3),IF(IF((INDEX(B1:XFD1,((A2)+(1))+(0)))=("store"),(INDEX(B1:XFD1,((A2)+(1))+(1)))=("AC"),"false"),B2,AC56),AC56))</f>
        <v>#VALUE!</v>
      </c>
      <c r="AD56" t="e">
        <f ca="1">IF((A1)=(2),"",IF((53)=(AD3),IF(IF((INDEX(B1:XFD1,((A2)+(1))+(0)))=("store"),(INDEX(B1:XFD1,((A2)+(1))+(1)))=("AD"),"false"),B2,AD56),AD56))</f>
        <v>#VALUE!</v>
      </c>
    </row>
    <row r="57" spans="1:30" x14ac:dyDescent="0.25">
      <c r="A57" t="e">
        <f ca="1">IF((A1)=(2),"",IF((54)=(A3),IF(("call")=(INDEX(B1:XFD1,((A2)+(1))+(0))),(B2)*(2),IF(("goto")=(INDEX(B1:XFD1,((A2)+(1))+(0))),(INDEX(B1:XFD1,((A2)+(1))+(1)))*(2),IF(("gotoiftrue")=(INDEX(B1:XFD1,((A2)+(1))+(0))),IF(B2,(INDEX(B1:XFD1,((A2)+(1))+(1)))*(2),(A57)+(2)),(A57)+(2)))),A57))</f>
        <v>#VALUE!</v>
      </c>
      <c r="B57" t="e">
        <f ca="1">IF((A1)=(2),"",IF((54)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57)+(1)),IF(("add")=(INDEX(B1:XFD1,((A2)+(1))+(0))),(INDEX(B4:B404,(B3)+(1)))+(B57),IF(("equals")=(INDEX(B1:XFD1,((A2)+(1))+(0))),(INDEX(B4:B404,(B3)+(1)))=(B57),IF(("leq")=(INDEX(B1:XFD1,((A2)+(1))+(0))),(INDEX(B4:B404,(B3)+(1)))&lt;=(B57),IF(("greater")=(INDEX(B1:XFD1,((A2)+(1))+(0))),(INDEX(B4:B404,(B3)+(1)))&gt;(B57),IF(("mod")=(INDEX(B1:XFD1,((A2)+(1))+(0))),MOD(INDEX(B4:B404,(B3)+(1)),B57),B57))))))))),B57))</f>
        <v>#VALUE!</v>
      </c>
      <c r="C57" t="e">
        <f ca="1">IF((A1)=(2),1,IF(AND((INDEX(B1:XFD1,((A2)+(1))+(0)))=("writeheap"),(INDEX(B4:B404,(B3)+(1)))=(53)),INDEX(B4:B404,(B3)+(2)),IF((A1)=(2),"",IF((54)=(C3),C57,C57))))</f>
        <v>#VALUE!</v>
      </c>
      <c r="E57" t="e">
        <f ca="1">IF((A1)=(2),"",IF((54)=(E3),IF(("outputline")=(INDEX(B1:XFD1,((A2)+(1))+(0))),B2,E57),E57))</f>
        <v>#VALUE!</v>
      </c>
      <c r="F57" t="e">
        <f ca="1">IF((A1)=(2),"",IF((54)=(F3),IF(IF((INDEX(B1:XFD1,((A2)+(1))+(0)))=("store"),(INDEX(B1:XFD1,((A2)+(1))+(1)))=("F"),"false"),B2,F57),F57))</f>
        <v>#VALUE!</v>
      </c>
      <c r="G57" t="e">
        <f ca="1">IF((A1)=(2),"",IF((54)=(G3),IF(IF((INDEX(B1:XFD1,((A2)+(1))+(0)))=("store"),(INDEX(B1:XFD1,((A2)+(1))+(1)))=("G"),"false"),B2,G57),G57))</f>
        <v>#VALUE!</v>
      </c>
      <c r="H57" t="e">
        <f ca="1">IF((A1)=(2),"",IF((54)=(H3),IF(IF((INDEX(B1:XFD1,((A2)+(1))+(0)))=("store"),(INDEX(B1:XFD1,((A2)+(1))+(1)))=("H"),"false"),B2,H57),H57))</f>
        <v>#VALUE!</v>
      </c>
      <c r="I57" t="e">
        <f ca="1">IF((A1)=(2),"",IF((54)=(I3),IF(IF((INDEX(B1:XFD1,((A2)+(1))+(0)))=("store"),(INDEX(B1:XFD1,((A2)+(1))+(1)))=("I"),"false"),B2,I57),I57))</f>
        <v>#VALUE!</v>
      </c>
      <c r="J57" t="e">
        <f ca="1">IF((A1)=(2),"",IF((54)=(J3),IF(IF((INDEX(B1:XFD1,((A2)+(1))+(0)))=("store"),(INDEX(B1:XFD1,((A2)+(1))+(1)))=("J"),"false"),B2,J57),J57))</f>
        <v>#VALUE!</v>
      </c>
      <c r="K57" t="e">
        <f ca="1">IF((A1)=(2),"",IF((54)=(K3),IF(IF((INDEX(B1:XFD1,((A2)+(1))+(0)))=("store"),(INDEX(B1:XFD1,((A2)+(1))+(1)))=("K"),"false"),B2,K57),K57))</f>
        <v>#VALUE!</v>
      </c>
      <c r="L57" t="e">
        <f ca="1">IF((A1)=(2),"",IF((54)=(L3),IF(IF((INDEX(B1:XFD1,((A2)+(1))+(0)))=("store"),(INDEX(B1:XFD1,((A2)+(1))+(1)))=("L"),"false"),B2,L57),L57))</f>
        <v>#VALUE!</v>
      </c>
      <c r="M57" t="e">
        <f ca="1">IF((A1)=(2),"",IF((54)=(M3),IF(IF((INDEX(B1:XFD1,((A2)+(1))+(0)))=("store"),(INDEX(B1:XFD1,((A2)+(1))+(1)))=("M"),"false"),B2,M57),M57))</f>
        <v>#VALUE!</v>
      </c>
      <c r="N57" t="e">
        <f ca="1">IF((A1)=(2),"",IF((54)=(N3),IF(IF((INDEX(B1:XFD1,((A2)+(1))+(0)))=("store"),(INDEX(B1:XFD1,((A2)+(1))+(1)))=("N"),"false"),B2,N57),N57))</f>
        <v>#VALUE!</v>
      </c>
      <c r="O57" t="e">
        <f ca="1">IF((A1)=(2),"",IF((54)=(O3),IF(IF((INDEX(B1:XFD1,((A2)+(1))+(0)))=("store"),(INDEX(B1:XFD1,((A2)+(1))+(1)))=("O"),"false"),B2,O57),O57))</f>
        <v>#VALUE!</v>
      </c>
      <c r="P57" t="e">
        <f ca="1">IF((A1)=(2),"",IF((54)=(P3),IF(IF((INDEX(B1:XFD1,((A2)+(1))+(0)))=("store"),(INDEX(B1:XFD1,((A2)+(1))+(1)))=("P"),"false"),B2,P57),P57))</f>
        <v>#VALUE!</v>
      </c>
      <c r="Q57" t="e">
        <f ca="1">IF((A1)=(2),"",IF((54)=(Q3),IF(IF((INDEX(B1:XFD1,((A2)+(1))+(0)))=("store"),(INDEX(B1:XFD1,((A2)+(1))+(1)))=("Q"),"false"),B2,Q57),Q57))</f>
        <v>#VALUE!</v>
      </c>
      <c r="R57" t="e">
        <f ca="1">IF((A1)=(2),"",IF((54)=(R3),IF(IF((INDEX(B1:XFD1,((A2)+(1))+(0)))=("store"),(INDEX(B1:XFD1,((A2)+(1))+(1)))=("R"),"false"),B2,R57),R57))</f>
        <v>#VALUE!</v>
      </c>
      <c r="S57" t="e">
        <f ca="1">IF((A1)=(2),"",IF((54)=(S3),IF(IF((INDEX(B1:XFD1,((A2)+(1))+(0)))=("store"),(INDEX(B1:XFD1,((A2)+(1))+(1)))=("S"),"false"),B2,S57),S57))</f>
        <v>#VALUE!</v>
      </c>
      <c r="T57" t="e">
        <f ca="1">IF((A1)=(2),"",IF((54)=(T3),IF(IF((INDEX(B1:XFD1,((A2)+(1))+(0)))=("store"),(INDEX(B1:XFD1,((A2)+(1))+(1)))=("T"),"false"),B2,T57),T57))</f>
        <v>#VALUE!</v>
      </c>
      <c r="U57" t="e">
        <f ca="1">IF((A1)=(2),"",IF((54)=(U3),IF(IF((INDEX(B1:XFD1,((A2)+(1))+(0)))=("store"),(INDEX(B1:XFD1,((A2)+(1))+(1)))=("U"),"false"),B2,U57),U57))</f>
        <v>#VALUE!</v>
      </c>
      <c r="V57" t="e">
        <f ca="1">IF((A1)=(2),"",IF((54)=(V3),IF(IF((INDEX(B1:XFD1,((A2)+(1))+(0)))=("store"),(INDEX(B1:XFD1,((A2)+(1))+(1)))=("V"),"false"),B2,V57),V57))</f>
        <v>#VALUE!</v>
      </c>
      <c r="W57" t="e">
        <f ca="1">IF((A1)=(2),"",IF((54)=(W3),IF(IF((INDEX(B1:XFD1,((A2)+(1))+(0)))=("store"),(INDEX(B1:XFD1,((A2)+(1))+(1)))=("W"),"false"),B2,W57),W57))</f>
        <v>#VALUE!</v>
      </c>
      <c r="X57" t="e">
        <f ca="1">IF((A1)=(2),"",IF((54)=(X3),IF(IF((INDEX(B1:XFD1,((A2)+(1))+(0)))=("store"),(INDEX(B1:XFD1,((A2)+(1))+(1)))=("X"),"false"),B2,X57),X57))</f>
        <v>#VALUE!</v>
      </c>
      <c r="Y57" t="e">
        <f ca="1">IF((A1)=(2),"",IF((54)=(Y3),IF(IF((INDEX(B1:XFD1,((A2)+(1))+(0)))=("store"),(INDEX(B1:XFD1,((A2)+(1))+(1)))=("Y"),"false"),B2,Y57),Y57))</f>
        <v>#VALUE!</v>
      </c>
      <c r="Z57" t="e">
        <f ca="1">IF((A1)=(2),"",IF((54)=(Z3),IF(IF((INDEX(B1:XFD1,((A2)+(1))+(0)))=("store"),(INDEX(B1:XFD1,((A2)+(1))+(1)))=("Z"),"false"),B2,Z57),Z57))</f>
        <v>#VALUE!</v>
      </c>
      <c r="AA57" t="e">
        <f ca="1">IF((A1)=(2),"",IF((54)=(AA3),IF(IF((INDEX(B1:XFD1,((A2)+(1))+(0)))=("store"),(INDEX(B1:XFD1,((A2)+(1))+(1)))=("AA"),"false"),B2,AA57),AA57))</f>
        <v>#VALUE!</v>
      </c>
      <c r="AB57" t="e">
        <f ca="1">IF((A1)=(2),"",IF((54)=(AB3),IF(IF((INDEX(B1:XFD1,((A2)+(1))+(0)))=("store"),(INDEX(B1:XFD1,((A2)+(1))+(1)))=("AB"),"false"),B2,AB57),AB57))</f>
        <v>#VALUE!</v>
      </c>
      <c r="AC57" t="e">
        <f ca="1">IF((A1)=(2),"",IF((54)=(AC3),IF(IF((INDEX(B1:XFD1,((A2)+(1))+(0)))=("store"),(INDEX(B1:XFD1,((A2)+(1))+(1)))=("AC"),"false"),B2,AC57),AC57))</f>
        <v>#VALUE!</v>
      </c>
      <c r="AD57" t="e">
        <f ca="1">IF((A1)=(2),"",IF((54)=(AD3),IF(IF((INDEX(B1:XFD1,((A2)+(1))+(0)))=("store"),(INDEX(B1:XFD1,((A2)+(1))+(1)))=("AD"),"false"),B2,AD57),AD57))</f>
        <v>#VALUE!</v>
      </c>
    </row>
    <row r="58" spans="1:30" x14ac:dyDescent="0.25">
      <c r="A58" t="e">
        <f ca="1">IF((A1)=(2),"",IF((55)=(A3),IF(("call")=(INDEX(B1:XFD1,((A2)+(1))+(0))),(B2)*(2),IF(("goto")=(INDEX(B1:XFD1,((A2)+(1))+(0))),(INDEX(B1:XFD1,((A2)+(1))+(1)))*(2),IF(("gotoiftrue")=(INDEX(B1:XFD1,((A2)+(1))+(0))),IF(B2,(INDEX(B1:XFD1,((A2)+(1))+(1)))*(2),(A58)+(2)),(A58)+(2)))),A58))</f>
        <v>#VALUE!</v>
      </c>
      <c r="B58" t="e">
        <f ca="1">IF((A1)=(2),"",IF((55)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58)+(1)),IF(("add")=(INDEX(B1:XFD1,((A2)+(1))+(0))),(INDEX(B4:B404,(B3)+(1)))+(B58),IF(("equals")=(INDEX(B1:XFD1,((A2)+(1))+(0))),(INDEX(B4:B404,(B3)+(1)))=(B58),IF(("leq")=(INDEX(B1:XFD1,((A2)+(1))+(0))),(INDEX(B4:B404,(B3)+(1)))&lt;=(B58),IF(("greater")=(INDEX(B1:XFD1,((A2)+(1))+(0))),(INDEX(B4:B404,(B3)+(1)))&gt;(B58),IF(("mod")=(INDEX(B1:XFD1,((A2)+(1))+(0))),MOD(INDEX(B4:B404,(B3)+(1)),B58),B58))))))))),B58))</f>
        <v>#VALUE!</v>
      </c>
      <c r="C58" t="e">
        <f ca="1">IF((A1)=(2),1,IF(AND((INDEX(B1:XFD1,((A2)+(1))+(0)))=("writeheap"),(INDEX(B4:B404,(B3)+(1)))=(54)),INDEX(B4:B404,(B3)+(2)),IF((A1)=(2),"",IF((55)=(C3),C58,C58))))</f>
        <v>#VALUE!</v>
      </c>
      <c r="E58" t="e">
        <f ca="1">IF((A1)=(2),"",IF((55)=(E3),IF(("outputline")=(INDEX(B1:XFD1,((A2)+(1))+(0))),B2,E58),E58))</f>
        <v>#VALUE!</v>
      </c>
      <c r="F58" t="e">
        <f ca="1">IF((A1)=(2),"",IF((55)=(F3),IF(IF((INDEX(B1:XFD1,((A2)+(1))+(0)))=("store"),(INDEX(B1:XFD1,((A2)+(1))+(1)))=("F"),"false"),B2,F58),F58))</f>
        <v>#VALUE!</v>
      </c>
      <c r="G58" t="e">
        <f ca="1">IF((A1)=(2),"",IF((55)=(G3),IF(IF((INDEX(B1:XFD1,((A2)+(1))+(0)))=("store"),(INDEX(B1:XFD1,((A2)+(1))+(1)))=("G"),"false"),B2,G58),G58))</f>
        <v>#VALUE!</v>
      </c>
      <c r="H58" t="e">
        <f ca="1">IF((A1)=(2),"",IF((55)=(H3),IF(IF((INDEX(B1:XFD1,((A2)+(1))+(0)))=("store"),(INDEX(B1:XFD1,((A2)+(1))+(1)))=("H"),"false"),B2,H58),H58))</f>
        <v>#VALUE!</v>
      </c>
      <c r="I58" t="e">
        <f ca="1">IF((A1)=(2),"",IF((55)=(I3),IF(IF((INDEX(B1:XFD1,((A2)+(1))+(0)))=("store"),(INDEX(B1:XFD1,((A2)+(1))+(1)))=("I"),"false"),B2,I58),I58))</f>
        <v>#VALUE!</v>
      </c>
      <c r="J58" t="e">
        <f ca="1">IF((A1)=(2),"",IF((55)=(J3),IF(IF((INDEX(B1:XFD1,((A2)+(1))+(0)))=("store"),(INDEX(B1:XFD1,((A2)+(1))+(1)))=("J"),"false"),B2,J58),J58))</f>
        <v>#VALUE!</v>
      </c>
      <c r="K58" t="e">
        <f ca="1">IF((A1)=(2),"",IF((55)=(K3),IF(IF((INDEX(B1:XFD1,((A2)+(1))+(0)))=("store"),(INDEX(B1:XFD1,((A2)+(1))+(1)))=("K"),"false"),B2,K58),K58))</f>
        <v>#VALUE!</v>
      </c>
      <c r="L58" t="e">
        <f ca="1">IF((A1)=(2),"",IF((55)=(L3),IF(IF((INDEX(B1:XFD1,((A2)+(1))+(0)))=("store"),(INDEX(B1:XFD1,((A2)+(1))+(1)))=("L"),"false"),B2,L58),L58))</f>
        <v>#VALUE!</v>
      </c>
      <c r="M58" t="e">
        <f ca="1">IF((A1)=(2),"",IF((55)=(M3),IF(IF((INDEX(B1:XFD1,((A2)+(1))+(0)))=("store"),(INDEX(B1:XFD1,((A2)+(1))+(1)))=("M"),"false"),B2,M58),M58))</f>
        <v>#VALUE!</v>
      </c>
      <c r="N58" t="e">
        <f ca="1">IF((A1)=(2),"",IF((55)=(N3),IF(IF((INDEX(B1:XFD1,((A2)+(1))+(0)))=("store"),(INDEX(B1:XFD1,((A2)+(1))+(1)))=("N"),"false"),B2,N58),N58))</f>
        <v>#VALUE!</v>
      </c>
      <c r="O58" t="e">
        <f ca="1">IF((A1)=(2),"",IF((55)=(O3),IF(IF((INDEX(B1:XFD1,((A2)+(1))+(0)))=("store"),(INDEX(B1:XFD1,((A2)+(1))+(1)))=("O"),"false"),B2,O58),O58))</f>
        <v>#VALUE!</v>
      </c>
      <c r="P58" t="e">
        <f ca="1">IF((A1)=(2),"",IF((55)=(P3),IF(IF((INDEX(B1:XFD1,((A2)+(1))+(0)))=("store"),(INDEX(B1:XFD1,((A2)+(1))+(1)))=("P"),"false"),B2,P58),P58))</f>
        <v>#VALUE!</v>
      </c>
      <c r="Q58" t="e">
        <f ca="1">IF((A1)=(2),"",IF((55)=(Q3),IF(IF((INDEX(B1:XFD1,((A2)+(1))+(0)))=("store"),(INDEX(B1:XFD1,((A2)+(1))+(1)))=("Q"),"false"),B2,Q58),Q58))</f>
        <v>#VALUE!</v>
      </c>
      <c r="R58" t="e">
        <f ca="1">IF((A1)=(2),"",IF((55)=(R3),IF(IF((INDEX(B1:XFD1,((A2)+(1))+(0)))=("store"),(INDEX(B1:XFD1,((A2)+(1))+(1)))=("R"),"false"),B2,R58),R58))</f>
        <v>#VALUE!</v>
      </c>
      <c r="S58" t="e">
        <f ca="1">IF((A1)=(2),"",IF((55)=(S3),IF(IF((INDEX(B1:XFD1,((A2)+(1))+(0)))=("store"),(INDEX(B1:XFD1,((A2)+(1))+(1)))=("S"),"false"),B2,S58),S58))</f>
        <v>#VALUE!</v>
      </c>
      <c r="T58" t="e">
        <f ca="1">IF((A1)=(2),"",IF((55)=(T3),IF(IF((INDEX(B1:XFD1,((A2)+(1))+(0)))=("store"),(INDEX(B1:XFD1,((A2)+(1))+(1)))=("T"),"false"),B2,T58),T58))</f>
        <v>#VALUE!</v>
      </c>
      <c r="U58" t="e">
        <f ca="1">IF((A1)=(2),"",IF((55)=(U3),IF(IF((INDEX(B1:XFD1,((A2)+(1))+(0)))=("store"),(INDEX(B1:XFD1,((A2)+(1))+(1)))=("U"),"false"),B2,U58),U58))</f>
        <v>#VALUE!</v>
      </c>
      <c r="V58" t="e">
        <f ca="1">IF((A1)=(2),"",IF((55)=(V3),IF(IF((INDEX(B1:XFD1,((A2)+(1))+(0)))=("store"),(INDEX(B1:XFD1,((A2)+(1))+(1)))=("V"),"false"),B2,V58),V58))</f>
        <v>#VALUE!</v>
      </c>
      <c r="W58" t="e">
        <f ca="1">IF((A1)=(2),"",IF((55)=(W3),IF(IF((INDEX(B1:XFD1,((A2)+(1))+(0)))=("store"),(INDEX(B1:XFD1,((A2)+(1))+(1)))=("W"),"false"),B2,W58),W58))</f>
        <v>#VALUE!</v>
      </c>
      <c r="X58" t="e">
        <f ca="1">IF((A1)=(2),"",IF((55)=(X3),IF(IF((INDEX(B1:XFD1,((A2)+(1))+(0)))=("store"),(INDEX(B1:XFD1,((A2)+(1))+(1)))=("X"),"false"),B2,X58),X58))</f>
        <v>#VALUE!</v>
      </c>
      <c r="Y58" t="e">
        <f ca="1">IF((A1)=(2),"",IF((55)=(Y3),IF(IF((INDEX(B1:XFD1,((A2)+(1))+(0)))=("store"),(INDEX(B1:XFD1,((A2)+(1))+(1)))=("Y"),"false"),B2,Y58),Y58))</f>
        <v>#VALUE!</v>
      </c>
      <c r="Z58" t="e">
        <f ca="1">IF((A1)=(2),"",IF((55)=(Z3),IF(IF((INDEX(B1:XFD1,((A2)+(1))+(0)))=("store"),(INDEX(B1:XFD1,((A2)+(1))+(1)))=("Z"),"false"),B2,Z58),Z58))</f>
        <v>#VALUE!</v>
      </c>
      <c r="AA58" t="e">
        <f ca="1">IF((A1)=(2),"",IF((55)=(AA3),IF(IF((INDEX(B1:XFD1,((A2)+(1))+(0)))=("store"),(INDEX(B1:XFD1,((A2)+(1))+(1)))=("AA"),"false"),B2,AA58),AA58))</f>
        <v>#VALUE!</v>
      </c>
      <c r="AB58" t="e">
        <f ca="1">IF((A1)=(2),"",IF((55)=(AB3),IF(IF((INDEX(B1:XFD1,((A2)+(1))+(0)))=("store"),(INDEX(B1:XFD1,((A2)+(1))+(1)))=("AB"),"false"),B2,AB58),AB58))</f>
        <v>#VALUE!</v>
      </c>
      <c r="AC58" t="e">
        <f ca="1">IF((A1)=(2),"",IF((55)=(AC3),IF(IF((INDEX(B1:XFD1,((A2)+(1))+(0)))=("store"),(INDEX(B1:XFD1,((A2)+(1))+(1)))=("AC"),"false"),B2,AC58),AC58))</f>
        <v>#VALUE!</v>
      </c>
      <c r="AD58" t="e">
        <f ca="1">IF((A1)=(2),"",IF((55)=(AD3),IF(IF((INDEX(B1:XFD1,((A2)+(1))+(0)))=("store"),(INDEX(B1:XFD1,((A2)+(1))+(1)))=("AD"),"false"),B2,AD58),AD58))</f>
        <v>#VALUE!</v>
      </c>
    </row>
    <row r="59" spans="1:30" x14ac:dyDescent="0.25">
      <c r="A59" t="e">
        <f ca="1">IF((A1)=(2),"",IF((56)=(A3),IF(("call")=(INDEX(B1:XFD1,((A2)+(1))+(0))),(B2)*(2),IF(("goto")=(INDEX(B1:XFD1,((A2)+(1))+(0))),(INDEX(B1:XFD1,((A2)+(1))+(1)))*(2),IF(("gotoiftrue")=(INDEX(B1:XFD1,((A2)+(1))+(0))),IF(B2,(INDEX(B1:XFD1,((A2)+(1))+(1)))*(2),(A59)+(2)),(A59)+(2)))),A59))</f>
        <v>#VALUE!</v>
      </c>
      <c r="B59" t="e">
        <f ca="1">IF((A1)=(2),"",IF((56)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59)+(1)),IF(("add")=(INDEX(B1:XFD1,((A2)+(1))+(0))),(INDEX(B4:B404,(B3)+(1)))+(B59),IF(("equals")=(INDEX(B1:XFD1,((A2)+(1))+(0))),(INDEX(B4:B404,(B3)+(1)))=(B59),IF(("leq")=(INDEX(B1:XFD1,((A2)+(1))+(0))),(INDEX(B4:B404,(B3)+(1)))&lt;=(B59),IF(("greater")=(INDEX(B1:XFD1,((A2)+(1))+(0))),(INDEX(B4:B404,(B3)+(1)))&gt;(B59),IF(("mod")=(INDEX(B1:XFD1,((A2)+(1))+(0))),MOD(INDEX(B4:B404,(B3)+(1)),B59),B59))))))))),B59))</f>
        <v>#VALUE!</v>
      </c>
      <c r="C59" t="e">
        <f ca="1">IF((A1)=(2),1,IF(AND((INDEX(B1:XFD1,((A2)+(1))+(0)))=("writeheap"),(INDEX(B4:B404,(B3)+(1)))=(55)),INDEX(B4:B404,(B3)+(2)),IF((A1)=(2),"",IF((56)=(C3),C59,C59))))</f>
        <v>#VALUE!</v>
      </c>
      <c r="E59" t="e">
        <f ca="1">IF((A1)=(2),"",IF((56)=(E3),IF(("outputline")=(INDEX(B1:XFD1,((A2)+(1))+(0))),B2,E59),E59))</f>
        <v>#VALUE!</v>
      </c>
      <c r="F59" t="e">
        <f ca="1">IF((A1)=(2),"",IF((56)=(F3),IF(IF((INDEX(B1:XFD1,((A2)+(1))+(0)))=("store"),(INDEX(B1:XFD1,((A2)+(1))+(1)))=("F"),"false"),B2,F59),F59))</f>
        <v>#VALUE!</v>
      </c>
      <c r="G59" t="e">
        <f ca="1">IF((A1)=(2),"",IF((56)=(G3),IF(IF((INDEX(B1:XFD1,((A2)+(1))+(0)))=("store"),(INDEX(B1:XFD1,((A2)+(1))+(1)))=("G"),"false"),B2,G59),G59))</f>
        <v>#VALUE!</v>
      </c>
      <c r="H59" t="e">
        <f ca="1">IF((A1)=(2),"",IF((56)=(H3),IF(IF((INDEX(B1:XFD1,((A2)+(1))+(0)))=("store"),(INDEX(B1:XFD1,((A2)+(1))+(1)))=("H"),"false"),B2,H59),H59))</f>
        <v>#VALUE!</v>
      </c>
      <c r="I59" t="e">
        <f ca="1">IF((A1)=(2),"",IF((56)=(I3),IF(IF((INDEX(B1:XFD1,((A2)+(1))+(0)))=("store"),(INDEX(B1:XFD1,((A2)+(1))+(1)))=("I"),"false"),B2,I59),I59))</f>
        <v>#VALUE!</v>
      </c>
      <c r="J59" t="e">
        <f ca="1">IF((A1)=(2),"",IF((56)=(J3),IF(IF((INDEX(B1:XFD1,((A2)+(1))+(0)))=("store"),(INDEX(B1:XFD1,((A2)+(1))+(1)))=("J"),"false"),B2,J59),J59))</f>
        <v>#VALUE!</v>
      </c>
      <c r="K59" t="e">
        <f ca="1">IF((A1)=(2),"",IF((56)=(K3),IF(IF((INDEX(B1:XFD1,((A2)+(1))+(0)))=("store"),(INDEX(B1:XFD1,((A2)+(1))+(1)))=("K"),"false"),B2,K59),K59))</f>
        <v>#VALUE!</v>
      </c>
      <c r="L59" t="e">
        <f ca="1">IF((A1)=(2),"",IF((56)=(L3),IF(IF((INDEX(B1:XFD1,((A2)+(1))+(0)))=("store"),(INDEX(B1:XFD1,((A2)+(1))+(1)))=("L"),"false"),B2,L59),L59))</f>
        <v>#VALUE!</v>
      </c>
      <c r="M59" t="e">
        <f ca="1">IF((A1)=(2),"",IF((56)=(M3),IF(IF((INDEX(B1:XFD1,((A2)+(1))+(0)))=("store"),(INDEX(B1:XFD1,((A2)+(1))+(1)))=("M"),"false"),B2,M59),M59))</f>
        <v>#VALUE!</v>
      </c>
      <c r="N59" t="e">
        <f ca="1">IF((A1)=(2),"",IF((56)=(N3),IF(IF((INDEX(B1:XFD1,((A2)+(1))+(0)))=("store"),(INDEX(B1:XFD1,((A2)+(1))+(1)))=("N"),"false"),B2,N59),N59))</f>
        <v>#VALUE!</v>
      </c>
      <c r="O59" t="e">
        <f ca="1">IF((A1)=(2),"",IF((56)=(O3),IF(IF((INDEX(B1:XFD1,((A2)+(1))+(0)))=("store"),(INDEX(B1:XFD1,((A2)+(1))+(1)))=("O"),"false"),B2,O59),O59))</f>
        <v>#VALUE!</v>
      </c>
      <c r="P59" t="e">
        <f ca="1">IF((A1)=(2),"",IF((56)=(P3),IF(IF((INDEX(B1:XFD1,((A2)+(1))+(0)))=("store"),(INDEX(B1:XFD1,((A2)+(1))+(1)))=("P"),"false"),B2,P59),P59))</f>
        <v>#VALUE!</v>
      </c>
      <c r="Q59" t="e">
        <f ca="1">IF((A1)=(2),"",IF((56)=(Q3),IF(IF((INDEX(B1:XFD1,((A2)+(1))+(0)))=("store"),(INDEX(B1:XFD1,((A2)+(1))+(1)))=("Q"),"false"),B2,Q59),Q59))</f>
        <v>#VALUE!</v>
      </c>
      <c r="R59" t="e">
        <f ca="1">IF((A1)=(2),"",IF((56)=(R3),IF(IF((INDEX(B1:XFD1,((A2)+(1))+(0)))=("store"),(INDEX(B1:XFD1,((A2)+(1))+(1)))=("R"),"false"),B2,R59),R59))</f>
        <v>#VALUE!</v>
      </c>
      <c r="S59" t="e">
        <f ca="1">IF((A1)=(2),"",IF((56)=(S3),IF(IF((INDEX(B1:XFD1,((A2)+(1))+(0)))=("store"),(INDEX(B1:XFD1,((A2)+(1))+(1)))=("S"),"false"),B2,S59),S59))</f>
        <v>#VALUE!</v>
      </c>
      <c r="T59" t="e">
        <f ca="1">IF((A1)=(2),"",IF((56)=(T3),IF(IF((INDEX(B1:XFD1,((A2)+(1))+(0)))=("store"),(INDEX(B1:XFD1,((A2)+(1))+(1)))=("T"),"false"),B2,T59),T59))</f>
        <v>#VALUE!</v>
      </c>
      <c r="U59" t="e">
        <f ca="1">IF((A1)=(2),"",IF((56)=(U3),IF(IF((INDEX(B1:XFD1,((A2)+(1))+(0)))=("store"),(INDEX(B1:XFD1,((A2)+(1))+(1)))=("U"),"false"),B2,U59),U59))</f>
        <v>#VALUE!</v>
      </c>
      <c r="V59" t="e">
        <f ca="1">IF((A1)=(2),"",IF((56)=(V3),IF(IF((INDEX(B1:XFD1,((A2)+(1))+(0)))=("store"),(INDEX(B1:XFD1,((A2)+(1))+(1)))=("V"),"false"),B2,V59),V59))</f>
        <v>#VALUE!</v>
      </c>
      <c r="W59" t="e">
        <f ca="1">IF((A1)=(2),"",IF((56)=(W3),IF(IF((INDEX(B1:XFD1,((A2)+(1))+(0)))=("store"),(INDEX(B1:XFD1,((A2)+(1))+(1)))=("W"),"false"),B2,W59),W59))</f>
        <v>#VALUE!</v>
      </c>
      <c r="X59" t="e">
        <f ca="1">IF((A1)=(2),"",IF((56)=(X3),IF(IF((INDEX(B1:XFD1,((A2)+(1))+(0)))=("store"),(INDEX(B1:XFD1,((A2)+(1))+(1)))=("X"),"false"),B2,X59),X59))</f>
        <v>#VALUE!</v>
      </c>
      <c r="Y59" t="e">
        <f ca="1">IF((A1)=(2),"",IF((56)=(Y3),IF(IF((INDEX(B1:XFD1,((A2)+(1))+(0)))=("store"),(INDEX(B1:XFD1,((A2)+(1))+(1)))=("Y"),"false"),B2,Y59),Y59))</f>
        <v>#VALUE!</v>
      </c>
      <c r="Z59" t="e">
        <f ca="1">IF((A1)=(2),"",IF((56)=(Z3),IF(IF((INDEX(B1:XFD1,((A2)+(1))+(0)))=("store"),(INDEX(B1:XFD1,((A2)+(1))+(1)))=("Z"),"false"),B2,Z59),Z59))</f>
        <v>#VALUE!</v>
      </c>
      <c r="AA59" t="e">
        <f ca="1">IF((A1)=(2),"",IF((56)=(AA3),IF(IF((INDEX(B1:XFD1,((A2)+(1))+(0)))=("store"),(INDEX(B1:XFD1,((A2)+(1))+(1)))=("AA"),"false"),B2,AA59),AA59))</f>
        <v>#VALUE!</v>
      </c>
      <c r="AB59" t="e">
        <f ca="1">IF((A1)=(2),"",IF((56)=(AB3),IF(IF((INDEX(B1:XFD1,((A2)+(1))+(0)))=("store"),(INDEX(B1:XFD1,((A2)+(1))+(1)))=("AB"),"false"),B2,AB59),AB59))</f>
        <v>#VALUE!</v>
      </c>
      <c r="AC59" t="e">
        <f ca="1">IF((A1)=(2),"",IF((56)=(AC3),IF(IF((INDEX(B1:XFD1,((A2)+(1))+(0)))=("store"),(INDEX(B1:XFD1,((A2)+(1))+(1)))=("AC"),"false"),B2,AC59),AC59))</f>
        <v>#VALUE!</v>
      </c>
      <c r="AD59" t="e">
        <f ca="1">IF((A1)=(2),"",IF((56)=(AD3),IF(IF((INDEX(B1:XFD1,((A2)+(1))+(0)))=("store"),(INDEX(B1:XFD1,((A2)+(1))+(1)))=("AD"),"false"),B2,AD59),AD59))</f>
        <v>#VALUE!</v>
      </c>
    </row>
    <row r="60" spans="1:30" x14ac:dyDescent="0.25">
      <c r="A60" t="e">
        <f ca="1">IF((A1)=(2),"",IF((57)=(A3),IF(("call")=(INDEX(B1:XFD1,((A2)+(1))+(0))),(B2)*(2),IF(("goto")=(INDEX(B1:XFD1,((A2)+(1))+(0))),(INDEX(B1:XFD1,((A2)+(1))+(1)))*(2),IF(("gotoiftrue")=(INDEX(B1:XFD1,((A2)+(1))+(0))),IF(B2,(INDEX(B1:XFD1,((A2)+(1))+(1)))*(2),(A60)+(2)),(A60)+(2)))),A60))</f>
        <v>#VALUE!</v>
      </c>
      <c r="B60" t="e">
        <f ca="1">IF((A1)=(2),"",IF((57)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60)+(1)),IF(("add")=(INDEX(B1:XFD1,((A2)+(1))+(0))),(INDEX(B4:B404,(B3)+(1)))+(B60),IF(("equals")=(INDEX(B1:XFD1,((A2)+(1))+(0))),(INDEX(B4:B404,(B3)+(1)))=(B60),IF(("leq")=(INDEX(B1:XFD1,((A2)+(1))+(0))),(INDEX(B4:B404,(B3)+(1)))&lt;=(B60),IF(("greater")=(INDEX(B1:XFD1,((A2)+(1))+(0))),(INDEX(B4:B404,(B3)+(1)))&gt;(B60),IF(("mod")=(INDEX(B1:XFD1,((A2)+(1))+(0))),MOD(INDEX(B4:B404,(B3)+(1)),B60),B60))))))))),B60))</f>
        <v>#VALUE!</v>
      </c>
      <c r="C60" t="e">
        <f ca="1">IF((A1)=(2),1,IF(AND((INDEX(B1:XFD1,((A2)+(1))+(0)))=("writeheap"),(INDEX(B4:B404,(B3)+(1)))=(56)),INDEX(B4:B404,(B3)+(2)),IF((A1)=(2),"",IF((57)=(C3),C60,C60))))</f>
        <v>#VALUE!</v>
      </c>
      <c r="E60" t="e">
        <f ca="1">IF((A1)=(2),"",IF((57)=(E3),IF(("outputline")=(INDEX(B1:XFD1,((A2)+(1))+(0))),B2,E60),E60))</f>
        <v>#VALUE!</v>
      </c>
      <c r="F60" t="e">
        <f ca="1">IF((A1)=(2),"",IF((57)=(F3),IF(IF((INDEX(B1:XFD1,((A2)+(1))+(0)))=("store"),(INDEX(B1:XFD1,((A2)+(1))+(1)))=("F"),"false"),B2,F60),F60))</f>
        <v>#VALUE!</v>
      </c>
      <c r="G60" t="e">
        <f ca="1">IF((A1)=(2),"",IF((57)=(G3),IF(IF((INDEX(B1:XFD1,((A2)+(1))+(0)))=("store"),(INDEX(B1:XFD1,((A2)+(1))+(1)))=("G"),"false"),B2,G60),G60))</f>
        <v>#VALUE!</v>
      </c>
      <c r="H60" t="e">
        <f ca="1">IF((A1)=(2),"",IF((57)=(H3),IF(IF((INDEX(B1:XFD1,((A2)+(1))+(0)))=("store"),(INDEX(B1:XFD1,((A2)+(1))+(1)))=("H"),"false"),B2,H60),H60))</f>
        <v>#VALUE!</v>
      </c>
      <c r="I60" t="e">
        <f ca="1">IF((A1)=(2),"",IF((57)=(I3),IF(IF((INDEX(B1:XFD1,((A2)+(1))+(0)))=("store"),(INDEX(B1:XFD1,((A2)+(1))+(1)))=("I"),"false"),B2,I60),I60))</f>
        <v>#VALUE!</v>
      </c>
      <c r="J60" t="e">
        <f ca="1">IF((A1)=(2),"",IF((57)=(J3),IF(IF((INDEX(B1:XFD1,((A2)+(1))+(0)))=("store"),(INDEX(B1:XFD1,((A2)+(1))+(1)))=("J"),"false"),B2,J60),J60))</f>
        <v>#VALUE!</v>
      </c>
      <c r="K60" t="e">
        <f ca="1">IF((A1)=(2),"",IF((57)=(K3),IF(IF((INDEX(B1:XFD1,((A2)+(1))+(0)))=("store"),(INDEX(B1:XFD1,((A2)+(1))+(1)))=("K"),"false"),B2,K60),K60))</f>
        <v>#VALUE!</v>
      </c>
      <c r="L60" t="e">
        <f ca="1">IF((A1)=(2),"",IF((57)=(L3),IF(IF((INDEX(B1:XFD1,((A2)+(1))+(0)))=("store"),(INDEX(B1:XFD1,((A2)+(1))+(1)))=("L"),"false"),B2,L60),L60))</f>
        <v>#VALUE!</v>
      </c>
      <c r="M60" t="e">
        <f ca="1">IF((A1)=(2),"",IF((57)=(M3),IF(IF((INDEX(B1:XFD1,((A2)+(1))+(0)))=("store"),(INDEX(B1:XFD1,((A2)+(1))+(1)))=("M"),"false"),B2,M60),M60))</f>
        <v>#VALUE!</v>
      </c>
      <c r="N60" t="e">
        <f ca="1">IF((A1)=(2),"",IF((57)=(N3),IF(IF((INDEX(B1:XFD1,((A2)+(1))+(0)))=("store"),(INDEX(B1:XFD1,((A2)+(1))+(1)))=("N"),"false"),B2,N60),N60))</f>
        <v>#VALUE!</v>
      </c>
      <c r="O60" t="e">
        <f ca="1">IF((A1)=(2),"",IF((57)=(O3),IF(IF((INDEX(B1:XFD1,((A2)+(1))+(0)))=("store"),(INDEX(B1:XFD1,((A2)+(1))+(1)))=("O"),"false"),B2,O60),O60))</f>
        <v>#VALUE!</v>
      </c>
      <c r="P60" t="e">
        <f ca="1">IF((A1)=(2),"",IF((57)=(P3),IF(IF((INDEX(B1:XFD1,((A2)+(1))+(0)))=("store"),(INDEX(B1:XFD1,((A2)+(1))+(1)))=("P"),"false"),B2,P60),P60))</f>
        <v>#VALUE!</v>
      </c>
      <c r="Q60" t="e">
        <f ca="1">IF((A1)=(2),"",IF((57)=(Q3),IF(IF((INDEX(B1:XFD1,((A2)+(1))+(0)))=("store"),(INDEX(B1:XFD1,((A2)+(1))+(1)))=("Q"),"false"),B2,Q60),Q60))</f>
        <v>#VALUE!</v>
      </c>
      <c r="R60" t="e">
        <f ca="1">IF((A1)=(2),"",IF((57)=(R3),IF(IF((INDEX(B1:XFD1,((A2)+(1))+(0)))=("store"),(INDEX(B1:XFD1,((A2)+(1))+(1)))=("R"),"false"),B2,R60),R60))</f>
        <v>#VALUE!</v>
      </c>
      <c r="S60" t="e">
        <f ca="1">IF((A1)=(2),"",IF((57)=(S3),IF(IF((INDEX(B1:XFD1,((A2)+(1))+(0)))=("store"),(INDEX(B1:XFD1,((A2)+(1))+(1)))=("S"),"false"),B2,S60),S60))</f>
        <v>#VALUE!</v>
      </c>
      <c r="T60" t="e">
        <f ca="1">IF((A1)=(2),"",IF((57)=(T3),IF(IF((INDEX(B1:XFD1,((A2)+(1))+(0)))=("store"),(INDEX(B1:XFD1,((A2)+(1))+(1)))=("T"),"false"),B2,T60),T60))</f>
        <v>#VALUE!</v>
      </c>
      <c r="U60" t="e">
        <f ca="1">IF((A1)=(2),"",IF((57)=(U3),IF(IF((INDEX(B1:XFD1,((A2)+(1))+(0)))=("store"),(INDEX(B1:XFD1,((A2)+(1))+(1)))=("U"),"false"),B2,U60),U60))</f>
        <v>#VALUE!</v>
      </c>
      <c r="V60" t="e">
        <f ca="1">IF((A1)=(2),"",IF((57)=(V3),IF(IF((INDEX(B1:XFD1,((A2)+(1))+(0)))=("store"),(INDEX(B1:XFD1,((A2)+(1))+(1)))=("V"),"false"),B2,V60),V60))</f>
        <v>#VALUE!</v>
      </c>
      <c r="W60" t="e">
        <f ca="1">IF((A1)=(2),"",IF((57)=(W3),IF(IF((INDEX(B1:XFD1,((A2)+(1))+(0)))=("store"),(INDEX(B1:XFD1,((A2)+(1))+(1)))=("W"),"false"),B2,W60),W60))</f>
        <v>#VALUE!</v>
      </c>
      <c r="X60" t="e">
        <f ca="1">IF((A1)=(2),"",IF((57)=(X3),IF(IF((INDEX(B1:XFD1,((A2)+(1))+(0)))=("store"),(INDEX(B1:XFD1,((A2)+(1))+(1)))=("X"),"false"),B2,X60),X60))</f>
        <v>#VALUE!</v>
      </c>
      <c r="Y60" t="e">
        <f ca="1">IF((A1)=(2),"",IF((57)=(Y3),IF(IF((INDEX(B1:XFD1,((A2)+(1))+(0)))=("store"),(INDEX(B1:XFD1,((A2)+(1))+(1)))=("Y"),"false"),B2,Y60),Y60))</f>
        <v>#VALUE!</v>
      </c>
      <c r="Z60" t="e">
        <f ca="1">IF((A1)=(2),"",IF((57)=(Z3),IF(IF((INDEX(B1:XFD1,((A2)+(1))+(0)))=("store"),(INDEX(B1:XFD1,((A2)+(1))+(1)))=("Z"),"false"),B2,Z60),Z60))</f>
        <v>#VALUE!</v>
      </c>
      <c r="AA60" t="e">
        <f ca="1">IF((A1)=(2),"",IF((57)=(AA3),IF(IF((INDEX(B1:XFD1,((A2)+(1))+(0)))=("store"),(INDEX(B1:XFD1,((A2)+(1))+(1)))=("AA"),"false"),B2,AA60),AA60))</f>
        <v>#VALUE!</v>
      </c>
      <c r="AB60" t="e">
        <f ca="1">IF((A1)=(2),"",IF((57)=(AB3),IF(IF((INDEX(B1:XFD1,((A2)+(1))+(0)))=("store"),(INDEX(B1:XFD1,((A2)+(1))+(1)))=("AB"),"false"),B2,AB60),AB60))</f>
        <v>#VALUE!</v>
      </c>
      <c r="AC60" t="e">
        <f ca="1">IF((A1)=(2),"",IF((57)=(AC3),IF(IF((INDEX(B1:XFD1,((A2)+(1))+(0)))=("store"),(INDEX(B1:XFD1,((A2)+(1))+(1)))=("AC"),"false"),B2,AC60),AC60))</f>
        <v>#VALUE!</v>
      </c>
      <c r="AD60" t="e">
        <f ca="1">IF((A1)=(2),"",IF((57)=(AD3),IF(IF((INDEX(B1:XFD1,((A2)+(1))+(0)))=("store"),(INDEX(B1:XFD1,((A2)+(1))+(1)))=("AD"),"false"),B2,AD60),AD60))</f>
        <v>#VALUE!</v>
      </c>
    </row>
    <row r="61" spans="1:30" x14ac:dyDescent="0.25">
      <c r="A61" t="e">
        <f ca="1">IF((A1)=(2),"",IF((58)=(A3),IF(("call")=(INDEX(B1:XFD1,((A2)+(1))+(0))),(B2)*(2),IF(("goto")=(INDEX(B1:XFD1,((A2)+(1))+(0))),(INDEX(B1:XFD1,((A2)+(1))+(1)))*(2),IF(("gotoiftrue")=(INDEX(B1:XFD1,((A2)+(1))+(0))),IF(B2,(INDEX(B1:XFD1,((A2)+(1))+(1)))*(2),(A61)+(2)),(A61)+(2)))),A61))</f>
        <v>#VALUE!</v>
      </c>
      <c r="B61" t="e">
        <f ca="1">IF((A1)=(2),"",IF((58)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61)+(1)),IF(("add")=(INDEX(B1:XFD1,((A2)+(1))+(0))),(INDEX(B4:B404,(B3)+(1)))+(B61),IF(("equals")=(INDEX(B1:XFD1,((A2)+(1))+(0))),(INDEX(B4:B404,(B3)+(1)))=(B61),IF(("leq")=(INDEX(B1:XFD1,((A2)+(1))+(0))),(INDEX(B4:B404,(B3)+(1)))&lt;=(B61),IF(("greater")=(INDEX(B1:XFD1,((A2)+(1))+(0))),(INDEX(B4:B404,(B3)+(1)))&gt;(B61),IF(("mod")=(INDEX(B1:XFD1,((A2)+(1))+(0))),MOD(INDEX(B4:B404,(B3)+(1)),B61),B61))))))))),B61))</f>
        <v>#VALUE!</v>
      </c>
      <c r="C61" t="e">
        <f ca="1">IF((A1)=(2),1,IF(AND((INDEX(B1:XFD1,((A2)+(1))+(0)))=("writeheap"),(INDEX(B4:B404,(B3)+(1)))=(57)),INDEX(B4:B404,(B3)+(2)),IF((A1)=(2),"",IF((58)=(C3),C61,C61))))</f>
        <v>#VALUE!</v>
      </c>
      <c r="E61" t="e">
        <f ca="1">IF((A1)=(2),"",IF((58)=(E3),IF(("outputline")=(INDEX(B1:XFD1,((A2)+(1))+(0))),B2,E61),E61))</f>
        <v>#VALUE!</v>
      </c>
      <c r="F61" t="e">
        <f ca="1">IF((A1)=(2),"",IF((58)=(F3),IF(IF((INDEX(B1:XFD1,((A2)+(1))+(0)))=("store"),(INDEX(B1:XFD1,((A2)+(1))+(1)))=("F"),"false"),B2,F61),F61))</f>
        <v>#VALUE!</v>
      </c>
      <c r="G61" t="e">
        <f ca="1">IF((A1)=(2),"",IF((58)=(G3),IF(IF((INDEX(B1:XFD1,((A2)+(1))+(0)))=("store"),(INDEX(B1:XFD1,((A2)+(1))+(1)))=("G"),"false"),B2,G61),G61))</f>
        <v>#VALUE!</v>
      </c>
      <c r="H61" t="e">
        <f ca="1">IF((A1)=(2),"",IF((58)=(H3),IF(IF((INDEX(B1:XFD1,((A2)+(1))+(0)))=("store"),(INDEX(B1:XFD1,((A2)+(1))+(1)))=("H"),"false"),B2,H61),H61))</f>
        <v>#VALUE!</v>
      </c>
      <c r="I61" t="e">
        <f ca="1">IF((A1)=(2),"",IF((58)=(I3),IF(IF((INDEX(B1:XFD1,((A2)+(1))+(0)))=("store"),(INDEX(B1:XFD1,((A2)+(1))+(1)))=("I"),"false"),B2,I61),I61))</f>
        <v>#VALUE!</v>
      </c>
      <c r="J61" t="e">
        <f ca="1">IF((A1)=(2),"",IF((58)=(J3),IF(IF((INDEX(B1:XFD1,((A2)+(1))+(0)))=("store"),(INDEX(B1:XFD1,((A2)+(1))+(1)))=("J"),"false"),B2,J61),J61))</f>
        <v>#VALUE!</v>
      </c>
      <c r="K61" t="e">
        <f ca="1">IF((A1)=(2),"",IF((58)=(K3),IF(IF((INDEX(B1:XFD1,((A2)+(1))+(0)))=("store"),(INDEX(B1:XFD1,((A2)+(1))+(1)))=("K"),"false"),B2,K61),K61))</f>
        <v>#VALUE!</v>
      </c>
      <c r="L61" t="e">
        <f ca="1">IF((A1)=(2),"",IF((58)=(L3),IF(IF((INDEX(B1:XFD1,((A2)+(1))+(0)))=("store"),(INDEX(B1:XFD1,((A2)+(1))+(1)))=("L"),"false"),B2,L61),L61))</f>
        <v>#VALUE!</v>
      </c>
      <c r="M61" t="e">
        <f ca="1">IF((A1)=(2),"",IF((58)=(M3),IF(IF((INDEX(B1:XFD1,((A2)+(1))+(0)))=("store"),(INDEX(B1:XFD1,((A2)+(1))+(1)))=("M"),"false"),B2,M61),M61))</f>
        <v>#VALUE!</v>
      </c>
      <c r="N61" t="e">
        <f ca="1">IF((A1)=(2),"",IF((58)=(N3),IF(IF((INDEX(B1:XFD1,((A2)+(1))+(0)))=("store"),(INDEX(B1:XFD1,((A2)+(1))+(1)))=("N"),"false"),B2,N61),N61))</f>
        <v>#VALUE!</v>
      </c>
      <c r="O61" t="e">
        <f ca="1">IF((A1)=(2),"",IF((58)=(O3),IF(IF((INDEX(B1:XFD1,((A2)+(1))+(0)))=("store"),(INDEX(B1:XFD1,((A2)+(1))+(1)))=("O"),"false"),B2,O61),O61))</f>
        <v>#VALUE!</v>
      </c>
      <c r="P61" t="e">
        <f ca="1">IF((A1)=(2),"",IF((58)=(P3),IF(IF((INDEX(B1:XFD1,((A2)+(1))+(0)))=("store"),(INDEX(B1:XFD1,((A2)+(1))+(1)))=("P"),"false"),B2,P61),P61))</f>
        <v>#VALUE!</v>
      </c>
      <c r="Q61" t="e">
        <f ca="1">IF((A1)=(2),"",IF((58)=(Q3),IF(IF((INDEX(B1:XFD1,((A2)+(1))+(0)))=("store"),(INDEX(B1:XFD1,((A2)+(1))+(1)))=("Q"),"false"),B2,Q61),Q61))</f>
        <v>#VALUE!</v>
      </c>
      <c r="R61" t="e">
        <f ca="1">IF((A1)=(2),"",IF((58)=(R3),IF(IF((INDEX(B1:XFD1,((A2)+(1))+(0)))=("store"),(INDEX(B1:XFD1,((A2)+(1))+(1)))=("R"),"false"),B2,R61),R61))</f>
        <v>#VALUE!</v>
      </c>
      <c r="S61" t="e">
        <f ca="1">IF((A1)=(2),"",IF((58)=(S3),IF(IF((INDEX(B1:XFD1,((A2)+(1))+(0)))=("store"),(INDEX(B1:XFD1,((A2)+(1))+(1)))=("S"),"false"),B2,S61),S61))</f>
        <v>#VALUE!</v>
      </c>
      <c r="T61" t="e">
        <f ca="1">IF((A1)=(2),"",IF((58)=(T3),IF(IF((INDEX(B1:XFD1,((A2)+(1))+(0)))=("store"),(INDEX(B1:XFD1,((A2)+(1))+(1)))=("T"),"false"),B2,T61),T61))</f>
        <v>#VALUE!</v>
      </c>
      <c r="U61" t="e">
        <f ca="1">IF((A1)=(2),"",IF((58)=(U3),IF(IF((INDEX(B1:XFD1,((A2)+(1))+(0)))=("store"),(INDEX(B1:XFD1,((A2)+(1))+(1)))=("U"),"false"),B2,U61),U61))</f>
        <v>#VALUE!</v>
      </c>
      <c r="V61" t="e">
        <f ca="1">IF((A1)=(2),"",IF((58)=(V3),IF(IF((INDEX(B1:XFD1,((A2)+(1))+(0)))=("store"),(INDEX(B1:XFD1,((A2)+(1))+(1)))=("V"),"false"),B2,V61),V61))</f>
        <v>#VALUE!</v>
      </c>
      <c r="W61" t="e">
        <f ca="1">IF((A1)=(2),"",IF((58)=(W3),IF(IF((INDEX(B1:XFD1,((A2)+(1))+(0)))=("store"),(INDEX(B1:XFD1,((A2)+(1))+(1)))=("W"),"false"),B2,W61),W61))</f>
        <v>#VALUE!</v>
      </c>
      <c r="X61" t="e">
        <f ca="1">IF((A1)=(2),"",IF((58)=(X3),IF(IF((INDEX(B1:XFD1,((A2)+(1))+(0)))=("store"),(INDEX(B1:XFD1,((A2)+(1))+(1)))=("X"),"false"),B2,X61),X61))</f>
        <v>#VALUE!</v>
      </c>
      <c r="Y61" t="e">
        <f ca="1">IF((A1)=(2),"",IF((58)=(Y3),IF(IF((INDEX(B1:XFD1,((A2)+(1))+(0)))=("store"),(INDEX(B1:XFD1,((A2)+(1))+(1)))=("Y"),"false"),B2,Y61),Y61))</f>
        <v>#VALUE!</v>
      </c>
      <c r="Z61" t="e">
        <f ca="1">IF((A1)=(2),"",IF((58)=(Z3),IF(IF((INDEX(B1:XFD1,((A2)+(1))+(0)))=("store"),(INDEX(B1:XFD1,((A2)+(1))+(1)))=("Z"),"false"),B2,Z61),Z61))</f>
        <v>#VALUE!</v>
      </c>
      <c r="AA61" t="e">
        <f ca="1">IF((A1)=(2),"",IF((58)=(AA3),IF(IF((INDEX(B1:XFD1,((A2)+(1))+(0)))=("store"),(INDEX(B1:XFD1,((A2)+(1))+(1)))=("AA"),"false"),B2,AA61),AA61))</f>
        <v>#VALUE!</v>
      </c>
      <c r="AB61" t="e">
        <f ca="1">IF((A1)=(2),"",IF((58)=(AB3),IF(IF((INDEX(B1:XFD1,((A2)+(1))+(0)))=("store"),(INDEX(B1:XFD1,((A2)+(1))+(1)))=("AB"),"false"),B2,AB61),AB61))</f>
        <v>#VALUE!</v>
      </c>
      <c r="AC61" t="e">
        <f ca="1">IF((A1)=(2),"",IF((58)=(AC3),IF(IF((INDEX(B1:XFD1,((A2)+(1))+(0)))=("store"),(INDEX(B1:XFD1,((A2)+(1))+(1)))=("AC"),"false"),B2,AC61),AC61))</f>
        <v>#VALUE!</v>
      </c>
      <c r="AD61" t="e">
        <f ca="1">IF((A1)=(2),"",IF((58)=(AD3),IF(IF((INDEX(B1:XFD1,((A2)+(1))+(0)))=("store"),(INDEX(B1:XFD1,((A2)+(1))+(1)))=("AD"),"false"),B2,AD61),AD61))</f>
        <v>#VALUE!</v>
      </c>
    </row>
    <row r="62" spans="1:30" x14ac:dyDescent="0.25">
      <c r="A62" t="e">
        <f ca="1">IF((A1)=(2),"",IF((59)=(A3),IF(("call")=(INDEX(B1:XFD1,((A2)+(1))+(0))),(B2)*(2),IF(("goto")=(INDEX(B1:XFD1,((A2)+(1))+(0))),(INDEX(B1:XFD1,((A2)+(1))+(1)))*(2),IF(("gotoiftrue")=(INDEX(B1:XFD1,((A2)+(1))+(0))),IF(B2,(INDEX(B1:XFD1,((A2)+(1))+(1)))*(2),(A62)+(2)),(A62)+(2)))),A62))</f>
        <v>#VALUE!</v>
      </c>
      <c r="B62" t="e">
        <f ca="1">IF((A1)=(2),"",IF((59)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62)+(1)),IF(("add")=(INDEX(B1:XFD1,((A2)+(1))+(0))),(INDEX(B4:B404,(B3)+(1)))+(B62),IF(("equals")=(INDEX(B1:XFD1,((A2)+(1))+(0))),(INDEX(B4:B404,(B3)+(1)))=(B62),IF(("leq")=(INDEX(B1:XFD1,((A2)+(1))+(0))),(INDEX(B4:B404,(B3)+(1)))&lt;=(B62),IF(("greater")=(INDEX(B1:XFD1,((A2)+(1))+(0))),(INDEX(B4:B404,(B3)+(1)))&gt;(B62),IF(("mod")=(INDEX(B1:XFD1,((A2)+(1))+(0))),MOD(INDEX(B4:B404,(B3)+(1)),B62),B62))))))))),B62))</f>
        <v>#VALUE!</v>
      </c>
      <c r="C62" t="e">
        <f ca="1">IF((A1)=(2),1,IF(AND((INDEX(B1:XFD1,((A2)+(1))+(0)))=("writeheap"),(INDEX(B4:B404,(B3)+(1)))=(58)),INDEX(B4:B404,(B3)+(2)),IF((A1)=(2),"",IF((59)=(C3),C62,C62))))</f>
        <v>#VALUE!</v>
      </c>
      <c r="E62" t="e">
        <f ca="1">IF((A1)=(2),"",IF((59)=(E3),IF(("outputline")=(INDEX(B1:XFD1,((A2)+(1))+(0))),B2,E62),E62))</f>
        <v>#VALUE!</v>
      </c>
      <c r="F62" t="e">
        <f ca="1">IF((A1)=(2),"",IF((59)=(F3),IF(IF((INDEX(B1:XFD1,((A2)+(1))+(0)))=("store"),(INDEX(B1:XFD1,((A2)+(1))+(1)))=("F"),"false"),B2,F62),F62))</f>
        <v>#VALUE!</v>
      </c>
      <c r="G62" t="e">
        <f ca="1">IF((A1)=(2),"",IF((59)=(G3),IF(IF((INDEX(B1:XFD1,((A2)+(1))+(0)))=("store"),(INDEX(B1:XFD1,((A2)+(1))+(1)))=("G"),"false"),B2,G62),G62))</f>
        <v>#VALUE!</v>
      </c>
      <c r="H62" t="e">
        <f ca="1">IF((A1)=(2),"",IF((59)=(H3),IF(IF((INDEX(B1:XFD1,((A2)+(1))+(0)))=("store"),(INDEX(B1:XFD1,((A2)+(1))+(1)))=("H"),"false"),B2,H62),H62))</f>
        <v>#VALUE!</v>
      </c>
      <c r="I62" t="e">
        <f ca="1">IF((A1)=(2),"",IF((59)=(I3),IF(IF((INDEX(B1:XFD1,((A2)+(1))+(0)))=("store"),(INDEX(B1:XFD1,((A2)+(1))+(1)))=("I"),"false"),B2,I62),I62))</f>
        <v>#VALUE!</v>
      </c>
      <c r="J62" t="e">
        <f ca="1">IF((A1)=(2),"",IF((59)=(J3),IF(IF((INDEX(B1:XFD1,((A2)+(1))+(0)))=("store"),(INDEX(B1:XFD1,((A2)+(1))+(1)))=("J"),"false"),B2,J62),J62))</f>
        <v>#VALUE!</v>
      </c>
      <c r="K62" t="e">
        <f ca="1">IF((A1)=(2),"",IF((59)=(K3),IF(IF((INDEX(B1:XFD1,((A2)+(1))+(0)))=("store"),(INDEX(B1:XFD1,((A2)+(1))+(1)))=("K"),"false"),B2,K62),K62))</f>
        <v>#VALUE!</v>
      </c>
      <c r="L62" t="e">
        <f ca="1">IF((A1)=(2),"",IF((59)=(L3),IF(IF((INDEX(B1:XFD1,((A2)+(1))+(0)))=("store"),(INDEX(B1:XFD1,((A2)+(1))+(1)))=("L"),"false"),B2,L62),L62))</f>
        <v>#VALUE!</v>
      </c>
      <c r="M62" t="e">
        <f ca="1">IF((A1)=(2),"",IF((59)=(M3),IF(IF((INDEX(B1:XFD1,((A2)+(1))+(0)))=("store"),(INDEX(B1:XFD1,((A2)+(1))+(1)))=("M"),"false"),B2,M62),M62))</f>
        <v>#VALUE!</v>
      </c>
      <c r="N62" t="e">
        <f ca="1">IF((A1)=(2),"",IF((59)=(N3),IF(IF((INDEX(B1:XFD1,((A2)+(1))+(0)))=("store"),(INDEX(B1:XFD1,((A2)+(1))+(1)))=("N"),"false"),B2,N62),N62))</f>
        <v>#VALUE!</v>
      </c>
      <c r="O62" t="e">
        <f ca="1">IF((A1)=(2),"",IF((59)=(O3),IF(IF((INDEX(B1:XFD1,((A2)+(1))+(0)))=("store"),(INDEX(B1:XFD1,((A2)+(1))+(1)))=("O"),"false"),B2,O62),O62))</f>
        <v>#VALUE!</v>
      </c>
      <c r="P62" t="e">
        <f ca="1">IF((A1)=(2),"",IF((59)=(P3),IF(IF((INDEX(B1:XFD1,((A2)+(1))+(0)))=("store"),(INDEX(B1:XFD1,((A2)+(1))+(1)))=("P"),"false"),B2,P62),P62))</f>
        <v>#VALUE!</v>
      </c>
      <c r="Q62" t="e">
        <f ca="1">IF((A1)=(2),"",IF((59)=(Q3),IF(IF((INDEX(B1:XFD1,((A2)+(1))+(0)))=("store"),(INDEX(B1:XFD1,((A2)+(1))+(1)))=("Q"),"false"),B2,Q62),Q62))</f>
        <v>#VALUE!</v>
      </c>
      <c r="R62" t="e">
        <f ca="1">IF((A1)=(2),"",IF((59)=(R3),IF(IF((INDEX(B1:XFD1,((A2)+(1))+(0)))=("store"),(INDEX(B1:XFD1,((A2)+(1))+(1)))=("R"),"false"),B2,R62),R62))</f>
        <v>#VALUE!</v>
      </c>
      <c r="S62" t="e">
        <f ca="1">IF((A1)=(2),"",IF((59)=(S3),IF(IF((INDEX(B1:XFD1,((A2)+(1))+(0)))=("store"),(INDEX(B1:XFD1,((A2)+(1))+(1)))=("S"),"false"),B2,S62),S62))</f>
        <v>#VALUE!</v>
      </c>
      <c r="T62" t="e">
        <f ca="1">IF((A1)=(2),"",IF((59)=(T3),IF(IF((INDEX(B1:XFD1,((A2)+(1))+(0)))=("store"),(INDEX(B1:XFD1,((A2)+(1))+(1)))=("T"),"false"),B2,T62),T62))</f>
        <v>#VALUE!</v>
      </c>
      <c r="U62" t="e">
        <f ca="1">IF((A1)=(2),"",IF((59)=(U3),IF(IF((INDEX(B1:XFD1,((A2)+(1))+(0)))=("store"),(INDEX(B1:XFD1,((A2)+(1))+(1)))=("U"),"false"),B2,U62),U62))</f>
        <v>#VALUE!</v>
      </c>
      <c r="V62" t="e">
        <f ca="1">IF((A1)=(2),"",IF((59)=(V3),IF(IF((INDEX(B1:XFD1,((A2)+(1))+(0)))=("store"),(INDEX(B1:XFD1,((A2)+(1))+(1)))=("V"),"false"),B2,V62),V62))</f>
        <v>#VALUE!</v>
      </c>
      <c r="W62" t="e">
        <f ca="1">IF((A1)=(2),"",IF((59)=(W3),IF(IF((INDEX(B1:XFD1,((A2)+(1))+(0)))=("store"),(INDEX(B1:XFD1,((A2)+(1))+(1)))=("W"),"false"),B2,W62),W62))</f>
        <v>#VALUE!</v>
      </c>
      <c r="X62" t="e">
        <f ca="1">IF((A1)=(2),"",IF((59)=(X3),IF(IF((INDEX(B1:XFD1,((A2)+(1))+(0)))=("store"),(INDEX(B1:XFD1,((A2)+(1))+(1)))=("X"),"false"),B2,X62),X62))</f>
        <v>#VALUE!</v>
      </c>
      <c r="Y62" t="e">
        <f ca="1">IF((A1)=(2),"",IF((59)=(Y3),IF(IF((INDEX(B1:XFD1,((A2)+(1))+(0)))=("store"),(INDEX(B1:XFD1,((A2)+(1))+(1)))=("Y"),"false"),B2,Y62),Y62))</f>
        <v>#VALUE!</v>
      </c>
      <c r="Z62" t="e">
        <f ca="1">IF((A1)=(2),"",IF((59)=(Z3),IF(IF((INDEX(B1:XFD1,((A2)+(1))+(0)))=("store"),(INDEX(B1:XFD1,((A2)+(1))+(1)))=("Z"),"false"),B2,Z62),Z62))</f>
        <v>#VALUE!</v>
      </c>
      <c r="AA62" t="e">
        <f ca="1">IF((A1)=(2),"",IF((59)=(AA3),IF(IF((INDEX(B1:XFD1,((A2)+(1))+(0)))=("store"),(INDEX(B1:XFD1,((A2)+(1))+(1)))=("AA"),"false"),B2,AA62),AA62))</f>
        <v>#VALUE!</v>
      </c>
      <c r="AB62" t="e">
        <f ca="1">IF((A1)=(2),"",IF((59)=(AB3),IF(IF((INDEX(B1:XFD1,((A2)+(1))+(0)))=("store"),(INDEX(B1:XFD1,((A2)+(1))+(1)))=("AB"),"false"),B2,AB62),AB62))</f>
        <v>#VALUE!</v>
      </c>
      <c r="AC62" t="e">
        <f ca="1">IF((A1)=(2),"",IF((59)=(AC3),IF(IF((INDEX(B1:XFD1,((A2)+(1))+(0)))=("store"),(INDEX(B1:XFD1,((A2)+(1))+(1)))=("AC"),"false"),B2,AC62),AC62))</f>
        <v>#VALUE!</v>
      </c>
      <c r="AD62" t="e">
        <f ca="1">IF((A1)=(2),"",IF((59)=(AD3),IF(IF((INDEX(B1:XFD1,((A2)+(1))+(0)))=("store"),(INDEX(B1:XFD1,((A2)+(1))+(1)))=("AD"),"false"),B2,AD62),AD62))</f>
        <v>#VALUE!</v>
      </c>
    </row>
    <row r="63" spans="1:30" x14ac:dyDescent="0.25">
      <c r="A63" t="e">
        <f ca="1">IF((A1)=(2),"",IF((60)=(A3),IF(("call")=(INDEX(B1:XFD1,((A2)+(1))+(0))),(B2)*(2),IF(("goto")=(INDEX(B1:XFD1,((A2)+(1))+(0))),(INDEX(B1:XFD1,((A2)+(1))+(1)))*(2),IF(("gotoiftrue")=(INDEX(B1:XFD1,((A2)+(1))+(0))),IF(B2,(INDEX(B1:XFD1,((A2)+(1))+(1)))*(2),(A63)+(2)),(A63)+(2)))),A63))</f>
        <v>#VALUE!</v>
      </c>
      <c r="B63" t="e">
        <f ca="1">IF((A1)=(2),"",IF((60)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63)+(1)),IF(("add")=(INDEX(B1:XFD1,((A2)+(1))+(0))),(INDEX(B4:B404,(B3)+(1)))+(B63),IF(("equals")=(INDEX(B1:XFD1,((A2)+(1))+(0))),(INDEX(B4:B404,(B3)+(1)))=(B63),IF(("leq")=(INDEX(B1:XFD1,((A2)+(1))+(0))),(INDEX(B4:B404,(B3)+(1)))&lt;=(B63),IF(("greater")=(INDEX(B1:XFD1,((A2)+(1))+(0))),(INDEX(B4:B404,(B3)+(1)))&gt;(B63),IF(("mod")=(INDEX(B1:XFD1,((A2)+(1))+(0))),MOD(INDEX(B4:B404,(B3)+(1)),B63),B63))))))))),B63))</f>
        <v>#VALUE!</v>
      </c>
      <c r="C63" t="e">
        <f ca="1">IF((A1)=(2),1,IF(AND((INDEX(B1:XFD1,((A2)+(1))+(0)))=("writeheap"),(INDEX(B4:B404,(B3)+(1)))=(59)),INDEX(B4:B404,(B3)+(2)),IF((A1)=(2),"",IF((60)=(C3),C63,C63))))</f>
        <v>#VALUE!</v>
      </c>
      <c r="E63" t="e">
        <f ca="1">IF((A1)=(2),"",IF((60)=(E3),IF(("outputline")=(INDEX(B1:XFD1,((A2)+(1))+(0))),B2,E63),E63))</f>
        <v>#VALUE!</v>
      </c>
      <c r="F63" t="e">
        <f ca="1">IF((A1)=(2),"",IF((60)=(F3),IF(IF((INDEX(B1:XFD1,((A2)+(1))+(0)))=("store"),(INDEX(B1:XFD1,((A2)+(1))+(1)))=("F"),"false"),B2,F63),F63))</f>
        <v>#VALUE!</v>
      </c>
      <c r="G63" t="e">
        <f ca="1">IF((A1)=(2),"",IF((60)=(G3),IF(IF((INDEX(B1:XFD1,((A2)+(1))+(0)))=("store"),(INDEX(B1:XFD1,((A2)+(1))+(1)))=("G"),"false"),B2,G63),G63))</f>
        <v>#VALUE!</v>
      </c>
      <c r="H63" t="e">
        <f ca="1">IF((A1)=(2),"",IF((60)=(H3),IF(IF((INDEX(B1:XFD1,((A2)+(1))+(0)))=("store"),(INDEX(B1:XFD1,((A2)+(1))+(1)))=("H"),"false"),B2,H63),H63))</f>
        <v>#VALUE!</v>
      </c>
      <c r="I63" t="e">
        <f ca="1">IF((A1)=(2),"",IF((60)=(I3),IF(IF((INDEX(B1:XFD1,((A2)+(1))+(0)))=("store"),(INDEX(B1:XFD1,((A2)+(1))+(1)))=("I"),"false"),B2,I63),I63))</f>
        <v>#VALUE!</v>
      </c>
      <c r="J63" t="e">
        <f ca="1">IF((A1)=(2),"",IF((60)=(J3),IF(IF((INDEX(B1:XFD1,((A2)+(1))+(0)))=("store"),(INDEX(B1:XFD1,((A2)+(1))+(1)))=("J"),"false"),B2,J63),J63))</f>
        <v>#VALUE!</v>
      </c>
      <c r="K63" t="e">
        <f ca="1">IF((A1)=(2),"",IF((60)=(K3),IF(IF((INDEX(B1:XFD1,((A2)+(1))+(0)))=("store"),(INDEX(B1:XFD1,((A2)+(1))+(1)))=("K"),"false"),B2,K63),K63))</f>
        <v>#VALUE!</v>
      </c>
      <c r="L63" t="e">
        <f ca="1">IF((A1)=(2),"",IF((60)=(L3),IF(IF((INDEX(B1:XFD1,((A2)+(1))+(0)))=("store"),(INDEX(B1:XFD1,((A2)+(1))+(1)))=("L"),"false"),B2,L63),L63))</f>
        <v>#VALUE!</v>
      </c>
      <c r="M63" t="e">
        <f ca="1">IF((A1)=(2),"",IF((60)=(M3),IF(IF((INDEX(B1:XFD1,((A2)+(1))+(0)))=("store"),(INDEX(B1:XFD1,((A2)+(1))+(1)))=("M"),"false"),B2,M63),M63))</f>
        <v>#VALUE!</v>
      </c>
      <c r="N63" t="e">
        <f ca="1">IF((A1)=(2),"",IF((60)=(N3),IF(IF((INDEX(B1:XFD1,((A2)+(1))+(0)))=("store"),(INDEX(B1:XFD1,((A2)+(1))+(1)))=("N"),"false"),B2,N63),N63))</f>
        <v>#VALUE!</v>
      </c>
      <c r="O63" t="e">
        <f ca="1">IF((A1)=(2),"",IF((60)=(O3),IF(IF((INDEX(B1:XFD1,((A2)+(1))+(0)))=("store"),(INDEX(B1:XFD1,((A2)+(1))+(1)))=("O"),"false"),B2,O63),O63))</f>
        <v>#VALUE!</v>
      </c>
      <c r="P63" t="e">
        <f ca="1">IF((A1)=(2),"",IF((60)=(P3),IF(IF((INDEX(B1:XFD1,((A2)+(1))+(0)))=("store"),(INDEX(B1:XFD1,((A2)+(1))+(1)))=("P"),"false"),B2,P63),P63))</f>
        <v>#VALUE!</v>
      </c>
      <c r="Q63" t="e">
        <f ca="1">IF((A1)=(2),"",IF((60)=(Q3),IF(IF((INDEX(B1:XFD1,((A2)+(1))+(0)))=("store"),(INDEX(B1:XFD1,((A2)+(1))+(1)))=("Q"),"false"),B2,Q63),Q63))</f>
        <v>#VALUE!</v>
      </c>
      <c r="R63" t="e">
        <f ca="1">IF((A1)=(2),"",IF((60)=(R3),IF(IF((INDEX(B1:XFD1,((A2)+(1))+(0)))=("store"),(INDEX(B1:XFD1,((A2)+(1))+(1)))=("R"),"false"),B2,R63),R63))</f>
        <v>#VALUE!</v>
      </c>
      <c r="S63" t="e">
        <f ca="1">IF((A1)=(2),"",IF((60)=(S3),IF(IF((INDEX(B1:XFD1,((A2)+(1))+(0)))=("store"),(INDEX(B1:XFD1,((A2)+(1))+(1)))=("S"),"false"),B2,S63),S63))</f>
        <v>#VALUE!</v>
      </c>
      <c r="T63" t="e">
        <f ca="1">IF((A1)=(2),"",IF((60)=(T3),IF(IF((INDEX(B1:XFD1,((A2)+(1))+(0)))=("store"),(INDEX(B1:XFD1,((A2)+(1))+(1)))=("T"),"false"),B2,T63),T63))</f>
        <v>#VALUE!</v>
      </c>
      <c r="U63" t="e">
        <f ca="1">IF((A1)=(2),"",IF((60)=(U3),IF(IF((INDEX(B1:XFD1,((A2)+(1))+(0)))=("store"),(INDEX(B1:XFD1,((A2)+(1))+(1)))=("U"),"false"),B2,U63),U63))</f>
        <v>#VALUE!</v>
      </c>
      <c r="V63" t="e">
        <f ca="1">IF((A1)=(2),"",IF((60)=(V3),IF(IF((INDEX(B1:XFD1,((A2)+(1))+(0)))=("store"),(INDEX(B1:XFD1,((A2)+(1))+(1)))=("V"),"false"),B2,V63),V63))</f>
        <v>#VALUE!</v>
      </c>
      <c r="W63" t="e">
        <f ca="1">IF((A1)=(2),"",IF((60)=(W3),IF(IF((INDEX(B1:XFD1,((A2)+(1))+(0)))=("store"),(INDEX(B1:XFD1,((A2)+(1))+(1)))=("W"),"false"),B2,W63),W63))</f>
        <v>#VALUE!</v>
      </c>
      <c r="X63" t="e">
        <f ca="1">IF((A1)=(2),"",IF((60)=(X3),IF(IF((INDEX(B1:XFD1,((A2)+(1))+(0)))=("store"),(INDEX(B1:XFD1,((A2)+(1))+(1)))=("X"),"false"),B2,X63),X63))</f>
        <v>#VALUE!</v>
      </c>
      <c r="Y63" t="e">
        <f ca="1">IF((A1)=(2),"",IF((60)=(Y3),IF(IF((INDEX(B1:XFD1,((A2)+(1))+(0)))=("store"),(INDEX(B1:XFD1,((A2)+(1))+(1)))=("Y"),"false"),B2,Y63),Y63))</f>
        <v>#VALUE!</v>
      </c>
      <c r="Z63" t="e">
        <f ca="1">IF((A1)=(2),"",IF((60)=(Z3),IF(IF((INDEX(B1:XFD1,((A2)+(1))+(0)))=("store"),(INDEX(B1:XFD1,((A2)+(1))+(1)))=("Z"),"false"),B2,Z63),Z63))</f>
        <v>#VALUE!</v>
      </c>
      <c r="AA63" t="e">
        <f ca="1">IF((A1)=(2),"",IF((60)=(AA3),IF(IF((INDEX(B1:XFD1,((A2)+(1))+(0)))=("store"),(INDEX(B1:XFD1,((A2)+(1))+(1)))=("AA"),"false"),B2,AA63),AA63))</f>
        <v>#VALUE!</v>
      </c>
      <c r="AB63" t="e">
        <f ca="1">IF((A1)=(2),"",IF((60)=(AB3),IF(IF((INDEX(B1:XFD1,((A2)+(1))+(0)))=("store"),(INDEX(B1:XFD1,((A2)+(1))+(1)))=("AB"),"false"),B2,AB63),AB63))</f>
        <v>#VALUE!</v>
      </c>
      <c r="AC63" t="e">
        <f ca="1">IF((A1)=(2),"",IF((60)=(AC3),IF(IF((INDEX(B1:XFD1,((A2)+(1))+(0)))=("store"),(INDEX(B1:XFD1,((A2)+(1))+(1)))=("AC"),"false"),B2,AC63),AC63))</f>
        <v>#VALUE!</v>
      </c>
      <c r="AD63" t="e">
        <f ca="1">IF((A1)=(2),"",IF((60)=(AD3),IF(IF((INDEX(B1:XFD1,((A2)+(1))+(0)))=("store"),(INDEX(B1:XFD1,((A2)+(1))+(1)))=("AD"),"false"),B2,AD63),AD63))</f>
        <v>#VALUE!</v>
      </c>
    </row>
    <row r="64" spans="1:30" x14ac:dyDescent="0.25">
      <c r="A64" t="e">
        <f ca="1">IF((A1)=(2),"",IF((61)=(A3),IF(("call")=(INDEX(B1:XFD1,((A2)+(1))+(0))),(B2)*(2),IF(("goto")=(INDEX(B1:XFD1,((A2)+(1))+(0))),(INDEX(B1:XFD1,((A2)+(1))+(1)))*(2),IF(("gotoiftrue")=(INDEX(B1:XFD1,((A2)+(1))+(0))),IF(B2,(INDEX(B1:XFD1,((A2)+(1))+(1)))*(2),(A64)+(2)),(A64)+(2)))),A64))</f>
        <v>#VALUE!</v>
      </c>
      <c r="B64" t="e">
        <f ca="1">IF((A1)=(2),"",IF((61)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64)+(1)),IF(("add")=(INDEX(B1:XFD1,((A2)+(1))+(0))),(INDEX(B4:B404,(B3)+(1)))+(B64),IF(("equals")=(INDEX(B1:XFD1,((A2)+(1))+(0))),(INDEX(B4:B404,(B3)+(1)))=(B64),IF(("leq")=(INDEX(B1:XFD1,((A2)+(1))+(0))),(INDEX(B4:B404,(B3)+(1)))&lt;=(B64),IF(("greater")=(INDEX(B1:XFD1,((A2)+(1))+(0))),(INDEX(B4:B404,(B3)+(1)))&gt;(B64),IF(("mod")=(INDEX(B1:XFD1,((A2)+(1))+(0))),MOD(INDEX(B4:B404,(B3)+(1)),B64),B64))))))))),B64))</f>
        <v>#VALUE!</v>
      </c>
      <c r="C64" t="e">
        <f ca="1">IF((A1)=(2),1,IF(AND((INDEX(B1:XFD1,((A2)+(1))+(0)))=("writeheap"),(INDEX(B4:B404,(B3)+(1)))=(60)),INDEX(B4:B404,(B3)+(2)),IF((A1)=(2),"",IF((61)=(C3),C64,C64))))</f>
        <v>#VALUE!</v>
      </c>
      <c r="E64" t="e">
        <f ca="1">IF((A1)=(2),"",IF((61)=(E3),IF(("outputline")=(INDEX(B1:XFD1,((A2)+(1))+(0))),B2,E64),E64))</f>
        <v>#VALUE!</v>
      </c>
      <c r="F64" t="e">
        <f ca="1">IF((A1)=(2),"",IF((61)=(F3),IF(IF((INDEX(B1:XFD1,((A2)+(1))+(0)))=("store"),(INDEX(B1:XFD1,((A2)+(1))+(1)))=("F"),"false"),B2,F64),F64))</f>
        <v>#VALUE!</v>
      </c>
      <c r="G64" t="e">
        <f ca="1">IF((A1)=(2),"",IF((61)=(G3),IF(IF((INDEX(B1:XFD1,((A2)+(1))+(0)))=("store"),(INDEX(B1:XFD1,((A2)+(1))+(1)))=("G"),"false"),B2,G64),G64))</f>
        <v>#VALUE!</v>
      </c>
      <c r="H64" t="e">
        <f ca="1">IF((A1)=(2),"",IF((61)=(H3),IF(IF((INDEX(B1:XFD1,((A2)+(1))+(0)))=("store"),(INDEX(B1:XFD1,((A2)+(1))+(1)))=("H"),"false"),B2,H64),H64))</f>
        <v>#VALUE!</v>
      </c>
      <c r="I64" t="e">
        <f ca="1">IF((A1)=(2),"",IF((61)=(I3),IF(IF((INDEX(B1:XFD1,((A2)+(1))+(0)))=("store"),(INDEX(B1:XFD1,((A2)+(1))+(1)))=("I"),"false"),B2,I64),I64))</f>
        <v>#VALUE!</v>
      </c>
      <c r="J64" t="e">
        <f ca="1">IF((A1)=(2),"",IF((61)=(J3),IF(IF((INDEX(B1:XFD1,((A2)+(1))+(0)))=("store"),(INDEX(B1:XFD1,((A2)+(1))+(1)))=("J"),"false"),B2,J64),J64))</f>
        <v>#VALUE!</v>
      </c>
      <c r="K64" t="e">
        <f ca="1">IF((A1)=(2),"",IF((61)=(K3),IF(IF((INDEX(B1:XFD1,((A2)+(1))+(0)))=("store"),(INDEX(B1:XFD1,((A2)+(1))+(1)))=("K"),"false"),B2,K64),K64))</f>
        <v>#VALUE!</v>
      </c>
      <c r="L64" t="e">
        <f ca="1">IF((A1)=(2),"",IF((61)=(L3),IF(IF((INDEX(B1:XFD1,((A2)+(1))+(0)))=("store"),(INDEX(B1:XFD1,((A2)+(1))+(1)))=("L"),"false"),B2,L64),L64))</f>
        <v>#VALUE!</v>
      </c>
      <c r="M64" t="e">
        <f ca="1">IF((A1)=(2),"",IF((61)=(M3),IF(IF((INDEX(B1:XFD1,((A2)+(1))+(0)))=("store"),(INDEX(B1:XFD1,((A2)+(1))+(1)))=("M"),"false"),B2,M64),M64))</f>
        <v>#VALUE!</v>
      </c>
      <c r="N64" t="e">
        <f ca="1">IF((A1)=(2),"",IF((61)=(N3),IF(IF((INDEX(B1:XFD1,((A2)+(1))+(0)))=("store"),(INDEX(B1:XFD1,((A2)+(1))+(1)))=("N"),"false"),B2,N64),N64))</f>
        <v>#VALUE!</v>
      </c>
      <c r="O64" t="e">
        <f ca="1">IF((A1)=(2),"",IF((61)=(O3),IF(IF((INDEX(B1:XFD1,((A2)+(1))+(0)))=("store"),(INDEX(B1:XFD1,((A2)+(1))+(1)))=("O"),"false"),B2,O64),O64))</f>
        <v>#VALUE!</v>
      </c>
      <c r="P64" t="e">
        <f ca="1">IF((A1)=(2),"",IF((61)=(P3),IF(IF((INDEX(B1:XFD1,((A2)+(1))+(0)))=("store"),(INDEX(B1:XFD1,((A2)+(1))+(1)))=("P"),"false"),B2,P64),P64))</f>
        <v>#VALUE!</v>
      </c>
      <c r="Q64" t="e">
        <f ca="1">IF((A1)=(2),"",IF((61)=(Q3),IF(IF((INDEX(B1:XFD1,((A2)+(1))+(0)))=("store"),(INDEX(B1:XFD1,((A2)+(1))+(1)))=("Q"),"false"),B2,Q64),Q64))</f>
        <v>#VALUE!</v>
      </c>
      <c r="R64" t="e">
        <f ca="1">IF((A1)=(2),"",IF((61)=(R3),IF(IF((INDEX(B1:XFD1,((A2)+(1))+(0)))=("store"),(INDEX(B1:XFD1,((A2)+(1))+(1)))=("R"),"false"),B2,R64),R64))</f>
        <v>#VALUE!</v>
      </c>
      <c r="S64" t="e">
        <f ca="1">IF((A1)=(2),"",IF((61)=(S3),IF(IF((INDEX(B1:XFD1,((A2)+(1))+(0)))=("store"),(INDEX(B1:XFD1,((A2)+(1))+(1)))=("S"),"false"),B2,S64),S64))</f>
        <v>#VALUE!</v>
      </c>
      <c r="T64" t="e">
        <f ca="1">IF((A1)=(2),"",IF((61)=(T3),IF(IF((INDEX(B1:XFD1,((A2)+(1))+(0)))=("store"),(INDEX(B1:XFD1,((A2)+(1))+(1)))=("T"),"false"),B2,T64),T64))</f>
        <v>#VALUE!</v>
      </c>
      <c r="U64" t="e">
        <f ca="1">IF((A1)=(2),"",IF((61)=(U3),IF(IF((INDEX(B1:XFD1,((A2)+(1))+(0)))=("store"),(INDEX(B1:XFD1,((A2)+(1))+(1)))=("U"),"false"),B2,U64),U64))</f>
        <v>#VALUE!</v>
      </c>
      <c r="V64" t="e">
        <f ca="1">IF((A1)=(2),"",IF((61)=(V3),IF(IF((INDEX(B1:XFD1,((A2)+(1))+(0)))=("store"),(INDEX(B1:XFD1,((A2)+(1))+(1)))=("V"),"false"),B2,V64),V64))</f>
        <v>#VALUE!</v>
      </c>
      <c r="W64" t="e">
        <f ca="1">IF((A1)=(2),"",IF((61)=(W3),IF(IF((INDEX(B1:XFD1,((A2)+(1))+(0)))=("store"),(INDEX(B1:XFD1,((A2)+(1))+(1)))=("W"),"false"),B2,W64),W64))</f>
        <v>#VALUE!</v>
      </c>
      <c r="X64" t="e">
        <f ca="1">IF((A1)=(2),"",IF((61)=(X3),IF(IF((INDEX(B1:XFD1,((A2)+(1))+(0)))=("store"),(INDEX(B1:XFD1,((A2)+(1))+(1)))=("X"),"false"),B2,X64),X64))</f>
        <v>#VALUE!</v>
      </c>
      <c r="Y64" t="e">
        <f ca="1">IF((A1)=(2),"",IF((61)=(Y3),IF(IF((INDEX(B1:XFD1,((A2)+(1))+(0)))=("store"),(INDEX(B1:XFD1,((A2)+(1))+(1)))=("Y"),"false"),B2,Y64),Y64))</f>
        <v>#VALUE!</v>
      </c>
      <c r="Z64" t="e">
        <f ca="1">IF((A1)=(2),"",IF((61)=(Z3),IF(IF((INDEX(B1:XFD1,((A2)+(1))+(0)))=("store"),(INDEX(B1:XFD1,((A2)+(1))+(1)))=("Z"),"false"),B2,Z64),Z64))</f>
        <v>#VALUE!</v>
      </c>
      <c r="AA64" t="e">
        <f ca="1">IF((A1)=(2),"",IF((61)=(AA3),IF(IF((INDEX(B1:XFD1,((A2)+(1))+(0)))=("store"),(INDEX(B1:XFD1,((A2)+(1))+(1)))=("AA"),"false"),B2,AA64),AA64))</f>
        <v>#VALUE!</v>
      </c>
      <c r="AB64" t="e">
        <f ca="1">IF((A1)=(2),"",IF((61)=(AB3),IF(IF((INDEX(B1:XFD1,((A2)+(1))+(0)))=("store"),(INDEX(B1:XFD1,((A2)+(1))+(1)))=("AB"),"false"),B2,AB64),AB64))</f>
        <v>#VALUE!</v>
      </c>
      <c r="AC64" t="e">
        <f ca="1">IF((A1)=(2),"",IF((61)=(AC3),IF(IF((INDEX(B1:XFD1,((A2)+(1))+(0)))=("store"),(INDEX(B1:XFD1,((A2)+(1))+(1)))=("AC"),"false"),B2,AC64),AC64))</f>
        <v>#VALUE!</v>
      </c>
      <c r="AD64" t="e">
        <f ca="1">IF((A1)=(2),"",IF((61)=(AD3),IF(IF((INDEX(B1:XFD1,((A2)+(1))+(0)))=("store"),(INDEX(B1:XFD1,((A2)+(1))+(1)))=("AD"),"false"),B2,AD64),AD64))</f>
        <v>#VALUE!</v>
      </c>
    </row>
    <row r="65" spans="1:30" x14ac:dyDescent="0.25">
      <c r="A65" t="e">
        <f ca="1">IF((A1)=(2),"",IF((62)=(A3),IF(("call")=(INDEX(B1:XFD1,((A2)+(1))+(0))),(B2)*(2),IF(("goto")=(INDEX(B1:XFD1,((A2)+(1))+(0))),(INDEX(B1:XFD1,((A2)+(1))+(1)))*(2),IF(("gotoiftrue")=(INDEX(B1:XFD1,((A2)+(1))+(0))),IF(B2,(INDEX(B1:XFD1,((A2)+(1))+(1)))*(2),(A65)+(2)),(A65)+(2)))),A65))</f>
        <v>#VALUE!</v>
      </c>
      <c r="B65" t="e">
        <f ca="1">IF((A1)=(2),"",IF((62)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65)+(1)),IF(("add")=(INDEX(B1:XFD1,((A2)+(1))+(0))),(INDEX(B4:B404,(B3)+(1)))+(B65),IF(("equals")=(INDEX(B1:XFD1,((A2)+(1))+(0))),(INDEX(B4:B404,(B3)+(1)))=(B65),IF(("leq")=(INDEX(B1:XFD1,((A2)+(1))+(0))),(INDEX(B4:B404,(B3)+(1)))&lt;=(B65),IF(("greater")=(INDEX(B1:XFD1,((A2)+(1))+(0))),(INDEX(B4:B404,(B3)+(1)))&gt;(B65),IF(("mod")=(INDEX(B1:XFD1,((A2)+(1))+(0))),MOD(INDEX(B4:B404,(B3)+(1)),B65),B65))))))))),B65))</f>
        <v>#VALUE!</v>
      </c>
      <c r="C65" t="e">
        <f ca="1">IF((A1)=(2),1,IF(AND((INDEX(B1:XFD1,((A2)+(1))+(0)))=("writeheap"),(INDEX(B4:B404,(B3)+(1)))=(61)),INDEX(B4:B404,(B3)+(2)),IF((A1)=(2),"",IF((62)=(C3),C65,C65))))</f>
        <v>#VALUE!</v>
      </c>
      <c r="E65" t="e">
        <f ca="1">IF((A1)=(2),"",IF((62)=(E3),IF(("outputline")=(INDEX(B1:XFD1,((A2)+(1))+(0))),B2,E65),E65))</f>
        <v>#VALUE!</v>
      </c>
      <c r="F65" t="e">
        <f ca="1">IF((A1)=(2),"",IF((62)=(F3),IF(IF((INDEX(B1:XFD1,((A2)+(1))+(0)))=("store"),(INDEX(B1:XFD1,((A2)+(1))+(1)))=("F"),"false"),B2,F65),F65))</f>
        <v>#VALUE!</v>
      </c>
      <c r="G65" t="e">
        <f ca="1">IF((A1)=(2),"",IF((62)=(G3),IF(IF((INDEX(B1:XFD1,((A2)+(1))+(0)))=("store"),(INDEX(B1:XFD1,((A2)+(1))+(1)))=("G"),"false"),B2,G65),G65))</f>
        <v>#VALUE!</v>
      </c>
      <c r="H65" t="e">
        <f ca="1">IF((A1)=(2),"",IF((62)=(H3),IF(IF((INDEX(B1:XFD1,((A2)+(1))+(0)))=("store"),(INDEX(B1:XFD1,((A2)+(1))+(1)))=("H"),"false"),B2,H65),H65))</f>
        <v>#VALUE!</v>
      </c>
      <c r="I65" t="e">
        <f ca="1">IF((A1)=(2),"",IF((62)=(I3),IF(IF((INDEX(B1:XFD1,((A2)+(1))+(0)))=("store"),(INDEX(B1:XFD1,((A2)+(1))+(1)))=("I"),"false"),B2,I65),I65))</f>
        <v>#VALUE!</v>
      </c>
      <c r="J65" t="e">
        <f ca="1">IF((A1)=(2),"",IF((62)=(J3),IF(IF((INDEX(B1:XFD1,((A2)+(1))+(0)))=("store"),(INDEX(B1:XFD1,((A2)+(1))+(1)))=("J"),"false"),B2,J65),J65))</f>
        <v>#VALUE!</v>
      </c>
      <c r="K65" t="e">
        <f ca="1">IF((A1)=(2),"",IF((62)=(K3),IF(IF((INDEX(B1:XFD1,((A2)+(1))+(0)))=("store"),(INDEX(B1:XFD1,((A2)+(1))+(1)))=("K"),"false"),B2,K65),K65))</f>
        <v>#VALUE!</v>
      </c>
      <c r="L65" t="e">
        <f ca="1">IF((A1)=(2),"",IF((62)=(L3),IF(IF((INDEX(B1:XFD1,((A2)+(1))+(0)))=("store"),(INDEX(B1:XFD1,((A2)+(1))+(1)))=("L"),"false"),B2,L65),L65))</f>
        <v>#VALUE!</v>
      </c>
      <c r="M65" t="e">
        <f ca="1">IF((A1)=(2),"",IF((62)=(M3),IF(IF((INDEX(B1:XFD1,((A2)+(1))+(0)))=("store"),(INDEX(B1:XFD1,((A2)+(1))+(1)))=("M"),"false"),B2,M65),M65))</f>
        <v>#VALUE!</v>
      </c>
      <c r="N65" t="e">
        <f ca="1">IF((A1)=(2),"",IF((62)=(N3),IF(IF((INDEX(B1:XFD1,((A2)+(1))+(0)))=("store"),(INDEX(B1:XFD1,((A2)+(1))+(1)))=("N"),"false"),B2,N65),N65))</f>
        <v>#VALUE!</v>
      </c>
      <c r="O65" t="e">
        <f ca="1">IF((A1)=(2),"",IF((62)=(O3),IF(IF((INDEX(B1:XFD1,((A2)+(1))+(0)))=("store"),(INDEX(B1:XFD1,((A2)+(1))+(1)))=("O"),"false"),B2,O65),O65))</f>
        <v>#VALUE!</v>
      </c>
      <c r="P65" t="e">
        <f ca="1">IF((A1)=(2),"",IF((62)=(P3),IF(IF((INDEX(B1:XFD1,((A2)+(1))+(0)))=("store"),(INDEX(B1:XFD1,((A2)+(1))+(1)))=("P"),"false"),B2,P65),P65))</f>
        <v>#VALUE!</v>
      </c>
      <c r="Q65" t="e">
        <f ca="1">IF((A1)=(2),"",IF((62)=(Q3),IF(IF((INDEX(B1:XFD1,((A2)+(1))+(0)))=("store"),(INDEX(B1:XFD1,((A2)+(1))+(1)))=("Q"),"false"),B2,Q65),Q65))</f>
        <v>#VALUE!</v>
      </c>
      <c r="R65" t="e">
        <f ca="1">IF((A1)=(2),"",IF((62)=(R3),IF(IF((INDEX(B1:XFD1,((A2)+(1))+(0)))=("store"),(INDEX(B1:XFD1,((A2)+(1))+(1)))=("R"),"false"),B2,R65),R65))</f>
        <v>#VALUE!</v>
      </c>
      <c r="S65" t="e">
        <f ca="1">IF((A1)=(2),"",IF((62)=(S3),IF(IF((INDEX(B1:XFD1,((A2)+(1))+(0)))=("store"),(INDEX(B1:XFD1,((A2)+(1))+(1)))=("S"),"false"),B2,S65),S65))</f>
        <v>#VALUE!</v>
      </c>
      <c r="T65" t="e">
        <f ca="1">IF((A1)=(2),"",IF((62)=(T3),IF(IF((INDEX(B1:XFD1,((A2)+(1))+(0)))=("store"),(INDEX(B1:XFD1,((A2)+(1))+(1)))=("T"),"false"),B2,T65),T65))</f>
        <v>#VALUE!</v>
      </c>
      <c r="U65" t="e">
        <f ca="1">IF((A1)=(2),"",IF((62)=(U3),IF(IF((INDEX(B1:XFD1,((A2)+(1))+(0)))=("store"),(INDEX(B1:XFD1,((A2)+(1))+(1)))=("U"),"false"),B2,U65),U65))</f>
        <v>#VALUE!</v>
      </c>
      <c r="V65" t="e">
        <f ca="1">IF((A1)=(2),"",IF((62)=(V3),IF(IF((INDEX(B1:XFD1,((A2)+(1))+(0)))=("store"),(INDEX(B1:XFD1,((A2)+(1))+(1)))=("V"),"false"),B2,V65),V65))</f>
        <v>#VALUE!</v>
      </c>
      <c r="W65" t="e">
        <f ca="1">IF((A1)=(2),"",IF((62)=(W3),IF(IF((INDEX(B1:XFD1,((A2)+(1))+(0)))=("store"),(INDEX(B1:XFD1,((A2)+(1))+(1)))=("W"),"false"),B2,W65),W65))</f>
        <v>#VALUE!</v>
      </c>
      <c r="X65" t="e">
        <f ca="1">IF((A1)=(2),"",IF((62)=(X3),IF(IF((INDEX(B1:XFD1,((A2)+(1))+(0)))=("store"),(INDEX(B1:XFD1,((A2)+(1))+(1)))=("X"),"false"),B2,X65),X65))</f>
        <v>#VALUE!</v>
      </c>
      <c r="Y65" t="e">
        <f ca="1">IF((A1)=(2),"",IF((62)=(Y3),IF(IF((INDEX(B1:XFD1,((A2)+(1))+(0)))=("store"),(INDEX(B1:XFD1,((A2)+(1))+(1)))=("Y"),"false"),B2,Y65),Y65))</f>
        <v>#VALUE!</v>
      </c>
      <c r="Z65" t="e">
        <f ca="1">IF((A1)=(2),"",IF((62)=(Z3),IF(IF((INDEX(B1:XFD1,((A2)+(1))+(0)))=("store"),(INDEX(B1:XFD1,((A2)+(1))+(1)))=("Z"),"false"),B2,Z65),Z65))</f>
        <v>#VALUE!</v>
      </c>
      <c r="AA65" t="e">
        <f ca="1">IF((A1)=(2),"",IF((62)=(AA3),IF(IF((INDEX(B1:XFD1,((A2)+(1))+(0)))=("store"),(INDEX(B1:XFD1,((A2)+(1))+(1)))=("AA"),"false"),B2,AA65),AA65))</f>
        <v>#VALUE!</v>
      </c>
      <c r="AB65" t="e">
        <f ca="1">IF((A1)=(2),"",IF((62)=(AB3),IF(IF((INDEX(B1:XFD1,((A2)+(1))+(0)))=("store"),(INDEX(B1:XFD1,((A2)+(1))+(1)))=("AB"),"false"),B2,AB65),AB65))</f>
        <v>#VALUE!</v>
      </c>
      <c r="AC65" t="e">
        <f ca="1">IF((A1)=(2),"",IF((62)=(AC3),IF(IF((INDEX(B1:XFD1,((A2)+(1))+(0)))=("store"),(INDEX(B1:XFD1,((A2)+(1))+(1)))=("AC"),"false"),B2,AC65),AC65))</f>
        <v>#VALUE!</v>
      </c>
      <c r="AD65" t="e">
        <f ca="1">IF((A1)=(2),"",IF((62)=(AD3),IF(IF((INDEX(B1:XFD1,((A2)+(1))+(0)))=("store"),(INDEX(B1:XFD1,((A2)+(1))+(1)))=("AD"),"false"),B2,AD65),AD65))</f>
        <v>#VALUE!</v>
      </c>
    </row>
    <row r="66" spans="1:30" x14ac:dyDescent="0.25">
      <c r="A66" t="e">
        <f ca="1">IF((A1)=(2),"",IF((63)=(A3),IF(("call")=(INDEX(B1:XFD1,((A2)+(1))+(0))),(B2)*(2),IF(("goto")=(INDEX(B1:XFD1,((A2)+(1))+(0))),(INDEX(B1:XFD1,((A2)+(1))+(1)))*(2),IF(("gotoiftrue")=(INDEX(B1:XFD1,((A2)+(1))+(0))),IF(B2,(INDEX(B1:XFD1,((A2)+(1))+(1)))*(2),(A66)+(2)),(A66)+(2)))),A66))</f>
        <v>#VALUE!</v>
      </c>
      <c r="B66" t="e">
        <f ca="1">IF((A1)=(2),"",IF((63)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66)+(1)),IF(("add")=(INDEX(B1:XFD1,((A2)+(1))+(0))),(INDEX(B4:B404,(B3)+(1)))+(B66),IF(("equals")=(INDEX(B1:XFD1,((A2)+(1))+(0))),(INDEX(B4:B404,(B3)+(1)))=(B66),IF(("leq")=(INDEX(B1:XFD1,((A2)+(1))+(0))),(INDEX(B4:B404,(B3)+(1)))&lt;=(B66),IF(("greater")=(INDEX(B1:XFD1,((A2)+(1))+(0))),(INDEX(B4:B404,(B3)+(1)))&gt;(B66),IF(("mod")=(INDEX(B1:XFD1,((A2)+(1))+(0))),MOD(INDEX(B4:B404,(B3)+(1)),B66),B66))))))))),B66))</f>
        <v>#VALUE!</v>
      </c>
      <c r="C66" t="e">
        <f ca="1">IF((A1)=(2),1,IF(AND((INDEX(B1:XFD1,((A2)+(1))+(0)))=("writeheap"),(INDEX(B4:B404,(B3)+(1)))=(62)),INDEX(B4:B404,(B3)+(2)),IF((A1)=(2),"",IF((63)=(C3),C66,C66))))</f>
        <v>#VALUE!</v>
      </c>
      <c r="E66" t="e">
        <f ca="1">IF((A1)=(2),"",IF((63)=(E3),IF(("outputline")=(INDEX(B1:XFD1,((A2)+(1))+(0))),B2,E66),E66))</f>
        <v>#VALUE!</v>
      </c>
      <c r="F66" t="e">
        <f ca="1">IF((A1)=(2),"",IF((63)=(F3),IF(IF((INDEX(B1:XFD1,((A2)+(1))+(0)))=("store"),(INDEX(B1:XFD1,((A2)+(1))+(1)))=("F"),"false"),B2,F66),F66))</f>
        <v>#VALUE!</v>
      </c>
      <c r="G66" t="e">
        <f ca="1">IF((A1)=(2),"",IF((63)=(G3),IF(IF((INDEX(B1:XFD1,((A2)+(1))+(0)))=("store"),(INDEX(B1:XFD1,((A2)+(1))+(1)))=("G"),"false"),B2,G66),G66))</f>
        <v>#VALUE!</v>
      </c>
      <c r="H66" t="e">
        <f ca="1">IF((A1)=(2),"",IF((63)=(H3),IF(IF((INDEX(B1:XFD1,((A2)+(1))+(0)))=("store"),(INDEX(B1:XFD1,((A2)+(1))+(1)))=("H"),"false"),B2,H66),H66))</f>
        <v>#VALUE!</v>
      </c>
      <c r="I66" t="e">
        <f ca="1">IF((A1)=(2),"",IF((63)=(I3),IF(IF((INDEX(B1:XFD1,((A2)+(1))+(0)))=("store"),(INDEX(B1:XFD1,((A2)+(1))+(1)))=("I"),"false"),B2,I66),I66))</f>
        <v>#VALUE!</v>
      </c>
      <c r="J66" t="e">
        <f ca="1">IF((A1)=(2),"",IF((63)=(J3),IF(IF((INDEX(B1:XFD1,((A2)+(1))+(0)))=("store"),(INDEX(B1:XFD1,((A2)+(1))+(1)))=("J"),"false"),B2,J66),J66))</f>
        <v>#VALUE!</v>
      </c>
      <c r="K66" t="e">
        <f ca="1">IF((A1)=(2),"",IF((63)=(K3),IF(IF((INDEX(B1:XFD1,((A2)+(1))+(0)))=("store"),(INDEX(B1:XFD1,((A2)+(1))+(1)))=("K"),"false"),B2,K66),K66))</f>
        <v>#VALUE!</v>
      </c>
      <c r="L66" t="e">
        <f ca="1">IF((A1)=(2),"",IF((63)=(L3),IF(IF((INDEX(B1:XFD1,((A2)+(1))+(0)))=("store"),(INDEX(B1:XFD1,((A2)+(1))+(1)))=("L"),"false"),B2,L66),L66))</f>
        <v>#VALUE!</v>
      </c>
      <c r="M66" t="e">
        <f ca="1">IF((A1)=(2),"",IF((63)=(M3),IF(IF((INDEX(B1:XFD1,((A2)+(1))+(0)))=("store"),(INDEX(B1:XFD1,((A2)+(1))+(1)))=("M"),"false"),B2,M66),M66))</f>
        <v>#VALUE!</v>
      </c>
      <c r="N66" t="e">
        <f ca="1">IF((A1)=(2),"",IF((63)=(N3),IF(IF((INDEX(B1:XFD1,((A2)+(1))+(0)))=("store"),(INDEX(B1:XFD1,((A2)+(1))+(1)))=("N"),"false"),B2,N66),N66))</f>
        <v>#VALUE!</v>
      </c>
      <c r="O66" t="e">
        <f ca="1">IF((A1)=(2),"",IF((63)=(O3),IF(IF((INDEX(B1:XFD1,((A2)+(1))+(0)))=("store"),(INDEX(B1:XFD1,((A2)+(1))+(1)))=("O"),"false"),B2,O66),O66))</f>
        <v>#VALUE!</v>
      </c>
      <c r="P66" t="e">
        <f ca="1">IF((A1)=(2),"",IF((63)=(P3),IF(IF((INDEX(B1:XFD1,((A2)+(1))+(0)))=("store"),(INDEX(B1:XFD1,((A2)+(1))+(1)))=("P"),"false"),B2,P66),P66))</f>
        <v>#VALUE!</v>
      </c>
      <c r="Q66" t="e">
        <f ca="1">IF((A1)=(2),"",IF((63)=(Q3),IF(IF((INDEX(B1:XFD1,((A2)+(1))+(0)))=("store"),(INDEX(B1:XFD1,((A2)+(1))+(1)))=("Q"),"false"),B2,Q66),Q66))</f>
        <v>#VALUE!</v>
      </c>
      <c r="R66" t="e">
        <f ca="1">IF((A1)=(2),"",IF((63)=(R3),IF(IF((INDEX(B1:XFD1,((A2)+(1))+(0)))=("store"),(INDEX(B1:XFD1,((A2)+(1))+(1)))=("R"),"false"),B2,R66),R66))</f>
        <v>#VALUE!</v>
      </c>
      <c r="S66" t="e">
        <f ca="1">IF((A1)=(2),"",IF((63)=(S3),IF(IF((INDEX(B1:XFD1,((A2)+(1))+(0)))=("store"),(INDEX(B1:XFD1,((A2)+(1))+(1)))=("S"),"false"),B2,S66),S66))</f>
        <v>#VALUE!</v>
      </c>
      <c r="T66" t="e">
        <f ca="1">IF((A1)=(2),"",IF((63)=(T3),IF(IF((INDEX(B1:XFD1,((A2)+(1))+(0)))=("store"),(INDEX(B1:XFD1,((A2)+(1))+(1)))=("T"),"false"),B2,T66),T66))</f>
        <v>#VALUE!</v>
      </c>
      <c r="U66" t="e">
        <f ca="1">IF((A1)=(2),"",IF((63)=(U3),IF(IF((INDEX(B1:XFD1,((A2)+(1))+(0)))=("store"),(INDEX(B1:XFD1,((A2)+(1))+(1)))=("U"),"false"),B2,U66),U66))</f>
        <v>#VALUE!</v>
      </c>
      <c r="V66" t="e">
        <f ca="1">IF((A1)=(2),"",IF((63)=(V3),IF(IF((INDEX(B1:XFD1,((A2)+(1))+(0)))=("store"),(INDEX(B1:XFD1,((A2)+(1))+(1)))=("V"),"false"),B2,V66),V66))</f>
        <v>#VALUE!</v>
      </c>
      <c r="W66" t="e">
        <f ca="1">IF((A1)=(2),"",IF((63)=(W3),IF(IF((INDEX(B1:XFD1,((A2)+(1))+(0)))=("store"),(INDEX(B1:XFD1,((A2)+(1))+(1)))=("W"),"false"),B2,W66),W66))</f>
        <v>#VALUE!</v>
      </c>
      <c r="X66" t="e">
        <f ca="1">IF((A1)=(2),"",IF((63)=(X3),IF(IF((INDEX(B1:XFD1,((A2)+(1))+(0)))=("store"),(INDEX(B1:XFD1,((A2)+(1))+(1)))=("X"),"false"),B2,X66),X66))</f>
        <v>#VALUE!</v>
      </c>
      <c r="Y66" t="e">
        <f ca="1">IF((A1)=(2),"",IF((63)=(Y3),IF(IF((INDEX(B1:XFD1,((A2)+(1))+(0)))=("store"),(INDEX(B1:XFD1,((A2)+(1))+(1)))=("Y"),"false"),B2,Y66),Y66))</f>
        <v>#VALUE!</v>
      </c>
      <c r="Z66" t="e">
        <f ca="1">IF((A1)=(2),"",IF((63)=(Z3),IF(IF((INDEX(B1:XFD1,((A2)+(1))+(0)))=("store"),(INDEX(B1:XFD1,((A2)+(1))+(1)))=("Z"),"false"),B2,Z66),Z66))</f>
        <v>#VALUE!</v>
      </c>
      <c r="AA66" t="e">
        <f ca="1">IF((A1)=(2),"",IF((63)=(AA3),IF(IF((INDEX(B1:XFD1,((A2)+(1))+(0)))=("store"),(INDEX(B1:XFD1,((A2)+(1))+(1)))=("AA"),"false"),B2,AA66),AA66))</f>
        <v>#VALUE!</v>
      </c>
      <c r="AB66" t="e">
        <f ca="1">IF((A1)=(2),"",IF((63)=(AB3),IF(IF((INDEX(B1:XFD1,((A2)+(1))+(0)))=("store"),(INDEX(B1:XFD1,((A2)+(1))+(1)))=("AB"),"false"),B2,AB66),AB66))</f>
        <v>#VALUE!</v>
      </c>
      <c r="AC66" t="e">
        <f ca="1">IF((A1)=(2),"",IF((63)=(AC3),IF(IF((INDEX(B1:XFD1,((A2)+(1))+(0)))=("store"),(INDEX(B1:XFD1,((A2)+(1))+(1)))=("AC"),"false"),B2,AC66),AC66))</f>
        <v>#VALUE!</v>
      </c>
      <c r="AD66" t="e">
        <f ca="1">IF((A1)=(2),"",IF((63)=(AD3),IF(IF((INDEX(B1:XFD1,((A2)+(1))+(0)))=("store"),(INDEX(B1:XFD1,((A2)+(1))+(1)))=("AD"),"false"),B2,AD66),AD66))</f>
        <v>#VALUE!</v>
      </c>
    </row>
    <row r="67" spans="1:30" x14ac:dyDescent="0.25">
      <c r="A67" t="e">
        <f ca="1">IF((A1)=(2),"",IF((64)=(A3),IF(("call")=(INDEX(B1:XFD1,((A2)+(1))+(0))),(B2)*(2),IF(("goto")=(INDEX(B1:XFD1,((A2)+(1))+(0))),(INDEX(B1:XFD1,((A2)+(1))+(1)))*(2),IF(("gotoiftrue")=(INDEX(B1:XFD1,((A2)+(1))+(0))),IF(B2,(INDEX(B1:XFD1,((A2)+(1))+(1)))*(2),(A67)+(2)),(A67)+(2)))),A67))</f>
        <v>#VALUE!</v>
      </c>
      <c r="B67" t="e">
        <f ca="1">IF((A1)=(2),"",IF((64)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67)+(1)),IF(("add")=(INDEX(B1:XFD1,((A2)+(1))+(0))),(INDEX(B4:B404,(B3)+(1)))+(B67),IF(("equals")=(INDEX(B1:XFD1,((A2)+(1))+(0))),(INDEX(B4:B404,(B3)+(1)))=(B67),IF(("leq")=(INDEX(B1:XFD1,((A2)+(1))+(0))),(INDEX(B4:B404,(B3)+(1)))&lt;=(B67),IF(("greater")=(INDEX(B1:XFD1,((A2)+(1))+(0))),(INDEX(B4:B404,(B3)+(1)))&gt;(B67),IF(("mod")=(INDEX(B1:XFD1,((A2)+(1))+(0))),MOD(INDEX(B4:B404,(B3)+(1)),B67),B67))))))))),B67))</f>
        <v>#VALUE!</v>
      </c>
      <c r="C67" t="e">
        <f ca="1">IF((A1)=(2),1,IF(AND((INDEX(B1:XFD1,((A2)+(1))+(0)))=("writeheap"),(INDEX(B4:B404,(B3)+(1)))=(63)),INDEX(B4:B404,(B3)+(2)),IF((A1)=(2),"",IF((64)=(C3),C67,C67))))</f>
        <v>#VALUE!</v>
      </c>
      <c r="E67" t="e">
        <f ca="1">IF((A1)=(2),"",IF((64)=(E3),IF(("outputline")=(INDEX(B1:XFD1,((A2)+(1))+(0))),B2,E67),E67))</f>
        <v>#VALUE!</v>
      </c>
      <c r="F67" t="e">
        <f ca="1">IF((A1)=(2),"",IF((64)=(F3),IF(IF((INDEX(B1:XFD1,((A2)+(1))+(0)))=("store"),(INDEX(B1:XFD1,((A2)+(1))+(1)))=("F"),"false"),B2,F67),F67))</f>
        <v>#VALUE!</v>
      </c>
      <c r="G67" t="e">
        <f ca="1">IF((A1)=(2),"",IF((64)=(G3),IF(IF((INDEX(B1:XFD1,((A2)+(1))+(0)))=("store"),(INDEX(B1:XFD1,((A2)+(1))+(1)))=("G"),"false"),B2,G67),G67))</f>
        <v>#VALUE!</v>
      </c>
      <c r="H67" t="e">
        <f ca="1">IF((A1)=(2),"",IF((64)=(H3),IF(IF((INDEX(B1:XFD1,((A2)+(1))+(0)))=("store"),(INDEX(B1:XFD1,((A2)+(1))+(1)))=("H"),"false"),B2,H67),H67))</f>
        <v>#VALUE!</v>
      </c>
      <c r="I67" t="e">
        <f ca="1">IF((A1)=(2),"",IF((64)=(I3),IF(IF((INDEX(B1:XFD1,((A2)+(1))+(0)))=("store"),(INDEX(B1:XFD1,((A2)+(1))+(1)))=("I"),"false"),B2,I67),I67))</f>
        <v>#VALUE!</v>
      </c>
      <c r="J67" t="e">
        <f ca="1">IF((A1)=(2),"",IF((64)=(J3),IF(IF((INDEX(B1:XFD1,((A2)+(1))+(0)))=("store"),(INDEX(B1:XFD1,((A2)+(1))+(1)))=("J"),"false"),B2,J67),J67))</f>
        <v>#VALUE!</v>
      </c>
      <c r="K67" t="e">
        <f ca="1">IF((A1)=(2),"",IF((64)=(K3),IF(IF((INDEX(B1:XFD1,((A2)+(1))+(0)))=("store"),(INDEX(B1:XFD1,((A2)+(1))+(1)))=("K"),"false"),B2,K67),K67))</f>
        <v>#VALUE!</v>
      </c>
      <c r="L67" t="e">
        <f ca="1">IF((A1)=(2),"",IF((64)=(L3),IF(IF((INDEX(B1:XFD1,((A2)+(1))+(0)))=("store"),(INDEX(B1:XFD1,((A2)+(1))+(1)))=("L"),"false"),B2,L67),L67))</f>
        <v>#VALUE!</v>
      </c>
      <c r="M67" t="e">
        <f ca="1">IF((A1)=(2),"",IF((64)=(M3),IF(IF((INDEX(B1:XFD1,((A2)+(1))+(0)))=("store"),(INDEX(B1:XFD1,((A2)+(1))+(1)))=("M"),"false"),B2,M67),M67))</f>
        <v>#VALUE!</v>
      </c>
      <c r="N67" t="e">
        <f ca="1">IF((A1)=(2),"",IF((64)=(N3),IF(IF((INDEX(B1:XFD1,((A2)+(1))+(0)))=("store"),(INDEX(B1:XFD1,((A2)+(1))+(1)))=("N"),"false"),B2,N67),N67))</f>
        <v>#VALUE!</v>
      </c>
      <c r="O67" t="e">
        <f ca="1">IF((A1)=(2),"",IF((64)=(O3),IF(IF((INDEX(B1:XFD1,((A2)+(1))+(0)))=("store"),(INDEX(B1:XFD1,((A2)+(1))+(1)))=("O"),"false"),B2,O67),O67))</f>
        <v>#VALUE!</v>
      </c>
      <c r="P67" t="e">
        <f ca="1">IF((A1)=(2),"",IF((64)=(P3),IF(IF((INDEX(B1:XFD1,((A2)+(1))+(0)))=("store"),(INDEX(B1:XFD1,((A2)+(1))+(1)))=("P"),"false"),B2,P67),P67))</f>
        <v>#VALUE!</v>
      </c>
      <c r="Q67" t="e">
        <f ca="1">IF((A1)=(2),"",IF((64)=(Q3),IF(IF((INDEX(B1:XFD1,((A2)+(1))+(0)))=("store"),(INDEX(B1:XFD1,((A2)+(1))+(1)))=("Q"),"false"),B2,Q67),Q67))</f>
        <v>#VALUE!</v>
      </c>
      <c r="R67" t="e">
        <f ca="1">IF((A1)=(2),"",IF((64)=(R3),IF(IF((INDEX(B1:XFD1,((A2)+(1))+(0)))=("store"),(INDEX(B1:XFD1,((A2)+(1))+(1)))=("R"),"false"),B2,R67),R67))</f>
        <v>#VALUE!</v>
      </c>
      <c r="S67" t="e">
        <f ca="1">IF((A1)=(2),"",IF((64)=(S3),IF(IF((INDEX(B1:XFD1,((A2)+(1))+(0)))=("store"),(INDEX(B1:XFD1,((A2)+(1))+(1)))=("S"),"false"),B2,S67),S67))</f>
        <v>#VALUE!</v>
      </c>
      <c r="T67" t="e">
        <f ca="1">IF((A1)=(2),"",IF((64)=(T3),IF(IF((INDEX(B1:XFD1,((A2)+(1))+(0)))=("store"),(INDEX(B1:XFD1,((A2)+(1))+(1)))=("T"),"false"),B2,T67),T67))</f>
        <v>#VALUE!</v>
      </c>
      <c r="U67" t="e">
        <f ca="1">IF((A1)=(2),"",IF((64)=(U3),IF(IF((INDEX(B1:XFD1,((A2)+(1))+(0)))=("store"),(INDEX(B1:XFD1,((A2)+(1))+(1)))=("U"),"false"),B2,U67),U67))</f>
        <v>#VALUE!</v>
      </c>
      <c r="V67" t="e">
        <f ca="1">IF((A1)=(2),"",IF((64)=(V3),IF(IF((INDEX(B1:XFD1,((A2)+(1))+(0)))=("store"),(INDEX(B1:XFD1,((A2)+(1))+(1)))=("V"),"false"),B2,V67),V67))</f>
        <v>#VALUE!</v>
      </c>
      <c r="W67" t="e">
        <f ca="1">IF((A1)=(2),"",IF((64)=(W3),IF(IF((INDEX(B1:XFD1,((A2)+(1))+(0)))=("store"),(INDEX(B1:XFD1,((A2)+(1))+(1)))=("W"),"false"),B2,W67),W67))</f>
        <v>#VALUE!</v>
      </c>
      <c r="X67" t="e">
        <f ca="1">IF((A1)=(2),"",IF((64)=(X3),IF(IF((INDEX(B1:XFD1,((A2)+(1))+(0)))=("store"),(INDEX(B1:XFD1,((A2)+(1))+(1)))=("X"),"false"),B2,X67),X67))</f>
        <v>#VALUE!</v>
      </c>
      <c r="Y67" t="e">
        <f ca="1">IF((A1)=(2),"",IF((64)=(Y3),IF(IF((INDEX(B1:XFD1,((A2)+(1))+(0)))=("store"),(INDEX(B1:XFD1,((A2)+(1))+(1)))=("Y"),"false"),B2,Y67),Y67))</f>
        <v>#VALUE!</v>
      </c>
      <c r="Z67" t="e">
        <f ca="1">IF((A1)=(2),"",IF((64)=(Z3),IF(IF((INDEX(B1:XFD1,((A2)+(1))+(0)))=("store"),(INDEX(B1:XFD1,((A2)+(1))+(1)))=("Z"),"false"),B2,Z67),Z67))</f>
        <v>#VALUE!</v>
      </c>
      <c r="AA67" t="e">
        <f ca="1">IF((A1)=(2),"",IF((64)=(AA3),IF(IF((INDEX(B1:XFD1,((A2)+(1))+(0)))=("store"),(INDEX(B1:XFD1,((A2)+(1))+(1)))=("AA"),"false"),B2,AA67),AA67))</f>
        <v>#VALUE!</v>
      </c>
      <c r="AB67" t="e">
        <f ca="1">IF((A1)=(2),"",IF((64)=(AB3),IF(IF((INDEX(B1:XFD1,((A2)+(1))+(0)))=("store"),(INDEX(B1:XFD1,((A2)+(1))+(1)))=("AB"),"false"),B2,AB67),AB67))</f>
        <v>#VALUE!</v>
      </c>
      <c r="AC67" t="e">
        <f ca="1">IF((A1)=(2),"",IF((64)=(AC3),IF(IF((INDEX(B1:XFD1,((A2)+(1))+(0)))=("store"),(INDEX(B1:XFD1,((A2)+(1))+(1)))=("AC"),"false"),B2,AC67),AC67))</f>
        <v>#VALUE!</v>
      </c>
      <c r="AD67" t="e">
        <f ca="1">IF((A1)=(2),"",IF((64)=(AD3),IF(IF((INDEX(B1:XFD1,((A2)+(1))+(0)))=("store"),(INDEX(B1:XFD1,((A2)+(1))+(1)))=("AD"),"false"),B2,AD67),AD67))</f>
        <v>#VALUE!</v>
      </c>
    </row>
    <row r="68" spans="1:30" x14ac:dyDescent="0.25">
      <c r="A68" t="e">
        <f ca="1">IF((A1)=(2),"",IF((65)=(A3),IF(("call")=(INDEX(B1:XFD1,((A2)+(1))+(0))),(B2)*(2),IF(("goto")=(INDEX(B1:XFD1,((A2)+(1))+(0))),(INDEX(B1:XFD1,((A2)+(1))+(1)))*(2),IF(("gotoiftrue")=(INDEX(B1:XFD1,((A2)+(1))+(0))),IF(B2,(INDEX(B1:XFD1,((A2)+(1))+(1)))*(2),(A68)+(2)),(A68)+(2)))),A68))</f>
        <v>#VALUE!</v>
      </c>
      <c r="B68" t="e">
        <f ca="1">IF((A1)=(2),"",IF((65)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68)+(1)),IF(("add")=(INDEX(B1:XFD1,((A2)+(1))+(0))),(INDEX(B4:B404,(B3)+(1)))+(B68),IF(("equals")=(INDEX(B1:XFD1,((A2)+(1))+(0))),(INDEX(B4:B404,(B3)+(1)))=(B68),IF(("leq")=(INDEX(B1:XFD1,((A2)+(1))+(0))),(INDEX(B4:B404,(B3)+(1)))&lt;=(B68),IF(("greater")=(INDEX(B1:XFD1,((A2)+(1))+(0))),(INDEX(B4:B404,(B3)+(1)))&gt;(B68),IF(("mod")=(INDEX(B1:XFD1,((A2)+(1))+(0))),MOD(INDEX(B4:B404,(B3)+(1)),B68),B68))))))))),B68))</f>
        <v>#VALUE!</v>
      </c>
      <c r="C68" t="e">
        <f ca="1">IF((A1)=(2),1,IF(AND((INDEX(B1:XFD1,((A2)+(1))+(0)))=("writeheap"),(INDEX(B4:B404,(B3)+(1)))=(64)),INDEX(B4:B404,(B3)+(2)),IF((A1)=(2),"",IF((65)=(C3),C68,C68))))</f>
        <v>#VALUE!</v>
      </c>
      <c r="E68" t="e">
        <f ca="1">IF((A1)=(2),"",IF((65)=(E3),IF(("outputline")=(INDEX(B1:XFD1,((A2)+(1))+(0))),B2,E68),E68))</f>
        <v>#VALUE!</v>
      </c>
      <c r="F68" t="e">
        <f ca="1">IF((A1)=(2),"",IF((65)=(F3),IF(IF((INDEX(B1:XFD1,((A2)+(1))+(0)))=("store"),(INDEX(B1:XFD1,((A2)+(1))+(1)))=("F"),"false"),B2,F68),F68))</f>
        <v>#VALUE!</v>
      </c>
      <c r="G68" t="e">
        <f ca="1">IF((A1)=(2),"",IF((65)=(G3),IF(IF((INDEX(B1:XFD1,((A2)+(1))+(0)))=("store"),(INDEX(B1:XFD1,((A2)+(1))+(1)))=("G"),"false"),B2,G68),G68))</f>
        <v>#VALUE!</v>
      </c>
      <c r="H68" t="e">
        <f ca="1">IF((A1)=(2),"",IF((65)=(H3),IF(IF((INDEX(B1:XFD1,((A2)+(1))+(0)))=("store"),(INDEX(B1:XFD1,((A2)+(1))+(1)))=("H"),"false"),B2,H68),H68))</f>
        <v>#VALUE!</v>
      </c>
      <c r="I68" t="e">
        <f ca="1">IF((A1)=(2),"",IF((65)=(I3),IF(IF((INDEX(B1:XFD1,((A2)+(1))+(0)))=("store"),(INDEX(B1:XFD1,((A2)+(1))+(1)))=("I"),"false"),B2,I68),I68))</f>
        <v>#VALUE!</v>
      </c>
      <c r="J68" t="e">
        <f ca="1">IF((A1)=(2),"",IF((65)=(J3),IF(IF((INDEX(B1:XFD1,((A2)+(1))+(0)))=("store"),(INDEX(B1:XFD1,((A2)+(1))+(1)))=("J"),"false"),B2,J68),J68))</f>
        <v>#VALUE!</v>
      </c>
      <c r="K68" t="e">
        <f ca="1">IF((A1)=(2),"",IF((65)=(K3),IF(IF((INDEX(B1:XFD1,((A2)+(1))+(0)))=("store"),(INDEX(B1:XFD1,((A2)+(1))+(1)))=("K"),"false"),B2,K68),K68))</f>
        <v>#VALUE!</v>
      </c>
      <c r="L68" t="e">
        <f ca="1">IF((A1)=(2),"",IF((65)=(L3),IF(IF((INDEX(B1:XFD1,((A2)+(1))+(0)))=("store"),(INDEX(B1:XFD1,((A2)+(1))+(1)))=("L"),"false"),B2,L68),L68))</f>
        <v>#VALUE!</v>
      </c>
      <c r="M68" t="e">
        <f ca="1">IF((A1)=(2),"",IF((65)=(M3),IF(IF((INDEX(B1:XFD1,((A2)+(1))+(0)))=("store"),(INDEX(B1:XFD1,((A2)+(1))+(1)))=("M"),"false"),B2,M68),M68))</f>
        <v>#VALUE!</v>
      </c>
      <c r="N68" t="e">
        <f ca="1">IF((A1)=(2),"",IF((65)=(N3),IF(IF((INDEX(B1:XFD1,((A2)+(1))+(0)))=("store"),(INDEX(B1:XFD1,((A2)+(1))+(1)))=("N"),"false"),B2,N68),N68))</f>
        <v>#VALUE!</v>
      </c>
      <c r="O68" t="e">
        <f ca="1">IF((A1)=(2),"",IF((65)=(O3),IF(IF((INDEX(B1:XFD1,((A2)+(1))+(0)))=("store"),(INDEX(B1:XFD1,((A2)+(1))+(1)))=("O"),"false"),B2,O68),O68))</f>
        <v>#VALUE!</v>
      </c>
      <c r="P68" t="e">
        <f ca="1">IF((A1)=(2),"",IF((65)=(P3),IF(IF((INDEX(B1:XFD1,((A2)+(1))+(0)))=("store"),(INDEX(B1:XFD1,((A2)+(1))+(1)))=("P"),"false"),B2,P68),P68))</f>
        <v>#VALUE!</v>
      </c>
      <c r="Q68" t="e">
        <f ca="1">IF((A1)=(2),"",IF((65)=(Q3),IF(IF((INDEX(B1:XFD1,((A2)+(1))+(0)))=("store"),(INDEX(B1:XFD1,((A2)+(1))+(1)))=("Q"),"false"),B2,Q68),Q68))</f>
        <v>#VALUE!</v>
      </c>
      <c r="R68" t="e">
        <f ca="1">IF((A1)=(2),"",IF((65)=(R3),IF(IF((INDEX(B1:XFD1,((A2)+(1))+(0)))=("store"),(INDEX(B1:XFD1,((A2)+(1))+(1)))=("R"),"false"),B2,R68),R68))</f>
        <v>#VALUE!</v>
      </c>
      <c r="S68" t="e">
        <f ca="1">IF((A1)=(2),"",IF((65)=(S3),IF(IF((INDEX(B1:XFD1,((A2)+(1))+(0)))=("store"),(INDEX(B1:XFD1,((A2)+(1))+(1)))=("S"),"false"),B2,S68),S68))</f>
        <v>#VALUE!</v>
      </c>
      <c r="T68" t="e">
        <f ca="1">IF((A1)=(2),"",IF((65)=(T3),IF(IF((INDEX(B1:XFD1,((A2)+(1))+(0)))=("store"),(INDEX(B1:XFD1,((A2)+(1))+(1)))=("T"),"false"),B2,T68),T68))</f>
        <v>#VALUE!</v>
      </c>
      <c r="U68" t="e">
        <f ca="1">IF((A1)=(2),"",IF((65)=(U3),IF(IF((INDEX(B1:XFD1,((A2)+(1))+(0)))=("store"),(INDEX(B1:XFD1,((A2)+(1))+(1)))=("U"),"false"),B2,U68),U68))</f>
        <v>#VALUE!</v>
      </c>
      <c r="V68" t="e">
        <f ca="1">IF((A1)=(2),"",IF((65)=(V3),IF(IF((INDEX(B1:XFD1,((A2)+(1))+(0)))=("store"),(INDEX(B1:XFD1,((A2)+(1))+(1)))=("V"),"false"),B2,V68),V68))</f>
        <v>#VALUE!</v>
      </c>
      <c r="W68" t="e">
        <f ca="1">IF((A1)=(2),"",IF((65)=(W3),IF(IF((INDEX(B1:XFD1,((A2)+(1))+(0)))=("store"),(INDEX(B1:XFD1,((A2)+(1))+(1)))=("W"),"false"),B2,W68),W68))</f>
        <v>#VALUE!</v>
      </c>
      <c r="X68" t="e">
        <f ca="1">IF((A1)=(2),"",IF((65)=(X3),IF(IF((INDEX(B1:XFD1,((A2)+(1))+(0)))=("store"),(INDEX(B1:XFD1,((A2)+(1))+(1)))=("X"),"false"),B2,X68),X68))</f>
        <v>#VALUE!</v>
      </c>
      <c r="Y68" t="e">
        <f ca="1">IF((A1)=(2),"",IF((65)=(Y3),IF(IF((INDEX(B1:XFD1,((A2)+(1))+(0)))=("store"),(INDEX(B1:XFD1,((A2)+(1))+(1)))=("Y"),"false"),B2,Y68),Y68))</f>
        <v>#VALUE!</v>
      </c>
      <c r="Z68" t="e">
        <f ca="1">IF((A1)=(2),"",IF((65)=(Z3),IF(IF((INDEX(B1:XFD1,((A2)+(1))+(0)))=("store"),(INDEX(B1:XFD1,((A2)+(1))+(1)))=("Z"),"false"),B2,Z68),Z68))</f>
        <v>#VALUE!</v>
      </c>
      <c r="AA68" t="e">
        <f ca="1">IF((A1)=(2),"",IF((65)=(AA3),IF(IF((INDEX(B1:XFD1,((A2)+(1))+(0)))=("store"),(INDEX(B1:XFD1,((A2)+(1))+(1)))=("AA"),"false"),B2,AA68),AA68))</f>
        <v>#VALUE!</v>
      </c>
      <c r="AB68" t="e">
        <f ca="1">IF((A1)=(2),"",IF((65)=(AB3),IF(IF((INDEX(B1:XFD1,((A2)+(1))+(0)))=("store"),(INDEX(B1:XFD1,((A2)+(1))+(1)))=("AB"),"false"),B2,AB68),AB68))</f>
        <v>#VALUE!</v>
      </c>
      <c r="AC68" t="e">
        <f ca="1">IF((A1)=(2),"",IF((65)=(AC3),IF(IF((INDEX(B1:XFD1,((A2)+(1))+(0)))=("store"),(INDEX(B1:XFD1,((A2)+(1))+(1)))=("AC"),"false"),B2,AC68),AC68))</f>
        <v>#VALUE!</v>
      </c>
      <c r="AD68" t="e">
        <f ca="1">IF((A1)=(2),"",IF((65)=(AD3),IF(IF((INDEX(B1:XFD1,((A2)+(1))+(0)))=("store"),(INDEX(B1:XFD1,((A2)+(1))+(1)))=("AD"),"false"),B2,AD68),AD68))</f>
        <v>#VALUE!</v>
      </c>
    </row>
    <row r="69" spans="1:30" x14ac:dyDescent="0.25">
      <c r="A69" t="e">
        <f ca="1">IF((A1)=(2),"",IF((66)=(A3),IF(("call")=(INDEX(B1:XFD1,((A2)+(1))+(0))),(B2)*(2),IF(("goto")=(INDEX(B1:XFD1,((A2)+(1))+(0))),(INDEX(B1:XFD1,((A2)+(1))+(1)))*(2),IF(("gotoiftrue")=(INDEX(B1:XFD1,((A2)+(1))+(0))),IF(B2,(INDEX(B1:XFD1,((A2)+(1))+(1)))*(2),(A69)+(2)),(A69)+(2)))),A69))</f>
        <v>#VALUE!</v>
      </c>
      <c r="B69" t="e">
        <f ca="1">IF((A1)=(2),"",IF((66)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69)+(1)),IF(("add")=(INDEX(B1:XFD1,((A2)+(1))+(0))),(INDEX(B4:B404,(B3)+(1)))+(B69),IF(("equals")=(INDEX(B1:XFD1,((A2)+(1))+(0))),(INDEX(B4:B404,(B3)+(1)))=(B69),IF(("leq")=(INDEX(B1:XFD1,((A2)+(1))+(0))),(INDEX(B4:B404,(B3)+(1)))&lt;=(B69),IF(("greater")=(INDEX(B1:XFD1,((A2)+(1))+(0))),(INDEX(B4:B404,(B3)+(1)))&gt;(B69),IF(("mod")=(INDEX(B1:XFD1,((A2)+(1))+(0))),MOD(INDEX(B4:B404,(B3)+(1)),B69),B69))))))))),B69))</f>
        <v>#VALUE!</v>
      </c>
      <c r="C69" t="e">
        <f ca="1">IF((A1)=(2),1,IF(AND((INDEX(B1:XFD1,((A2)+(1))+(0)))=("writeheap"),(INDEX(B4:B404,(B3)+(1)))=(65)),INDEX(B4:B404,(B3)+(2)),IF((A1)=(2),"",IF((66)=(C3),C69,C69))))</f>
        <v>#VALUE!</v>
      </c>
      <c r="E69" t="e">
        <f ca="1">IF((A1)=(2),"",IF((66)=(E3),IF(("outputline")=(INDEX(B1:XFD1,((A2)+(1))+(0))),B2,E69),E69))</f>
        <v>#VALUE!</v>
      </c>
      <c r="F69" t="e">
        <f ca="1">IF((A1)=(2),"",IF((66)=(F3),IF(IF((INDEX(B1:XFD1,((A2)+(1))+(0)))=("store"),(INDEX(B1:XFD1,((A2)+(1))+(1)))=("F"),"false"),B2,F69),F69))</f>
        <v>#VALUE!</v>
      </c>
      <c r="G69" t="e">
        <f ca="1">IF((A1)=(2),"",IF((66)=(G3),IF(IF((INDEX(B1:XFD1,((A2)+(1))+(0)))=("store"),(INDEX(B1:XFD1,((A2)+(1))+(1)))=("G"),"false"),B2,G69),G69))</f>
        <v>#VALUE!</v>
      </c>
      <c r="H69" t="e">
        <f ca="1">IF((A1)=(2),"",IF((66)=(H3),IF(IF((INDEX(B1:XFD1,((A2)+(1))+(0)))=("store"),(INDEX(B1:XFD1,((A2)+(1))+(1)))=("H"),"false"),B2,H69),H69))</f>
        <v>#VALUE!</v>
      </c>
      <c r="I69" t="e">
        <f ca="1">IF((A1)=(2),"",IF((66)=(I3),IF(IF((INDEX(B1:XFD1,((A2)+(1))+(0)))=("store"),(INDEX(B1:XFD1,((A2)+(1))+(1)))=("I"),"false"),B2,I69),I69))</f>
        <v>#VALUE!</v>
      </c>
      <c r="J69" t="e">
        <f ca="1">IF((A1)=(2),"",IF((66)=(J3),IF(IF((INDEX(B1:XFD1,((A2)+(1))+(0)))=("store"),(INDEX(B1:XFD1,((A2)+(1))+(1)))=("J"),"false"),B2,J69),J69))</f>
        <v>#VALUE!</v>
      </c>
      <c r="K69" t="e">
        <f ca="1">IF((A1)=(2),"",IF((66)=(K3),IF(IF((INDEX(B1:XFD1,((A2)+(1))+(0)))=("store"),(INDEX(B1:XFD1,((A2)+(1))+(1)))=("K"),"false"),B2,K69),K69))</f>
        <v>#VALUE!</v>
      </c>
      <c r="L69" t="e">
        <f ca="1">IF((A1)=(2),"",IF((66)=(L3),IF(IF((INDEX(B1:XFD1,((A2)+(1))+(0)))=("store"),(INDEX(B1:XFD1,((A2)+(1))+(1)))=("L"),"false"),B2,L69),L69))</f>
        <v>#VALUE!</v>
      </c>
      <c r="M69" t="e">
        <f ca="1">IF((A1)=(2),"",IF((66)=(M3),IF(IF((INDEX(B1:XFD1,((A2)+(1))+(0)))=("store"),(INDEX(B1:XFD1,((A2)+(1))+(1)))=("M"),"false"),B2,M69),M69))</f>
        <v>#VALUE!</v>
      </c>
      <c r="N69" t="e">
        <f ca="1">IF((A1)=(2),"",IF((66)=(N3),IF(IF((INDEX(B1:XFD1,((A2)+(1))+(0)))=("store"),(INDEX(B1:XFD1,((A2)+(1))+(1)))=("N"),"false"),B2,N69),N69))</f>
        <v>#VALUE!</v>
      </c>
      <c r="O69" t="e">
        <f ca="1">IF((A1)=(2),"",IF((66)=(O3),IF(IF((INDEX(B1:XFD1,((A2)+(1))+(0)))=("store"),(INDEX(B1:XFD1,((A2)+(1))+(1)))=("O"),"false"),B2,O69),O69))</f>
        <v>#VALUE!</v>
      </c>
      <c r="P69" t="e">
        <f ca="1">IF((A1)=(2),"",IF((66)=(P3),IF(IF((INDEX(B1:XFD1,((A2)+(1))+(0)))=("store"),(INDEX(B1:XFD1,((A2)+(1))+(1)))=("P"),"false"),B2,P69),P69))</f>
        <v>#VALUE!</v>
      </c>
      <c r="Q69" t="e">
        <f ca="1">IF((A1)=(2),"",IF((66)=(Q3),IF(IF((INDEX(B1:XFD1,((A2)+(1))+(0)))=("store"),(INDEX(B1:XFD1,((A2)+(1))+(1)))=("Q"),"false"),B2,Q69),Q69))</f>
        <v>#VALUE!</v>
      </c>
      <c r="R69" t="e">
        <f ca="1">IF((A1)=(2),"",IF((66)=(R3),IF(IF((INDEX(B1:XFD1,((A2)+(1))+(0)))=("store"),(INDEX(B1:XFD1,((A2)+(1))+(1)))=("R"),"false"),B2,R69),R69))</f>
        <v>#VALUE!</v>
      </c>
      <c r="S69" t="e">
        <f ca="1">IF((A1)=(2),"",IF((66)=(S3),IF(IF((INDEX(B1:XFD1,((A2)+(1))+(0)))=("store"),(INDEX(B1:XFD1,((A2)+(1))+(1)))=("S"),"false"),B2,S69),S69))</f>
        <v>#VALUE!</v>
      </c>
      <c r="T69" t="e">
        <f ca="1">IF((A1)=(2),"",IF((66)=(T3),IF(IF((INDEX(B1:XFD1,((A2)+(1))+(0)))=("store"),(INDEX(B1:XFD1,((A2)+(1))+(1)))=("T"),"false"),B2,T69),T69))</f>
        <v>#VALUE!</v>
      </c>
      <c r="U69" t="e">
        <f ca="1">IF((A1)=(2),"",IF((66)=(U3),IF(IF((INDEX(B1:XFD1,((A2)+(1))+(0)))=("store"),(INDEX(B1:XFD1,((A2)+(1))+(1)))=("U"),"false"),B2,U69),U69))</f>
        <v>#VALUE!</v>
      </c>
      <c r="V69" t="e">
        <f ca="1">IF((A1)=(2),"",IF((66)=(V3),IF(IF((INDEX(B1:XFD1,((A2)+(1))+(0)))=("store"),(INDEX(B1:XFD1,((A2)+(1))+(1)))=("V"),"false"),B2,V69),V69))</f>
        <v>#VALUE!</v>
      </c>
      <c r="W69" t="e">
        <f ca="1">IF((A1)=(2),"",IF((66)=(W3),IF(IF((INDEX(B1:XFD1,((A2)+(1))+(0)))=("store"),(INDEX(B1:XFD1,((A2)+(1))+(1)))=("W"),"false"),B2,W69),W69))</f>
        <v>#VALUE!</v>
      </c>
      <c r="X69" t="e">
        <f ca="1">IF((A1)=(2),"",IF((66)=(X3),IF(IF((INDEX(B1:XFD1,((A2)+(1))+(0)))=("store"),(INDEX(B1:XFD1,((A2)+(1))+(1)))=("X"),"false"),B2,X69),X69))</f>
        <v>#VALUE!</v>
      </c>
      <c r="Y69" t="e">
        <f ca="1">IF((A1)=(2),"",IF((66)=(Y3),IF(IF((INDEX(B1:XFD1,((A2)+(1))+(0)))=("store"),(INDEX(B1:XFD1,((A2)+(1))+(1)))=("Y"),"false"),B2,Y69),Y69))</f>
        <v>#VALUE!</v>
      </c>
      <c r="Z69" t="e">
        <f ca="1">IF((A1)=(2),"",IF((66)=(Z3),IF(IF((INDEX(B1:XFD1,((A2)+(1))+(0)))=("store"),(INDEX(B1:XFD1,((A2)+(1))+(1)))=("Z"),"false"),B2,Z69),Z69))</f>
        <v>#VALUE!</v>
      </c>
      <c r="AA69" t="e">
        <f ca="1">IF((A1)=(2),"",IF((66)=(AA3),IF(IF((INDEX(B1:XFD1,((A2)+(1))+(0)))=("store"),(INDEX(B1:XFD1,((A2)+(1))+(1)))=("AA"),"false"),B2,AA69),AA69))</f>
        <v>#VALUE!</v>
      </c>
      <c r="AB69" t="e">
        <f ca="1">IF((A1)=(2),"",IF((66)=(AB3),IF(IF((INDEX(B1:XFD1,((A2)+(1))+(0)))=("store"),(INDEX(B1:XFD1,((A2)+(1))+(1)))=("AB"),"false"),B2,AB69),AB69))</f>
        <v>#VALUE!</v>
      </c>
      <c r="AC69" t="e">
        <f ca="1">IF((A1)=(2),"",IF((66)=(AC3),IF(IF((INDEX(B1:XFD1,((A2)+(1))+(0)))=("store"),(INDEX(B1:XFD1,((A2)+(1))+(1)))=("AC"),"false"),B2,AC69),AC69))</f>
        <v>#VALUE!</v>
      </c>
      <c r="AD69" t="e">
        <f ca="1">IF((A1)=(2),"",IF((66)=(AD3),IF(IF((INDEX(B1:XFD1,((A2)+(1))+(0)))=("store"),(INDEX(B1:XFD1,((A2)+(1))+(1)))=("AD"),"false"),B2,AD69),AD69))</f>
        <v>#VALUE!</v>
      </c>
    </row>
    <row r="70" spans="1:30" x14ac:dyDescent="0.25">
      <c r="A70" t="e">
        <f ca="1">IF((A1)=(2),"",IF((67)=(A3),IF(("call")=(INDEX(B1:XFD1,((A2)+(1))+(0))),(B2)*(2),IF(("goto")=(INDEX(B1:XFD1,((A2)+(1))+(0))),(INDEX(B1:XFD1,((A2)+(1))+(1)))*(2),IF(("gotoiftrue")=(INDEX(B1:XFD1,((A2)+(1))+(0))),IF(B2,(INDEX(B1:XFD1,((A2)+(1))+(1)))*(2),(A70)+(2)),(A70)+(2)))),A70))</f>
        <v>#VALUE!</v>
      </c>
      <c r="B70" t="e">
        <f ca="1">IF((A1)=(2),"",IF((67)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70)+(1)),IF(("add")=(INDEX(B1:XFD1,((A2)+(1))+(0))),(INDEX(B4:B404,(B3)+(1)))+(B70),IF(("equals")=(INDEX(B1:XFD1,((A2)+(1))+(0))),(INDEX(B4:B404,(B3)+(1)))=(B70),IF(("leq")=(INDEX(B1:XFD1,((A2)+(1))+(0))),(INDEX(B4:B404,(B3)+(1)))&lt;=(B70),IF(("greater")=(INDEX(B1:XFD1,((A2)+(1))+(0))),(INDEX(B4:B404,(B3)+(1)))&gt;(B70),IF(("mod")=(INDEX(B1:XFD1,((A2)+(1))+(0))),MOD(INDEX(B4:B404,(B3)+(1)),B70),B70))))))))),B70))</f>
        <v>#VALUE!</v>
      </c>
      <c r="C70" t="e">
        <f ca="1">IF((A1)=(2),1,IF(AND((INDEX(B1:XFD1,((A2)+(1))+(0)))=("writeheap"),(INDEX(B4:B404,(B3)+(1)))=(66)),INDEX(B4:B404,(B3)+(2)),IF((A1)=(2),"",IF((67)=(C3),C70,C70))))</f>
        <v>#VALUE!</v>
      </c>
      <c r="E70" t="e">
        <f ca="1">IF((A1)=(2),"",IF((67)=(E3),IF(("outputline")=(INDEX(B1:XFD1,((A2)+(1))+(0))),B2,E70),E70))</f>
        <v>#VALUE!</v>
      </c>
      <c r="F70" t="e">
        <f ca="1">IF((A1)=(2),"",IF((67)=(F3),IF(IF((INDEX(B1:XFD1,((A2)+(1))+(0)))=("store"),(INDEX(B1:XFD1,((A2)+(1))+(1)))=("F"),"false"),B2,F70),F70))</f>
        <v>#VALUE!</v>
      </c>
      <c r="G70" t="e">
        <f ca="1">IF((A1)=(2),"",IF((67)=(G3),IF(IF((INDEX(B1:XFD1,((A2)+(1))+(0)))=("store"),(INDEX(B1:XFD1,((A2)+(1))+(1)))=("G"),"false"),B2,G70),G70))</f>
        <v>#VALUE!</v>
      </c>
      <c r="H70" t="e">
        <f ca="1">IF((A1)=(2),"",IF((67)=(H3),IF(IF((INDEX(B1:XFD1,((A2)+(1))+(0)))=("store"),(INDEX(B1:XFD1,((A2)+(1))+(1)))=("H"),"false"),B2,H70),H70))</f>
        <v>#VALUE!</v>
      </c>
      <c r="I70" t="e">
        <f ca="1">IF((A1)=(2),"",IF((67)=(I3),IF(IF((INDEX(B1:XFD1,((A2)+(1))+(0)))=("store"),(INDEX(B1:XFD1,((A2)+(1))+(1)))=("I"),"false"),B2,I70),I70))</f>
        <v>#VALUE!</v>
      </c>
      <c r="J70" t="e">
        <f ca="1">IF((A1)=(2),"",IF((67)=(J3),IF(IF((INDEX(B1:XFD1,((A2)+(1))+(0)))=("store"),(INDEX(B1:XFD1,((A2)+(1))+(1)))=("J"),"false"),B2,J70),J70))</f>
        <v>#VALUE!</v>
      </c>
      <c r="K70" t="e">
        <f ca="1">IF((A1)=(2),"",IF((67)=(K3),IF(IF((INDEX(B1:XFD1,((A2)+(1))+(0)))=("store"),(INDEX(B1:XFD1,((A2)+(1))+(1)))=("K"),"false"),B2,K70),K70))</f>
        <v>#VALUE!</v>
      </c>
      <c r="L70" t="e">
        <f ca="1">IF((A1)=(2),"",IF((67)=(L3),IF(IF((INDEX(B1:XFD1,((A2)+(1))+(0)))=("store"),(INDEX(B1:XFD1,((A2)+(1))+(1)))=("L"),"false"),B2,L70),L70))</f>
        <v>#VALUE!</v>
      </c>
      <c r="M70" t="e">
        <f ca="1">IF((A1)=(2),"",IF((67)=(M3),IF(IF((INDEX(B1:XFD1,((A2)+(1))+(0)))=("store"),(INDEX(B1:XFD1,((A2)+(1))+(1)))=("M"),"false"),B2,M70),M70))</f>
        <v>#VALUE!</v>
      </c>
      <c r="N70" t="e">
        <f ca="1">IF((A1)=(2),"",IF((67)=(N3),IF(IF((INDEX(B1:XFD1,((A2)+(1))+(0)))=("store"),(INDEX(B1:XFD1,((A2)+(1))+(1)))=("N"),"false"),B2,N70),N70))</f>
        <v>#VALUE!</v>
      </c>
      <c r="O70" t="e">
        <f ca="1">IF((A1)=(2),"",IF((67)=(O3),IF(IF((INDEX(B1:XFD1,((A2)+(1))+(0)))=("store"),(INDEX(B1:XFD1,((A2)+(1))+(1)))=("O"),"false"),B2,O70),O70))</f>
        <v>#VALUE!</v>
      </c>
      <c r="P70" t="e">
        <f ca="1">IF((A1)=(2),"",IF((67)=(P3),IF(IF((INDEX(B1:XFD1,((A2)+(1))+(0)))=("store"),(INDEX(B1:XFD1,((A2)+(1))+(1)))=("P"),"false"),B2,P70),P70))</f>
        <v>#VALUE!</v>
      </c>
      <c r="Q70" t="e">
        <f ca="1">IF((A1)=(2),"",IF((67)=(Q3),IF(IF((INDEX(B1:XFD1,((A2)+(1))+(0)))=("store"),(INDEX(B1:XFD1,((A2)+(1))+(1)))=("Q"),"false"),B2,Q70),Q70))</f>
        <v>#VALUE!</v>
      </c>
      <c r="R70" t="e">
        <f ca="1">IF((A1)=(2),"",IF((67)=(R3),IF(IF((INDEX(B1:XFD1,((A2)+(1))+(0)))=("store"),(INDEX(B1:XFD1,((A2)+(1))+(1)))=("R"),"false"),B2,R70),R70))</f>
        <v>#VALUE!</v>
      </c>
      <c r="S70" t="e">
        <f ca="1">IF((A1)=(2),"",IF((67)=(S3),IF(IF((INDEX(B1:XFD1,((A2)+(1))+(0)))=("store"),(INDEX(B1:XFD1,((A2)+(1))+(1)))=("S"),"false"),B2,S70),S70))</f>
        <v>#VALUE!</v>
      </c>
      <c r="T70" t="e">
        <f ca="1">IF((A1)=(2),"",IF((67)=(T3),IF(IF((INDEX(B1:XFD1,((A2)+(1))+(0)))=("store"),(INDEX(B1:XFD1,((A2)+(1))+(1)))=("T"),"false"),B2,T70),T70))</f>
        <v>#VALUE!</v>
      </c>
      <c r="U70" t="e">
        <f ca="1">IF((A1)=(2),"",IF((67)=(U3),IF(IF((INDEX(B1:XFD1,((A2)+(1))+(0)))=("store"),(INDEX(B1:XFD1,((A2)+(1))+(1)))=("U"),"false"),B2,U70),U70))</f>
        <v>#VALUE!</v>
      </c>
      <c r="V70" t="e">
        <f ca="1">IF((A1)=(2),"",IF((67)=(V3),IF(IF((INDEX(B1:XFD1,((A2)+(1))+(0)))=("store"),(INDEX(B1:XFD1,((A2)+(1))+(1)))=("V"),"false"),B2,V70),V70))</f>
        <v>#VALUE!</v>
      </c>
      <c r="W70" t="e">
        <f ca="1">IF((A1)=(2),"",IF((67)=(W3),IF(IF((INDEX(B1:XFD1,((A2)+(1))+(0)))=("store"),(INDEX(B1:XFD1,((A2)+(1))+(1)))=("W"),"false"),B2,W70),W70))</f>
        <v>#VALUE!</v>
      </c>
      <c r="X70" t="e">
        <f ca="1">IF((A1)=(2),"",IF((67)=(X3),IF(IF((INDEX(B1:XFD1,((A2)+(1))+(0)))=("store"),(INDEX(B1:XFD1,((A2)+(1))+(1)))=("X"),"false"),B2,X70),X70))</f>
        <v>#VALUE!</v>
      </c>
      <c r="Y70" t="e">
        <f ca="1">IF((A1)=(2),"",IF((67)=(Y3),IF(IF((INDEX(B1:XFD1,((A2)+(1))+(0)))=("store"),(INDEX(B1:XFD1,((A2)+(1))+(1)))=("Y"),"false"),B2,Y70),Y70))</f>
        <v>#VALUE!</v>
      </c>
      <c r="Z70" t="e">
        <f ca="1">IF((A1)=(2),"",IF((67)=(Z3),IF(IF((INDEX(B1:XFD1,((A2)+(1))+(0)))=("store"),(INDEX(B1:XFD1,((A2)+(1))+(1)))=("Z"),"false"),B2,Z70),Z70))</f>
        <v>#VALUE!</v>
      </c>
      <c r="AA70" t="e">
        <f ca="1">IF((A1)=(2),"",IF((67)=(AA3),IF(IF((INDEX(B1:XFD1,((A2)+(1))+(0)))=("store"),(INDEX(B1:XFD1,((A2)+(1))+(1)))=("AA"),"false"),B2,AA70),AA70))</f>
        <v>#VALUE!</v>
      </c>
      <c r="AB70" t="e">
        <f ca="1">IF((A1)=(2),"",IF((67)=(AB3),IF(IF((INDEX(B1:XFD1,((A2)+(1))+(0)))=("store"),(INDEX(B1:XFD1,((A2)+(1))+(1)))=("AB"),"false"),B2,AB70),AB70))</f>
        <v>#VALUE!</v>
      </c>
      <c r="AC70" t="e">
        <f ca="1">IF((A1)=(2),"",IF((67)=(AC3),IF(IF((INDEX(B1:XFD1,((A2)+(1))+(0)))=("store"),(INDEX(B1:XFD1,((A2)+(1))+(1)))=("AC"),"false"),B2,AC70),AC70))</f>
        <v>#VALUE!</v>
      </c>
      <c r="AD70" t="e">
        <f ca="1">IF((A1)=(2),"",IF((67)=(AD3),IF(IF((INDEX(B1:XFD1,((A2)+(1))+(0)))=("store"),(INDEX(B1:XFD1,((A2)+(1))+(1)))=("AD"),"false"),B2,AD70),AD70))</f>
        <v>#VALUE!</v>
      </c>
    </row>
    <row r="71" spans="1:30" x14ac:dyDescent="0.25">
      <c r="A71" t="e">
        <f ca="1">IF((A1)=(2),"",IF((68)=(A3),IF(("call")=(INDEX(B1:XFD1,((A2)+(1))+(0))),(B2)*(2),IF(("goto")=(INDEX(B1:XFD1,((A2)+(1))+(0))),(INDEX(B1:XFD1,((A2)+(1))+(1)))*(2),IF(("gotoiftrue")=(INDEX(B1:XFD1,((A2)+(1))+(0))),IF(B2,(INDEX(B1:XFD1,((A2)+(1))+(1)))*(2),(A71)+(2)),(A71)+(2)))),A71))</f>
        <v>#VALUE!</v>
      </c>
      <c r="B71" t="e">
        <f ca="1">IF((A1)=(2),"",IF((68)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71)+(1)),IF(("add")=(INDEX(B1:XFD1,((A2)+(1))+(0))),(INDEX(B4:B404,(B3)+(1)))+(B71),IF(("equals")=(INDEX(B1:XFD1,((A2)+(1))+(0))),(INDEX(B4:B404,(B3)+(1)))=(B71),IF(("leq")=(INDEX(B1:XFD1,((A2)+(1))+(0))),(INDEX(B4:B404,(B3)+(1)))&lt;=(B71),IF(("greater")=(INDEX(B1:XFD1,((A2)+(1))+(0))),(INDEX(B4:B404,(B3)+(1)))&gt;(B71),IF(("mod")=(INDEX(B1:XFD1,((A2)+(1))+(0))),MOD(INDEX(B4:B404,(B3)+(1)),B71),B71))))))))),B71))</f>
        <v>#VALUE!</v>
      </c>
      <c r="C71" t="e">
        <f ca="1">IF((A1)=(2),1,IF(AND((INDEX(B1:XFD1,((A2)+(1))+(0)))=("writeheap"),(INDEX(B4:B404,(B3)+(1)))=(67)),INDEX(B4:B404,(B3)+(2)),IF((A1)=(2),"",IF((68)=(C3),C71,C71))))</f>
        <v>#VALUE!</v>
      </c>
      <c r="E71" t="e">
        <f ca="1">IF((A1)=(2),"",IF((68)=(E3),IF(("outputline")=(INDEX(B1:XFD1,((A2)+(1))+(0))),B2,E71),E71))</f>
        <v>#VALUE!</v>
      </c>
      <c r="F71" t="e">
        <f ca="1">IF((A1)=(2),"",IF((68)=(F3),IF(IF((INDEX(B1:XFD1,((A2)+(1))+(0)))=("store"),(INDEX(B1:XFD1,((A2)+(1))+(1)))=("F"),"false"),B2,F71),F71))</f>
        <v>#VALUE!</v>
      </c>
      <c r="G71" t="e">
        <f ca="1">IF((A1)=(2),"",IF((68)=(G3),IF(IF((INDEX(B1:XFD1,((A2)+(1))+(0)))=("store"),(INDEX(B1:XFD1,((A2)+(1))+(1)))=("G"),"false"),B2,G71),G71))</f>
        <v>#VALUE!</v>
      </c>
      <c r="H71" t="e">
        <f ca="1">IF((A1)=(2),"",IF((68)=(H3),IF(IF((INDEX(B1:XFD1,((A2)+(1))+(0)))=("store"),(INDEX(B1:XFD1,((A2)+(1))+(1)))=("H"),"false"),B2,H71),H71))</f>
        <v>#VALUE!</v>
      </c>
      <c r="I71" t="e">
        <f ca="1">IF((A1)=(2),"",IF((68)=(I3),IF(IF((INDEX(B1:XFD1,((A2)+(1))+(0)))=("store"),(INDEX(B1:XFD1,((A2)+(1))+(1)))=("I"),"false"),B2,I71),I71))</f>
        <v>#VALUE!</v>
      </c>
      <c r="J71" t="e">
        <f ca="1">IF((A1)=(2),"",IF((68)=(J3),IF(IF((INDEX(B1:XFD1,((A2)+(1))+(0)))=("store"),(INDEX(B1:XFD1,((A2)+(1))+(1)))=("J"),"false"),B2,J71),J71))</f>
        <v>#VALUE!</v>
      </c>
      <c r="K71" t="e">
        <f ca="1">IF((A1)=(2),"",IF((68)=(K3),IF(IF((INDEX(B1:XFD1,((A2)+(1))+(0)))=("store"),(INDEX(B1:XFD1,((A2)+(1))+(1)))=("K"),"false"),B2,K71),K71))</f>
        <v>#VALUE!</v>
      </c>
      <c r="L71" t="e">
        <f ca="1">IF((A1)=(2),"",IF((68)=(L3),IF(IF((INDEX(B1:XFD1,((A2)+(1))+(0)))=("store"),(INDEX(B1:XFD1,((A2)+(1))+(1)))=("L"),"false"),B2,L71),L71))</f>
        <v>#VALUE!</v>
      </c>
      <c r="M71" t="e">
        <f ca="1">IF((A1)=(2),"",IF((68)=(M3),IF(IF((INDEX(B1:XFD1,((A2)+(1))+(0)))=("store"),(INDEX(B1:XFD1,((A2)+(1))+(1)))=("M"),"false"),B2,M71),M71))</f>
        <v>#VALUE!</v>
      </c>
      <c r="N71" t="e">
        <f ca="1">IF((A1)=(2),"",IF((68)=(N3),IF(IF((INDEX(B1:XFD1,((A2)+(1))+(0)))=("store"),(INDEX(B1:XFD1,((A2)+(1))+(1)))=("N"),"false"),B2,N71),N71))</f>
        <v>#VALUE!</v>
      </c>
      <c r="O71" t="e">
        <f ca="1">IF((A1)=(2),"",IF((68)=(O3),IF(IF((INDEX(B1:XFD1,((A2)+(1))+(0)))=("store"),(INDEX(B1:XFD1,((A2)+(1))+(1)))=("O"),"false"),B2,O71),O71))</f>
        <v>#VALUE!</v>
      </c>
      <c r="P71" t="e">
        <f ca="1">IF((A1)=(2),"",IF((68)=(P3),IF(IF((INDEX(B1:XFD1,((A2)+(1))+(0)))=("store"),(INDEX(B1:XFD1,((A2)+(1))+(1)))=("P"),"false"),B2,P71),P71))</f>
        <v>#VALUE!</v>
      </c>
      <c r="Q71" t="e">
        <f ca="1">IF((A1)=(2),"",IF((68)=(Q3),IF(IF((INDEX(B1:XFD1,((A2)+(1))+(0)))=("store"),(INDEX(B1:XFD1,((A2)+(1))+(1)))=("Q"),"false"),B2,Q71),Q71))</f>
        <v>#VALUE!</v>
      </c>
      <c r="R71" t="e">
        <f ca="1">IF((A1)=(2),"",IF((68)=(R3),IF(IF((INDEX(B1:XFD1,((A2)+(1))+(0)))=("store"),(INDEX(B1:XFD1,((A2)+(1))+(1)))=("R"),"false"),B2,R71),R71))</f>
        <v>#VALUE!</v>
      </c>
      <c r="S71" t="e">
        <f ca="1">IF((A1)=(2),"",IF((68)=(S3),IF(IF((INDEX(B1:XFD1,((A2)+(1))+(0)))=("store"),(INDEX(B1:XFD1,((A2)+(1))+(1)))=("S"),"false"),B2,S71),S71))</f>
        <v>#VALUE!</v>
      </c>
      <c r="T71" t="e">
        <f ca="1">IF((A1)=(2),"",IF((68)=(T3),IF(IF((INDEX(B1:XFD1,((A2)+(1))+(0)))=("store"),(INDEX(B1:XFD1,((A2)+(1))+(1)))=("T"),"false"),B2,T71),T71))</f>
        <v>#VALUE!</v>
      </c>
      <c r="U71" t="e">
        <f ca="1">IF((A1)=(2),"",IF((68)=(U3),IF(IF((INDEX(B1:XFD1,((A2)+(1))+(0)))=("store"),(INDEX(B1:XFD1,((A2)+(1))+(1)))=("U"),"false"),B2,U71),U71))</f>
        <v>#VALUE!</v>
      </c>
      <c r="V71" t="e">
        <f ca="1">IF((A1)=(2),"",IF((68)=(V3),IF(IF((INDEX(B1:XFD1,((A2)+(1))+(0)))=("store"),(INDEX(B1:XFD1,((A2)+(1))+(1)))=("V"),"false"),B2,V71),V71))</f>
        <v>#VALUE!</v>
      </c>
      <c r="W71" t="e">
        <f ca="1">IF((A1)=(2),"",IF((68)=(W3),IF(IF((INDEX(B1:XFD1,((A2)+(1))+(0)))=("store"),(INDEX(B1:XFD1,((A2)+(1))+(1)))=("W"),"false"),B2,W71),W71))</f>
        <v>#VALUE!</v>
      </c>
      <c r="X71" t="e">
        <f ca="1">IF((A1)=(2),"",IF((68)=(X3),IF(IF((INDEX(B1:XFD1,((A2)+(1))+(0)))=("store"),(INDEX(B1:XFD1,((A2)+(1))+(1)))=("X"),"false"),B2,X71),X71))</f>
        <v>#VALUE!</v>
      </c>
      <c r="Y71" t="e">
        <f ca="1">IF((A1)=(2),"",IF((68)=(Y3),IF(IF((INDEX(B1:XFD1,((A2)+(1))+(0)))=("store"),(INDEX(B1:XFD1,((A2)+(1))+(1)))=("Y"),"false"),B2,Y71),Y71))</f>
        <v>#VALUE!</v>
      </c>
      <c r="Z71" t="e">
        <f ca="1">IF((A1)=(2),"",IF((68)=(Z3),IF(IF((INDEX(B1:XFD1,((A2)+(1))+(0)))=("store"),(INDEX(B1:XFD1,((A2)+(1))+(1)))=("Z"),"false"),B2,Z71),Z71))</f>
        <v>#VALUE!</v>
      </c>
      <c r="AA71" t="e">
        <f ca="1">IF((A1)=(2),"",IF((68)=(AA3),IF(IF((INDEX(B1:XFD1,((A2)+(1))+(0)))=("store"),(INDEX(B1:XFD1,((A2)+(1))+(1)))=("AA"),"false"),B2,AA71),AA71))</f>
        <v>#VALUE!</v>
      </c>
      <c r="AB71" t="e">
        <f ca="1">IF((A1)=(2),"",IF((68)=(AB3),IF(IF((INDEX(B1:XFD1,((A2)+(1))+(0)))=("store"),(INDEX(B1:XFD1,((A2)+(1))+(1)))=("AB"),"false"),B2,AB71),AB71))</f>
        <v>#VALUE!</v>
      </c>
      <c r="AC71" t="e">
        <f ca="1">IF((A1)=(2),"",IF((68)=(AC3),IF(IF((INDEX(B1:XFD1,((A2)+(1))+(0)))=("store"),(INDEX(B1:XFD1,((A2)+(1))+(1)))=("AC"),"false"),B2,AC71),AC71))</f>
        <v>#VALUE!</v>
      </c>
      <c r="AD71" t="e">
        <f ca="1">IF((A1)=(2),"",IF((68)=(AD3),IF(IF((INDEX(B1:XFD1,((A2)+(1))+(0)))=("store"),(INDEX(B1:XFD1,((A2)+(1))+(1)))=("AD"),"false"),B2,AD71),AD71))</f>
        <v>#VALUE!</v>
      </c>
    </row>
    <row r="72" spans="1:30" x14ac:dyDescent="0.25">
      <c r="A72" t="e">
        <f ca="1">IF((A1)=(2),"",IF((69)=(A3),IF(("call")=(INDEX(B1:XFD1,((A2)+(1))+(0))),(B2)*(2),IF(("goto")=(INDEX(B1:XFD1,((A2)+(1))+(0))),(INDEX(B1:XFD1,((A2)+(1))+(1)))*(2),IF(("gotoiftrue")=(INDEX(B1:XFD1,((A2)+(1))+(0))),IF(B2,(INDEX(B1:XFD1,((A2)+(1))+(1)))*(2),(A72)+(2)),(A72)+(2)))),A72))</f>
        <v>#VALUE!</v>
      </c>
      <c r="B72" t="e">
        <f ca="1">IF((A1)=(2),"",IF((69)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72)+(1)),IF(("add")=(INDEX(B1:XFD1,((A2)+(1))+(0))),(INDEX(B4:B404,(B3)+(1)))+(B72),IF(("equals")=(INDEX(B1:XFD1,((A2)+(1))+(0))),(INDEX(B4:B404,(B3)+(1)))=(B72),IF(("leq")=(INDEX(B1:XFD1,((A2)+(1))+(0))),(INDEX(B4:B404,(B3)+(1)))&lt;=(B72),IF(("greater")=(INDEX(B1:XFD1,((A2)+(1))+(0))),(INDEX(B4:B404,(B3)+(1)))&gt;(B72),IF(("mod")=(INDEX(B1:XFD1,((A2)+(1))+(0))),MOD(INDEX(B4:B404,(B3)+(1)),B72),B72))))))))),B72))</f>
        <v>#VALUE!</v>
      </c>
      <c r="C72" t="e">
        <f ca="1">IF((A1)=(2),1,IF(AND((INDEX(B1:XFD1,((A2)+(1))+(0)))=("writeheap"),(INDEX(B4:B404,(B3)+(1)))=(68)),INDEX(B4:B404,(B3)+(2)),IF((A1)=(2),"",IF((69)=(C3),C72,C72))))</f>
        <v>#VALUE!</v>
      </c>
      <c r="E72" t="e">
        <f ca="1">IF((A1)=(2),"",IF((69)=(E3),IF(("outputline")=(INDEX(B1:XFD1,((A2)+(1))+(0))),B2,E72),E72))</f>
        <v>#VALUE!</v>
      </c>
      <c r="F72" t="e">
        <f ca="1">IF((A1)=(2),"",IF((69)=(F3),IF(IF((INDEX(B1:XFD1,((A2)+(1))+(0)))=("store"),(INDEX(B1:XFD1,((A2)+(1))+(1)))=("F"),"false"),B2,F72),F72))</f>
        <v>#VALUE!</v>
      </c>
      <c r="G72" t="e">
        <f ca="1">IF((A1)=(2),"",IF((69)=(G3),IF(IF((INDEX(B1:XFD1,((A2)+(1))+(0)))=("store"),(INDEX(B1:XFD1,((A2)+(1))+(1)))=("G"),"false"),B2,G72),G72))</f>
        <v>#VALUE!</v>
      </c>
      <c r="H72" t="e">
        <f ca="1">IF((A1)=(2),"",IF((69)=(H3),IF(IF((INDEX(B1:XFD1,((A2)+(1))+(0)))=("store"),(INDEX(B1:XFD1,((A2)+(1))+(1)))=("H"),"false"),B2,H72),H72))</f>
        <v>#VALUE!</v>
      </c>
      <c r="I72" t="e">
        <f ca="1">IF((A1)=(2),"",IF((69)=(I3),IF(IF((INDEX(B1:XFD1,((A2)+(1))+(0)))=("store"),(INDEX(B1:XFD1,((A2)+(1))+(1)))=("I"),"false"),B2,I72),I72))</f>
        <v>#VALUE!</v>
      </c>
      <c r="J72" t="e">
        <f ca="1">IF((A1)=(2),"",IF((69)=(J3),IF(IF((INDEX(B1:XFD1,((A2)+(1))+(0)))=("store"),(INDEX(B1:XFD1,((A2)+(1))+(1)))=("J"),"false"),B2,J72),J72))</f>
        <v>#VALUE!</v>
      </c>
      <c r="K72" t="e">
        <f ca="1">IF((A1)=(2),"",IF((69)=(K3),IF(IF((INDEX(B1:XFD1,((A2)+(1))+(0)))=("store"),(INDEX(B1:XFD1,((A2)+(1))+(1)))=("K"),"false"),B2,K72),K72))</f>
        <v>#VALUE!</v>
      </c>
      <c r="L72" t="e">
        <f ca="1">IF((A1)=(2),"",IF((69)=(L3),IF(IF((INDEX(B1:XFD1,((A2)+(1))+(0)))=("store"),(INDEX(B1:XFD1,((A2)+(1))+(1)))=("L"),"false"),B2,L72),L72))</f>
        <v>#VALUE!</v>
      </c>
      <c r="M72" t="e">
        <f ca="1">IF((A1)=(2),"",IF((69)=(M3),IF(IF((INDEX(B1:XFD1,((A2)+(1))+(0)))=("store"),(INDEX(B1:XFD1,((A2)+(1))+(1)))=("M"),"false"),B2,M72),M72))</f>
        <v>#VALUE!</v>
      </c>
      <c r="N72" t="e">
        <f ca="1">IF((A1)=(2),"",IF((69)=(N3),IF(IF((INDEX(B1:XFD1,((A2)+(1))+(0)))=("store"),(INDEX(B1:XFD1,((A2)+(1))+(1)))=("N"),"false"),B2,N72),N72))</f>
        <v>#VALUE!</v>
      </c>
      <c r="O72" t="e">
        <f ca="1">IF((A1)=(2),"",IF((69)=(O3),IF(IF((INDEX(B1:XFD1,((A2)+(1))+(0)))=("store"),(INDEX(B1:XFD1,((A2)+(1))+(1)))=("O"),"false"),B2,O72),O72))</f>
        <v>#VALUE!</v>
      </c>
      <c r="P72" t="e">
        <f ca="1">IF((A1)=(2),"",IF((69)=(P3),IF(IF((INDEX(B1:XFD1,((A2)+(1))+(0)))=("store"),(INDEX(B1:XFD1,((A2)+(1))+(1)))=("P"),"false"),B2,P72),P72))</f>
        <v>#VALUE!</v>
      </c>
      <c r="Q72" t="e">
        <f ca="1">IF((A1)=(2),"",IF((69)=(Q3),IF(IF((INDEX(B1:XFD1,((A2)+(1))+(0)))=("store"),(INDEX(B1:XFD1,((A2)+(1))+(1)))=("Q"),"false"),B2,Q72),Q72))</f>
        <v>#VALUE!</v>
      </c>
      <c r="R72" t="e">
        <f ca="1">IF((A1)=(2),"",IF((69)=(R3),IF(IF((INDEX(B1:XFD1,((A2)+(1))+(0)))=("store"),(INDEX(B1:XFD1,((A2)+(1))+(1)))=("R"),"false"),B2,R72),R72))</f>
        <v>#VALUE!</v>
      </c>
      <c r="S72" t="e">
        <f ca="1">IF((A1)=(2),"",IF((69)=(S3),IF(IF((INDEX(B1:XFD1,((A2)+(1))+(0)))=("store"),(INDEX(B1:XFD1,((A2)+(1))+(1)))=("S"),"false"),B2,S72),S72))</f>
        <v>#VALUE!</v>
      </c>
      <c r="T72" t="e">
        <f ca="1">IF((A1)=(2),"",IF((69)=(T3),IF(IF((INDEX(B1:XFD1,((A2)+(1))+(0)))=("store"),(INDEX(B1:XFD1,((A2)+(1))+(1)))=("T"),"false"),B2,T72),T72))</f>
        <v>#VALUE!</v>
      </c>
      <c r="U72" t="e">
        <f ca="1">IF((A1)=(2),"",IF((69)=(U3),IF(IF((INDEX(B1:XFD1,((A2)+(1))+(0)))=("store"),(INDEX(B1:XFD1,((A2)+(1))+(1)))=("U"),"false"),B2,U72),U72))</f>
        <v>#VALUE!</v>
      </c>
      <c r="V72" t="e">
        <f ca="1">IF((A1)=(2),"",IF((69)=(V3),IF(IF((INDEX(B1:XFD1,((A2)+(1))+(0)))=("store"),(INDEX(B1:XFD1,((A2)+(1))+(1)))=("V"),"false"),B2,V72),V72))</f>
        <v>#VALUE!</v>
      </c>
      <c r="W72" t="e">
        <f ca="1">IF((A1)=(2),"",IF((69)=(W3),IF(IF((INDEX(B1:XFD1,((A2)+(1))+(0)))=("store"),(INDEX(B1:XFD1,((A2)+(1))+(1)))=("W"),"false"),B2,W72),W72))</f>
        <v>#VALUE!</v>
      </c>
      <c r="X72" t="e">
        <f ca="1">IF((A1)=(2),"",IF((69)=(X3),IF(IF((INDEX(B1:XFD1,((A2)+(1))+(0)))=("store"),(INDEX(B1:XFD1,((A2)+(1))+(1)))=("X"),"false"),B2,X72),X72))</f>
        <v>#VALUE!</v>
      </c>
      <c r="Y72" t="e">
        <f ca="1">IF((A1)=(2),"",IF((69)=(Y3),IF(IF((INDEX(B1:XFD1,((A2)+(1))+(0)))=("store"),(INDEX(B1:XFD1,((A2)+(1))+(1)))=("Y"),"false"),B2,Y72),Y72))</f>
        <v>#VALUE!</v>
      </c>
      <c r="Z72" t="e">
        <f ca="1">IF((A1)=(2),"",IF((69)=(Z3),IF(IF((INDEX(B1:XFD1,((A2)+(1))+(0)))=("store"),(INDEX(B1:XFD1,((A2)+(1))+(1)))=("Z"),"false"),B2,Z72),Z72))</f>
        <v>#VALUE!</v>
      </c>
      <c r="AA72" t="e">
        <f ca="1">IF((A1)=(2),"",IF((69)=(AA3),IF(IF((INDEX(B1:XFD1,((A2)+(1))+(0)))=("store"),(INDEX(B1:XFD1,((A2)+(1))+(1)))=("AA"),"false"),B2,AA72),AA72))</f>
        <v>#VALUE!</v>
      </c>
      <c r="AB72" t="e">
        <f ca="1">IF((A1)=(2),"",IF((69)=(AB3),IF(IF((INDEX(B1:XFD1,((A2)+(1))+(0)))=("store"),(INDEX(B1:XFD1,((A2)+(1))+(1)))=("AB"),"false"),B2,AB72),AB72))</f>
        <v>#VALUE!</v>
      </c>
      <c r="AC72" t="e">
        <f ca="1">IF((A1)=(2),"",IF((69)=(AC3),IF(IF((INDEX(B1:XFD1,((A2)+(1))+(0)))=("store"),(INDEX(B1:XFD1,((A2)+(1))+(1)))=("AC"),"false"),B2,AC72),AC72))</f>
        <v>#VALUE!</v>
      </c>
      <c r="AD72" t="e">
        <f ca="1">IF((A1)=(2),"",IF((69)=(AD3),IF(IF((INDEX(B1:XFD1,((A2)+(1))+(0)))=("store"),(INDEX(B1:XFD1,((A2)+(1))+(1)))=("AD"),"false"),B2,AD72),AD72))</f>
        <v>#VALUE!</v>
      </c>
    </row>
    <row r="73" spans="1:30" x14ac:dyDescent="0.25">
      <c r="A73" t="e">
        <f ca="1">IF((A1)=(2),"",IF((70)=(A3),IF(("call")=(INDEX(B1:XFD1,((A2)+(1))+(0))),(B2)*(2),IF(("goto")=(INDEX(B1:XFD1,((A2)+(1))+(0))),(INDEX(B1:XFD1,((A2)+(1))+(1)))*(2),IF(("gotoiftrue")=(INDEX(B1:XFD1,((A2)+(1))+(0))),IF(B2,(INDEX(B1:XFD1,((A2)+(1))+(1)))*(2),(A73)+(2)),(A73)+(2)))),A73))</f>
        <v>#VALUE!</v>
      </c>
      <c r="B73" t="e">
        <f ca="1">IF((A1)=(2),"",IF((70)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73)+(1)),IF(("add")=(INDEX(B1:XFD1,((A2)+(1))+(0))),(INDEX(B4:B404,(B3)+(1)))+(B73),IF(("equals")=(INDEX(B1:XFD1,((A2)+(1))+(0))),(INDEX(B4:B404,(B3)+(1)))=(B73),IF(("leq")=(INDEX(B1:XFD1,((A2)+(1))+(0))),(INDEX(B4:B404,(B3)+(1)))&lt;=(B73),IF(("greater")=(INDEX(B1:XFD1,((A2)+(1))+(0))),(INDEX(B4:B404,(B3)+(1)))&gt;(B73),IF(("mod")=(INDEX(B1:XFD1,((A2)+(1))+(0))),MOD(INDEX(B4:B404,(B3)+(1)),B73),B73))))))))),B73))</f>
        <v>#VALUE!</v>
      </c>
      <c r="C73" t="e">
        <f ca="1">IF((A1)=(2),1,IF(AND((INDEX(B1:XFD1,((A2)+(1))+(0)))=("writeheap"),(INDEX(B4:B404,(B3)+(1)))=(69)),INDEX(B4:B404,(B3)+(2)),IF((A1)=(2),"",IF((70)=(C3),C73,C73))))</f>
        <v>#VALUE!</v>
      </c>
      <c r="E73" t="e">
        <f ca="1">IF((A1)=(2),"",IF((70)=(E3),IF(("outputline")=(INDEX(B1:XFD1,((A2)+(1))+(0))),B2,E73),E73))</f>
        <v>#VALUE!</v>
      </c>
      <c r="F73" t="e">
        <f ca="1">IF((A1)=(2),"",IF((70)=(F3),IF(IF((INDEX(B1:XFD1,((A2)+(1))+(0)))=("store"),(INDEX(B1:XFD1,((A2)+(1))+(1)))=("F"),"false"),B2,F73),F73))</f>
        <v>#VALUE!</v>
      </c>
      <c r="G73" t="e">
        <f ca="1">IF((A1)=(2),"",IF((70)=(G3),IF(IF((INDEX(B1:XFD1,((A2)+(1))+(0)))=("store"),(INDEX(B1:XFD1,((A2)+(1))+(1)))=("G"),"false"),B2,G73),G73))</f>
        <v>#VALUE!</v>
      </c>
      <c r="H73" t="e">
        <f ca="1">IF((A1)=(2),"",IF((70)=(H3),IF(IF((INDEX(B1:XFD1,((A2)+(1))+(0)))=("store"),(INDEX(B1:XFD1,((A2)+(1))+(1)))=("H"),"false"),B2,H73),H73))</f>
        <v>#VALUE!</v>
      </c>
      <c r="I73" t="e">
        <f ca="1">IF((A1)=(2),"",IF((70)=(I3),IF(IF((INDEX(B1:XFD1,((A2)+(1))+(0)))=("store"),(INDEX(B1:XFD1,((A2)+(1))+(1)))=("I"),"false"),B2,I73),I73))</f>
        <v>#VALUE!</v>
      </c>
      <c r="J73" t="e">
        <f ca="1">IF((A1)=(2),"",IF((70)=(J3),IF(IF((INDEX(B1:XFD1,((A2)+(1))+(0)))=("store"),(INDEX(B1:XFD1,((A2)+(1))+(1)))=("J"),"false"),B2,J73),J73))</f>
        <v>#VALUE!</v>
      </c>
      <c r="K73" t="e">
        <f ca="1">IF((A1)=(2),"",IF((70)=(K3),IF(IF((INDEX(B1:XFD1,((A2)+(1))+(0)))=("store"),(INDEX(B1:XFD1,((A2)+(1))+(1)))=("K"),"false"),B2,K73),K73))</f>
        <v>#VALUE!</v>
      </c>
      <c r="L73" t="e">
        <f ca="1">IF((A1)=(2),"",IF((70)=(L3),IF(IF((INDEX(B1:XFD1,((A2)+(1))+(0)))=("store"),(INDEX(B1:XFD1,((A2)+(1))+(1)))=("L"),"false"),B2,L73),L73))</f>
        <v>#VALUE!</v>
      </c>
      <c r="M73" t="e">
        <f ca="1">IF((A1)=(2),"",IF((70)=(M3),IF(IF((INDEX(B1:XFD1,((A2)+(1))+(0)))=("store"),(INDEX(B1:XFD1,((A2)+(1))+(1)))=("M"),"false"),B2,M73),M73))</f>
        <v>#VALUE!</v>
      </c>
      <c r="N73" t="e">
        <f ca="1">IF((A1)=(2),"",IF((70)=(N3),IF(IF((INDEX(B1:XFD1,((A2)+(1))+(0)))=("store"),(INDEX(B1:XFD1,((A2)+(1))+(1)))=("N"),"false"),B2,N73),N73))</f>
        <v>#VALUE!</v>
      </c>
      <c r="O73" t="e">
        <f ca="1">IF((A1)=(2),"",IF((70)=(O3),IF(IF((INDEX(B1:XFD1,((A2)+(1))+(0)))=("store"),(INDEX(B1:XFD1,((A2)+(1))+(1)))=("O"),"false"),B2,O73),O73))</f>
        <v>#VALUE!</v>
      </c>
      <c r="P73" t="e">
        <f ca="1">IF((A1)=(2),"",IF((70)=(P3),IF(IF((INDEX(B1:XFD1,((A2)+(1))+(0)))=("store"),(INDEX(B1:XFD1,((A2)+(1))+(1)))=("P"),"false"),B2,P73),P73))</f>
        <v>#VALUE!</v>
      </c>
      <c r="Q73" t="e">
        <f ca="1">IF((A1)=(2),"",IF((70)=(Q3),IF(IF((INDEX(B1:XFD1,((A2)+(1))+(0)))=("store"),(INDEX(B1:XFD1,((A2)+(1))+(1)))=("Q"),"false"),B2,Q73),Q73))</f>
        <v>#VALUE!</v>
      </c>
      <c r="R73" t="e">
        <f ca="1">IF((A1)=(2),"",IF((70)=(R3),IF(IF((INDEX(B1:XFD1,((A2)+(1))+(0)))=("store"),(INDEX(B1:XFD1,((A2)+(1))+(1)))=("R"),"false"),B2,R73),R73))</f>
        <v>#VALUE!</v>
      </c>
      <c r="S73" t="e">
        <f ca="1">IF((A1)=(2),"",IF((70)=(S3),IF(IF((INDEX(B1:XFD1,((A2)+(1))+(0)))=("store"),(INDEX(B1:XFD1,((A2)+(1))+(1)))=("S"),"false"),B2,S73),S73))</f>
        <v>#VALUE!</v>
      </c>
      <c r="T73" t="e">
        <f ca="1">IF((A1)=(2),"",IF((70)=(T3),IF(IF((INDEX(B1:XFD1,((A2)+(1))+(0)))=("store"),(INDEX(B1:XFD1,((A2)+(1))+(1)))=("T"),"false"),B2,T73),T73))</f>
        <v>#VALUE!</v>
      </c>
      <c r="U73" t="e">
        <f ca="1">IF((A1)=(2),"",IF((70)=(U3),IF(IF((INDEX(B1:XFD1,((A2)+(1))+(0)))=("store"),(INDEX(B1:XFD1,((A2)+(1))+(1)))=("U"),"false"),B2,U73),U73))</f>
        <v>#VALUE!</v>
      </c>
      <c r="V73" t="e">
        <f ca="1">IF((A1)=(2),"",IF((70)=(V3),IF(IF((INDEX(B1:XFD1,((A2)+(1))+(0)))=("store"),(INDEX(B1:XFD1,((A2)+(1))+(1)))=("V"),"false"),B2,V73),V73))</f>
        <v>#VALUE!</v>
      </c>
      <c r="W73" t="e">
        <f ca="1">IF((A1)=(2),"",IF((70)=(W3),IF(IF((INDEX(B1:XFD1,((A2)+(1))+(0)))=("store"),(INDEX(B1:XFD1,((A2)+(1))+(1)))=("W"),"false"),B2,W73),W73))</f>
        <v>#VALUE!</v>
      </c>
      <c r="X73" t="e">
        <f ca="1">IF((A1)=(2),"",IF((70)=(X3),IF(IF((INDEX(B1:XFD1,((A2)+(1))+(0)))=("store"),(INDEX(B1:XFD1,((A2)+(1))+(1)))=("X"),"false"),B2,X73),X73))</f>
        <v>#VALUE!</v>
      </c>
      <c r="Y73" t="e">
        <f ca="1">IF((A1)=(2),"",IF((70)=(Y3),IF(IF((INDEX(B1:XFD1,((A2)+(1))+(0)))=("store"),(INDEX(B1:XFD1,((A2)+(1))+(1)))=("Y"),"false"),B2,Y73),Y73))</f>
        <v>#VALUE!</v>
      </c>
      <c r="Z73" t="e">
        <f ca="1">IF((A1)=(2),"",IF((70)=(Z3),IF(IF((INDEX(B1:XFD1,((A2)+(1))+(0)))=("store"),(INDEX(B1:XFD1,((A2)+(1))+(1)))=("Z"),"false"),B2,Z73),Z73))</f>
        <v>#VALUE!</v>
      </c>
      <c r="AA73" t="e">
        <f ca="1">IF((A1)=(2),"",IF((70)=(AA3),IF(IF((INDEX(B1:XFD1,((A2)+(1))+(0)))=("store"),(INDEX(B1:XFD1,((A2)+(1))+(1)))=("AA"),"false"),B2,AA73),AA73))</f>
        <v>#VALUE!</v>
      </c>
      <c r="AB73" t="e">
        <f ca="1">IF((A1)=(2),"",IF((70)=(AB3),IF(IF((INDEX(B1:XFD1,((A2)+(1))+(0)))=("store"),(INDEX(B1:XFD1,((A2)+(1))+(1)))=("AB"),"false"),B2,AB73),AB73))</f>
        <v>#VALUE!</v>
      </c>
      <c r="AC73" t="e">
        <f ca="1">IF((A1)=(2),"",IF((70)=(AC3),IF(IF((INDEX(B1:XFD1,((A2)+(1))+(0)))=("store"),(INDEX(B1:XFD1,((A2)+(1))+(1)))=("AC"),"false"),B2,AC73),AC73))</f>
        <v>#VALUE!</v>
      </c>
      <c r="AD73" t="e">
        <f ca="1">IF((A1)=(2),"",IF((70)=(AD3),IF(IF((INDEX(B1:XFD1,((A2)+(1))+(0)))=("store"),(INDEX(B1:XFD1,((A2)+(1))+(1)))=("AD"),"false"),B2,AD73),AD73))</f>
        <v>#VALUE!</v>
      </c>
    </row>
    <row r="74" spans="1:30" x14ac:dyDescent="0.25">
      <c r="A74" t="e">
        <f ca="1">IF((A1)=(2),"",IF((71)=(A3),IF(("call")=(INDEX(B1:XFD1,((A2)+(1))+(0))),(B2)*(2),IF(("goto")=(INDEX(B1:XFD1,((A2)+(1))+(0))),(INDEX(B1:XFD1,((A2)+(1))+(1)))*(2),IF(("gotoiftrue")=(INDEX(B1:XFD1,((A2)+(1))+(0))),IF(B2,(INDEX(B1:XFD1,((A2)+(1))+(1)))*(2),(A74)+(2)),(A74)+(2)))),A74))</f>
        <v>#VALUE!</v>
      </c>
      <c r="B74" t="e">
        <f ca="1">IF((A1)=(2),"",IF((71)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74)+(1)),IF(("add")=(INDEX(B1:XFD1,((A2)+(1))+(0))),(INDEX(B4:B404,(B3)+(1)))+(B74),IF(("equals")=(INDEX(B1:XFD1,((A2)+(1))+(0))),(INDEX(B4:B404,(B3)+(1)))=(B74),IF(("leq")=(INDEX(B1:XFD1,((A2)+(1))+(0))),(INDEX(B4:B404,(B3)+(1)))&lt;=(B74),IF(("greater")=(INDEX(B1:XFD1,((A2)+(1))+(0))),(INDEX(B4:B404,(B3)+(1)))&gt;(B74),IF(("mod")=(INDEX(B1:XFD1,((A2)+(1))+(0))),MOD(INDEX(B4:B404,(B3)+(1)),B74),B74))))))))),B74))</f>
        <v>#VALUE!</v>
      </c>
      <c r="C74" t="e">
        <f ca="1">IF((A1)=(2),1,IF(AND((INDEX(B1:XFD1,((A2)+(1))+(0)))=("writeheap"),(INDEX(B4:B404,(B3)+(1)))=(70)),INDEX(B4:B404,(B3)+(2)),IF((A1)=(2),"",IF((71)=(C3),C74,C74))))</f>
        <v>#VALUE!</v>
      </c>
      <c r="E74" t="e">
        <f ca="1">IF((A1)=(2),"",IF((71)=(E3),IF(("outputline")=(INDEX(B1:XFD1,((A2)+(1))+(0))),B2,E74),E74))</f>
        <v>#VALUE!</v>
      </c>
      <c r="F74" t="e">
        <f ca="1">IF((A1)=(2),"",IF((71)=(F3),IF(IF((INDEX(B1:XFD1,((A2)+(1))+(0)))=("store"),(INDEX(B1:XFD1,((A2)+(1))+(1)))=("F"),"false"),B2,F74),F74))</f>
        <v>#VALUE!</v>
      </c>
      <c r="G74" t="e">
        <f ca="1">IF((A1)=(2),"",IF((71)=(G3),IF(IF((INDEX(B1:XFD1,((A2)+(1))+(0)))=("store"),(INDEX(B1:XFD1,((A2)+(1))+(1)))=("G"),"false"),B2,G74),G74))</f>
        <v>#VALUE!</v>
      </c>
      <c r="H74" t="e">
        <f ca="1">IF((A1)=(2),"",IF((71)=(H3),IF(IF((INDEX(B1:XFD1,((A2)+(1))+(0)))=("store"),(INDEX(B1:XFD1,((A2)+(1))+(1)))=("H"),"false"),B2,H74),H74))</f>
        <v>#VALUE!</v>
      </c>
      <c r="I74" t="e">
        <f ca="1">IF((A1)=(2),"",IF((71)=(I3),IF(IF((INDEX(B1:XFD1,((A2)+(1))+(0)))=("store"),(INDEX(B1:XFD1,((A2)+(1))+(1)))=("I"),"false"),B2,I74),I74))</f>
        <v>#VALUE!</v>
      </c>
      <c r="J74" t="e">
        <f ca="1">IF((A1)=(2),"",IF((71)=(J3),IF(IF((INDEX(B1:XFD1,((A2)+(1))+(0)))=("store"),(INDEX(B1:XFD1,((A2)+(1))+(1)))=("J"),"false"),B2,J74),J74))</f>
        <v>#VALUE!</v>
      </c>
      <c r="K74" t="e">
        <f ca="1">IF((A1)=(2),"",IF((71)=(K3),IF(IF((INDEX(B1:XFD1,((A2)+(1))+(0)))=("store"),(INDEX(B1:XFD1,((A2)+(1))+(1)))=("K"),"false"),B2,K74),K74))</f>
        <v>#VALUE!</v>
      </c>
      <c r="L74" t="e">
        <f ca="1">IF((A1)=(2),"",IF((71)=(L3),IF(IF((INDEX(B1:XFD1,((A2)+(1))+(0)))=("store"),(INDEX(B1:XFD1,((A2)+(1))+(1)))=("L"),"false"),B2,L74),L74))</f>
        <v>#VALUE!</v>
      </c>
      <c r="M74" t="e">
        <f ca="1">IF((A1)=(2),"",IF((71)=(M3),IF(IF((INDEX(B1:XFD1,((A2)+(1))+(0)))=("store"),(INDEX(B1:XFD1,((A2)+(1))+(1)))=("M"),"false"),B2,M74),M74))</f>
        <v>#VALUE!</v>
      </c>
      <c r="N74" t="e">
        <f ca="1">IF((A1)=(2),"",IF((71)=(N3),IF(IF((INDEX(B1:XFD1,((A2)+(1))+(0)))=("store"),(INDEX(B1:XFD1,((A2)+(1))+(1)))=("N"),"false"),B2,N74),N74))</f>
        <v>#VALUE!</v>
      </c>
      <c r="O74" t="e">
        <f ca="1">IF((A1)=(2),"",IF((71)=(O3),IF(IF((INDEX(B1:XFD1,((A2)+(1))+(0)))=("store"),(INDEX(B1:XFD1,((A2)+(1))+(1)))=("O"),"false"),B2,O74),O74))</f>
        <v>#VALUE!</v>
      </c>
      <c r="P74" t="e">
        <f ca="1">IF((A1)=(2),"",IF((71)=(P3),IF(IF((INDEX(B1:XFD1,((A2)+(1))+(0)))=("store"),(INDEX(B1:XFD1,((A2)+(1))+(1)))=("P"),"false"),B2,P74),P74))</f>
        <v>#VALUE!</v>
      </c>
      <c r="Q74" t="e">
        <f ca="1">IF((A1)=(2),"",IF((71)=(Q3),IF(IF((INDEX(B1:XFD1,((A2)+(1))+(0)))=("store"),(INDEX(B1:XFD1,((A2)+(1))+(1)))=("Q"),"false"),B2,Q74),Q74))</f>
        <v>#VALUE!</v>
      </c>
      <c r="R74" t="e">
        <f ca="1">IF((A1)=(2),"",IF((71)=(R3),IF(IF((INDEX(B1:XFD1,((A2)+(1))+(0)))=("store"),(INDEX(B1:XFD1,((A2)+(1))+(1)))=("R"),"false"),B2,R74),R74))</f>
        <v>#VALUE!</v>
      </c>
      <c r="S74" t="e">
        <f ca="1">IF((A1)=(2),"",IF((71)=(S3),IF(IF((INDEX(B1:XFD1,((A2)+(1))+(0)))=("store"),(INDEX(B1:XFD1,((A2)+(1))+(1)))=("S"),"false"),B2,S74),S74))</f>
        <v>#VALUE!</v>
      </c>
      <c r="T74" t="e">
        <f ca="1">IF((A1)=(2),"",IF((71)=(T3),IF(IF((INDEX(B1:XFD1,((A2)+(1))+(0)))=("store"),(INDEX(B1:XFD1,((A2)+(1))+(1)))=("T"),"false"),B2,T74),T74))</f>
        <v>#VALUE!</v>
      </c>
      <c r="U74" t="e">
        <f ca="1">IF((A1)=(2),"",IF((71)=(U3),IF(IF((INDEX(B1:XFD1,((A2)+(1))+(0)))=("store"),(INDEX(B1:XFD1,((A2)+(1))+(1)))=("U"),"false"),B2,U74),U74))</f>
        <v>#VALUE!</v>
      </c>
      <c r="V74" t="e">
        <f ca="1">IF((A1)=(2),"",IF((71)=(V3),IF(IF((INDEX(B1:XFD1,((A2)+(1))+(0)))=("store"),(INDEX(B1:XFD1,((A2)+(1))+(1)))=("V"),"false"),B2,V74),V74))</f>
        <v>#VALUE!</v>
      </c>
      <c r="W74" t="e">
        <f ca="1">IF((A1)=(2),"",IF((71)=(W3),IF(IF((INDEX(B1:XFD1,((A2)+(1))+(0)))=("store"),(INDEX(B1:XFD1,((A2)+(1))+(1)))=("W"),"false"),B2,W74),W74))</f>
        <v>#VALUE!</v>
      </c>
      <c r="X74" t="e">
        <f ca="1">IF((A1)=(2),"",IF((71)=(X3),IF(IF((INDEX(B1:XFD1,((A2)+(1))+(0)))=("store"),(INDEX(B1:XFD1,((A2)+(1))+(1)))=("X"),"false"),B2,X74),X74))</f>
        <v>#VALUE!</v>
      </c>
      <c r="Y74" t="e">
        <f ca="1">IF((A1)=(2),"",IF((71)=(Y3),IF(IF((INDEX(B1:XFD1,((A2)+(1))+(0)))=("store"),(INDEX(B1:XFD1,((A2)+(1))+(1)))=("Y"),"false"),B2,Y74),Y74))</f>
        <v>#VALUE!</v>
      </c>
      <c r="Z74" t="e">
        <f ca="1">IF((A1)=(2),"",IF((71)=(Z3),IF(IF((INDEX(B1:XFD1,((A2)+(1))+(0)))=("store"),(INDEX(B1:XFD1,((A2)+(1))+(1)))=("Z"),"false"),B2,Z74),Z74))</f>
        <v>#VALUE!</v>
      </c>
      <c r="AA74" t="e">
        <f ca="1">IF((A1)=(2),"",IF((71)=(AA3),IF(IF((INDEX(B1:XFD1,((A2)+(1))+(0)))=("store"),(INDEX(B1:XFD1,((A2)+(1))+(1)))=("AA"),"false"),B2,AA74),AA74))</f>
        <v>#VALUE!</v>
      </c>
      <c r="AB74" t="e">
        <f ca="1">IF((A1)=(2),"",IF((71)=(AB3),IF(IF((INDEX(B1:XFD1,((A2)+(1))+(0)))=("store"),(INDEX(B1:XFD1,((A2)+(1))+(1)))=("AB"),"false"),B2,AB74),AB74))</f>
        <v>#VALUE!</v>
      </c>
      <c r="AC74" t="e">
        <f ca="1">IF((A1)=(2),"",IF((71)=(AC3),IF(IF((INDEX(B1:XFD1,((A2)+(1))+(0)))=("store"),(INDEX(B1:XFD1,((A2)+(1))+(1)))=("AC"),"false"),B2,AC74),AC74))</f>
        <v>#VALUE!</v>
      </c>
      <c r="AD74" t="e">
        <f ca="1">IF((A1)=(2),"",IF((71)=(AD3),IF(IF((INDEX(B1:XFD1,((A2)+(1))+(0)))=("store"),(INDEX(B1:XFD1,((A2)+(1))+(1)))=("AD"),"false"),B2,AD74),AD74))</f>
        <v>#VALUE!</v>
      </c>
    </row>
    <row r="75" spans="1:30" x14ac:dyDescent="0.25">
      <c r="A75" t="e">
        <f ca="1">IF((A1)=(2),"",IF((72)=(A3),IF(("call")=(INDEX(B1:XFD1,((A2)+(1))+(0))),(B2)*(2),IF(("goto")=(INDEX(B1:XFD1,((A2)+(1))+(0))),(INDEX(B1:XFD1,((A2)+(1))+(1)))*(2),IF(("gotoiftrue")=(INDEX(B1:XFD1,((A2)+(1))+(0))),IF(B2,(INDEX(B1:XFD1,((A2)+(1))+(1)))*(2),(A75)+(2)),(A75)+(2)))),A75))</f>
        <v>#VALUE!</v>
      </c>
      <c r="B75" t="e">
        <f ca="1">IF((A1)=(2),"",IF((72)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75)+(1)),IF(("add")=(INDEX(B1:XFD1,((A2)+(1))+(0))),(INDEX(B4:B404,(B3)+(1)))+(B75),IF(("equals")=(INDEX(B1:XFD1,((A2)+(1))+(0))),(INDEX(B4:B404,(B3)+(1)))=(B75),IF(("leq")=(INDEX(B1:XFD1,((A2)+(1))+(0))),(INDEX(B4:B404,(B3)+(1)))&lt;=(B75),IF(("greater")=(INDEX(B1:XFD1,((A2)+(1))+(0))),(INDEX(B4:B404,(B3)+(1)))&gt;(B75),IF(("mod")=(INDEX(B1:XFD1,((A2)+(1))+(0))),MOD(INDEX(B4:B404,(B3)+(1)),B75),B75))))))))),B75))</f>
        <v>#VALUE!</v>
      </c>
      <c r="C75" t="e">
        <f ca="1">IF((A1)=(2),1,IF(AND((INDEX(B1:XFD1,((A2)+(1))+(0)))=("writeheap"),(INDEX(B4:B404,(B3)+(1)))=(71)),INDEX(B4:B404,(B3)+(2)),IF((A1)=(2),"",IF((72)=(C3),C75,C75))))</f>
        <v>#VALUE!</v>
      </c>
      <c r="E75" t="e">
        <f ca="1">IF((A1)=(2),"",IF((72)=(E3),IF(("outputline")=(INDEX(B1:XFD1,((A2)+(1))+(0))),B2,E75),E75))</f>
        <v>#VALUE!</v>
      </c>
      <c r="F75" t="e">
        <f ca="1">IF((A1)=(2),"",IF((72)=(F3),IF(IF((INDEX(B1:XFD1,((A2)+(1))+(0)))=("store"),(INDEX(B1:XFD1,((A2)+(1))+(1)))=("F"),"false"),B2,F75),F75))</f>
        <v>#VALUE!</v>
      </c>
      <c r="G75" t="e">
        <f ca="1">IF((A1)=(2),"",IF((72)=(G3),IF(IF((INDEX(B1:XFD1,((A2)+(1))+(0)))=("store"),(INDEX(B1:XFD1,((A2)+(1))+(1)))=("G"),"false"),B2,G75),G75))</f>
        <v>#VALUE!</v>
      </c>
      <c r="H75" t="e">
        <f ca="1">IF((A1)=(2),"",IF((72)=(H3),IF(IF((INDEX(B1:XFD1,((A2)+(1))+(0)))=("store"),(INDEX(B1:XFD1,((A2)+(1))+(1)))=("H"),"false"),B2,H75),H75))</f>
        <v>#VALUE!</v>
      </c>
      <c r="I75" t="e">
        <f ca="1">IF((A1)=(2),"",IF((72)=(I3),IF(IF((INDEX(B1:XFD1,((A2)+(1))+(0)))=("store"),(INDEX(B1:XFD1,((A2)+(1))+(1)))=("I"),"false"),B2,I75),I75))</f>
        <v>#VALUE!</v>
      </c>
      <c r="J75" t="e">
        <f ca="1">IF((A1)=(2),"",IF((72)=(J3),IF(IF((INDEX(B1:XFD1,((A2)+(1))+(0)))=("store"),(INDEX(B1:XFD1,((A2)+(1))+(1)))=("J"),"false"),B2,J75),J75))</f>
        <v>#VALUE!</v>
      </c>
      <c r="K75" t="e">
        <f ca="1">IF((A1)=(2),"",IF((72)=(K3),IF(IF((INDEX(B1:XFD1,((A2)+(1))+(0)))=("store"),(INDEX(B1:XFD1,((A2)+(1))+(1)))=("K"),"false"),B2,K75),K75))</f>
        <v>#VALUE!</v>
      </c>
      <c r="L75" t="e">
        <f ca="1">IF((A1)=(2),"",IF((72)=(L3),IF(IF((INDEX(B1:XFD1,((A2)+(1))+(0)))=("store"),(INDEX(B1:XFD1,((A2)+(1))+(1)))=("L"),"false"),B2,L75),L75))</f>
        <v>#VALUE!</v>
      </c>
      <c r="M75" t="e">
        <f ca="1">IF((A1)=(2),"",IF((72)=(M3),IF(IF((INDEX(B1:XFD1,((A2)+(1))+(0)))=("store"),(INDEX(B1:XFD1,((A2)+(1))+(1)))=("M"),"false"),B2,M75),M75))</f>
        <v>#VALUE!</v>
      </c>
      <c r="N75" t="e">
        <f ca="1">IF((A1)=(2),"",IF((72)=(N3),IF(IF((INDEX(B1:XFD1,((A2)+(1))+(0)))=("store"),(INDEX(B1:XFD1,((A2)+(1))+(1)))=("N"),"false"),B2,N75),N75))</f>
        <v>#VALUE!</v>
      </c>
      <c r="O75" t="e">
        <f ca="1">IF((A1)=(2),"",IF((72)=(O3),IF(IF((INDEX(B1:XFD1,((A2)+(1))+(0)))=("store"),(INDEX(B1:XFD1,((A2)+(1))+(1)))=("O"),"false"),B2,O75),O75))</f>
        <v>#VALUE!</v>
      </c>
      <c r="P75" t="e">
        <f ca="1">IF((A1)=(2),"",IF((72)=(P3),IF(IF((INDEX(B1:XFD1,((A2)+(1))+(0)))=("store"),(INDEX(B1:XFD1,((A2)+(1))+(1)))=("P"),"false"),B2,P75),P75))</f>
        <v>#VALUE!</v>
      </c>
      <c r="Q75" t="e">
        <f ca="1">IF((A1)=(2),"",IF((72)=(Q3),IF(IF((INDEX(B1:XFD1,((A2)+(1))+(0)))=("store"),(INDEX(B1:XFD1,((A2)+(1))+(1)))=("Q"),"false"),B2,Q75),Q75))</f>
        <v>#VALUE!</v>
      </c>
      <c r="R75" t="e">
        <f ca="1">IF((A1)=(2),"",IF((72)=(R3),IF(IF((INDEX(B1:XFD1,((A2)+(1))+(0)))=("store"),(INDEX(B1:XFD1,((A2)+(1))+(1)))=("R"),"false"),B2,R75),R75))</f>
        <v>#VALUE!</v>
      </c>
      <c r="S75" t="e">
        <f ca="1">IF((A1)=(2),"",IF((72)=(S3),IF(IF((INDEX(B1:XFD1,((A2)+(1))+(0)))=("store"),(INDEX(B1:XFD1,((A2)+(1))+(1)))=("S"),"false"),B2,S75),S75))</f>
        <v>#VALUE!</v>
      </c>
      <c r="T75" t="e">
        <f ca="1">IF((A1)=(2),"",IF((72)=(T3),IF(IF((INDEX(B1:XFD1,((A2)+(1))+(0)))=("store"),(INDEX(B1:XFD1,((A2)+(1))+(1)))=("T"),"false"),B2,T75),T75))</f>
        <v>#VALUE!</v>
      </c>
      <c r="U75" t="e">
        <f ca="1">IF((A1)=(2),"",IF((72)=(U3),IF(IF((INDEX(B1:XFD1,((A2)+(1))+(0)))=("store"),(INDEX(B1:XFD1,((A2)+(1))+(1)))=("U"),"false"),B2,U75),U75))</f>
        <v>#VALUE!</v>
      </c>
      <c r="V75" t="e">
        <f ca="1">IF((A1)=(2),"",IF((72)=(V3),IF(IF((INDEX(B1:XFD1,((A2)+(1))+(0)))=("store"),(INDEX(B1:XFD1,((A2)+(1))+(1)))=("V"),"false"),B2,V75),V75))</f>
        <v>#VALUE!</v>
      </c>
      <c r="W75" t="e">
        <f ca="1">IF((A1)=(2),"",IF((72)=(W3),IF(IF((INDEX(B1:XFD1,((A2)+(1))+(0)))=("store"),(INDEX(B1:XFD1,((A2)+(1))+(1)))=("W"),"false"),B2,W75),W75))</f>
        <v>#VALUE!</v>
      </c>
      <c r="X75" t="e">
        <f ca="1">IF((A1)=(2),"",IF((72)=(X3),IF(IF((INDEX(B1:XFD1,((A2)+(1))+(0)))=("store"),(INDEX(B1:XFD1,((A2)+(1))+(1)))=("X"),"false"),B2,X75),X75))</f>
        <v>#VALUE!</v>
      </c>
      <c r="Y75" t="e">
        <f ca="1">IF((A1)=(2),"",IF((72)=(Y3),IF(IF((INDEX(B1:XFD1,((A2)+(1))+(0)))=("store"),(INDEX(B1:XFD1,((A2)+(1))+(1)))=("Y"),"false"),B2,Y75),Y75))</f>
        <v>#VALUE!</v>
      </c>
      <c r="Z75" t="e">
        <f ca="1">IF((A1)=(2),"",IF((72)=(Z3),IF(IF((INDEX(B1:XFD1,((A2)+(1))+(0)))=("store"),(INDEX(B1:XFD1,((A2)+(1))+(1)))=("Z"),"false"),B2,Z75),Z75))</f>
        <v>#VALUE!</v>
      </c>
      <c r="AA75" t="e">
        <f ca="1">IF((A1)=(2),"",IF((72)=(AA3),IF(IF((INDEX(B1:XFD1,((A2)+(1))+(0)))=("store"),(INDEX(B1:XFD1,((A2)+(1))+(1)))=("AA"),"false"),B2,AA75),AA75))</f>
        <v>#VALUE!</v>
      </c>
      <c r="AB75" t="e">
        <f ca="1">IF((A1)=(2),"",IF((72)=(AB3),IF(IF((INDEX(B1:XFD1,((A2)+(1))+(0)))=("store"),(INDEX(B1:XFD1,((A2)+(1))+(1)))=("AB"),"false"),B2,AB75),AB75))</f>
        <v>#VALUE!</v>
      </c>
      <c r="AC75" t="e">
        <f ca="1">IF((A1)=(2),"",IF((72)=(AC3),IF(IF((INDEX(B1:XFD1,((A2)+(1))+(0)))=("store"),(INDEX(B1:XFD1,((A2)+(1))+(1)))=("AC"),"false"),B2,AC75),AC75))</f>
        <v>#VALUE!</v>
      </c>
      <c r="AD75" t="e">
        <f ca="1">IF((A1)=(2),"",IF((72)=(AD3),IF(IF((INDEX(B1:XFD1,((A2)+(1))+(0)))=("store"),(INDEX(B1:XFD1,((A2)+(1))+(1)))=("AD"),"false"),B2,AD75),AD75))</f>
        <v>#VALUE!</v>
      </c>
    </row>
    <row r="76" spans="1:30" x14ac:dyDescent="0.25">
      <c r="A76" t="e">
        <f ca="1">IF((A1)=(2),"",IF((73)=(A3),IF(("call")=(INDEX(B1:XFD1,((A2)+(1))+(0))),(B2)*(2),IF(("goto")=(INDEX(B1:XFD1,((A2)+(1))+(0))),(INDEX(B1:XFD1,((A2)+(1))+(1)))*(2),IF(("gotoiftrue")=(INDEX(B1:XFD1,((A2)+(1))+(0))),IF(B2,(INDEX(B1:XFD1,((A2)+(1))+(1)))*(2),(A76)+(2)),(A76)+(2)))),A76))</f>
        <v>#VALUE!</v>
      </c>
      <c r="B76" t="e">
        <f ca="1">IF((A1)=(2),"",IF((73)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76)+(1)),IF(("add")=(INDEX(B1:XFD1,((A2)+(1))+(0))),(INDEX(B4:B404,(B3)+(1)))+(B76),IF(("equals")=(INDEX(B1:XFD1,((A2)+(1))+(0))),(INDEX(B4:B404,(B3)+(1)))=(B76),IF(("leq")=(INDEX(B1:XFD1,((A2)+(1))+(0))),(INDEX(B4:B404,(B3)+(1)))&lt;=(B76),IF(("greater")=(INDEX(B1:XFD1,((A2)+(1))+(0))),(INDEX(B4:B404,(B3)+(1)))&gt;(B76),IF(("mod")=(INDEX(B1:XFD1,((A2)+(1))+(0))),MOD(INDEX(B4:B404,(B3)+(1)),B76),B76))))))))),B76))</f>
        <v>#VALUE!</v>
      </c>
      <c r="C76" t="e">
        <f ca="1">IF((A1)=(2),1,IF(AND((INDEX(B1:XFD1,((A2)+(1))+(0)))=("writeheap"),(INDEX(B4:B404,(B3)+(1)))=(72)),INDEX(B4:B404,(B3)+(2)),IF((A1)=(2),"",IF((73)=(C3),C76,C76))))</f>
        <v>#VALUE!</v>
      </c>
      <c r="E76" t="e">
        <f ca="1">IF((A1)=(2),"",IF((73)=(E3),IF(("outputline")=(INDEX(B1:XFD1,((A2)+(1))+(0))),B2,E76),E76))</f>
        <v>#VALUE!</v>
      </c>
      <c r="F76" t="e">
        <f ca="1">IF((A1)=(2),"",IF((73)=(F3),IF(IF((INDEX(B1:XFD1,((A2)+(1))+(0)))=("store"),(INDEX(B1:XFD1,((A2)+(1))+(1)))=("F"),"false"),B2,F76),F76))</f>
        <v>#VALUE!</v>
      </c>
      <c r="G76" t="e">
        <f ca="1">IF((A1)=(2),"",IF((73)=(G3),IF(IF((INDEX(B1:XFD1,((A2)+(1))+(0)))=("store"),(INDEX(B1:XFD1,((A2)+(1))+(1)))=("G"),"false"),B2,G76),G76))</f>
        <v>#VALUE!</v>
      </c>
      <c r="H76" t="e">
        <f ca="1">IF((A1)=(2),"",IF((73)=(H3),IF(IF((INDEX(B1:XFD1,((A2)+(1))+(0)))=("store"),(INDEX(B1:XFD1,((A2)+(1))+(1)))=("H"),"false"),B2,H76),H76))</f>
        <v>#VALUE!</v>
      </c>
      <c r="I76" t="e">
        <f ca="1">IF((A1)=(2),"",IF((73)=(I3),IF(IF((INDEX(B1:XFD1,((A2)+(1))+(0)))=("store"),(INDEX(B1:XFD1,((A2)+(1))+(1)))=("I"),"false"),B2,I76),I76))</f>
        <v>#VALUE!</v>
      </c>
      <c r="J76" t="e">
        <f ca="1">IF((A1)=(2),"",IF((73)=(J3),IF(IF((INDEX(B1:XFD1,((A2)+(1))+(0)))=("store"),(INDEX(B1:XFD1,((A2)+(1))+(1)))=("J"),"false"),B2,J76),J76))</f>
        <v>#VALUE!</v>
      </c>
      <c r="K76" t="e">
        <f ca="1">IF((A1)=(2),"",IF((73)=(K3),IF(IF((INDEX(B1:XFD1,((A2)+(1))+(0)))=("store"),(INDEX(B1:XFD1,((A2)+(1))+(1)))=("K"),"false"),B2,K76),K76))</f>
        <v>#VALUE!</v>
      </c>
      <c r="L76" t="e">
        <f ca="1">IF((A1)=(2),"",IF((73)=(L3),IF(IF((INDEX(B1:XFD1,((A2)+(1))+(0)))=("store"),(INDEX(B1:XFD1,((A2)+(1))+(1)))=("L"),"false"),B2,L76),L76))</f>
        <v>#VALUE!</v>
      </c>
      <c r="M76" t="e">
        <f ca="1">IF((A1)=(2),"",IF((73)=(M3),IF(IF((INDEX(B1:XFD1,((A2)+(1))+(0)))=("store"),(INDEX(B1:XFD1,((A2)+(1))+(1)))=("M"),"false"),B2,M76),M76))</f>
        <v>#VALUE!</v>
      </c>
      <c r="N76" t="e">
        <f ca="1">IF((A1)=(2),"",IF((73)=(N3),IF(IF((INDEX(B1:XFD1,((A2)+(1))+(0)))=("store"),(INDEX(B1:XFD1,((A2)+(1))+(1)))=("N"),"false"),B2,N76),N76))</f>
        <v>#VALUE!</v>
      </c>
      <c r="O76" t="e">
        <f ca="1">IF((A1)=(2),"",IF((73)=(O3),IF(IF((INDEX(B1:XFD1,((A2)+(1))+(0)))=("store"),(INDEX(B1:XFD1,((A2)+(1))+(1)))=("O"),"false"),B2,O76),O76))</f>
        <v>#VALUE!</v>
      </c>
      <c r="P76" t="e">
        <f ca="1">IF((A1)=(2),"",IF((73)=(P3),IF(IF((INDEX(B1:XFD1,((A2)+(1))+(0)))=("store"),(INDEX(B1:XFD1,((A2)+(1))+(1)))=("P"),"false"),B2,P76),P76))</f>
        <v>#VALUE!</v>
      </c>
      <c r="Q76" t="e">
        <f ca="1">IF((A1)=(2),"",IF((73)=(Q3),IF(IF((INDEX(B1:XFD1,((A2)+(1))+(0)))=("store"),(INDEX(B1:XFD1,((A2)+(1))+(1)))=("Q"),"false"),B2,Q76),Q76))</f>
        <v>#VALUE!</v>
      </c>
      <c r="R76" t="e">
        <f ca="1">IF((A1)=(2),"",IF((73)=(R3),IF(IF((INDEX(B1:XFD1,((A2)+(1))+(0)))=("store"),(INDEX(B1:XFD1,((A2)+(1))+(1)))=("R"),"false"),B2,R76),R76))</f>
        <v>#VALUE!</v>
      </c>
      <c r="S76" t="e">
        <f ca="1">IF((A1)=(2),"",IF((73)=(S3),IF(IF((INDEX(B1:XFD1,((A2)+(1))+(0)))=("store"),(INDEX(B1:XFD1,((A2)+(1))+(1)))=("S"),"false"),B2,S76),S76))</f>
        <v>#VALUE!</v>
      </c>
      <c r="T76" t="e">
        <f ca="1">IF((A1)=(2),"",IF((73)=(T3),IF(IF((INDEX(B1:XFD1,((A2)+(1))+(0)))=("store"),(INDEX(B1:XFD1,((A2)+(1))+(1)))=("T"),"false"),B2,T76),T76))</f>
        <v>#VALUE!</v>
      </c>
      <c r="U76" t="e">
        <f ca="1">IF((A1)=(2),"",IF((73)=(U3),IF(IF((INDEX(B1:XFD1,((A2)+(1))+(0)))=("store"),(INDEX(B1:XFD1,((A2)+(1))+(1)))=("U"),"false"),B2,U76),U76))</f>
        <v>#VALUE!</v>
      </c>
      <c r="V76" t="e">
        <f ca="1">IF((A1)=(2),"",IF((73)=(V3),IF(IF((INDEX(B1:XFD1,((A2)+(1))+(0)))=("store"),(INDEX(B1:XFD1,((A2)+(1))+(1)))=("V"),"false"),B2,V76),V76))</f>
        <v>#VALUE!</v>
      </c>
      <c r="W76" t="e">
        <f ca="1">IF((A1)=(2),"",IF((73)=(W3),IF(IF((INDEX(B1:XFD1,((A2)+(1))+(0)))=("store"),(INDEX(B1:XFD1,((A2)+(1))+(1)))=("W"),"false"),B2,W76),W76))</f>
        <v>#VALUE!</v>
      </c>
      <c r="X76" t="e">
        <f ca="1">IF((A1)=(2),"",IF((73)=(X3),IF(IF((INDEX(B1:XFD1,((A2)+(1))+(0)))=("store"),(INDEX(B1:XFD1,((A2)+(1))+(1)))=("X"),"false"),B2,X76),X76))</f>
        <v>#VALUE!</v>
      </c>
      <c r="Y76" t="e">
        <f ca="1">IF((A1)=(2),"",IF((73)=(Y3),IF(IF((INDEX(B1:XFD1,((A2)+(1))+(0)))=("store"),(INDEX(B1:XFD1,((A2)+(1))+(1)))=("Y"),"false"),B2,Y76),Y76))</f>
        <v>#VALUE!</v>
      </c>
      <c r="Z76" t="e">
        <f ca="1">IF((A1)=(2),"",IF((73)=(Z3),IF(IF((INDEX(B1:XFD1,((A2)+(1))+(0)))=("store"),(INDEX(B1:XFD1,((A2)+(1))+(1)))=("Z"),"false"),B2,Z76),Z76))</f>
        <v>#VALUE!</v>
      </c>
      <c r="AA76" t="e">
        <f ca="1">IF((A1)=(2),"",IF((73)=(AA3),IF(IF((INDEX(B1:XFD1,((A2)+(1))+(0)))=("store"),(INDEX(B1:XFD1,((A2)+(1))+(1)))=("AA"),"false"),B2,AA76),AA76))</f>
        <v>#VALUE!</v>
      </c>
      <c r="AB76" t="e">
        <f ca="1">IF((A1)=(2),"",IF((73)=(AB3),IF(IF((INDEX(B1:XFD1,((A2)+(1))+(0)))=("store"),(INDEX(B1:XFD1,((A2)+(1))+(1)))=("AB"),"false"),B2,AB76),AB76))</f>
        <v>#VALUE!</v>
      </c>
      <c r="AC76" t="e">
        <f ca="1">IF((A1)=(2),"",IF((73)=(AC3),IF(IF((INDEX(B1:XFD1,((A2)+(1))+(0)))=("store"),(INDEX(B1:XFD1,((A2)+(1))+(1)))=("AC"),"false"),B2,AC76),AC76))</f>
        <v>#VALUE!</v>
      </c>
      <c r="AD76" t="e">
        <f ca="1">IF((A1)=(2),"",IF((73)=(AD3),IF(IF((INDEX(B1:XFD1,((A2)+(1))+(0)))=("store"),(INDEX(B1:XFD1,((A2)+(1))+(1)))=("AD"),"false"),B2,AD76),AD76))</f>
        <v>#VALUE!</v>
      </c>
    </row>
    <row r="77" spans="1:30" x14ac:dyDescent="0.25">
      <c r="A77" t="e">
        <f ca="1">IF((A1)=(2),"",IF((74)=(A3),IF(("call")=(INDEX(B1:XFD1,((A2)+(1))+(0))),(B2)*(2),IF(("goto")=(INDEX(B1:XFD1,((A2)+(1))+(0))),(INDEX(B1:XFD1,((A2)+(1))+(1)))*(2),IF(("gotoiftrue")=(INDEX(B1:XFD1,((A2)+(1))+(0))),IF(B2,(INDEX(B1:XFD1,((A2)+(1))+(1)))*(2),(A77)+(2)),(A77)+(2)))),A77))</f>
        <v>#VALUE!</v>
      </c>
      <c r="B77" t="e">
        <f ca="1">IF((A1)=(2),"",IF((74)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77)+(1)),IF(("add")=(INDEX(B1:XFD1,((A2)+(1))+(0))),(INDEX(B4:B404,(B3)+(1)))+(B77),IF(("equals")=(INDEX(B1:XFD1,((A2)+(1))+(0))),(INDEX(B4:B404,(B3)+(1)))=(B77),IF(("leq")=(INDEX(B1:XFD1,((A2)+(1))+(0))),(INDEX(B4:B404,(B3)+(1)))&lt;=(B77),IF(("greater")=(INDEX(B1:XFD1,((A2)+(1))+(0))),(INDEX(B4:B404,(B3)+(1)))&gt;(B77),IF(("mod")=(INDEX(B1:XFD1,((A2)+(1))+(0))),MOD(INDEX(B4:B404,(B3)+(1)),B77),B77))))))))),B77))</f>
        <v>#VALUE!</v>
      </c>
      <c r="C77" t="e">
        <f ca="1">IF((A1)=(2),1,IF(AND((INDEX(B1:XFD1,((A2)+(1))+(0)))=("writeheap"),(INDEX(B4:B404,(B3)+(1)))=(73)),INDEX(B4:B404,(B3)+(2)),IF((A1)=(2),"",IF((74)=(C3),C77,C77))))</f>
        <v>#VALUE!</v>
      </c>
      <c r="E77" t="e">
        <f ca="1">IF((A1)=(2),"",IF((74)=(E3),IF(("outputline")=(INDEX(B1:XFD1,((A2)+(1))+(0))),B2,E77),E77))</f>
        <v>#VALUE!</v>
      </c>
      <c r="F77" t="e">
        <f ca="1">IF((A1)=(2),"",IF((74)=(F3),IF(IF((INDEX(B1:XFD1,((A2)+(1))+(0)))=("store"),(INDEX(B1:XFD1,((A2)+(1))+(1)))=("F"),"false"),B2,F77),F77))</f>
        <v>#VALUE!</v>
      </c>
      <c r="G77" t="e">
        <f ca="1">IF((A1)=(2),"",IF((74)=(G3),IF(IF((INDEX(B1:XFD1,((A2)+(1))+(0)))=("store"),(INDEX(B1:XFD1,((A2)+(1))+(1)))=("G"),"false"),B2,G77),G77))</f>
        <v>#VALUE!</v>
      </c>
      <c r="H77" t="e">
        <f ca="1">IF((A1)=(2),"",IF((74)=(H3),IF(IF((INDEX(B1:XFD1,((A2)+(1))+(0)))=("store"),(INDEX(B1:XFD1,((A2)+(1))+(1)))=("H"),"false"),B2,H77),H77))</f>
        <v>#VALUE!</v>
      </c>
      <c r="I77" t="e">
        <f ca="1">IF((A1)=(2),"",IF((74)=(I3),IF(IF((INDEX(B1:XFD1,((A2)+(1))+(0)))=("store"),(INDEX(B1:XFD1,((A2)+(1))+(1)))=("I"),"false"),B2,I77),I77))</f>
        <v>#VALUE!</v>
      </c>
      <c r="J77" t="e">
        <f ca="1">IF((A1)=(2),"",IF((74)=(J3),IF(IF((INDEX(B1:XFD1,((A2)+(1))+(0)))=("store"),(INDEX(B1:XFD1,((A2)+(1))+(1)))=("J"),"false"),B2,J77),J77))</f>
        <v>#VALUE!</v>
      </c>
      <c r="K77" t="e">
        <f ca="1">IF((A1)=(2),"",IF((74)=(K3),IF(IF((INDEX(B1:XFD1,((A2)+(1))+(0)))=("store"),(INDEX(B1:XFD1,((A2)+(1))+(1)))=("K"),"false"),B2,K77),K77))</f>
        <v>#VALUE!</v>
      </c>
      <c r="L77" t="e">
        <f ca="1">IF((A1)=(2),"",IF((74)=(L3),IF(IF((INDEX(B1:XFD1,((A2)+(1))+(0)))=("store"),(INDEX(B1:XFD1,((A2)+(1))+(1)))=("L"),"false"),B2,L77),L77))</f>
        <v>#VALUE!</v>
      </c>
      <c r="M77" t="e">
        <f ca="1">IF((A1)=(2),"",IF((74)=(M3),IF(IF((INDEX(B1:XFD1,((A2)+(1))+(0)))=("store"),(INDEX(B1:XFD1,((A2)+(1))+(1)))=("M"),"false"),B2,M77),M77))</f>
        <v>#VALUE!</v>
      </c>
      <c r="N77" t="e">
        <f ca="1">IF((A1)=(2),"",IF((74)=(N3),IF(IF((INDEX(B1:XFD1,((A2)+(1))+(0)))=("store"),(INDEX(B1:XFD1,((A2)+(1))+(1)))=("N"),"false"),B2,N77),N77))</f>
        <v>#VALUE!</v>
      </c>
      <c r="O77" t="e">
        <f ca="1">IF((A1)=(2),"",IF((74)=(O3),IF(IF((INDEX(B1:XFD1,((A2)+(1))+(0)))=("store"),(INDEX(B1:XFD1,((A2)+(1))+(1)))=("O"),"false"),B2,O77),O77))</f>
        <v>#VALUE!</v>
      </c>
      <c r="P77" t="e">
        <f ca="1">IF((A1)=(2),"",IF((74)=(P3),IF(IF((INDEX(B1:XFD1,((A2)+(1))+(0)))=("store"),(INDEX(B1:XFD1,((A2)+(1))+(1)))=("P"),"false"),B2,P77),P77))</f>
        <v>#VALUE!</v>
      </c>
      <c r="Q77" t="e">
        <f ca="1">IF((A1)=(2),"",IF((74)=(Q3),IF(IF((INDEX(B1:XFD1,((A2)+(1))+(0)))=("store"),(INDEX(B1:XFD1,((A2)+(1))+(1)))=("Q"),"false"),B2,Q77),Q77))</f>
        <v>#VALUE!</v>
      </c>
      <c r="R77" t="e">
        <f ca="1">IF((A1)=(2),"",IF((74)=(R3),IF(IF((INDEX(B1:XFD1,((A2)+(1))+(0)))=("store"),(INDEX(B1:XFD1,((A2)+(1))+(1)))=("R"),"false"),B2,R77),R77))</f>
        <v>#VALUE!</v>
      </c>
      <c r="S77" t="e">
        <f ca="1">IF((A1)=(2),"",IF((74)=(S3),IF(IF((INDEX(B1:XFD1,((A2)+(1))+(0)))=("store"),(INDEX(B1:XFD1,((A2)+(1))+(1)))=("S"),"false"),B2,S77),S77))</f>
        <v>#VALUE!</v>
      </c>
      <c r="T77" t="e">
        <f ca="1">IF((A1)=(2),"",IF((74)=(T3),IF(IF((INDEX(B1:XFD1,((A2)+(1))+(0)))=("store"),(INDEX(B1:XFD1,((A2)+(1))+(1)))=("T"),"false"),B2,T77),T77))</f>
        <v>#VALUE!</v>
      </c>
      <c r="U77" t="e">
        <f ca="1">IF((A1)=(2),"",IF((74)=(U3),IF(IF((INDEX(B1:XFD1,((A2)+(1))+(0)))=("store"),(INDEX(B1:XFD1,((A2)+(1))+(1)))=("U"),"false"),B2,U77),U77))</f>
        <v>#VALUE!</v>
      </c>
      <c r="V77" t="e">
        <f ca="1">IF((A1)=(2),"",IF((74)=(V3),IF(IF((INDEX(B1:XFD1,((A2)+(1))+(0)))=("store"),(INDEX(B1:XFD1,((A2)+(1))+(1)))=("V"),"false"),B2,V77),V77))</f>
        <v>#VALUE!</v>
      </c>
      <c r="W77" t="e">
        <f ca="1">IF((A1)=(2),"",IF((74)=(W3),IF(IF((INDEX(B1:XFD1,((A2)+(1))+(0)))=("store"),(INDEX(B1:XFD1,((A2)+(1))+(1)))=("W"),"false"),B2,W77),W77))</f>
        <v>#VALUE!</v>
      </c>
      <c r="X77" t="e">
        <f ca="1">IF((A1)=(2),"",IF((74)=(X3),IF(IF((INDEX(B1:XFD1,((A2)+(1))+(0)))=("store"),(INDEX(B1:XFD1,((A2)+(1))+(1)))=("X"),"false"),B2,X77),X77))</f>
        <v>#VALUE!</v>
      </c>
      <c r="Y77" t="e">
        <f ca="1">IF((A1)=(2),"",IF((74)=(Y3),IF(IF((INDEX(B1:XFD1,((A2)+(1))+(0)))=("store"),(INDEX(B1:XFD1,((A2)+(1))+(1)))=("Y"),"false"),B2,Y77),Y77))</f>
        <v>#VALUE!</v>
      </c>
      <c r="Z77" t="e">
        <f ca="1">IF((A1)=(2),"",IF((74)=(Z3),IF(IF((INDEX(B1:XFD1,((A2)+(1))+(0)))=("store"),(INDEX(B1:XFD1,((A2)+(1))+(1)))=("Z"),"false"),B2,Z77),Z77))</f>
        <v>#VALUE!</v>
      </c>
      <c r="AA77" t="e">
        <f ca="1">IF((A1)=(2),"",IF((74)=(AA3),IF(IF((INDEX(B1:XFD1,((A2)+(1))+(0)))=("store"),(INDEX(B1:XFD1,((A2)+(1))+(1)))=("AA"),"false"),B2,AA77),AA77))</f>
        <v>#VALUE!</v>
      </c>
      <c r="AB77" t="e">
        <f ca="1">IF((A1)=(2),"",IF((74)=(AB3),IF(IF((INDEX(B1:XFD1,((A2)+(1))+(0)))=("store"),(INDEX(B1:XFD1,((A2)+(1))+(1)))=("AB"),"false"),B2,AB77),AB77))</f>
        <v>#VALUE!</v>
      </c>
      <c r="AC77" t="e">
        <f ca="1">IF((A1)=(2),"",IF((74)=(AC3),IF(IF((INDEX(B1:XFD1,((A2)+(1))+(0)))=("store"),(INDEX(B1:XFD1,((A2)+(1))+(1)))=("AC"),"false"),B2,AC77),AC77))</f>
        <v>#VALUE!</v>
      </c>
      <c r="AD77" t="e">
        <f ca="1">IF((A1)=(2),"",IF((74)=(AD3),IF(IF((INDEX(B1:XFD1,((A2)+(1))+(0)))=("store"),(INDEX(B1:XFD1,((A2)+(1))+(1)))=("AD"),"false"),B2,AD77),AD77))</f>
        <v>#VALUE!</v>
      </c>
    </row>
    <row r="78" spans="1:30" x14ac:dyDescent="0.25">
      <c r="A78" t="e">
        <f ca="1">IF((A1)=(2),"",IF((75)=(A3),IF(("call")=(INDEX(B1:XFD1,((A2)+(1))+(0))),(B2)*(2),IF(("goto")=(INDEX(B1:XFD1,((A2)+(1))+(0))),(INDEX(B1:XFD1,((A2)+(1))+(1)))*(2),IF(("gotoiftrue")=(INDEX(B1:XFD1,((A2)+(1))+(0))),IF(B2,(INDEX(B1:XFD1,((A2)+(1))+(1)))*(2),(A78)+(2)),(A78)+(2)))),A78))</f>
        <v>#VALUE!</v>
      </c>
      <c r="B78" t="e">
        <f ca="1">IF((A1)=(2),"",IF((75)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78)+(1)),IF(("add")=(INDEX(B1:XFD1,((A2)+(1))+(0))),(INDEX(B4:B404,(B3)+(1)))+(B78),IF(("equals")=(INDEX(B1:XFD1,((A2)+(1))+(0))),(INDEX(B4:B404,(B3)+(1)))=(B78),IF(("leq")=(INDEX(B1:XFD1,((A2)+(1))+(0))),(INDEX(B4:B404,(B3)+(1)))&lt;=(B78),IF(("greater")=(INDEX(B1:XFD1,((A2)+(1))+(0))),(INDEX(B4:B404,(B3)+(1)))&gt;(B78),IF(("mod")=(INDEX(B1:XFD1,((A2)+(1))+(0))),MOD(INDEX(B4:B404,(B3)+(1)),B78),B78))))))))),B78))</f>
        <v>#VALUE!</v>
      </c>
      <c r="C78" t="e">
        <f ca="1">IF((A1)=(2),1,IF(AND((INDEX(B1:XFD1,((A2)+(1))+(0)))=("writeheap"),(INDEX(B4:B404,(B3)+(1)))=(74)),INDEX(B4:B404,(B3)+(2)),IF((A1)=(2),"",IF((75)=(C3),C78,C78))))</f>
        <v>#VALUE!</v>
      </c>
      <c r="E78" t="e">
        <f ca="1">IF((A1)=(2),"",IF((75)=(E3),IF(("outputline")=(INDEX(B1:XFD1,((A2)+(1))+(0))),B2,E78),E78))</f>
        <v>#VALUE!</v>
      </c>
      <c r="F78" t="e">
        <f ca="1">IF((A1)=(2),"",IF((75)=(F3),IF(IF((INDEX(B1:XFD1,((A2)+(1))+(0)))=("store"),(INDEX(B1:XFD1,((A2)+(1))+(1)))=("F"),"false"),B2,F78),F78))</f>
        <v>#VALUE!</v>
      </c>
      <c r="G78" t="e">
        <f ca="1">IF((A1)=(2),"",IF((75)=(G3),IF(IF((INDEX(B1:XFD1,((A2)+(1))+(0)))=("store"),(INDEX(B1:XFD1,((A2)+(1))+(1)))=("G"),"false"),B2,G78),G78))</f>
        <v>#VALUE!</v>
      </c>
      <c r="H78" t="e">
        <f ca="1">IF((A1)=(2),"",IF((75)=(H3),IF(IF((INDEX(B1:XFD1,((A2)+(1))+(0)))=("store"),(INDEX(B1:XFD1,((A2)+(1))+(1)))=("H"),"false"),B2,H78),H78))</f>
        <v>#VALUE!</v>
      </c>
      <c r="I78" t="e">
        <f ca="1">IF((A1)=(2),"",IF((75)=(I3),IF(IF((INDEX(B1:XFD1,((A2)+(1))+(0)))=("store"),(INDEX(B1:XFD1,((A2)+(1))+(1)))=("I"),"false"),B2,I78),I78))</f>
        <v>#VALUE!</v>
      </c>
      <c r="J78" t="e">
        <f ca="1">IF((A1)=(2),"",IF((75)=(J3),IF(IF((INDEX(B1:XFD1,((A2)+(1))+(0)))=("store"),(INDEX(B1:XFD1,((A2)+(1))+(1)))=("J"),"false"),B2,J78),J78))</f>
        <v>#VALUE!</v>
      </c>
      <c r="K78" t="e">
        <f ca="1">IF((A1)=(2),"",IF((75)=(K3),IF(IF((INDEX(B1:XFD1,((A2)+(1))+(0)))=("store"),(INDEX(B1:XFD1,((A2)+(1))+(1)))=("K"),"false"),B2,K78),K78))</f>
        <v>#VALUE!</v>
      </c>
      <c r="L78" t="e">
        <f ca="1">IF((A1)=(2),"",IF((75)=(L3),IF(IF((INDEX(B1:XFD1,((A2)+(1))+(0)))=("store"),(INDEX(B1:XFD1,((A2)+(1))+(1)))=("L"),"false"),B2,L78),L78))</f>
        <v>#VALUE!</v>
      </c>
      <c r="M78" t="e">
        <f ca="1">IF((A1)=(2),"",IF((75)=(M3),IF(IF((INDEX(B1:XFD1,((A2)+(1))+(0)))=("store"),(INDEX(B1:XFD1,((A2)+(1))+(1)))=("M"),"false"),B2,M78),M78))</f>
        <v>#VALUE!</v>
      </c>
      <c r="N78" t="e">
        <f ca="1">IF((A1)=(2),"",IF((75)=(N3),IF(IF((INDEX(B1:XFD1,((A2)+(1))+(0)))=("store"),(INDEX(B1:XFD1,((A2)+(1))+(1)))=("N"),"false"),B2,N78),N78))</f>
        <v>#VALUE!</v>
      </c>
      <c r="O78" t="e">
        <f ca="1">IF((A1)=(2),"",IF((75)=(O3),IF(IF((INDEX(B1:XFD1,((A2)+(1))+(0)))=("store"),(INDEX(B1:XFD1,((A2)+(1))+(1)))=("O"),"false"),B2,O78),O78))</f>
        <v>#VALUE!</v>
      </c>
      <c r="P78" t="e">
        <f ca="1">IF((A1)=(2),"",IF((75)=(P3),IF(IF((INDEX(B1:XFD1,((A2)+(1))+(0)))=("store"),(INDEX(B1:XFD1,((A2)+(1))+(1)))=("P"),"false"),B2,P78),P78))</f>
        <v>#VALUE!</v>
      </c>
      <c r="Q78" t="e">
        <f ca="1">IF((A1)=(2),"",IF((75)=(Q3),IF(IF((INDEX(B1:XFD1,((A2)+(1))+(0)))=("store"),(INDEX(B1:XFD1,((A2)+(1))+(1)))=("Q"),"false"),B2,Q78),Q78))</f>
        <v>#VALUE!</v>
      </c>
      <c r="R78" t="e">
        <f ca="1">IF((A1)=(2),"",IF((75)=(R3),IF(IF((INDEX(B1:XFD1,((A2)+(1))+(0)))=("store"),(INDEX(B1:XFD1,((A2)+(1))+(1)))=("R"),"false"),B2,R78),R78))</f>
        <v>#VALUE!</v>
      </c>
      <c r="S78" t="e">
        <f ca="1">IF((A1)=(2),"",IF((75)=(S3),IF(IF((INDEX(B1:XFD1,((A2)+(1))+(0)))=("store"),(INDEX(B1:XFD1,((A2)+(1))+(1)))=("S"),"false"),B2,S78),S78))</f>
        <v>#VALUE!</v>
      </c>
      <c r="T78" t="e">
        <f ca="1">IF((A1)=(2),"",IF((75)=(T3),IF(IF((INDEX(B1:XFD1,((A2)+(1))+(0)))=("store"),(INDEX(B1:XFD1,((A2)+(1))+(1)))=("T"),"false"),B2,T78),T78))</f>
        <v>#VALUE!</v>
      </c>
      <c r="U78" t="e">
        <f ca="1">IF((A1)=(2),"",IF((75)=(U3),IF(IF((INDEX(B1:XFD1,((A2)+(1))+(0)))=("store"),(INDEX(B1:XFD1,((A2)+(1))+(1)))=("U"),"false"),B2,U78),U78))</f>
        <v>#VALUE!</v>
      </c>
      <c r="V78" t="e">
        <f ca="1">IF((A1)=(2),"",IF((75)=(V3),IF(IF((INDEX(B1:XFD1,((A2)+(1))+(0)))=("store"),(INDEX(B1:XFD1,((A2)+(1))+(1)))=("V"),"false"),B2,V78),V78))</f>
        <v>#VALUE!</v>
      </c>
      <c r="W78" t="e">
        <f ca="1">IF((A1)=(2),"",IF((75)=(W3),IF(IF((INDEX(B1:XFD1,((A2)+(1))+(0)))=("store"),(INDEX(B1:XFD1,((A2)+(1))+(1)))=("W"),"false"),B2,W78),W78))</f>
        <v>#VALUE!</v>
      </c>
      <c r="X78" t="e">
        <f ca="1">IF((A1)=(2),"",IF((75)=(X3),IF(IF((INDEX(B1:XFD1,((A2)+(1))+(0)))=("store"),(INDEX(B1:XFD1,((A2)+(1))+(1)))=("X"),"false"),B2,X78),X78))</f>
        <v>#VALUE!</v>
      </c>
      <c r="Y78" t="e">
        <f ca="1">IF((A1)=(2),"",IF((75)=(Y3),IF(IF((INDEX(B1:XFD1,((A2)+(1))+(0)))=("store"),(INDEX(B1:XFD1,((A2)+(1))+(1)))=("Y"),"false"),B2,Y78),Y78))</f>
        <v>#VALUE!</v>
      </c>
      <c r="Z78" t="e">
        <f ca="1">IF((A1)=(2),"",IF((75)=(Z3),IF(IF((INDEX(B1:XFD1,((A2)+(1))+(0)))=("store"),(INDEX(B1:XFD1,((A2)+(1))+(1)))=("Z"),"false"),B2,Z78),Z78))</f>
        <v>#VALUE!</v>
      </c>
      <c r="AA78" t="e">
        <f ca="1">IF((A1)=(2),"",IF((75)=(AA3),IF(IF((INDEX(B1:XFD1,((A2)+(1))+(0)))=("store"),(INDEX(B1:XFD1,((A2)+(1))+(1)))=("AA"),"false"),B2,AA78),AA78))</f>
        <v>#VALUE!</v>
      </c>
      <c r="AB78" t="e">
        <f ca="1">IF((A1)=(2),"",IF((75)=(AB3),IF(IF((INDEX(B1:XFD1,((A2)+(1))+(0)))=("store"),(INDEX(B1:XFD1,((A2)+(1))+(1)))=("AB"),"false"),B2,AB78),AB78))</f>
        <v>#VALUE!</v>
      </c>
      <c r="AC78" t="e">
        <f ca="1">IF((A1)=(2),"",IF((75)=(AC3),IF(IF((INDEX(B1:XFD1,((A2)+(1))+(0)))=("store"),(INDEX(B1:XFD1,((A2)+(1))+(1)))=("AC"),"false"),B2,AC78),AC78))</f>
        <v>#VALUE!</v>
      </c>
      <c r="AD78" t="e">
        <f ca="1">IF((A1)=(2),"",IF((75)=(AD3),IF(IF((INDEX(B1:XFD1,((A2)+(1))+(0)))=("store"),(INDEX(B1:XFD1,((A2)+(1))+(1)))=("AD"),"false"),B2,AD78),AD78))</f>
        <v>#VALUE!</v>
      </c>
    </row>
    <row r="79" spans="1:30" x14ac:dyDescent="0.25">
      <c r="A79" t="e">
        <f ca="1">IF((A1)=(2),"",IF((76)=(A3),IF(("call")=(INDEX(B1:XFD1,((A2)+(1))+(0))),(B2)*(2),IF(("goto")=(INDEX(B1:XFD1,((A2)+(1))+(0))),(INDEX(B1:XFD1,((A2)+(1))+(1)))*(2),IF(("gotoiftrue")=(INDEX(B1:XFD1,((A2)+(1))+(0))),IF(B2,(INDEX(B1:XFD1,((A2)+(1))+(1)))*(2),(A79)+(2)),(A79)+(2)))),A79))</f>
        <v>#VALUE!</v>
      </c>
      <c r="B79" t="e">
        <f ca="1">IF((A1)=(2),"",IF((76)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79)+(1)),IF(("add")=(INDEX(B1:XFD1,((A2)+(1))+(0))),(INDEX(B4:B404,(B3)+(1)))+(B79),IF(("equals")=(INDEX(B1:XFD1,((A2)+(1))+(0))),(INDEX(B4:B404,(B3)+(1)))=(B79),IF(("leq")=(INDEX(B1:XFD1,((A2)+(1))+(0))),(INDEX(B4:B404,(B3)+(1)))&lt;=(B79),IF(("greater")=(INDEX(B1:XFD1,((A2)+(1))+(0))),(INDEX(B4:B404,(B3)+(1)))&gt;(B79),IF(("mod")=(INDEX(B1:XFD1,((A2)+(1))+(0))),MOD(INDEX(B4:B404,(B3)+(1)),B79),B79))))))))),B79))</f>
        <v>#VALUE!</v>
      </c>
      <c r="C79" t="e">
        <f ca="1">IF((A1)=(2),1,IF(AND((INDEX(B1:XFD1,((A2)+(1))+(0)))=("writeheap"),(INDEX(B4:B404,(B3)+(1)))=(75)),INDEX(B4:B404,(B3)+(2)),IF((A1)=(2),"",IF((76)=(C3),C79,C79))))</f>
        <v>#VALUE!</v>
      </c>
      <c r="E79" t="e">
        <f ca="1">IF((A1)=(2),"",IF((76)=(E3),IF(("outputline")=(INDEX(B1:XFD1,((A2)+(1))+(0))),B2,E79),E79))</f>
        <v>#VALUE!</v>
      </c>
      <c r="F79" t="e">
        <f ca="1">IF((A1)=(2),"",IF((76)=(F3),IF(IF((INDEX(B1:XFD1,((A2)+(1))+(0)))=("store"),(INDEX(B1:XFD1,((A2)+(1))+(1)))=("F"),"false"),B2,F79),F79))</f>
        <v>#VALUE!</v>
      </c>
      <c r="G79" t="e">
        <f ca="1">IF((A1)=(2),"",IF((76)=(G3),IF(IF((INDEX(B1:XFD1,((A2)+(1))+(0)))=("store"),(INDEX(B1:XFD1,((A2)+(1))+(1)))=("G"),"false"),B2,G79),G79))</f>
        <v>#VALUE!</v>
      </c>
      <c r="H79" t="e">
        <f ca="1">IF((A1)=(2),"",IF((76)=(H3),IF(IF((INDEX(B1:XFD1,((A2)+(1))+(0)))=("store"),(INDEX(B1:XFD1,((A2)+(1))+(1)))=("H"),"false"),B2,H79),H79))</f>
        <v>#VALUE!</v>
      </c>
      <c r="I79" t="e">
        <f ca="1">IF((A1)=(2),"",IF((76)=(I3),IF(IF((INDEX(B1:XFD1,((A2)+(1))+(0)))=("store"),(INDEX(B1:XFD1,((A2)+(1))+(1)))=("I"),"false"),B2,I79),I79))</f>
        <v>#VALUE!</v>
      </c>
      <c r="J79" t="e">
        <f ca="1">IF((A1)=(2),"",IF((76)=(J3),IF(IF((INDEX(B1:XFD1,((A2)+(1))+(0)))=("store"),(INDEX(B1:XFD1,((A2)+(1))+(1)))=("J"),"false"),B2,J79),J79))</f>
        <v>#VALUE!</v>
      </c>
      <c r="K79" t="e">
        <f ca="1">IF((A1)=(2),"",IF((76)=(K3),IF(IF((INDEX(B1:XFD1,((A2)+(1))+(0)))=("store"),(INDEX(B1:XFD1,((A2)+(1))+(1)))=("K"),"false"),B2,K79),K79))</f>
        <v>#VALUE!</v>
      </c>
      <c r="L79" t="e">
        <f ca="1">IF((A1)=(2),"",IF((76)=(L3),IF(IF((INDEX(B1:XFD1,((A2)+(1))+(0)))=("store"),(INDEX(B1:XFD1,((A2)+(1))+(1)))=("L"),"false"),B2,L79),L79))</f>
        <v>#VALUE!</v>
      </c>
      <c r="M79" t="e">
        <f ca="1">IF((A1)=(2),"",IF((76)=(M3),IF(IF((INDEX(B1:XFD1,((A2)+(1))+(0)))=("store"),(INDEX(B1:XFD1,((A2)+(1))+(1)))=("M"),"false"),B2,M79),M79))</f>
        <v>#VALUE!</v>
      </c>
      <c r="N79" t="e">
        <f ca="1">IF((A1)=(2),"",IF((76)=(N3),IF(IF((INDEX(B1:XFD1,((A2)+(1))+(0)))=("store"),(INDEX(B1:XFD1,((A2)+(1))+(1)))=("N"),"false"),B2,N79),N79))</f>
        <v>#VALUE!</v>
      </c>
      <c r="O79" t="e">
        <f ca="1">IF((A1)=(2),"",IF((76)=(O3),IF(IF((INDEX(B1:XFD1,((A2)+(1))+(0)))=("store"),(INDEX(B1:XFD1,((A2)+(1))+(1)))=("O"),"false"),B2,O79),O79))</f>
        <v>#VALUE!</v>
      </c>
      <c r="P79" t="e">
        <f ca="1">IF((A1)=(2),"",IF((76)=(P3),IF(IF((INDEX(B1:XFD1,((A2)+(1))+(0)))=("store"),(INDEX(B1:XFD1,((A2)+(1))+(1)))=("P"),"false"),B2,P79),P79))</f>
        <v>#VALUE!</v>
      </c>
      <c r="Q79" t="e">
        <f ca="1">IF((A1)=(2),"",IF((76)=(Q3),IF(IF((INDEX(B1:XFD1,((A2)+(1))+(0)))=("store"),(INDEX(B1:XFD1,((A2)+(1))+(1)))=("Q"),"false"),B2,Q79),Q79))</f>
        <v>#VALUE!</v>
      </c>
      <c r="R79" t="e">
        <f ca="1">IF((A1)=(2),"",IF((76)=(R3),IF(IF((INDEX(B1:XFD1,((A2)+(1))+(0)))=("store"),(INDEX(B1:XFD1,((A2)+(1))+(1)))=("R"),"false"),B2,R79),R79))</f>
        <v>#VALUE!</v>
      </c>
      <c r="S79" t="e">
        <f ca="1">IF((A1)=(2),"",IF((76)=(S3),IF(IF((INDEX(B1:XFD1,((A2)+(1))+(0)))=("store"),(INDEX(B1:XFD1,((A2)+(1))+(1)))=("S"),"false"),B2,S79),S79))</f>
        <v>#VALUE!</v>
      </c>
      <c r="T79" t="e">
        <f ca="1">IF((A1)=(2),"",IF((76)=(T3),IF(IF((INDEX(B1:XFD1,((A2)+(1))+(0)))=("store"),(INDEX(B1:XFD1,((A2)+(1))+(1)))=("T"),"false"),B2,T79),T79))</f>
        <v>#VALUE!</v>
      </c>
      <c r="U79" t="e">
        <f ca="1">IF((A1)=(2),"",IF((76)=(U3),IF(IF((INDEX(B1:XFD1,((A2)+(1))+(0)))=("store"),(INDEX(B1:XFD1,((A2)+(1))+(1)))=("U"),"false"),B2,U79),U79))</f>
        <v>#VALUE!</v>
      </c>
      <c r="V79" t="e">
        <f ca="1">IF((A1)=(2),"",IF((76)=(V3),IF(IF((INDEX(B1:XFD1,((A2)+(1))+(0)))=("store"),(INDEX(B1:XFD1,((A2)+(1))+(1)))=("V"),"false"),B2,V79),V79))</f>
        <v>#VALUE!</v>
      </c>
      <c r="W79" t="e">
        <f ca="1">IF((A1)=(2),"",IF((76)=(W3),IF(IF((INDEX(B1:XFD1,((A2)+(1))+(0)))=("store"),(INDEX(B1:XFD1,((A2)+(1))+(1)))=("W"),"false"),B2,W79),W79))</f>
        <v>#VALUE!</v>
      </c>
      <c r="X79" t="e">
        <f ca="1">IF((A1)=(2),"",IF((76)=(X3),IF(IF((INDEX(B1:XFD1,((A2)+(1))+(0)))=("store"),(INDEX(B1:XFD1,((A2)+(1))+(1)))=("X"),"false"),B2,X79),X79))</f>
        <v>#VALUE!</v>
      </c>
      <c r="Y79" t="e">
        <f ca="1">IF((A1)=(2),"",IF((76)=(Y3),IF(IF((INDEX(B1:XFD1,((A2)+(1))+(0)))=("store"),(INDEX(B1:XFD1,((A2)+(1))+(1)))=("Y"),"false"),B2,Y79),Y79))</f>
        <v>#VALUE!</v>
      </c>
      <c r="Z79" t="e">
        <f ca="1">IF((A1)=(2),"",IF((76)=(Z3),IF(IF((INDEX(B1:XFD1,((A2)+(1))+(0)))=("store"),(INDEX(B1:XFD1,((A2)+(1))+(1)))=("Z"),"false"),B2,Z79),Z79))</f>
        <v>#VALUE!</v>
      </c>
      <c r="AA79" t="e">
        <f ca="1">IF((A1)=(2),"",IF((76)=(AA3),IF(IF((INDEX(B1:XFD1,((A2)+(1))+(0)))=("store"),(INDEX(B1:XFD1,((A2)+(1))+(1)))=("AA"),"false"),B2,AA79),AA79))</f>
        <v>#VALUE!</v>
      </c>
      <c r="AB79" t="e">
        <f ca="1">IF((A1)=(2),"",IF((76)=(AB3),IF(IF((INDEX(B1:XFD1,((A2)+(1))+(0)))=("store"),(INDEX(B1:XFD1,((A2)+(1))+(1)))=("AB"),"false"),B2,AB79),AB79))</f>
        <v>#VALUE!</v>
      </c>
      <c r="AC79" t="e">
        <f ca="1">IF((A1)=(2),"",IF((76)=(AC3),IF(IF((INDEX(B1:XFD1,((A2)+(1))+(0)))=("store"),(INDEX(B1:XFD1,((A2)+(1))+(1)))=("AC"),"false"),B2,AC79),AC79))</f>
        <v>#VALUE!</v>
      </c>
      <c r="AD79" t="e">
        <f ca="1">IF((A1)=(2),"",IF((76)=(AD3),IF(IF((INDEX(B1:XFD1,((A2)+(1))+(0)))=("store"),(INDEX(B1:XFD1,((A2)+(1))+(1)))=("AD"),"false"),B2,AD79),AD79))</f>
        <v>#VALUE!</v>
      </c>
    </row>
    <row r="80" spans="1:30" x14ac:dyDescent="0.25">
      <c r="A80" t="e">
        <f ca="1">IF((A1)=(2),"",IF((77)=(A3),IF(("call")=(INDEX(B1:XFD1,((A2)+(1))+(0))),(B2)*(2),IF(("goto")=(INDEX(B1:XFD1,((A2)+(1))+(0))),(INDEX(B1:XFD1,((A2)+(1))+(1)))*(2),IF(("gotoiftrue")=(INDEX(B1:XFD1,((A2)+(1))+(0))),IF(B2,(INDEX(B1:XFD1,((A2)+(1))+(1)))*(2),(A80)+(2)),(A80)+(2)))),A80))</f>
        <v>#VALUE!</v>
      </c>
      <c r="B80" t="e">
        <f ca="1">IF((A1)=(2),"",IF((77)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80)+(1)),IF(("add")=(INDEX(B1:XFD1,((A2)+(1))+(0))),(INDEX(B4:B404,(B3)+(1)))+(B80),IF(("equals")=(INDEX(B1:XFD1,((A2)+(1))+(0))),(INDEX(B4:B404,(B3)+(1)))=(B80),IF(("leq")=(INDEX(B1:XFD1,((A2)+(1))+(0))),(INDEX(B4:B404,(B3)+(1)))&lt;=(B80),IF(("greater")=(INDEX(B1:XFD1,((A2)+(1))+(0))),(INDEX(B4:B404,(B3)+(1)))&gt;(B80),IF(("mod")=(INDEX(B1:XFD1,((A2)+(1))+(0))),MOD(INDEX(B4:B404,(B3)+(1)),B80),B80))))))))),B80))</f>
        <v>#VALUE!</v>
      </c>
      <c r="C80" t="e">
        <f ca="1">IF((A1)=(2),1,IF(AND((INDEX(B1:XFD1,((A2)+(1))+(0)))=("writeheap"),(INDEX(B4:B404,(B3)+(1)))=(76)),INDEX(B4:B404,(B3)+(2)),IF((A1)=(2),"",IF((77)=(C3),C80,C80))))</f>
        <v>#VALUE!</v>
      </c>
      <c r="E80" t="e">
        <f ca="1">IF((A1)=(2),"",IF((77)=(E3),IF(("outputline")=(INDEX(B1:XFD1,((A2)+(1))+(0))),B2,E80),E80))</f>
        <v>#VALUE!</v>
      </c>
      <c r="F80" t="e">
        <f ca="1">IF((A1)=(2),"",IF((77)=(F3),IF(IF((INDEX(B1:XFD1,((A2)+(1))+(0)))=("store"),(INDEX(B1:XFD1,((A2)+(1))+(1)))=("F"),"false"),B2,F80),F80))</f>
        <v>#VALUE!</v>
      </c>
      <c r="G80" t="e">
        <f ca="1">IF((A1)=(2),"",IF((77)=(G3),IF(IF((INDEX(B1:XFD1,((A2)+(1))+(0)))=("store"),(INDEX(B1:XFD1,((A2)+(1))+(1)))=("G"),"false"),B2,G80),G80))</f>
        <v>#VALUE!</v>
      </c>
      <c r="H80" t="e">
        <f ca="1">IF((A1)=(2),"",IF((77)=(H3),IF(IF((INDEX(B1:XFD1,((A2)+(1))+(0)))=("store"),(INDEX(B1:XFD1,((A2)+(1))+(1)))=("H"),"false"),B2,H80),H80))</f>
        <v>#VALUE!</v>
      </c>
      <c r="I80" t="e">
        <f ca="1">IF((A1)=(2),"",IF((77)=(I3),IF(IF((INDEX(B1:XFD1,((A2)+(1))+(0)))=("store"),(INDEX(B1:XFD1,((A2)+(1))+(1)))=("I"),"false"),B2,I80),I80))</f>
        <v>#VALUE!</v>
      </c>
      <c r="J80" t="e">
        <f ca="1">IF((A1)=(2),"",IF((77)=(J3),IF(IF((INDEX(B1:XFD1,((A2)+(1))+(0)))=("store"),(INDEX(B1:XFD1,((A2)+(1))+(1)))=("J"),"false"),B2,J80),J80))</f>
        <v>#VALUE!</v>
      </c>
      <c r="K80" t="e">
        <f ca="1">IF((A1)=(2),"",IF((77)=(K3),IF(IF((INDEX(B1:XFD1,((A2)+(1))+(0)))=("store"),(INDEX(B1:XFD1,((A2)+(1))+(1)))=("K"),"false"),B2,K80),K80))</f>
        <v>#VALUE!</v>
      </c>
      <c r="L80" t="e">
        <f ca="1">IF((A1)=(2),"",IF((77)=(L3),IF(IF((INDEX(B1:XFD1,((A2)+(1))+(0)))=("store"),(INDEX(B1:XFD1,((A2)+(1))+(1)))=("L"),"false"),B2,L80),L80))</f>
        <v>#VALUE!</v>
      </c>
      <c r="M80" t="e">
        <f ca="1">IF((A1)=(2),"",IF((77)=(M3),IF(IF((INDEX(B1:XFD1,((A2)+(1))+(0)))=("store"),(INDEX(B1:XFD1,((A2)+(1))+(1)))=("M"),"false"),B2,M80),M80))</f>
        <v>#VALUE!</v>
      </c>
      <c r="N80" t="e">
        <f ca="1">IF((A1)=(2),"",IF((77)=(N3),IF(IF((INDEX(B1:XFD1,((A2)+(1))+(0)))=("store"),(INDEX(B1:XFD1,((A2)+(1))+(1)))=("N"),"false"),B2,N80),N80))</f>
        <v>#VALUE!</v>
      </c>
      <c r="O80" t="e">
        <f ca="1">IF((A1)=(2),"",IF((77)=(O3),IF(IF((INDEX(B1:XFD1,((A2)+(1))+(0)))=("store"),(INDEX(B1:XFD1,((A2)+(1))+(1)))=("O"),"false"),B2,O80),O80))</f>
        <v>#VALUE!</v>
      </c>
      <c r="P80" t="e">
        <f ca="1">IF((A1)=(2),"",IF((77)=(P3),IF(IF((INDEX(B1:XFD1,((A2)+(1))+(0)))=("store"),(INDEX(B1:XFD1,((A2)+(1))+(1)))=("P"),"false"),B2,P80),P80))</f>
        <v>#VALUE!</v>
      </c>
      <c r="Q80" t="e">
        <f ca="1">IF((A1)=(2),"",IF((77)=(Q3),IF(IF((INDEX(B1:XFD1,((A2)+(1))+(0)))=("store"),(INDEX(B1:XFD1,((A2)+(1))+(1)))=("Q"),"false"),B2,Q80),Q80))</f>
        <v>#VALUE!</v>
      </c>
      <c r="R80" t="e">
        <f ca="1">IF((A1)=(2),"",IF((77)=(R3),IF(IF((INDEX(B1:XFD1,((A2)+(1))+(0)))=("store"),(INDEX(B1:XFD1,((A2)+(1))+(1)))=("R"),"false"),B2,R80),R80))</f>
        <v>#VALUE!</v>
      </c>
      <c r="S80" t="e">
        <f ca="1">IF((A1)=(2),"",IF((77)=(S3),IF(IF((INDEX(B1:XFD1,((A2)+(1))+(0)))=("store"),(INDEX(B1:XFD1,((A2)+(1))+(1)))=("S"),"false"),B2,S80),S80))</f>
        <v>#VALUE!</v>
      </c>
      <c r="T80" t="e">
        <f ca="1">IF((A1)=(2),"",IF((77)=(T3),IF(IF((INDEX(B1:XFD1,((A2)+(1))+(0)))=("store"),(INDEX(B1:XFD1,((A2)+(1))+(1)))=("T"),"false"),B2,T80),T80))</f>
        <v>#VALUE!</v>
      </c>
      <c r="U80" t="e">
        <f ca="1">IF((A1)=(2),"",IF((77)=(U3),IF(IF((INDEX(B1:XFD1,((A2)+(1))+(0)))=("store"),(INDEX(B1:XFD1,((A2)+(1))+(1)))=("U"),"false"),B2,U80),U80))</f>
        <v>#VALUE!</v>
      </c>
      <c r="V80" t="e">
        <f ca="1">IF((A1)=(2),"",IF((77)=(V3),IF(IF((INDEX(B1:XFD1,((A2)+(1))+(0)))=("store"),(INDEX(B1:XFD1,((A2)+(1))+(1)))=("V"),"false"),B2,V80),V80))</f>
        <v>#VALUE!</v>
      </c>
      <c r="W80" t="e">
        <f ca="1">IF((A1)=(2),"",IF((77)=(W3),IF(IF((INDEX(B1:XFD1,((A2)+(1))+(0)))=("store"),(INDEX(B1:XFD1,((A2)+(1))+(1)))=("W"),"false"),B2,W80),W80))</f>
        <v>#VALUE!</v>
      </c>
      <c r="X80" t="e">
        <f ca="1">IF((A1)=(2),"",IF((77)=(X3),IF(IF((INDEX(B1:XFD1,((A2)+(1))+(0)))=("store"),(INDEX(B1:XFD1,((A2)+(1))+(1)))=("X"),"false"),B2,X80),X80))</f>
        <v>#VALUE!</v>
      </c>
      <c r="Y80" t="e">
        <f ca="1">IF((A1)=(2),"",IF((77)=(Y3),IF(IF((INDEX(B1:XFD1,((A2)+(1))+(0)))=("store"),(INDEX(B1:XFD1,((A2)+(1))+(1)))=("Y"),"false"),B2,Y80),Y80))</f>
        <v>#VALUE!</v>
      </c>
      <c r="Z80" t="e">
        <f ca="1">IF((A1)=(2),"",IF((77)=(Z3),IF(IF((INDEX(B1:XFD1,((A2)+(1))+(0)))=("store"),(INDEX(B1:XFD1,((A2)+(1))+(1)))=("Z"),"false"),B2,Z80),Z80))</f>
        <v>#VALUE!</v>
      </c>
      <c r="AA80" t="e">
        <f ca="1">IF((A1)=(2),"",IF((77)=(AA3),IF(IF((INDEX(B1:XFD1,((A2)+(1))+(0)))=("store"),(INDEX(B1:XFD1,((A2)+(1))+(1)))=("AA"),"false"),B2,AA80),AA80))</f>
        <v>#VALUE!</v>
      </c>
      <c r="AB80" t="e">
        <f ca="1">IF((A1)=(2),"",IF((77)=(AB3),IF(IF((INDEX(B1:XFD1,((A2)+(1))+(0)))=("store"),(INDEX(B1:XFD1,((A2)+(1))+(1)))=("AB"),"false"),B2,AB80),AB80))</f>
        <v>#VALUE!</v>
      </c>
      <c r="AC80" t="e">
        <f ca="1">IF((A1)=(2),"",IF((77)=(AC3),IF(IF((INDEX(B1:XFD1,((A2)+(1))+(0)))=("store"),(INDEX(B1:XFD1,((A2)+(1))+(1)))=("AC"),"false"),B2,AC80),AC80))</f>
        <v>#VALUE!</v>
      </c>
      <c r="AD80" t="e">
        <f ca="1">IF((A1)=(2),"",IF((77)=(AD3),IF(IF((INDEX(B1:XFD1,((A2)+(1))+(0)))=("store"),(INDEX(B1:XFD1,((A2)+(1))+(1)))=("AD"),"false"),B2,AD80),AD80))</f>
        <v>#VALUE!</v>
      </c>
    </row>
    <row r="81" spans="1:30" x14ac:dyDescent="0.25">
      <c r="A81" t="e">
        <f ca="1">IF((A1)=(2),"",IF((78)=(A3),IF(("call")=(INDEX(B1:XFD1,((A2)+(1))+(0))),(B2)*(2),IF(("goto")=(INDEX(B1:XFD1,((A2)+(1))+(0))),(INDEX(B1:XFD1,((A2)+(1))+(1)))*(2),IF(("gotoiftrue")=(INDEX(B1:XFD1,((A2)+(1))+(0))),IF(B2,(INDEX(B1:XFD1,((A2)+(1))+(1)))*(2),(A81)+(2)),(A81)+(2)))),A81))</f>
        <v>#VALUE!</v>
      </c>
      <c r="B81" t="e">
        <f ca="1">IF((A1)=(2),"",IF((78)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81)+(1)),IF(("add")=(INDEX(B1:XFD1,((A2)+(1))+(0))),(INDEX(B4:B404,(B3)+(1)))+(B81),IF(("equals")=(INDEX(B1:XFD1,((A2)+(1))+(0))),(INDEX(B4:B404,(B3)+(1)))=(B81),IF(("leq")=(INDEX(B1:XFD1,((A2)+(1))+(0))),(INDEX(B4:B404,(B3)+(1)))&lt;=(B81),IF(("greater")=(INDEX(B1:XFD1,((A2)+(1))+(0))),(INDEX(B4:B404,(B3)+(1)))&gt;(B81),IF(("mod")=(INDEX(B1:XFD1,((A2)+(1))+(0))),MOD(INDEX(B4:B404,(B3)+(1)),B81),B81))))))))),B81))</f>
        <v>#VALUE!</v>
      </c>
      <c r="C81" t="e">
        <f ca="1">IF((A1)=(2),1,IF(AND((INDEX(B1:XFD1,((A2)+(1))+(0)))=("writeheap"),(INDEX(B4:B404,(B3)+(1)))=(77)),INDEX(B4:B404,(B3)+(2)),IF((A1)=(2),"",IF((78)=(C3),C81,C81))))</f>
        <v>#VALUE!</v>
      </c>
      <c r="E81" t="e">
        <f ca="1">IF((A1)=(2),"",IF((78)=(E3),IF(("outputline")=(INDEX(B1:XFD1,((A2)+(1))+(0))),B2,E81),E81))</f>
        <v>#VALUE!</v>
      </c>
      <c r="F81" t="e">
        <f ca="1">IF((A1)=(2),"",IF((78)=(F3),IF(IF((INDEX(B1:XFD1,((A2)+(1))+(0)))=("store"),(INDEX(B1:XFD1,((A2)+(1))+(1)))=("F"),"false"),B2,F81),F81))</f>
        <v>#VALUE!</v>
      </c>
      <c r="G81" t="e">
        <f ca="1">IF((A1)=(2),"",IF((78)=(G3),IF(IF((INDEX(B1:XFD1,((A2)+(1))+(0)))=("store"),(INDEX(B1:XFD1,((A2)+(1))+(1)))=("G"),"false"),B2,G81),G81))</f>
        <v>#VALUE!</v>
      </c>
      <c r="H81" t="e">
        <f ca="1">IF((A1)=(2),"",IF((78)=(H3),IF(IF((INDEX(B1:XFD1,((A2)+(1))+(0)))=("store"),(INDEX(B1:XFD1,((A2)+(1))+(1)))=("H"),"false"),B2,H81),H81))</f>
        <v>#VALUE!</v>
      </c>
      <c r="I81" t="e">
        <f ca="1">IF((A1)=(2),"",IF((78)=(I3),IF(IF((INDEX(B1:XFD1,((A2)+(1))+(0)))=("store"),(INDEX(B1:XFD1,((A2)+(1))+(1)))=("I"),"false"),B2,I81),I81))</f>
        <v>#VALUE!</v>
      </c>
      <c r="J81" t="e">
        <f ca="1">IF((A1)=(2),"",IF((78)=(J3),IF(IF((INDEX(B1:XFD1,((A2)+(1))+(0)))=("store"),(INDEX(B1:XFD1,((A2)+(1))+(1)))=("J"),"false"),B2,J81),J81))</f>
        <v>#VALUE!</v>
      </c>
      <c r="K81" t="e">
        <f ca="1">IF((A1)=(2),"",IF((78)=(K3),IF(IF((INDEX(B1:XFD1,((A2)+(1))+(0)))=("store"),(INDEX(B1:XFD1,((A2)+(1))+(1)))=("K"),"false"),B2,K81),K81))</f>
        <v>#VALUE!</v>
      </c>
      <c r="L81" t="e">
        <f ca="1">IF((A1)=(2),"",IF((78)=(L3),IF(IF((INDEX(B1:XFD1,((A2)+(1))+(0)))=("store"),(INDEX(B1:XFD1,((A2)+(1))+(1)))=("L"),"false"),B2,L81),L81))</f>
        <v>#VALUE!</v>
      </c>
      <c r="M81" t="e">
        <f ca="1">IF((A1)=(2),"",IF((78)=(M3),IF(IF((INDEX(B1:XFD1,((A2)+(1))+(0)))=("store"),(INDEX(B1:XFD1,((A2)+(1))+(1)))=("M"),"false"),B2,M81),M81))</f>
        <v>#VALUE!</v>
      </c>
      <c r="N81" t="e">
        <f ca="1">IF((A1)=(2),"",IF((78)=(N3),IF(IF((INDEX(B1:XFD1,((A2)+(1))+(0)))=("store"),(INDEX(B1:XFD1,((A2)+(1))+(1)))=("N"),"false"),B2,N81),N81))</f>
        <v>#VALUE!</v>
      </c>
      <c r="O81" t="e">
        <f ca="1">IF((A1)=(2),"",IF((78)=(O3),IF(IF((INDEX(B1:XFD1,((A2)+(1))+(0)))=("store"),(INDEX(B1:XFD1,((A2)+(1))+(1)))=("O"),"false"),B2,O81),O81))</f>
        <v>#VALUE!</v>
      </c>
      <c r="P81" t="e">
        <f ca="1">IF((A1)=(2),"",IF((78)=(P3),IF(IF((INDEX(B1:XFD1,((A2)+(1))+(0)))=("store"),(INDEX(B1:XFD1,((A2)+(1))+(1)))=("P"),"false"),B2,P81),P81))</f>
        <v>#VALUE!</v>
      </c>
      <c r="Q81" t="e">
        <f ca="1">IF((A1)=(2),"",IF((78)=(Q3),IF(IF((INDEX(B1:XFD1,((A2)+(1))+(0)))=("store"),(INDEX(B1:XFD1,((A2)+(1))+(1)))=("Q"),"false"),B2,Q81),Q81))</f>
        <v>#VALUE!</v>
      </c>
      <c r="R81" t="e">
        <f ca="1">IF((A1)=(2),"",IF((78)=(R3),IF(IF((INDEX(B1:XFD1,((A2)+(1))+(0)))=("store"),(INDEX(B1:XFD1,((A2)+(1))+(1)))=("R"),"false"),B2,R81),R81))</f>
        <v>#VALUE!</v>
      </c>
      <c r="S81" t="e">
        <f ca="1">IF((A1)=(2),"",IF((78)=(S3),IF(IF((INDEX(B1:XFD1,((A2)+(1))+(0)))=("store"),(INDEX(B1:XFD1,((A2)+(1))+(1)))=("S"),"false"),B2,S81),S81))</f>
        <v>#VALUE!</v>
      </c>
      <c r="T81" t="e">
        <f ca="1">IF((A1)=(2),"",IF((78)=(T3),IF(IF((INDEX(B1:XFD1,((A2)+(1))+(0)))=("store"),(INDEX(B1:XFD1,((A2)+(1))+(1)))=("T"),"false"),B2,T81),T81))</f>
        <v>#VALUE!</v>
      </c>
      <c r="U81" t="e">
        <f ca="1">IF((A1)=(2),"",IF((78)=(U3),IF(IF((INDEX(B1:XFD1,((A2)+(1))+(0)))=("store"),(INDEX(B1:XFD1,((A2)+(1))+(1)))=("U"),"false"),B2,U81),U81))</f>
        <v>#VALUE!</v>
      </c>
      <c r="V81" t="e">
        <f ca="1">IF((A1)=(2),"",IF((78)=(V3),IF(IF((INDEX(B1:XFD1,((A2)+(1))+(0)))=("store"),(INDEX(B1:XFD1,((A2)+(1))+(1)))=("V"),"false"),B2,V81),V81))</f>
        <v>#VALUE!</v>
      </c>
      <c r="W81" t="e">
        <f ca="1">IF((A1)=(2),"",IF((78)=(W3),IF(IF((INDEX(B1:XFD1,((A2)+(1))+(0)))=("store"),(INDEX(B1:XFD1,((A2)+(1))+(1)))=("W"),"false"),B2,W81),W81))</f>
        <v>#VALUE!</v>
      </c>
      <c r="X81" t="e">
        <f ca="1">IF((A1)=(2),"",IF((78)=(X3),IF(IF((INDEX(B1:XFD1,((A2)+(1))+(0)))=("store"),(INDEX(B1:XFD1,((A2)+(1))+(1)))=("X"),"false"),B2,X81),X81))</f>
        <v>#VALUE!</v>
      </c>
      <c r="Y81" t="e">
        <f ca="1">IF((A1)=(2),"",IF((78)=(Y3),IF(IF((INDEX(B1:XFD1,((A2)+(1))+(0)))=("store"),(INDEX(B1:XFD1,((A2)+(1))+(1)))=("Y"),"false"),B2,Y81),Y81))</f>
        <v>#VALUE!</v>
      </c>
      <c r="Z81" t="e">
        <f ca="1">IF((A1)=(2),"",IF((78)=(Z3),IF(IF((INDEX(B1:XFD1,((A2)+(1))+(0)))=("store"),(INDEX(B1:XFD1,((A2)+(1))+(1)))=("Z"),"false"),B2,Z81),Z81))</f>
        <v>#VALUE!</v>
      </c>
      <c r="AA81" t="e">
        <f ca="1">IF((A1)=(2),"",IF((78)=(AA3),IF(IF((INDEX(B1:XFD1,((A2)+(1))+(0)))=("store"),(INDEX(B1:XFD1,((A2)+(1))+(1)))=("AA"),"false"),B2,AA81),AA81))</f>
        <v>#VALUE!</v>
      </c>
      <c r="AB81" t="e">
        <f ca="1">IF((A1)=(2),"",IF((78)=(AB3),IF(IF((INDEX(B1:XFD1,((A2)+(1))+(0)))=("store"),(INDEX(B1:XFD1,((A2)+(1))+(1)))=("AB"),"false"),B2,AB81),AB81))</f>
        <v>#VALUE!</v>
      </c>
      <c r="AC81" t="e">
        <f ca="1">IF((A1)=(2),"",IF((78)=(AC3),IF(IF((INDEX(B1:XFD1,((A2)+(1))+(0)))=("store"),(INDEX(B1:XFD1,((A2)+(1))+(1)))=("AC"),"false"),B2,AC81),AC81))</f>
        <v>#VALUE!</v>
      </c>
      <c r="AD81" t="e">
        <f ca="1">IF((A1)=(2),"",IF((78)=(AD3),IF(IF((INDEX(B1:XFD1,((A2)+(1))+(0)))=("store"),(INDEX(B1:XFD1,((A2)+(1))+(1)))=("AD"),"false"),B2,AD81),AD81))</f>
        <v>#VALUE!</v>
      </c>
    </row>
    <row r="82" spans="1:30" x14ac:dyDescent="0.25">
      <c r="A82" t="e">
        <f ca="1">IF((A1)=(2),"",IF((79)=(A3),IF(("call")=(INDEX(B1:XFD1,((A2)+(1))+(0))),(B2)*(2),IF(("goto")=(INDEX(B1:XFD1,((A2)+(1))+(0))),(INDEX(B1:XFD1,((A2)+(1))+(1)))*(2),IF(("gotoiftrue")=(INDEX(B1:XFD1,((A2)+(1))+(0))),IF(B2,(INDEX(B1:XFD1,((A2)+(1))+(1)))*(2),(A82)+(2)),(A82)+(2)))),A82))</f>
        <v>#VALUE!</v>
      </c>
      <c r="B82" t="e">
        <f ca="1">IF((A1)=(2),"",IF((79)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82)+(1)),IF(("add")=(INDEX(B1:XFD1,((A2)+(1))+(0))),(INDEX(B4:B404,(B3)+(1)))+(B82),IF(("equals")=(INDEX(B1:XFD1,((A2)+(1))+(0))),(INDEX(B4:B404,(B3)+(1)))=(B82),IF(("leq")=(INDEX(B1:XFD1,((A2)+(1))+(0))),(INDEX(B4:B404,(B3)+(1)))&lt;=(B82),IF(("greater")=(INDEX(B1:XFD1,((A2)+(1))+(0))),(INDEX(B4:B404,(B3)+(1)))&gt;(B82),IF(("mod")=(INDEX(B1:XFD1,((A2)+(1))+(0))),MOD(INDEX(B4:B404,(B3)+(1)),B82),B82))))))))),B82))</f>
        <v>#VALUE!</v>
      </c>
      <c r="C82" t="e">
        <f ca="1">IF((A1)=(2),1,IF(AND((INDEX(B1:XFD1,((A2)+(1))+(0)))=("writeheap"),(INDEX(B4:B404,(B3)+(1)))=(78)),INDEX(B4:B404,(B3)+(2)),IF((A1)=(2),"",IF((79)=(C3),C82,C82))))</f>
        <v>#VALUE!</v>
      </c>
      <c r="E82" t="e">
        <f ca="1">IF((A1)=(2),"",IF((79)=(E3),IF(("outputline")=(INDEX(B1:XFD1,((A2)+(1))+(0))),B2,E82),E82))</f>
        <v>#VALUE!</v>
      </c>
      <c r="F82" t="e">
        <f ca="1">IF((A1)=(2),"",IF((79)=(F3),IF(IF((INDEX(B1:XFD1,((A2)+(1))+(0)))=("store"),(INDEX(B1:XFD1,((A2)+(1))+(1)))=("F"),"false"),B2,F82),F82))</f>
        <v>#VALUE!</v>
      </c>
      <c r="G82" t="e">
        <f ca="1">IF((A1)=(2),"",IF((79)=(G3),IF(IF((INDEX(B1:XFD1,((A2)+(1))+(0)))=("store"),(INDEX(B1:XFD1,((A2)+(1))+(1)))=("G"),"false"),B2,G82),G82))</f>
        <v>#VALUE!</v>
      </c>
      <c r="H82" t="e">
        <f ca="1">IF((A1)=(2),"",IF((79)=(H3),IF(IF((INDEX(B1:XFD1,((A2)+(1))+(0)))=("store"),(INDEX(B1:XFD1,((A2)+(1))+(1)))=("H"),"false"),B2,H82),H82))</f>
        <v>#VALUE!</v>
      </c>
      <c r="I82" t="e">
        <f ca="1">IF((A1)=(2),"",IF((79)=(I3),IF(IF((INDEX(B1:XFD1,((A2)+(1))+(0)))=("store"),(INDEX(B1:XFD1,((A2)+(1))+(1)))=("I"),"false"),B2,I82),I82))</f>
        <v>#VALUE!</v>
      </c>
      <c r="J82" t="e">
        <f ca="1">IF((A1)=(2),"",IF((79)=(J3),IF(IF((INDEX(B1:XFD1,((A2)+(1))+(0)))=("store"),(INDEX(B1:XFD1,((A2)+(1))+(1)))=("J"),"false"),B2,J82),J82))</f>
        <v>#VALUE!</v>
      </c>
      <c r="K82" t="e">
        <f ca="1">IF((A1)=(2),"",IF((79)=(K3),IF(IF((INDEX(B1:XFD1,((A2)+(1))+(0)))=("store"),(INDEX(B1:XFD1,((A2)+(1))+(1)))=("K"),"false"),B2,K82),K82))</f>
        <v>#VALUE!</v>
      </c>
      <c r="L82" t="e">
        <f ca="1">IF((A1)=(2),"",IF((79)=(L3),IF(IF((INDEX(B1:XFD1,((A2)+(1))+(0)))=("store"),(INDEX(B1:XFD1,((A2)+(1))+(1)))=("L"),"false"),B2,L82),L82))</f>
        <v>#VALUE!</v>
      </c>
      <c r="M82" t="e">
        <f ca="1">IF((A1)=(2),"",IF((79)=(M3),IF(IF((INDEX(B1:XFD1,((A2)+(1))+(0)))=("store"),(INDEX(B1:XFD1,((A2)+(1))+(1)))=("M"),"false"),B2,M82),M82))</f>
        <v>#VALUE!</v>
      </c>
      <c r="N82" t="e">
        <f ca="1">IF((A1)=(2),"",IF((79)=(N3),IF(IF((INDEX(B1:XFD1,((A2)+(1))+(0)))=("store"),(INDEX(B1:XFD1,((A2)+(1))+(1)))=("N"),"false"),B2,N82),N82))</f>
        <v>#VALUE!</v>
      </c>
      <c r="O82" t="e">
        <f ca="1">IF((A1)=(2),"",IF((79)=(O3),IF(IF((INDEX(B1:XFD1,((A2)+(1))+(0)))=("store"),(INDEX(B1:XFD1,((A2)+(1))+(1)))=("O"),"false"),B2,O82),O82))</f>
        <v>#VALUE!</v>
      </c>
      <c r="P82" t="e">
        <f ca="1">IF((A1)=(2),"",IF((79)=(P3),IF(IF((INDEX(B1:XFD1,((A2)+(1))+(0)))=("store"),(INDEX(B1:XFD1,((A2)+(1))+(1)))=("P"),"false"),B2,P82),P82))</f>
        <v>#VALUE!</v>
      </c>
      <c r="Q82" t="e">
        <f ca="1">IF((A1)=(2),"",IF((79)=(Q3),IF(IF((INDEX(B1:XFD1,((A2)+(1))+(0)))=("store"),(INDEX(B1:XFD1,((A2)+(1))+(1)))=("Q"),"false"),B2,Q82),Q82))</f>
        <v>#VALUE!</v>
      </c>
      <c r="R82" t="e">
        <f ca="1">IF((A1)=(2),"",IF((79)=(R3),IF(IF((INDEX(B1:XFD1,((A2)+(1))+(0)))=("store"),(INDEX(B1:XFD1,((A2)+(1))+(1)))=("R"),"false"),B2,R82),R82))</f>
        <v>#VALUE!</v>
      </c>
      <c r="S82" t="e">
        <f ca="1">IF((A1)=(2),"",IF((79)=(S3),IF(IF((INDEX(B1:XFD1,((A2)+(1))+(0)))=("store"),(INDEX(B1:XFD1,((A2)+(1))+(1)))=("S"),"false"),B2,S82),S82))</f>
        <v>#VALUE!</v>
      </c>
      <c r="T82" t="e">
        <f ca="1">IF((A1)=(2),"",IF((79)=(T3),IF(IF((INDEX(B1:XFD1,((A2)+(1))+(0)))=("store"),(INDEX(B1:XFD1,((A2)+(1))+(1)))=("T"),"false"),B2,T82),T82))</f>
        <v>#VALUE!</v>
      </c>
      <c r="U82" t="e">
        <f ca="1">IF((A1)=(2),"",IF((79)=(U3),IF(IF((INDEX(B1:XFD1,((A2)+(1))+(0)))=("store"),(INDEX(B1:XFD1,((A2)+(1))+(1)))=("U"),"false"),B2,U82),U82))</f>
        <v>#VALUE!</v>
      </c>
      <c r="V82" t="e">
        <f ca="1">IF((A1)=(2),"",IF((79)=(V3),IF(IF((INDEX(B1:XFD1,((A2)+(1))+(0)))=("store"),(INDEX(B1:XFD1,((A2)+(1))+(1)))=("V"),"false"),B2,V82),V82))</f>
        <v>#VALUE!</v>
      </c>
      <c r="W82" t="e">
        <f ca="1">IF((A1)=(2),"",IF((79)=(W3),IF(IF((INDEX(B1:XFD1,((A2)+(1))+(0)))=("store"),(INDEX(B1:XFD1,((A2)+(1))+(1)))=("W"),"false"),B2,W82),W82))</f>
        <v>#VALUE!</v>
      </c>
      <c r="X82" t="e">
        <f ca="1">IF((A1)=(2),"",IF((79)=(X3),IF(IF((INDEX(B1:XFD1,((A2)+(1))+(0)))=("store"),(INDEX(B1:XFD1,((A2)+(1))+(1)))=("X"),"false"),B2,X82),X82))</f>
        <v>#VALUE!</v>
      </c>
      <c r="Y82" t="e">
        <f ca="1">IF((A1)=(2),"",IF((79)=(Y3),IF(IF((INDEX(B1:XFD1,((A2)+(1))+(0)))=("store"),(INDEX(B1:XFD1,((A2)+(1))+(1)))=("Y"),"false"),B2,Y82),Y82))</f>
        <v>#VALUE!</v>
      </c>
      <c r="Z82" t="e">
        <f ca="1">IF((A1)=(2),"",IF((79)=(Z3),IF(IF((INDEX(B1:XFD1,((A2)+(1))+(0)))=("store"),(INDEX(B1:XFD1,((A2)+(1))+(1)))=("Z"),"false"),B2,Z82),Z82))</f>
        <v>#VALUE!</v>
      </c>
      <c r="AA82" t="e">
        <f ca="1">IF((A1)=(2),"",IF((79)=(AA3),IF(IF((INDEX(B1:XFD1,((A2)+(1))+(0)))=("store"),(INDEX(B1:XFD1,((A2)+(1))+(1)))=("AA"),"false"),B2,AA82),AA82))</f>
        <v>#VALUE!</v>
      </c>
      <c r="AB82" t="e">
        <f ca="1">IF((A1)=(2),"",IF((79)=(AB3),IF(IF((INDEX(B1:XFD1,((A2)+(1))+(0)))=("store"),(INDEX(B1:XFD1,((A2)+(1))+(1)))=("AB"),"false"),B2,AB82),AB82))</f>
        <v>#VALUE!</v>
      </c>
      <c r="AC82" t="e">
        <f ca="1">IF((A1)=(2),"",IF((79)=(AC3),IF(IF((INDEX(B1:XFD1,((A2)+(1))+(0)))=("store"),(INDEX(B1:XFD1,((A2)+(1))+(1)))=("AC"),"false"),B2,AC82),AC82))</f>
        <v>#VALUE!</v>
      </c>
      <c r="AD82" t="e">
        <f ca="1">IF((A1)=(2),"",IF((79)=(AD3),IF(IF((INDEX(B1:XFD1,((A2)+(1))+(0)))=("store"),(INDEX(B1:XFD1,((A2)+(1))+(1)))=("AD"),"false"),B2,AD82),AD82))</f>
        <v>#VALUE!</v>
      </c>
    </row>
    <row r="83" spans="1:30" x14ac:dyDescent="0.25">
      <c r="A83" t="e">
        <f ca="1">IF((A1)=(2),"",IF((80)=(A3),IF(("call")=(INDEX(B1:XFD1,((A2)+(1))+(0))),(B2)*(2),IF(("goto")=(INDEX(B1:XFD1,((A2)+(1))+(0))),(INDEX(B1:XFD1,((A2)+(1))+(1)))*(2),IF(("gotoiftrue")=(INDEX(B1:XFD1,((A2)+(1))+(0))),IF(B2,(INDEX(B1:XFD1,((A2)+(1))+(1)))*(2),(A83)+(2)),(A83)+(2)))),A83))</f>
        <v>#VALUE!</v>
      </c>
      <c r="B83" t="e">
        <f ca="1">IF((A1)=(2),"",IF((80)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83)+(1)),IF(("add")=(INDEX(B1:XFD1,((A2)+(1))+(0))),(INDEX(B4:B404,(B3)+(1)))+(B83),IF(("equals")=(INDEX(B1:XFD1,((A2)+(1))+(0))),(INDEX(B4:B404,(B3)+(1)))=(B83),IF(("leq")=(INDEX(B1:XFD1,((A2)+(1))+(0))),(INDEX(B4:B404,(B3)+(1)))&lt;=(B83),IF(("greater")=(INDEX(B1:XFD1,((A2)+(1))+(0))),(INDEX(B4:B404,(B3)+(1)))&gt;(B83),IF(("mod")=(INDEX(B1:XFD1,((A2)+(1))+(0))),MOD(INDEX(B4:B404,(B3)+(1)),B83),B83))))))))),B83))</f>
        <v>#VALUE!</v>
      </c>
      <c r="C83" t="e">
        <f ca="1">IF((A1)=(2),1,IF(AND((INDEX(B1:XFD1,((A2)+(1))+(0)))=("writeheap"),(INDEX(B4:B404,(B3)+(1)))=(79)),INDEX(B4:B404,(B3)+(2)),IF((A1)=(2),"",IF((80)=(C3),C83,C83))))</f>
        <v>#VALUE!</v>
      </c>
      <c r="E83" t="e">
        <f ca="1">IF((A1)=(2),"",IF((80)=(E3),IF(("outputline")=(INDEX(B1:XFD1,((A2)+(1))+(0))),B2,E83),E83))</f>
        <v>#VALUE!</v>
      </c>
      <c r="F83" t="e">
        <f ca="1">IF((A1)=(2),"",IF((80)=(F3),IF(IF((INDEX(B1:XFD1,((A2)+(1))+(0)))=("store"),(INDEX(B1:XFD1,((A2)+(1))+(1)))=("F"),"false"),B2,F83),F83))</f>
        <v>#VALUE!</v>
      </c>
      <c r="G83" t="e">
        <f ca="1">IF((A1)=(2),"",IF((80)=(G3),IF(IF((INDEX(B1:XFD1,((A2)+(1))+(0)))=("store"),(INDEX(B1:XFD1,((A2)+(1))+(1)))=("G"),"false"),B2,G83),G83))</f>
        <v>#VALUE!</v>
      </c>
      <c r="H83" t="e">
        <f ca="1">IF((A1)=(2),"",IF((80)=(H3),IF(IF((INDEX(B1:XFD1,((A2)+(1))+(0)))=("store"),(INDEX(B1:XFD1,((A2)+(1))+(1)))=("H"),"false"),B2,H83),H83))</f>
        <v>#VALUE!</v>
      </c>
      <c r="I83" t="e">
        <f ca="1">IF((A1)=(2),"",IF((80)=(I3),IF(IF((INDEX(B1:XFD1,((A2)+(1))+(0)))=("store"),(INDEX(B1:XFD1,((A2)+(1))+(1)))=("I"),"false"),B2,I83),I83))</f>
        <v>#VALUE!</v>
      </c>
      <c r="J83" t="e">
        <f ca="1">IF((A1)=(2),"",IF((80)=(J3),IF(IF((INDEX(B1:XFD1,((A2)+(1))+(0)))=("store"),(INDEX(B1:XFD1,((A2)+(1))+(1)))=("J"),"false"),B2,J83),J83))</f>
        <v>#VALUE!</v>
      </c>
      <c r="K83" t="e">
        <f ca="1">IF((A1)=(2),"",IF((80)=(K3),IF(IF((INDEX(B1:XFD1,((A2)+(1))+(0)))=("store"),(INDEX(B1:XFD1,((A2)+(1))+(1)))=("K"),"false"),B2,K83),K83))</f>
        <v>#VALUE!</v>
      </c>
      <c r="L83" t="e">
        <f ca="1">IF((A1)=(2),"",IF((80)=(L3),IF(IF((INDEX(B1:XFD1,((A2)+(1))+(0)))=("store"),(INDEX(B1:XFD1,((A2)+(1))+(1)))=("L"),"false"),B2,L83),L83))</f>
        <v>#VALUE!</v>
      </c>
      <c r="M83" t="e">
        <f ca="1">IF((A1)=(2),"",IF((80)=(M3),IF(IF((INDEX(B1:XFD1,((A2)+(1))+(0)))=("store"),(INDEX(B1:XFD1,((A2)+(1))+(1)))=("M"),"false"),B2,M83),M83))</f>
        <v>#VALUE!</v>
      </c>
      <c r="N83" t="e">
        <f ca="1">IF((A1)=(2),"",IF((80)=(N3),IF(IF((INDEX(B1:XFD1,((A2)+(1))+(0)))=("store"),(INDEX(B1:XFD1,((A2)+(1))+(1)))=("N"),"false"),B2,N83),N83))</f>
        <v>#VALUE!</v>
      </c>
      <c r="O83" t="e">
        <f ca="1">IF((A1)=(2),"",IF((80)=(O3),IF(IF((INDEX(B1:XFD1,((A2)+(1))+(0)))=("store"),(INDEX(B1:XFD1,((A2)+(1))+(1)))=("O"),"false"),B2,O83),O83))</f>
        <v>#VALUE!</v>
      </c>
      <c r="P83" t="e">
        <f ca="1">IF((A1)=(2),"",IF((80)=(P3),IF(IF((INDEX(B1:XFD1,((A2)+(1))+(0)))=("store"),(INDEX(B1:XFD1,((A2)+(1))+(1)))=("P"),"false"),B2,P83),P83))</f>
        <v>#VALUE!</v>
      </c>
      <c r="Q83" t="e">
        <f ca="1">IF((A1)=(2),"",IF((80)=(Q3),IF(IF((INDEX(B1:XFD1,((A2)+(1))+(0)))=("store"),(INDEX(B1:XFD1,((A2)+(1))+(1)))=("Q"),"false"),B2,Q83),Q83))</f>
        <v>#VALUE!</v>
      </c>
      <c r="R83" t="e">
        <f ca="1">IF((A1)=(2),"",IF((80)=(R3),IF(IF((INDEX(B1:XFD1,((A2)+(1))+(0)))=("store"),(INDEX(B1:XFD1,((A2)+(1))+(1)))=("R"),"false"),B2,R83),R83))</f>
        <v>#VALUE!</v>
      </c>
      <c r="S83" t="e">
        <f ca="1">IF((A1)=(2),"",IF((80)=(S3),IF(IF((INDEX(B1:XFD1,((A2)+(1))+(0)))=("store"),(INDEX(B1:XFD1,((A2)+(1))+(1)))=("S"),"false"),B2,S83),S83))</f>
        <v>#VALUE!</v>
      </c>
      <c r="T83" t="e">
        <f ca="1">IF((A1)=(2),"",IF((80)=(T3),IF(IF((INDEX(B1:XFD1,((A2)+(1))+(0)))=("store"),(INDEX(B1:XFD1,((A2)+(1))+(1)))=("T"),"false"),B2,T83),T83))</f>
        <v>#VALUE!</v>
      </c>
      <c r="U83" t="e">
        <f ca="1">IF((A1)=(2),"",IF((80)=(U3),IF(IF((INDEX(B1:XFD1,((A2)+(1))+(0)))=("store"),(INDEX(B1:XFD1,((A2)+(1))+(1)))=("U"),"false"),B2,U83),U83))</f>
        <v>#VALUE!</v>
      </c>
      <c r="V83" t="e">
        <f ca="1">IF((A1)=(2),"",IF((80)=(V3),IF(IF((INDEX(B1:XFD1,((A2)+(1))+(0)))=("store"),(INDEX(B1:XFD1,((A2)+(1))+(1)))=("V"),"false"),B2,V83),V83))</f>
        <v>#VALUE!</v>
      </c>
      <c r="W83" t="e">
        <f ca="1">IF((A1)=(2),"",IF((80)=(W3),IF(IF((INDEX(B1:XFD1,((A2)+(1))+(0)))=("store"),(INDEX(B1:XFD1,((A2)+(1))+(1)))=("W"),"false"),B2,W83),W83))</f>
        <v>#VALUE!</v>
      </c>
      <c r="X83" t="e">
        <f ca="1">IF((A1)=(2),"",IF((80)=(X3),IF(IF((INDEX(B1:XFD1,((A2)+(1))+(0)))=("store"),(INDEX(B1:XFD1,((A2)+(1))+(1)))=("X"),"false"),B2,X83),X83))</f>
        <v>#VALUE!</v>
      </c>
      <c r="Y83" t="e">
        <f ca="1">IF((A1)=(2),"",IF((80)=(Y3),IF(IF((INDEX(B1:XFD1,((A2)+(1))+(0)))=("store"),(INDEX(B1:XFD1,((A2)+(1))+(1)))=("Y"),"false"),B2,Y83),Y83))</f>
        <v>#VALUE!</v>
      </c>
      <c r="Z83" t="e">
        <f ca="1">IF((A1)=(2),"",IF((80)=(Z3),IF(IF((INDEX(B1:XFD1,((A2)+(1))+(0)))=("store"),(INDEX(B1:XFD1,((A2)+(1))+(1)))=("Z"),"false"),B2,Z83),Z83))</f>
        <v>#VALUE!</v>
      </c>
      <c r="AA83" t="e">
        <f ca="1">IF((A1)=(2),"",IF((80)=(AA3),IF(IF((INDEX(B1:XFD1,((A2)+(1))+(0)))=("store"),(INDEX(B1:XFD1,((A2)+(1))+(1)))=("AA"),"false"),B2,AA83),AA83))</f>
        <v>#VALUE!</v>
      </c>
      <c r="AB83" t="e">
        <f ca="1">IF((A1)=(2),"",IF((80)=(AB3),IF(IF((INDEX(B1:XFD1,((A2)+(1))+(0)))=("store"),(INDEX(B1:XFD1,((A2)+(1))+(1)))=("AB"),"false"),B2,AB83),AB83))</f>
        <v>#VALUE!</v>
      </c>
      <c r="AC83" t="e">
        <f ca="1">IF((A1)=(2),"",IF((80)=(AC3),IF(IF((INDEX(B1:XFD1,((A2)+(1))+(0)))=("store"),(INDEX(B1:XFD1,((A2)+(1))+(1)))=("AC"),"false"),B2,AC83),AC83))</f>
        <v>#VALUE!</v>
      </c>
      <c r="AD83" t="e">
        <f ca="1">IF((A1)=(2),"",IF((80)=(AD3),IF(IF((INDEX(B1:XFD1,((A2)+(1))+(0)))=("store"),(INDEX(B1:XFD1,((A2)+(1))+(1)))=("AD"),"false"),B2,AD83),AD83))</f>
        <v>#VALUE!</v>
      </c>
    </row>
    <row r="84" spans="1:30" x14ac:dyDescent="0.25">
      <c r="A84" t="e">
        <f ca="1">IF((A1)=(2),"",IF((81)=(A3),IF(("call")=(INDEX(B1:XFD1,((A2)+(1))+(0))),(B2)*(2),IF(("goto")=(INDEX(B1:XFD1,((A2)+(1))+(0))),(INDEX(B1:XFD1,((A2)+(1))+(1)))*(2),IF(("gotoiftrue")=(INDEX(B1:XFD1,((A2)+(1))+(0))),IF(B2,(INDEX(B1:XFD1,((A2)+(1))+(1)))*(2),(A84)+(2)),(A84)+(2)))),A84))</f>
        <v>#VALUE!</v>
      </c>
      <c r="B84" t="e">
        <f ca="1">IF((A1)=(2),"",IF((81)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84)+(1)),IF(("add")=(INDEX(B1:XFD1,((A2)+(1))+(0))),(INDEX(B4:B404,(B3)+(1)))+(B84),IF(("equals")=(INDEX(B1:XFD1,((A2)+(1))+(0))),(INDEX(B4:B404,(B3)+(1)))=(B84),IF(("leq")=(INDEX(B1:XFD1,((A2)+(1))+(0))),(INDEX(B4:B404,(B3)+(1)))&lt;=(B84),IF(("greater")=(INDEX(B1:XFD1,((A2)+(1))+(0))),(INDEX(B4:B404,(B3)+(1)))&gt;(B84),IF(("mod")=(INDEX(B1:XFD1,((A2)+(1))+(0))),MOD(INDEX(B4:B404,(B3)+(1)),B84),B84))))))))),B84))</f>
        <v>#VALUE!</v>
      </c>
      <c r="C84" t="e">
        <f ca="1">IF((A1)=(2),1,IF(AND((INDEX(B1:XFD1,((A2)+(1))+(0)))=("writeheap"),(INDEX(B4:B404,(B3)+(1)))=(80)),INDEX(B4:B404,(B3)+(2)),IF((A1)=(2),"",IF((81)=(C3),C84,C84))))</f>
        <v>#VALUE!</v>
      </c>
      <c r="E84" t="e">
        <f ca="1">IF((A1)=(2),"",IF((81)=(E3),IF(("outputline")=(INDEX(B1:XFD1,((A2)+(1))+(0))),B2,E84),E84))</f>
        <v>#VALUE!</v>
      </c>
      <c r="F84" t="e">
        <f ca="1">IF((A1)=(2),"",IF((81)=(F3),IF(IF((INDEX(B1:XFD1,((A2)+(1))+(0)))=("store"),(INDEX(B1:XFD1,((A2)+(1))+(1)))=("F"),"false"),B2,F84),F84))</f>
        <v>#VALUE!</v>
      </c>
      <c r="G84" t="e">
        <f ca="1">IF((A1)=(2),"",IF((81)=(G3),IF(IF((INDEX(B1:XFD1,((A2)+(1))+(0)))=("store"),(INDEX(B1:XFD1,((A2)+(1))+(1)))=("G"),"false"),B2,G84),G84))</f>
        <v>#VALUE!</v>
      </c>
      <c r="H84" t="e">
        <f ca="1">IF((A1)=(2),"",IF((81)=(H3),IF(IF((INDEX(B1:XFD1,((A2)+(1))+(0)))=("store"),(INDEX(B1:XFD1,((A2)+(1))+(1)))=("H"),"false"),B2,H84),H84))</f>
        <v>#VALUE!</v>
      </c>
      <c r="I84" t="e">
        <f ca="1">IF((A1)=(2),"",IF((81)=(I3),IF(IF((INDEX(B1:XFD1,((A2)+(1))+(0)))=("store"),(INDEX(B1:XFD1,((A2)+(1))+(1)))=("I"),"false"),B2,I84),I84))</f>
        <v>#VALUE!</v>
      </c>
      <c r="J84" t="e">
        <f ca="1">IF((A1)=(2),"",IF((81)=(J3),IF(IF((INDEX(B1:XFD1,((A2)+(1))+(0)))=("store"),(INDEX(B1:XFD1,((A2)+(1))+(1)))=("J"),"false"),B2,J84),J84))</f>
        <v>#VALUE!</v>
      </c>
      <c r="K84" t="e">
        <f ca="1">IF((A1)=(2),"",IF((81)=(K3),IF(IF((INDEX(B1:XFD1,((A2)+(1))+(0)))=("store"),(INDEX(B1:XFD1,((A2)+(1))+(1)))=("K"),"false"),B2,K84),K84))</f>
        <v>#VALUE!</v>
      </c>
      <c r="L84" t="e">
        <f ca="1">IF((A1)=(2),"",IF((81)=(L3),IF(IF((INDEX(B1:XFD1,((A2)+(1))+(0)))=("store"),(INDEX(B1:XFD1,((A2)+(1))+(1)))=("L"),"false"),B2,L84),L84))</f>
        <v>#VALUE!</v>
      </c>
      <c r="M84" t="e">
        <f ca="1">IF((A1)=(2),"",IF((81)=(M3),IF(IF((INDEX(B1:XFD1,((A2)+(1))+(0)))=("store"),(INDEX(B1:XFD1,((A2)+(1))+(1)))=("M"),"false"),B2,M84),M84))</f>
        <v>#VALUE!</v>
      </c>
      <c r="N84" t="e">
        <f ca="1">IF((A1)=(2),"",IF((81)=(N3),IF(IF((INDEX(B1:XFD1,((A2)+(1))+(0)))=("store"),(INDEX(B1:XFD1,((A2)+(1))+(1)))=("N"),"false"),B2,N84),N84))</f>
        <v>#VALUE!</v>
      </c>
      <c r="O84" t="e">
        <f ca="1">IF((A1)=(2),"",IF((81)=(O3),IF(IF((INDEX(B1:XFD1,((A2)+(1))+(0)))=("store"),(INDEX(B1:XFD1,((A2)+(1))+(1)))=("O"),"false"),B2,O84),O84))</f>
        <v>#VALUE!</v>
      </c>
      <c r="P84" t="e">
        <f ca="1">IF((A1)=(2),"",IF((81)=(P3),IF(IF((INDEX(B1:XFD1,((A2)+(1))+(0)))=("store"),(INDEX(B1:XFD1,((A2)+(1))+(1)))=("P"),"false"),B2,P84),P84))</f>
        <v>#VALUE!</v>
      </c>
      <c r="Q84" t="e">
        <f ca="1">IF((A1)=(2),"",IF((81)=(Q3),IF(IF((INDEX(B1:XFD1,((A2)+(1))+(0)))=("store"),(INDEX(B1:XFD1,((A2)+(1))+(1)))=("Q"),"false"),B2,Q84),Q84))</f>
        <v>#VALUE!</v>
      </c>
      <c r="R84" t="e">
        <f ca="1">IF((A1)=(2),"",IF((81)=(R3),IF(IF((INDEX(B1:XFD1,((A2)+(1))+(0)))=("store"),(INDEX(B1:XFD1,((A2)+(1))+(1)))=("R"),"false"),B2,R84),R84))</f>
        <v>#VALUE!</v>
      </c>
      <c r="S84" t="e">
        <f ca="1">IF((A1)=(2),"",IF((81)=(S3),IF(IF((INDEX(B1:XFD1,((A2)+(1))+(0)))=("store"),(INDEX(B1:XFD1,((A2)+(1))+(1)))=("S"),"false"),B2,S84),S84))</f>
        <v>#VALUE!</v>
      </c>
      <c r="T84" t="e">
        <f ca="1">IF((A1)=(2),"",IF((81)=(T3),IF(IF((INDEX(B1:XFD1,((A2)+(1))+(0)))=("store"),(INDEX(B1:XFD1,((A2)+(1))+(1)))=("T"),"false"),B2,T84),T84))</f>
        <v>#VALUE!</v>
      </c>
      <c r="U84" t="e">
        <f ca="1">IF((A1)=(2),"",IF((81)=(U3),IF(IF((INDEX(B1:XFD1,((A2)+(1))+(0)))=("store"),(INDEX(B1:XFD1,((A2)+(1))+(1)))=("U"),"false"),B2,U84),U84))</f>
        <v>#VALUE!</v>
      </c>
      <c r="V84" t="e">
        <f ca="1">IF((A1)=(2),"",IF((81)=(V3),IF(IF((INDEX(B1:XFD1,((A2)+(1))+(0)))=("store"),(INDEX(B1:XFD1,((A2)+(1))+(1)))=("V"),"false"),B2,V84),V84))</f>
        <v>#VALUE!</v>
      </c>
      <c r="W84" t="e">
        <f ca="1">IF((A1)=(2),"",IF((81)=(W3),IF(IF((INDEX(B1:XFD1,((A2)+(1))+(0)))=("store"),(INDEX(B1:XFD1,((A2)+(1))+(1)))=("W"),"false"),B2,W84),W84))</f>
        <v>#VALUE!</v>
      </c>
      <c r="X84" t="e">
        <f ca="1">IF((A1)=(2),"",IF((81)=(X3),IF(IF((INDEX(B1:XFD1,((A2)+(1))+(0)))=("store"),(INDEX(B1:XFD1,((A2)+(1))+(1)))=("X"),"false"),B2,X84),X84))</f>
        <v>#VALUE!</v>
      </c>
      <c r="Y84" t="e">
        <f ca="1">IF((A1)=(2),"",IF((81)=(Y3),IF(IF((INDEX(B1:XFD1,((A2)+(1))+(0)))=("store"),(INDEX(B1:XFD1,((A2)+(1))+(1)))=("Y"),"false"),B2,Y84),Y84))</f>
        <v>#VALUE!</v>
      </c>
      <c r="Z84" t="e">
        <f ca="1">IF((A1)=(2),"",IF((81)=(Z3),IF(IF((INDEX(B1:XFD1,((A2)+(1))+(0)))=("store"),(INDEX(B1:XFD1,((A2)+(1))+(1)))=("Z"),"false"),B2,Z84),Z84))</f>
        <v>#VALUE!</v>
      </c>
      <c r="AA84" t="e">
        <f ca="1">IF((A1)=(2),"",IF((81)=(AA3),IF(IF((INDEX(B1:XFD1,((A2)+(1))+(0)))=("store"),(INDEX(B1:XFD1,((A2)+(1))+(1)))=("AA"),"false"),B2,AA84),AA84))</f>
        <v>#VALUE!</v>
      </c>
      <c r="AB84" t="e">
        <f ca="1">IF((A1)=(2),"",IF((81)=(AB3),IF(IF((INDEX(B1:XFD1,((A2)+(1))+(0)))=("store"),(INDEX(B1:XFD1,((A2)+(1))+(1)))=("AB"),"false"),B2,AB84),AB84))</f>
        <v>#VALUE!</v>
      </c>
      <c r="AC84" t="e">
        <f ca="1">IF((A1)=(2),"",IF((81)=(AC3),IF(IF((INDEX(B1:XFD1,((A2)+(1))+(0)))=("store"),(INDEX(B1:XFD1,((A2)+(1))+(1)))=("AC"),"false"),B2,AC84),AC84))</f>
        <v>#VALUE!</v>
      </c>
      <c r="AD84" t="e">
        <f ca="1">IF((A1)=(2),"",IF((81)=(AD3),IF(IF((INDEX(B1:XFD1,((A2)+(1))+(0)))=("store"),(INDEX(B1:XFD1,((A2)+(1))+(1)))=("AD"),"false"),B2,AD84),AD84))</f>
        <v>#VALUE!</v>
      </c>
    </row>
    <row r="85" spans="1:30" x14ac:dyDescent="0.25">
      <c r="A85" t="e">
        <f ca="1">IF((A1)=(2),"",IF((82)=(A3),IF(("call")=(INDEX(B1:XFD1,((A2)+(1))+(0))),(B2)*(2),IF(("goto")=(INDEX(B1:XFD1,((A2)+(1))+(0))),(INDEX(B1:XFD1,((A2)+(1))+(1)))*(2),IF(("gotoiftrue")=(INDEX(B1:XFD1,((A2)+(1))+(0))),IF(B2,(INDEX(B1:XFD1,((A2)+(1))+(1)))*(2),(A85)+(2)),(A85)+(2)))),A85))</f>
        <v>#VALUE!</v>
      </c>
      <c r="B85" t="e">
        <f ca="1">IF((A1)=(2),"",IF((82)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85)+(1)),IF(("add")=(INDEX(B1:XFD1,((A2)+(1))+(0))),(INDEX(B4:B404,(B3)+(1)))+(B85),IF(("equals")=(INDEX(B1:XFD1,((A2)+(1))+(0))),(INDEX(B4:B404,(B3)+(1)))=(B85),IF(("leq")=(INDEX(B1:XFD1,((A2)+(1))+(0))),(INDEX(B4:B404,(B3)+(1)))&lt;=(B85),IF(("greater")=(INDEX(B1:XFD1,((A2)+(1))+(0))),(INDEX(B4:B404,(B3)+(1)))&gt;(B85),IF(("mod")=(INDEX(B1:XFD1,((A2)+(1))+(0))),MOD(INDEX(B4:B404,(B3)+(1)),B85),B85))))))))),B85))</f>
        <v>#VALUE!</v>
      </c>
      <c r="C85" t="e">
        <f ca="1">IF((A1)=(2),1,IF(AND((INDEX(B1:XFD1,((A2)+(1))+(0)))=("writeheap"),(INDEX(B4:B404,(B3)+(1)))=(81)),INDEX(B4:B404,(B3)+(2)),IF((A1)=(2),"",IF((82)=(C3),C85,C85))))</f>
        <v>#VALUE!</v>
      </c>
      <c r="E85" t="e">
        <f ca="1">IF((A1)=(2),"",IF((82)=(E3),IF(("outputline")=(INDEX(B1:XFD1,((A2)+(1))+(0))),B2,E85),E85))</f>
        <v>#VALUE!</v>
      </c>
      <c r="F85" t="e">
        <f ca="1">IF((A1)=(2),"",IF((82)=(F3),IF(IF((INDEX(B1:XFD1,((A2)+(1))+(0)))=("store"),(INDEX(B1:XFD1,((A2)+(1))+(1)))=("F"),"false"),B2,F85),F85))</f>
        <v>#VALUE!</v>
      </c>
      <c r="G85" t="e">
        <f ca="1">IF((A1)=(2),"",IF((82)=(G3),IF(IF((INDEX(B1:XFD1,((A2)+(1))+(0)))=("store"),(INDEX(B1:XFD1,((A2)+(1))+(1)))=("G"),"false"),B2,G85),G85))</f>
        <v>#VALUE!</v>
      </c>
      <c r="H85" t="e">
        <f ca="1">IF((A1)=(2),"",IF((82)=(H3),IF(IF((INDEX(B1:XFD1,((A2)+(1))+(0)))=("store"),(INDEX(B1:XFD1,((A2)+(1))+(1)))=("H"),"false"),B2,H85),H85))</f>
        <v>#VALUE!</v>
      </c>
      <c r="I85" t="e">
        <f ca="1">IF((A1)=(2),"",IF((82)=(I3),IF(IF((INDEX(B1:XFD1,((A2)+(1))+(0)))=("store"),(INDEX(B1:XFD1,((A2)+(1))+(1)))=("I"),"false"),B2,I85),I85))</f>
        <v>#VALUE!</v>
      </c>
      <c r="J85" t="e">
        <f ca="1">IF((A1)=(2),"",IF((82)=(J3),IF(IF((INDEX(B1:XFD1,((A2)+(1))+(0)))=("store"),(INDEX(B1:XFD1,((A2)+(1))+(1)))=("J"),"false"),B2,J85),J85))</f>
        <v>#VALUE!</v>
      </c>
      <c r="K85" t="e">
        <f ca="1">IF((A1)=(2),"",IF((82)=(K3),IF(IF((INDEX(B1:XFD1,((A2)+(1))+(0)))=("store"),(INDEX(B1:XFD1,((A2)+(1))+(1)))=("K"),"false"),B2,K85),K85))</f>
        <v>#VALUE!</v>
      </c>
      <c r="L85" t="e">
        <f ca="1">IF((A1)=(2),"",IF((82)=(L3),IF(IF((INDEX(B1:XFD1,((A2)+(1))+(0)))=("store"),(INDEX(B1:XFD1,((A2)+(1))+(1)))=("L"),"false"),B2,L85),L85))</f>
        <v>#VALUE!</v>
      </c>
      <c r="M85" t="e">
        <f ca="1">IF((A1)=(2),"",IF((82)=(M3),IF(IF((INDEX(B1:XFD1,((A2)+(1))+(0)))=("store"),(INDEX(B1:XFD1,((A2)+(1))+(1)))=("M"),"false"),B2,M85),M85))</f>
        <v>#VALUE!</v>
      </c>
      <c r="N85" t="e">
        <f ca="1">IF((A1)=(2),"",IF((82)=(N3),IF(IF((INDEX(B1:XFD1,((A2)+(1))+(0)))=("store"),(INDEX(B1:XFD1,((A2)+(1))+(1)))=("N"),"false"),B2,N85),N85))</f>
        <v>#VALUE!</v>
      </c>
      <c r="O85" t="e">
        <f ca="1">IF((A1)=(2),"",IF((82)=(O3),IF(IF((INDEX(B1:XFD1,((A2)+(1))+(0)))=("store"),(INDEX(B1:XFD1,((A2)+(1))+(1)))=("O"),"false"),B2,O85),O85))</f>
        <v>#VALUE!</v>
      </c>
      <c r="P85" t="e">
        <f ca="1">IF((A1)=(2),"",IF((82)=(P3),IF(IF((INDEX(B1:XFD1,((A2)+(1))+(0)))=("store"),(INDEX(B1:XFD1,((A2)+(1))+(1)))=("P"),"false"),B2,P85),P85))</f>
        <v>#VALUE!</v>
      </c>
      <c r="Q85" t="e">
        <f ca="1">IF((A1)=(2),"",IF((82)=(Q3),IF(IF((INDEX(B1:XFD1,((A2)+(1))+(0)))=("store"),(INDEX(B1:XFD1,((A2)+(1))+(1)))=("Q"),"false"),B2,Q85),Q85))</f>
        <v>#VALUE!</v>
      </c>
      <c r="R85" t="e">
        <f ca="1">IF((A1)=(2),"",IF((82)=(R3),IF(IF((INDEX(B1:XFD1,((A2)+(1))+(0)))=("store"),(INDEX(B1:XFD1,((A2)+(1))+(1)))=("R"),"false"),B2,R85),R85))</f>
        <v>#VALUE!</v>
      </c>
      <c r="S85" t="e">
        <f ca="1">IF((A1)=(2),"",IF((82)=(S3),IF(IF((INDEX(B1:XFD1,((A2)+(1))+(0)))=("store"),(INDEX(B1:XFD1,((A2)+(1))+(1)))=("S"),"false"),B2,S85),S85))</f>
        <v>#VALUE!</v>
      </c>
      <c r="T85" t="e">
        <f ca="1">IF((A1)=(2),"",IF((82)=(T3),IF(IF((INDEX(B1:XFD1,((A2)+(1))+(0)))=("store"),(INDEX(B1:XFD1,((A2)+(1))+(1)))=("T"),"false"),B2,T85),T85))</f>
        <v>#VALUE!</v>
      </c>
      <c r="U85" t="e">
        <f ca="1">IF((A1)=(2),"",IF((82)=(U3),IF(IF((INDEX(B1:XFD1,((A2)+(1))+(0)))=("store"),(INDEX(B1:XFD1,((A2)+(1))+(1)))=("U"),"false"),B2,U85),U85))</f>
        <v>#VALUE!</v>
      </c>
      <c r="V85" t="e">
        <f ca="1">IF((A1)=(2),"",IF((82)=(V3),IF(IF((INDEX(B1:XFD1,((A2)+(1))+(0)))=("store"),(INDEX(B1:XFD1,((A2)+(1))+(1)))=("V"),"false"),B2,V85),V85))</f>
        <v>#VALUE!</v>
      </c>
      <c r="W85" t="e">
        <f ca="1">IF((A1)=(2),"",IF((82)=(W3),IF(IF((INDEX(B1:XFD1,((A2)+(1))+(0)))=("store"),(INDEX(B1:XFD1,((A2)+(1))+(1)))=("W"),"false"),B2,W85),W85))</f>
        <v>#VALUE!</v>
      </c>
      <c r="X85" t="e">
        <f ca="1">IF((A1)=(2),"",IF((82)=(X3),IF(IF((INDEX(B1:XFD1,((A2)+(1))+(0)))=("store"),(INDEX(B1:XFD1,((A2)+(1))+(1)))=("X"),"false"),B2,X85),X85))</f>
        <v>#VALUE!</v>
      </c>
      <c r="Y85" t="e">
        <f ca="1">IF((A1)=(2),"",IF((82)=(Y3),IF(IF((INDEX(B1:XFD1,((A2)+(1))+(0)))=("store"),(INDEX(B1:XFD1,((A2)+(1))+(1)))=("Y"),"false"),B2,Y85),Y85))</f>
        <v>#VALUE!</v>
      </c>
      <c r="Z85" t="e">
        <f ca="1">IF((A1)=(2),"",IF((82)=(Z3),IF(IF((INDEX(B1:XFD1,((A2)+(1))+(0)))=("store"),(INDEX(B1:XFD1,((A2)+(1))+(1)))=("Z"),"false"),B2,Z85),Z85))</f>
        <v>#VALUE!</v>
      </c>
      <c r="AA85" t="e">
        <f ca="1">IF((A1)=(2),"",IF((82)=(AA3),IF(IF((INDEX(B1:XFD1,((A2)+(1))+(0)))=("store"),(INDEX(B1:XFD1,((A2)+(1))+(1)))=("AA"),"false"),B2,AA85),AA85))</f>
        <v>#VALUE!</v>
      </c>
      <c r="AB85" t="e">
        <f ca="1">IF((A1)=(2),"",IF((82)=(AB3),IF(IF((INDEX(B1:XFD1,((A2)+(1))+(0)))=("store"),(INDEX(B1:XFD1,((A2)+(1))+(1)))=("AB"),"false"),B2,AB85),AB85))</f>
        <v>#VALUE!</v>
      </c>
      <c r="AC85" t="e">
        <f ca="1">IF((A1)=(2),"",IF((82)=(AC3),IF(IF((INDEX(B1:XFD1,((A2)+(1))+(0)))=("store"),(INDEX(B1:XFD1,((A2)+(1))+(1)))=("AC"),"false"),B2,AC85),AC85))</f>
        <v>#VALUE!</v>
      </c>
      <c r="AD85" t="e">
        <f ca="1">IF((A1)=(2),"",IF((82)=(AD3),IF(IF((INDEX(B1:XFD1,((A2)+(1))+(0)))=("store"),(INDEX(B1:XFD1,((A2)+(1))+(1)))=("AD"),"false"),B2,AD85),AD85))</f>
        <v>#VALUE!</v>
      </c>
    </row>
    <row r="86" spans="1:30" x14ac:dyDescent="0.25">
      <c r="A86" t="e">
        <f ca="1">IF((A1)=(2),"",IF((83)=(A3),IF(("call")=(INDEX(B1:XFD1,((A2)+(1))+(0))),(B2)*(2),IF(("goto")=(INDEX(B1:XFD1,((A2)+(1))+(0))),(INDEX(B1:XFD1,((A2)+(1))+(1)))*(2),IF(("gotoiftrue")=(INDEX(B1:XFD1,((A2)+(1))+(0))),IF(B2,(INDEX(B1:XFD1,((A2)+(1))+(1)))*(2),(A86)+(2)),(A86)+(2)))),A86))</f>
        <v>#VALUE!</v>
      </c>
      <c r="B86" t="e">
        <f ca="1">IF((A1)=(2),"",IF((83)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86)+(1)),IF(("add")=(INDEX(B1:XFD1,((A2)+(1))+(0))),(INDEX(B4:B404,(B3)+(1)))+(B86),IF(("equals")=(INDEX(B1:XFD1,((A2)+(1))+(0))),(INDEX(B4:B404,(B3)+(1)))=(B86),IF(("leq")=(INDEX(B1:XFD1,((A2)+(1))+(0))),(INDEX(B4:B404,(B3)+(1)))&lt;=(B86),IF(("greater")=(INDEX(B1:XFD1,((A2)+(1))+(0))),(INDEX(B4:B404,(B3)+(1)))&gt;(B86),IF(("mod")=(INDEX(B1:XFD1,((A2)+(1))+(0))),MOD(INDEX(B4:B404,(B3)+(1)),B86),B86))))))))),B86))</f>
        <v>#VALUE!</v>
      </c>
      <c r="C86" t="e">
        <f ca="1">IF((A1)=(2),1,IF(AND((INDEX(B1:XFD1,((A2)+(1))+(0)))=("writeheap"),(INDEX(B4:B404,(B3)+(1)))=(82)),INDEX(B4:B404,(B3)+(2)),IF((A1)=(2),"",IF((83)=(C3),C86,C86))))</f>
        <v>#VALUE!</v>
      </c>
      <c r="E86" t="e">
        <f ca="1">IF((A1)=(2),"",IF((83)=(E3),IF(("outputline")=(INDEX(B1:XFD1,((A2)+(1))+(0))),B2,E86),E86))</f>
        <v>#VALUE!</v>
      </c>
      <c r="F86" t="e">
        <f ca="1">IF((A1)=(2),"",IF((83)=(F3),IF(IF((INDEX(B1:XFD1,((A2)+(1))+(0)))=("store"),(INDEX(B1:XFD1,((A2)+(1))+(1)))=("F"),"false"),B2,F86),F86))</f>
        <v>#VALUE!</v>
      </c>
      <c r="G86" t="e">
        <f ca="1">IF((A1)=(2),"",IF((83)=(G3),IF(IF((INDEX(B1:XFD1,((A2)+(1))+(0)))=("store"),(INDEX(B1:XFD1,((A2)+(1))+(1)))=("G"),"false"),B2,G86),G86))</f>
        <v>#VALUE!</v>
      </c>
      <c r="H86" t="e">
        <f ca="1">IF((A1)=(2),"",IF((83)=(H3),IF(IF((INDEX(B1:XFD1,((A2)+(1))+(0)))=("store"),(INDEX(B1:XFD1,((A2)+(1))+(1)))=("H"),"false"),B2,H86),H86))</f>
        <v>#VALUE!</v>
      </c>
      <c r="I86" t="e">
        <f ca="1">IF((A1)=(2),"",IF((83)=(I3),IF(IF((INDEX(B1:XFD1,((A2)+(1))+(0)))=("store"),(INDEX(B1:XFD1,((A2)+(1))+(1)))=("I"),"false"),B2,I86),I86))</f>
        <v>#VALUE!</v>
      </c>
      <c r="J86" t="e">
        <f ca="1">IF((A1)=(2),"",IF((83)=(J3),IF(IF((INDEX(B1:XFD1,((A2)+(1))+(0)))=("store"),(INDEX(B1:XFD1,((A2)+(1))+(1)))=("J"),"false"),B2,J86),J86))</f>
        <v>#VALUE!</v>
      </c>
      <c r="K86" t="e">
        <f ca="1">IF((A1)=(2),"",IF((83)=(K3),IF(IF((INDEX(B1:XFD1,((A2)+(1))+(0)))=("store"),(INDEX(B1:XFD1,((A2)+(1))+(1)))=("K"),"false"),B2,K86),K86))</f>
        <v>#VALUE!</v>
      </c>
      <c r="L86" t="e">
        <f ca="1">IF((A1)=(2),"",IF((83)=(L3),IF(IF((INDEX(B1:XFD1,((A2)+(1))+(0)))=("store"),(INDEX(B1:XFD1,((A2)+(1))+(1)))=("L"),"false"),B2,L86),L86))</f>
        <v>#VALUE!</v>
      </c>
      <c r="M86" t="e">
        <f ca="1">IF((A1)=(2),"",IF((83)=(M3),IF(IF((INDEX(B1:XFD1,((A2)+(1))+(0)))=("store"),(INDEX(B1:XFD1,((A2)+(1))+(1)))=("M"),"false"),B2,M86),M86))</f>
        <v>#VALUE!</v>
      </c>
      <c r="N86" t="e">
        <f ca="1">IF((A1)=(2),"",IF((83)=(N3),IF(IF((INDEX(B1:XFD1,((A2)+(1))+(0)))=("store"),(INDEX(B1:XFD1,((A2)+(1))+(1)))=("N"),"false"),B2,N86),N86))</f>
        <v>#VALUE!</v>
      </c>
      <c r="O86" t="e">
        <f ca="1">IF((A1)=(2),"",IF((83)=(O3),IF(IF((INDEX(B1:XFD1,((A2)+(1))+(0)))=("store"),(INDEX(B1:XFD1,((A2)+(1))+(1)))=("O"),"false"),B2,O86),O86))</f>
        <v>#VALUE!</v>
      </c>
      <c r="P86" t="e">
        <f ca="1">IF((A1)=(2),"",IF((83)=(P3),IF(IF((INDEX(B1:XFD1,((A2)+(1))+(0)))=("store"),(INDEX(B1:XFD1,((A2)+(1))+(1)))=("P"),"false"),B2,P86),P86))</f>
        <v>#VALUE!</v>
      </c>
      <c r="Q86" t="e">
        <f ca="1">IF((A1)=(2),"",IF((83)=(Q3),IF(IF((INDEX(B1:XFD1,((A2)+(1))+(0)))=("store"),(INDEX(B1:XFD1,((A2)+(1))+(1)))=("Q"),"false"),B2,Q86),Q86))</f>
        <v>#VALUE!</v>
      </c>
      <c r="R86" t="e">
        <f ca="1">IF((A1)=(2),"",IF((83)=(R3),IF(IF((INDEX(B1:XFD1,((A2)+(1))+(0)))=("store"),(INDEX(B1:XFD1,((A2)+(1))+(1)))=("R"),"false"),B2,R86),R86))</f>
        <v>#VALUE!</v>
      </c>
      <c r="S86" t="e">
        <f ca="1">IF((A1)=(2),"",IF((83)=(S3),IF(IF((INDEX(B1:XFD1,((A2)+(1))+(0)))=("store"),(INDEX(B1:XFD1,((A2)+(1))+(1)))=("S"),"false"),B2,S86),S86))</f>
        <v>#VALUE!</v>
      </c>
      <c r="T86" t="e">
        <f ca="1">IF((A1)=(2),"",IF((83)=(T3),IF(IF((INDEX(B1:XFD1,((A2)+(1))+(0)))=("store"),(INDEX(B1:XFD1,((A2)+(1))+(1)))=("T"),"false"),B2,T86),T86))</f>
        <v>#VALUE!</v>
      </c>
      <c r="U86" t="e">
        <f ca="1">IF((A1)=(2),"",IF((83)=(U3),IF(IF((INDEX(B1:XFD1,((A2)+(1))+(0)))=("store"),(INDEX(B1:XFD1,((A2)+(1))+(1)))=("U"),"false"),B2,U86),U86))</f>
        <v>#VALUE!</v>
      </c>
      <c r="V86" t="e">
        <f ca="1">IF((A1)=(2),"",IF((83)=(V3),IF(IF((INDEX(B1:XFD1,((A2)+(1))+(0)))=("store"),(INDEX(B1:XFD1,((A2)+(1))+(1)))=("V"),"false"),B2,V86),V86))</f>
        <v>#VALUE!</v>
      </c>
      <c r="W86" t="e">
        <f ca="1">IF((A1)=(2),"",IF((83)=(W3),IF(IF((INDEX(B1:XFD1,((A2)+(1))+(0)))=("store"),(INDEX(B1:XFD1,((A2)+(1))+(1)))=("W"),"false"),B2,W86),W86))</f>
        <v>#VALUE!</v>
      </c>
      <c r="X86" t="e">
        <f ca="1">IF((A1)=(2),"",IF((83)=(X3),IF(IF((INDEX(B1:XFD1,((A2)+(1))+(0)))=("store"),(INDEX(B1:XFD1,((A2)+(1))+(1)))=("X"),"false"),B2,X86),X86))</f>
        <v>#VALUE!</v>
      </c>
      <c r="Y86" t="e">
        <f ca="1">IF((A1)=(2),"",IF((83)=(Y3),IF(IF((INDEX(B1:XFD1,((A2)+(1))+(0)))=("store"),(INDEX(B1:XFD1,((A2)+(1))+(1)))=("Y"),"false"),B2,Y86),Y86))</f>
        <v>#VALUE!</v>
      </c>
      <c r="Z86" t="e">
        <f ca="1">IF((A1)=(2),"",IF((83)=(Z3),IF(IF((INDEX(B1:XFD1,((A2)+(1))+(0)))=("store"),(INDEX(B1:XFD1,((A2)+(1))+(1)))=("Z"),"false"),B2,Z86),Z86))</f>
        <v>#VALUE!</v>
      </c>
      <c r="AA86" t="e">
        <f ca="1">IF((A1)=(2),"",IF((83)=(AA3),IF(IF((INDEX(B1:XFD1,((A2)+(1))+(0)))=("store"),(INDEX(B1:XFD1,((A2)+(1))+(1)))=("AA"),"false"),B2,AA86),AA86))</f>
        <v>#VALUE!</v>
      </c>
      <c r="AB86" t="e">
        <f ca="1">IF((A1)=(2),"",IF((83)=(AB3),IF(IF((INDEX(B1:XFD1,((A2)+(1))+(0)))=("store"),(INDEX(B1:XFD1,((A2)+(1))+(1)))=("AB"),"false"),B2,AB86),AB86))</f>
        <v>#VALUE!</v>
      </c>
      <c r="AC86" t="e">
        <f ca="1">IF((A1)=(2),"",IF((83)=(AC3),IF(IF((INDEX(B1:XFD1,((A2)+(1))+(0)))=("store"),(INDEX(B1:XFD1,((A2)+(1))+(1)))=("AC"),"false"),B2,AC86),AC86))</f>
        <v>#VALUE!</v>
      </c>
      <c r="AD86" t="e">
        <f ca="1">IF((A1)=(2),"",IF((83)=(AD3),IF(IF((INDEX(B1:XFD1,((A2)+(1))+(0)))=("store"),(INDEX(B1:XFD1,((A2)+(1))+(1)))=("AD"),"false"),B2,AD86),AD86))</f>
        <v>#VALUE!</v>
      </c>
    </row>
    <row r="87" spans="1:30" x14ac:dyDescent="0.25">
      <c r="A87" t="e">
        <f ca="1">IF((A1)=(2),"",IF((84)=(A3),IF(("call")=(INDEX(B1:XFD1,((A2)+(1))+(0))),(B2)*(2),IF(("goto")=(INDEX(B1:XFD1,((A2)+(1))+(0))),(INDEX(B1:XFD1,((A2)+(1))+(1)))*(2),IF(("gotoiftrue")=(INDEX(B1:XFD1,((A2)+(1))+(0))),IF(B2,(INDEX(B1:XFD1,((A2)+(1))+(1)))*(2),(A87)+(2)),(A87)+(2)))),A87))</f>
        <v>#VALUE!</v>
      </c>
      <c r="B87" t="e">
        <f ca="1">IF((A1)=(2),"",IF((84)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87)+(1)),IF(("add")=(INDEX(B1:XFD1,((A2)+(1))+(0))),(INDEX(B4:B404,(B3)+(1)))+(B87),IF(("equals")=(INDEX(B1:XFD1,((A2)+(1))+(0))),(INDEX(B4:B404,(B3)+(1)))=(B87),IF(("leq")=(INDEX(B1:XFD1,((A2)+(1))+(0))),(INDEX(B4:B404,(B3)+(1)))&lt;=(B87),IF(("greater")=(INDEX(B1:XFD1,((A2)+(1))+(0))),(INDEX(B4:B404,(B3)+(1)))&gt;(B87),IF(("mod")=(INDEX(B1:XFD1,((A2)+(1))+(0))),MOD(INDEX(B4:B404,(B3)+(1)),B87),B87))))))))),B87))</f>
        <v>#VALUE!</v>
      </c>
      <c r="C87" t="e">
        <f ca="1">IF((A1)=(2),1,IF(AND((INDEX(B1:XFD1,((A2)+(1))+(0)))=("writeheap"),(INDEX(B4:B404,(B3)+(1)))=(83)),INDEX(B4:B404,(B3)+(2)),IF((A1)=(2),"",IF((84)=(C3),C87,C87))))</f>
        <v>#VALUE!</v>
      </c>
      <c r="E87" t="e">
        <f ca="1">IF((A1)=(2),"",IF((84)=(E3),IF(("outputline")=(INDEX(B1:XFD1,((A2)+(1))+(0))),B2,E87),E87))</f>
        <v>#VALUE!</v>
      </c>
      <c r="F87" t="e">
        <f ca="1">IF((A1)=(2),"",IF((84)=(F3),IF(IF((INDEX(B1:XFD1,((A2)+(1))+(0)))=("store"),(INDEX(B1:XFD1,((A2)+(1))+(1)))=("F"),"false"),B2,F87),F87))</f>
        <v>#VALUE!</v>
      </c>
      <c r="G87" t="e">
        <f ca="1">IF((A1)=(2),"",IF((84)=(G3),IF(IF((INDEX(B1:XFD1,((A2)+(1))+(0)))=("store"),(INDEX(B1:XFD1,((A2)+(1))+(1)))=("G"),"false"),B2,G87),G87))</f>
        <v>#VALUE!</v>
      </c>
      <c r="H87" t="e">
        <f ca="1">IF((A1)=(2),"",IF((84)=(H3),IF(IF((INDEX(B1:XFD1,((A2)+(1))+(0)))=("store"),(INDEX(B1:XFD1,((A2)+(1))+(1)))=("H"),"false"),B2,H87),H87))</f>
        <v>#VALUE!</v>
      </c>
      <c r="I87" t="e">
        <f ca="1">IF((A1)=(2),"",IF((84)=(I3),IF(IF((INDEX(B1:XFD1,((A2)+(1))+(0)))=("store"),(INDEX(B1:XFD1,((A2)+(1))+(1)))=("I"),"false"),B2,I87),I87))</f>
        <v>#VALUE!</v>
      </c>
      <c r="J87" t="e">
        <f ca="1">IF((A1)=(2),"",IF((84)=(J3),IF(IF((INDEX(B1:XFD1,((A2)+(1))+(0)))=("store"),(INDEX(B1:XFD1,((A2)+(1))+(1)))=("J"),"false"),B2,J87),J87))</f>
        <v>#VALUE!</v>
      </c>
      <c r="K87" t="e">
        <f ca="1">IF((A1)=(2),"",IF((84)=(K3),IF(IF((INDEX(B1:XFD1,((A2)+(1))+(0)))=("store"),(INDEX(B1:XFD1,((A2)+(1))+(1)))=("K"),"false"),B2,K87),K87))</f>
        <v>#VALUE!</v>
      </c>
      <c r="L87" t="e">
        <f ca="1">IF((A1)=(2),"",IF((84)=(L3),IF(IF((INDEX(B1:XFD1,((A2)+(1))+(0)))=("store"),(INDEX(B1:XFD1,((A2)+(1))+(1)))=("L"),"false"),B2,L87),L87))</f>
        <v>#VALUE!</v>
      </c>
      <c r="M87" t="e">
        <f ca="1">IF((A1)=(2),"",IF((84)=(M3),IF(IF((INDEX(B1:XFD1,((A2)+(1))+(0)))=("store"),(INDEX(B1:XFD1,((A2)+(1))+(1)))=("M"),"false"),B2,M87),M87))</f>
        <v>#VALUE!</v>
      </c>
      <c r="N87" t="e">
        <f ca="1">IF((A1)=(2),"",IF((84)=(N3),IF(IF((INDEX(B1:XFD1,((A2)+(1))+(0)))=("store"),(INDEX(B1:XFD1,((A2)+(1))+(1)))=("N"),"false"),B2,N87),N87))</f>
        <v>#VALUE!</v>
      </c>
      <c r="O87" t="e">
        <f ca="1">IF((A1)=(2),"",IF((84)=(O3),IF(IF((INDEX(B1:XFD1,((A2)+(1))+(0)))=("store"),(INDEX(B1:XFD1,((A2)+(1))+(1)))=("O"),"false"),B2,O87),O87))</f>
        <v>#VALUE!</v>
      </c>
      <c r="P87" t="e">
        <f ca="1">IF((A1)=(2),"",IF((84)=(P3),IF(IF((INDEX(B1:XFD1,((A2)+(1))+(0)))=("store"),(INDEX(B1:XFD1,((A2)+(1))+(1)))=("P"),"false"),B2,P87),P87))</f>
        <v>#VALUE!</v>
      </c>
      <c r="Q87" t="e">
        <f ca="1">IF((A1)=(2),"",IF((84)=(Q3),IF(IF((INDEX(B1:XFD1,((A2)+(1))+(0)))=("store"),(INDEX(B1:XFD1,((A2)+(1))+(1)))=("Q"),"false"),B2,Q87),Q87))</f>
        <v>#VALUE!</v>
      </c>
      <c r="R87" t="e">
        <f ca="1">IF((A1)=(2),"",IF((84)=(R3),IF(IF((INDEX(B1:XFD1,((A2)+(1))+(0)))=("store"),(INDEX(B1:XFD1,((A2)+(1))+(1)))=("R"),"false"),B2,R87),R87))</f>
        <v>#VALUE!</v>
      </c>
      <c r="S87" t="e">
        <f ca="1">IF((A1)=(2),"",IF((84)=(S3),IF(IF((INDEX(B1:XFD1,((A2)+(1))+(0)))=("store"),(INDEX(B1:XFD1,((A2)+(1))+(1)))=("S"),"false"),B2,S87),S87))</f>
        <v>#VALUE!</v>
      </c>
      <c r="T87" t="e">
        <f ca="1">IF((A1)=(2),"",IF((84)=(T3),IF(IF((INDEX(B1:XFD1,((A2)+(1))+(0)))=("store"),(INDEX(B1:XFD1,((A2)+(1))+(1)))=("T"),"false"),B2,T87),T87))</f>
        <v>#VALUE!</v>
      </c>
      <c r="U87" t="e">
        <f ca="1">IF((A1)=(2),"",IF((84)=(U3),IF(IF((INDEX(B1:XFD1,((A2)+(1))+(0)))=("store"),(INDEX(B1:XFD1,((A2)+(1))+(1)))=("U"),"false"),B2,U87),U87))</f>
        <v>#VALUE!</v>
      </c>
      <c r="V87" t="e">
        <f ca="1">IF((A1)=(2),"",IF((84)=(V3),IF(IF((INDEX(B1:XFD1,((A2)+(1))+(0)))=("store"),(INDEX(B1:XFD1,((A2)+(1))+(1)))=("V"),"false"),B2,V87),V87))</f>
        <v>#VALUE!</v>
      </c>
      <c r="W87" t="e">
        <f ca="1">IF((A1)=(2),"",IF((84)=(W3),IF(IF((INDEX(B1:XFD1,((A2)+(1))+(0)))=("store"),(INDEX(B1:XFD1,((A2)+(1))+(1)))=("W"),"false"),B2,W87),W87))</f>
        <v>#VALUE!</v>
      </c>
      <c r="X87" t="e">
        <f ca="1">IF((A1)=(2),"",IF((84)=(X3),IF(IF((INDEX(B1:XFD1,((A2)+(1))+(0)))=("store"),(INDEX(B1:XFD1,((A2)+(1))+(1)))=("X"),"false"),B2,X87),X87))</f>
        <v>#VALUE!</v>
      </c>
      <c r="Y87" t="e">
        <f ca="1">IF((A1)=(2),"",IF((84)=(Y3),IF(IF((INDEX(B1:XFD1,((A2)+(1))+(0)))=("store"),(INDEX(B1:XFD1,((A2)+(1))+(1)))=("Y"),"false"),B2,Y87),Y87))</f>
        <v>#VALUE!</v>
      </c>
      <c r="Z87" t="e">
        <f ca="1">IF((A1)=(2),"",IF((84)=(Z3),IF(IF((INDEX(B1:XFD1,((A2)+(1))+(0)))=("store"),(INDEX(B1:XFD1,((A2)+(1))+(1)))=("Z"),"false"),B2,Z87),Z87))</f>
        <v>#VALUE!</v>
      </c>
      <c r="AA87" t="e">
        <f ca="1">IF((A1)=(2),"",IF((84)=(AA3),IF(IF((INDEX(B1:XFD1,((A2)+(1))+(0)))=("store"),(INDEX(B1:XFD1,((A2)+(1))+(1)))=("AA"),"false"),B2,AA87),AA87))</f>
        <v>#VALUE!</v>
      </c>
      <c r="AB87" t="e">
        <f ca="1">IF((A1)=(2),"",IF((84)=(AB3),IF(IF((INDEX(B1:XFD1,((A2)+(1))+(0)))=("store"),(INDEX(B1:XFD1,((A2)+(1))+(1)))=("AB"),"false"),B2,AB87),AB87))</f>
        <v>#VALUE!</v>
      </c>
      <c r="AC87" t="e">
        <f ca="1">IF((A1)=(2),"",IF((84)=(AC3),IF(IF((INDEX(B1:XFD1,((A2)+(1))+(0)))=("store"),(INDEX(B1:XFD1,((A2)+(1))+(1)))=("AC"),"false"),B2,AC87),AC87))</f>
        <v>#VALUE!</v>
      </c>
      <c r="AD87" t="e">
        <f ca="1">IF((A1)=(2),"",IF((84)=(AD3),IF(IF((INDEX(B1:XFD1,((A2)+(1))+(0)))=("store"),(INDEX(B1:XFD1,((A2)+(1))+(1)))=("AD"),"false"),B2,AD87),AD87))</f>
        <v>#VALUE!</v>
      </c>
    </row>
    <row r="88" spans="1:30" x14ac:dyDescent="0.25">
      <c r="A88" t="e">
        <f ca="1">IF((A1)=(2),"",IF((85)=(A3),IF(("call")=(INDEX(B1:XFD1,((A2)+(1))+(0))),(B2)*(2),IF(("goto")=(INDEX(B1:XFD1,((A2)+(1))+(0))),(INDEX(B1:XFD1,((A2)+(1))+(1)))*(2),IF(("gotoiftrue")=(INDEX(B1:XFD1,((A2)+(1))+(0))),IF(B2,(INDEX(B1:XFD1,((A2)+(1))+(1)))*(2),(A88)+(2)),(A88)+(2)))),A88))</f>
        <v>#VALUE!</v>
      </c>
      <c r="B88" t="e">
        <f ca="1">IF((A1)=(2),"",IF((85)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88)+(1)),IF(("add")=(INDEX(B1:XFD1,((A2)+(1))+(0))),(INDEX(B4:B404,(B3)+(1)))+(B88),IF(("equals")=(INDEX(B1:XFD1,((A2)+(1))+(0))),(INDEX(B4:B404,(B3)+(1)))=(B88),IF(("leq")=(INDEX(B1:XFD1,((A2)+(1))+(0))),(INDEX(B4:B404,(B3)+(1)))&lt;=(B88),IF(("greater")=(INDEX(B1:XFD1,((A2)+(1))+(0))),(INDEX(B4:B404,(B3)+(1)))&gt;(B88),IF(("mod")=(INDEX(B1:XFD1,((A2)+(1))+(0))),MOD(INDEX(B4:B404,(B3)+(1)),B88),B88))))))))),B88))</f>
        <v>#VALUE!</v>
      </c>
      <c r="C88" t="e">
        <f ca="1">IF((A1)=(2),1,IF(AND((INDEX(B1:XFD1,((A2)+(1))+(0)))=("writeheap"),(INDEX(B4:B404,(B3)+(1)))=(84)),INDEX(B4:B404,(B3)+(2)),IF((A1)=(2),"",IF((85)=(C3),C88,C88))))</f>
        <v>#VALUE!</v>
      </c>
      <c r="E88" t="e">
        <f ca="1">IF((A1)=(2),"",IF((85)=(E3),IF(("outputline")=(INDEX(B1:XFD1,((A2)+(1))+(0))),B2,E88),E88))</f>
        <v>#VALUE!</v>
      </c>
      <c r="F88" t="e">
        <f ca="1">IF((A1)=(2),"",IF((85)=(F3),IF(IF((INDEX(B1:XFD1,((A2)+(1))+(0)))=("store"),(INDEX(B1:XFD1,((A2)+(1))+(1)))=("F"),"false"),B2,F88),F88))</f>
        <v>#VALUE!</v>
      </c>
      <c r="G88" t="e">
        <f ca="1">IF((A1)=(2),"",IF((85)=(G3),IF(IF((INDEX(B1:XFD1,((A2)+(1))+(0)))=("store"),(INDEX(B1:XFD1,((A2)+(1))+(1)))=("G"),"false"),B2,G88),G88))</f>
        <v>#VALUE!</v>
      </c>
      <c r="H88" t="e">
        <f ca="1">IF((A1)=(2),"",IF((85)=(H3),IF(IF((INDEX(B1:XFD1,((A2)+(1))+(0)))=("store"),(INDEX(B1:XFD1,((A2)+(1))+(1)))=("H"),"false"),B2,H88),H88))</f>
        <v>#VALUE!</v>
      </c>
      <c r="I88" t="e">
        <f ca="1">IF((A1)=(2),"",IF((85)=(I3),IF(IF((INDEX(B1:XFD1,((A2)+(1))+(0)))=("store"),(INDEX(B1:XFD1,((A2)+(1))+(1)))=("I"),"false"),B2,I88),I88))</f>
        <v>#VALUE!</v>
      </c>
      <c r="J88" t="e">
        <f ca="1">IF((A1)=(2),"",IF((85)=(J3),IF(IF((INDEX(B1:XFD1,((A2)+(1))+(0)))=("store"),(INDEX(B1:XFD1,((A2)+(1))+(1)))=("J"),"false"),B2,J88),J88))</f>
        <v>#VALUE!</v>
      </c>
      <c r="K88" t="e">
        <f ca="1">IF((A1)=(2),"",IF((85)=(K3),IF(IF((INDEX(B1:XFD1,((A2)+(1))+(0)))=("store"),(INDEX(B1:XFD1,((A2)+(1))+(1)))=("K"),"false"),B2,K88),K88))</f>
        <v>#VALUE!</v>
      </c>
      <c r="L88" t="e">
        <f ca="1">IF((A1)=(2),"",IF((85)=(L3),IF(IF((INDEX(B1:XFD1,((A2)+(1))+(0)))=("store"),(INDEX(B1:XFD1,((A2)+(1))+(1)))=("L"),"false"),B2,L88),L88))</f>
        <v>#VALUE!</v>
      </c>
      <c r="M88" t="e">
        <f ca="1">IF((A1)=(2),"",IF((85)=(M3),IF(IF((INDEX(B1:XFD1,((A2)+(1))+(0)))=("store"),(INDEX(B1:XFD1,((A2)+(1))+(1)))=("M"),"false"),B2,M88),M88))</f>
        <v>#VALUE!</v>
      </c>
      <c r="N88" t="e">
        <f ca="1">IF((A1)=(2),"",IF((85)=(N3),IF(IF((INDEX(B1:XFD1,((A2)+(1))+(0)))=("store"),(INDEX(B1:XFD1,((A2)+(1))+(1)))=("N"),"false"),B2,N88),N88))</f>
        <v>#VALUE!</v>
      </c>
      <c r="O88" t="e">
        <f ca="1">IF((A1)=(2),"",IF((85)=(O3),IF(IF((INDEX(B1:XFD1,((A2)+(1))+(0)))=("store"),(INDEX(B1:XFD1,((A2)+(1))+(1)))=("O"),"false"),B2,O88),O88))</f>
        <v>#VALUE!</v>
      </c>
      <c r="P88" t="e">
        <f ca="1">IF((A1)=(2),"",IF((85)=(P3),IF(IF((INDEX(B1:XFD1,((A2)+(1))+(0)))=("store"),(INDEX(B1:XFD1,((A2)+(1))+(1)))=("P"),"false"),B2,P88),P88))</f>
        <v>#VALUE!</v>
      </c>
      <c r="Q88" t="e">
        <f ca="1">IF((A1)=(2),"",IF((85)=(Q3),IF(IF((INDEX(B1:XFD1,((A2)+(1))+(0)))=("store"),(INDEX(B1:XFD1,((A2)+(1))+(1)))=("Q"),"false"),B2,Q88),Q88))</f>
        <v>#VALUE!</v>
      </c>
      <c r="R88" t="e">
        <f ca="1">IF((A1)=(2),"",IF((85)=(R3),IF(IF((INDEX(B1:XFD1,((A2)+(1))+(0)))=("store"),(INDEX(B1:XFD1,((A2)+(1))+(1)))=("R"),"false"),B2,R88),R88))</f>
        <v>#VALUE!</v>
      </c>
      <c r="S88" t="e">
        <f ca="1">IF((A1)=(2),"",IF((85)=(S3),IF(IF((INDEX(B1:XFD1,((A2)+(1))+(0)))=("store"),(INDEX(B1:XFD1,((A2)+(1))+(1)))=("S"),"false"),B2,S88),S88))</f>
        <v>#VALUE!</v>
      </c>
      <c r="T88" t="e">
        <f ca="1">IF((A1)=(2),"",IF((85)=(T3),IF(IF((INDEX(B1:XFD1,((A2)+(1))+(0)))=("store"),(INDEX(B1:XFD1,((A2)+(1))+(1)))=("T"),"false"),B2,T88),T88))</f>
        <v>#VALUE!</v>
      </c>
      <c r="U88" t="e">
        <f ca="1">IF((A1)=(2),"",IF((85)=(U3),IF(IF((INDEX(B1:XFD1,((A2)+(1))+(0)))=("store"),(INDEX(B1:XFD1,((A2)+(1))+(1)))=("U"),"false"),B2,U88),U88))</f>
        <v>#VALUE!</v>
      </c>
      <c r="V88" t="e">
        <f ca="1">IF((A1)=(2),"",IF((85)=(V3),IF(IF((INDEX(B1:XFD1,((A2)+(1))+(0)))=("store"),(INDEX(B1:XFD1,((A2)+(1))+(1)))=("V"),"false"),B2,V88),V88))</f>
        <v>#VALUE!</v>
      </c>
      <c r="W88" t="e">
        <f ca="1">IF((A1)=(2),"",IF((85)=(W3),IF(IF((INDEX(B1:XFD1,((A2)+(1))+(0)))=("store"),(INDEX(B1:XFD1,((A2)+(1))+(1)))=("W"),"false"),B2,W88),W88))</f>
        <v>#VALUE!</v>
      </c>
      <c r="X88" t="e">
        <f ca="1">IF((A1)=(2),"",IF((85)=(X3),IF(IF((INDEX(B1:XFD1,((A2)+(1))+(0)))=("store"),(INDEX(B1:XFD1,((A2)+(1))+(1)))=("X"),"false"),B2,X88),X88))</f>
        <v>#VALUE!</v>
      </c>
      <c r="Y88" t="e">
        <f ca="1">IF((A1)=(2),"",IF((85)=(Y3),IF(IF((INDEX(B1:XFD1,((A2)+(1))+(0)))=("store"),(INDEX(B1:XFD1,((A2)+(1))+(1)))=("Y"),"false"),B2,Y88),Y88))</f>
        <v>#VALUE!</v>
      </c>
      <c r="Z88" t="e">
        <f ca="1">IF((A1)=(2),"",IF((85)=(Z3),IF(IF((INDEX(B1:XFD1,((A2)+(1))+(0)))=("store"),(INDEX(B1:XFD1,((A2)+(1))+(1)))=("Z"),"false"),B2,Z88),Z88))</f>
        <v>#VALUE!</v>
      </c>
      <c r="AA88" t="e">
        <f ca="1">IF((A1)=(2),"",IF((85)=(AA3),IF(IF((INDEX(B1:XFD1,((A2)+(1))+(0)))=("store"),(INDEX(B1:XFD1,((A2)+(1))+(1)))=("AA"),"false"),B2,AA88),AA88))</f>
        <v>#VALUE!</v>
      </c>
      <c r="AB88" t="e">
        <f ca="1">IF((A1)=(2),"",IF((85)=(AB3),IF(IF((INDEX(B1:XFD1,((A2)+(1))+(0)))=("store"),(INDEX(B1:XFD1,((A2)+(1))+(1)))=("AB"),"false"),B2,AB88),AB88))</f>
        <v>#VALUE!</v>
      </c>
      <c r="AC88" t="e">
        <f ca="1">IF((A1)=(2),"",IF((85)=(AC3),IF(IF((INDEX(B1:XFD1,((A2)+(1))+(0)))=("store"),(INDEX(B1:XFD1,((A2)+(1))+(1)))=("AC"),"false"),B2,AC88),AC88))</f>
        <v>#VALUE!</v>
      </c>
      <c r="AD88" t="e">
        <f ca="1">IF((A1)=(2),"",IF((85)=(AD3),IF(IF((INDEX(B1:XFD1,((A2)+(1))+(0)))=("store"),(INDEX(B1:XFD1,((A2)+(1))+(1)))=("AD"),"false"),B2,AD88),AD88))</f>
        <v>#VALUE!</v>
      </c>
    </row>
    <row r="89" spans="1:30" x14ac:dyDescent="0.25">
      <c r="A89" t="e">
        <f ca="1">IF((A1)=(2),"",IF((86)=(A3),IF(("call")=(INDEX(B1:XFD1,((A2)+(1))+(0))),(B2)*(2),IF(("goto")=(INDEX(B1:XFD1,((A2)+(1))+(0))),(INDEX(B1:XFD1,((A2)+(1))+(1)))*(2),IF(("gotoiftrue")=(INDEX(B1:XFD1,((A2)+(1))+(0))),IF(B2,(INDEX(B1:XFD1,((A2)+(1))+(1)))*(2),(A89)+(2)),(A89)+(2)))),A89))</f>
        <v>#VALUE!</v>
      </c>
      <c r="B89" t="e">
        <f ca="1">IF((A1)=(2),"",IF((86)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89)+(1)),IF(("add")=(INDEX(B1:XFD1,((A2)+(1))+(0))),(INDEX(B4:B404,(B3)+(1)))+(B89),IF(("equals")=(INDEX(B1:XFD1,((A2)+(1))+(0))),(INDEX(B4:B404,(B3)+(1)))=(B89),IF(("leq")=(INDEX(B1:XFD1,((A2)+(1))+(0))),(INDEX(B4:B404,(B3)+(1)))&lt;=(B89),IF(("greater")=(INDEX(B1:XFD1,((A2)+(1))+(0))),(INDEX(B4:B404,(B3)+(1)))&gt;(B89),IF(("mod")=(INDEX(B1:XFD1,((A2)+(1))+(0))),MOD(INDEX(B4:B404,(B3)+(1)),B89),B89))))))))),B89))</f>
        <v>#VALUE!</v>
      </c>
      <c r="C89" t="e">
        <f ca="1">IF((A1)=(2),1,IF(AND((INDEX(B1:XFD1,((A2)+(1))+(0)))=("writeheap"),(INDEX(B4:B404,(B3)+(1)))=(85)),INDEX(B4:B404,(B3)+(2)),IF((A1)=(2),"",IF((86)=(C3),C89,C89))))</f>
        <v>#VALUE!</v>
      </c>
      <c r="E89" t="e">
        <f ca="1">IF((A1)=(2),"",IF((86)=(E3),IF(("outputline")=(INDEX(B1:XFD1,((A2)+(1))+(0))),B2,E89),E89))</f>
        <v>#VALUE!</v>
      </c>
      <c r="F89" t="e">
        <f ca="1">IF((A1)=(2),"",IF((86)=(F3),IF(IF((INDEX(B1:XFD1,((A2)+(1))+(0)))=("store"),(INDEX(B1:XFD1,((A2)+(1))+(1)))=("F"),"false"),B2,F89),F89))</f>
        <v>#VALUE!</v>
      </c>
      <c r="G89" t="e">
        <f ca="1">IF((A1)=(2),"",IF((86)=(G3),IF(IF((INDEX(B1:XFD1,((A2)+(1))+(0)))=("store"),(INDEX(B1:XFD1,((A2)+(1))+(1)))=("G"),"false"),B2,G89),G89))</f>
        <v>#VALUE!</v>
      </c>
      <c r="H89" t="e">
        <f ca="1">IF((A1)=(2),"",IF((86)=(H3),IF(IF((INDEX(B1:XFD1,((A2)+(1))+(0)))=("store"),(INDEX(B1:XFD1,((A2)+(1))+(1)))=("H"),"false"),B2,H89),H89))</f>
        <v>#VALUE!</v>
      </c>
      <c r="I89" t="e">
        <f ca="1">IF((A1)=(2),"",IF((86)=(I3),IF(IF((INDEX(B1:XFD1,((A2)+(1))+(0)))=("store"),(INDEX(B1:XFD1,((A2)+(1))+(1)))=("I"),"false"),B2,I89),I89))</f>
        <v>#VALUE!</v>
      </c>
      <c r="J89" t="e">
        <f ca="1">IF((A1)=(2),"",IF((86)=(J3),IF(IF((INDEX(B1:XFD1,((A2)+(1))+(0)))=("store"),(INDEX(B1:XFD1,((A2)+(1))+(1)))=("J"),"false"),B2,J89),J89))</f>
        <v>#VALUE!</v>
      </c>
      <c r="K89" t="e">
        <f ca="1">IF((A1)=(2),"",IF((86)=(K3),IF(IF((INDEX(B1:XFD1,((A2)+(1))+(0)))=("store"),(INDEX(B1:XFD1,((A2)+(1))+(1)))=("K"),"false"),B2,K89),K89))</f>
        <v>#VALUE!</v>
      </c>
      <c r="L89" t="e">
        <f ca="1">IF((A1)=(2),"",IF((86)=(L3),IF(IF((INDEX(B1:XFD1,((A2)+(1))+(0)))=("store"),(INDEX(B1:XFD1,((A2)+(1))+(1)))=("L"),"false"),B2,L89),L89))</f>
        <v>#VALUE!</v>
      </c>
      <c r="M89" t="e">
        <f ca="1">IF((A1)=(2),"",IF((86)=(M3),IF(IF((INDEX(B1:XFD1,((A2)+(1))+(0)))=("store"),(INDEX(B1:XFD1,((A2)+(1))+(1)))=("M"),"false"),B2,M89),M89))</f>
        <v>#VALUE!</v>
      </c>
      <c r="N89" t="e">
        <f ca="1">IF((A1)=(2),"",IF((86)=(N3),IF(IF((INDEX(B1:XFD1,((A2)+(1))+(0)))=("store"),(INDEX(B1:XFD1,((A2)+(1))+(1)))=("N"),"false"),B2,N89),N89))</f>
        <v>#VALUE!</v>
      </c>
      <c r="O89" t="e">
        <f ca="1">IF((A1)=(2),"",IF((86)=(O3),IF(IF((INDEX(B1:XFD1,((A2)+(1))+(0)))=("store"),(INDEX(B1:XFD1,((A2)+(1))+(1)))=("O"),"false"),B2,O89),O89))</f>
        <v>#VALUE!</v>
      </c>
      <c r="P89" t="e">
        <f ca="1">IF((A1)=(2),"",IF((86)=(P3),IF(IF((INDEX(B1:XFD1,((A2)+(1))+(0)))=("store"),(INDEX(B1:XFD1,((A2)+(1))+(1)))=("P"),"false"),B2,P89),P89))</f>
        <v>#VALUE!</v>
      </c>
      <c r="Q89" t="e">
        <f ca="1">IF((A1)=(2),"",IF((86)=(Q3),IF(IF((INDEX(B1:XFD1,((A2)+(1))+(0)))=("store"),(INDEX(B1:XFD1,((A2)+(1))+(1)))=("Q"),"false"),B2,Q89),Q89))</f>
        <v>#VALUE!</v>
      </c>
      <c r="R89" t="e">
        <f ca="1">IF((A1)=(2),"",IF((86)=(R3),IF(IF((INDEX(B1:XFD1,((A2)+(1))+(0)))=("store"),(INDEX(B1:XFD1,((A2)+(1))+(1)))=("R"),"false"),B2,R89),R89))</f>
        <v>#VALUE!</v>
      </c>
      <c r="S89" t="e">
        <f ca="1">IF((A1)=(2),"",IF((86)=(S3),IF(IF((INDEX(B1:XFD1,((A2)+(1))+(0)))=("store"),(INDEX(B1:XFD1,((A2)+(1))+(1)))=("S"),"false"),B2,S89),S89))</f>
        <v>#VALUE!</v>
      </c>
      <c r="T89" t="e">
        <f ca="1">IF((A1)=(2),"",IF((86)=(T3),IF(IF((INDEX(B1:XFD1,((A2)+(1))+(0)))=("store"),(INDEX(B1:XFD1,((A2)+(1))+(1)))=("T"),"false"),B2,T89),T89))</f>
        <v>#VALUE!</v>
      </c>
      <c r="U89" t="e">
        <f ca="1">IF((A1)=(2),"",IF((86)=(U3),IF(IF((INDEX(B1:XFD1,((A2)+(1))+(0)))=("store"),(INDEX(B1:XFD1,((A2)+(1))+(1)))=("U"),"false"),B2,U89),U89))</f>
        <v>#VALUE!</v>
      </c>
      <c r="V89" t="e">
        <f ca="1">IF((A1)=(2),"",IF((86)=(V3),IF(IF((INDEX(B1:XFD1,((A2)+(1))+(0)))=("store"),(INDEX(B1:XFD1,((A2)+(1))+(1)))=("V"),"false"),B2,V89),V89))</f>
        <v>#VALUE!</v>
      </c>
      <c r="W89" t="e">
        <f ca="1">IF((A1)=(2),"",IF((86)=(W3),IF(IF((INDEX(B1:XFD1,((A2)+(1))+(0)))=("store"),(INDEX(B1:XFD1,((A2)+(1))+(1)))=("W"),"false"),B2,W89),W89))</f>
        <v>#VALUE!</v>
      </c>
      <c r="X89" t="e">
        <f ca="1">IF((A1)=(2),"",IF((86)=(X3),IF(IF((INDEX(B1:XFD1,((A2)+(1))+(0)))=("store"),(INDEX(B1:XFD1,((A2)+(1))+(1)))=("X"),"false"),B2,X89),X89))</f>
        <v>#VALUE!</v>
      </c>
      <c r="Y89" t="e">
        <f ca="1">IF((A1)=(2),"",IF((86)=(Y3),IF(IF((INDEX(B1:XFD1,((A2)+(1))+(0)))=("store"),(INDEX(B1:XFD1,((A2)+(1))+(1)))=("Y"),"false"),B2,Y89),Y89))</f>
        <v>#VALUE!</v>
      </c>
      <c r="Z89" t="e">
        <f ca="1">IF((A1)=(2),"",IF((86)=(Z3),IF(IF((INDEX(B1:XFD1,((A2)+(1))+(0)))=("store"),(INDEX(B1:XFD1,((A2)+(1))+(1)))=("Z"),"false"),B2,Z89),Z89))</f>
        <v>#VALUE!</v>
      </c>
      <c r="AA89" t="e">
        <f ca="1">IF((A1)=(2),"",IF((86)=(AA3),IF(IF((INDEX(B1:XFD1,((A2)+(1))+(0)))=("store"),(INDEX(B1:XFD1,((A2)+(1))+(1)))=("AA"),"false"),B2,AA89),AA89))</f>
        <v>#VALUE!</v>
      </c>
      <c r="AB89" t="e">
        <f ca="1">IF((A1)=(2),"",IF((86)=(AB3),IF(IF((INDEX(B1:XFD1,((A2)+(1))+(0)))=("store"),(INDEX(B1:XFD1,((A2)+(1))+(1)))=("AB"),"false"),B2,AB89),AB89))</f>
        <v>#VALUE!</v>
      </c>
      <c r="AC89" t="e">
        <f ca="1">IF((A1)=(2),"",IF((86)=(AC3),IF(IF((INDEX(B1:XFD1,((A2)+(1))+(0)))=("store"),(INDEX(B1:XFD1,((A2)+(1))+(1)))=("AC"),"false"),B2,AC89),AC89))</f>
        <v>#VALUE!</v>
      </c>
      <c r="AD89" t="e">
        <f ca="1">IF((A1)=(2),"",IF((86)=(AD3),IF(IF((INDEX(B1:XFD1,((A2)+(1))+(0)))=("store"),(INDEX(B1:XFD1,((A2)+(1))+(1)))=("AD"),"false"),B2,AD89),AD89))</f>
        <v>#VALUE!</v>
      </c>
    </row>
    <row r="90" spans="1:30" x14ac:dyDescent="0.25">
      <c r="A90" t="e">
        <f ca="1">IF((A1)=(2),"",IF((87)=(A3),IF(("call")=(INDEX(B1:XFD1,((A2)+(1))+(0))),(B2)*(2),IF(("goto")=(INDEX(B1:XFD1,((A2)+(1))+(0))),(INDEX(B1:XFD1,((A2)+(1))+(1)))*(2),IF(("gotoiftrue")=(INDEX(B1:XFD1,((A2)+(1))+(0))),IF(B2,(INDEX(B1:XFD1,((A2)+(1))+(1)))*(2),(A90)+(2)),(A90)+(2)))),A90))</f>
        <v>#VALUE!</v>
      </c>
      <c r="B90" t="e">
        <f ca="1">IF((A1)=(2),"",IF((87)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90)+(1)),IF(("add")=(INDEX(B1:XFD1,((A2)+(1))+(0))),(INDEX(B4:B404,(B3)+(1)))+(B90),IF(("equals")=(INDEX(B1:XFD1,((A2)+(1))+(0))),(INDEX(B4:B404,(B3)+(1)))=(B90),IF(("leq")=(INDEX(B1:XFD1,((A2)+(1))+(0))),(INDEX(B4:B404,(B3)+(1)))&lt;=(B90),IF(("greater")=(INDEX(B1:XFD1,((A2)+(1))+(0))),(INDEX(B4:B404,(B3)+(1)))&gt;(B90),IF(("mod")=(INDEX(B1:XFD1,((A2)+(1))+(0))),MOD(INDEX(B4:B404,(B3)+(1)),B90),B90))))))))),B90))</f>
        <v>#VALUE!</v>
      </c>
      <c r="C90" t="e">
        <f ca="1">IF((A1)=(2),1,IF(AND((INDEX(B1:XFD1,((A2)+(1))+(0)))=("writeheap"),(INDEX(B4:B404,(B3)+(1)))=(86)),INDEX(B4:B404,(B3)+(2)),IF((A1)=(2),"",IF((87)=(C3),C90,C90))))</f>
        <v>#VALUE!</v>
      </c>
      <c r="E90" t="e">
        <f ca="1">IF((A1)=(2),"",IF((87)=(E3),IF(("outputline")=(INDEX(B1:XFD1,((A2)+(1))+(0))),B2,E90),E90))</f>
        <v>#VALUE!</v>
      </c>
      <c r="F90" t="e">
        <f ca="1">IF((A1)=(2),"",IF((87)=(F3),IF(IF((INDEX(B1:XFD1,((A2)+(1))+(0)))=("store"),(INDEX(B1:XFD1,((A2)+(1))+(1)))=("F"),"false"),B2,F90),F90))</f>
        <v>#VALUE!</v>
      </c>
      <c r="G90" t="e">
        <f ca="1">IF((A1)=(2),"",IF((87)=(G3),IF(IF((INDEX(B1:XFD1,((A2)+(1))+(0)))=("store"),(INDEX(B1:XFD1,((A2)+(1))+(1)))=("G"),"false"),B2,G90),G90))</f>
        <v>#VALUE!</v>
      </c>
      <c r="H90" t="e">
        <f ca="1">IF((A1)=(2),"",IF((87)=(H3),IF(IF((INDEX(B1:XFD1,((A2)+(1))+(0)))=("store"),(INDEX(B1:XFD1,((A2)+(1))+(1)))=("H"),"false"),B2,H90),H90))</f>
        <v>#VALUE!</v>
      </c>
      <c r="I90" t="e">
        <f ca="1">IF((A1)=(2),"",IF((87)=(I3),IF(IF((INDEX(B1:XFD1,((A2)+(1))+(0)))=("store"),(INDEX(B1:XFD1,((A2)+(1))+(1)))=("I"),"false"),B2,I90),I90))</f>
        <v>#VALUE!</v>
      </c>
      <c r="J90" t="e">
        <f ca="1">IF((A1)=(2),"",IF((87)=(J3),IF(IF((INDEX(B1:XFD1,((A2)+(1))+(0)))=("store"),(INDEX(B1:XFD1,((A2)+(1))+(1)))=("J"),"false"),B2,J90),J90))</f>
        <v>#VALUE!</v>
      </c>
      <c r="K90" t="e">
        <f ca="1">IF((A1)=(2),"",IF((87)=(K3),IF(IF((INDEX(B1:XFD1,((A2)+(1))+(0)))=("store"),(INDEX(B1:XFD1,((A2)+(1))+(1)))=("K"),"false"),B2,K90),K90))</f>
        <v>#VALUE!</v>
      </c>
      <c r="L90" t="e">
        <f ca="1">IF((A1)=(2),"",IF((87)=(L3),IF(IF((INDEX(B1:XFD1,((A2)+(1))+(0)))=("store"),(INDEX(B1:XFD1,((A2)+(1))+(1)))=("L"),"false"),B2,L90),L90))</f>
        <v>#VALUE!</v>
      </c>
      <c r="M90" t="e">
        <f ca="1">IF((A1)=(2),"",IF((87)=(M3),IF(IF((INDEX(B1:XFD1,((A2)+(1))+(0)))=("store"),(INDEX(B1:XFD1,((A2)+(1))+(1)))=("M"),"false"),B2,M90),M90))</f>
        <v>#VALUE!</v>
      </c>
      <c r="N90" t="e">
        <f ca="1">IF((A1)=(2),"",IF((87)=(N3),IF(IF((INDEX(B1:XFD1,((A2)+(1))+(0)))=("store"),(INDEX(B1:XFD1,((A2)+(1))+(1)))=("N"),"false"),B2,N90),N90))</f>
        <v>#VALUE!</v>
      </c>
      <c r="O90" t="e">
        <f ca="1">IF((A1)=(2),"",IF((87)=(O3),IF(IF((INDEX(B1:XFD1,((A2)+(1))+(0)))=("store"),(INDEX(B1:XFD1,((A2)+(1))+(1)))=("O"),"false"),B2,O90),O90))</f>
        <v>#VALUE!</v>
      </c>
      <c r="P90" t="e">
        <f ca="1">IF((A1)=(2),"",IF((87)=(P3),IF(IF((INDEX(B1:XFD1,((A2)+(1))+(0)))=("store"),(INDEX(B1:XFD1,((A2)+(1))+(1)))=("P"),"false"),B2,P90),P90))</f>
        <v>#VALUE!</v>
      </c>
      <c r="Q90" t="e">
        <f ca="1">IF((A1)=(2),"",IF((87)=(Q3),IF(IF((INDEX(B1:XFD1,((A2)+(1))+(0)))=("store"),(INDEX(B1:XFD1,((A2)+(1))+(1)))=("Q"),"false"),B2,Q90),Q90))</f>
        <v>#VALUE!</v>
      </c>
      <c r="R90" t="e">
        <f ca="1">IF((A1)=(2),"",IF((87)=(R3),IF(IF((INDEX(B1:XFD1,((A2)+(1))+(0)))=("store"),(INDEX(B1:XFD1,((A2)+(1))+(1)))=("R"),"false"),B2,R90),R90))</f>
        <v>#VALUE!</v>
      </c>
      <c r="S90" t="e">
        <f ca="1">IF((A1)=(2),"",IF((87)=(S3),IF(IF((INDEX(B1:XFD1,((A2)+(1))+(0)))=("store"),(INDEX(B1:XFD1,((A2)+(1))+(1)))=("S"),"false"),B2,S90),S90))</f>
        <v>#VALUE!</v>
      </c>
      <c r="T90" t="e">
        <f ca="1">IF((A1)=(2),"",IF((87)=(T3),IF(IF((INDEX(B1:XFD1,((A2)+(1))+(0)))=("store"),(INDEX(B1:XFD1,((A2)+(1))+(1)))=("T"),"false"),B2,T90),T90))</f>
        <v>#VALUE!</v>
      </c>
      <c r="U90" t="e">
        <f ca="1">IF((A1)=(2),"",IF((87)=(U3),IF(IF((INDEX(B1:XFD1,((A2)+(1))+(0)))=("store"),(INDEX(B1:XFD1,((A2)+(1))+(1)))=("U"),"false"),B2,U90),U90))</f>
        <v>#VALUE!</v>
      </c>
      <c r="V90" t="e">
        <f ca="1">IF((A1)=(2),"",IF((87)=(V3),IF(IF((INDEX(B1:XFD1,((A2)+(1))+(0)))=("store"),(INDEX(B1:XFD1,((A2)+(1))+(1)))=("V"),"false"),B2,V90),V90))</f>
        <v>#VALUE!</v>
      </c>
      <c r="W90" t="e">
        <f ca="1">IF((A1)=(2),"",IF((87)=(W3),IF(IF((INDEX(B1:XFD1,((A2)+(1))+(0)))=("store"),(INDEX(B1:XFD1,((A2)+(1))+(1)))=("W"),"false"),B2,W90),W90))</f>
        <v>#VALUE!</v>
      </c>
      <c r="X90" t="e">
        <f ca="1">IF((A1)=(2),"",IF((87)=(X3),IF(IF((INDEX(B1:XFD1,((A2)+(1))+(0)))=("store"),(INDEX(B1:XFD1,((A2)+(1))+(1)))=("X"),"false"),B2,X90),X90))</f>
        <v>#VALUE!</v>
      </c>
      <c r="Y90" t="e">
        <f ca="1">IF((A1)=(2),"",IF((87)=(Y3),IF(IF((INDEX(B1:XFD1,((A2)+(1))+(0)))=("store"),(INDEX(B1:XFD1,((A2)+(1))+(1)))=("Y"),"false"),B2,Y90),Y90))</f>
        <v>#VALUE!</v>
      </c>
      <c r="Z90" t="e">
        <f ca="1">IF((A1)=(2),"",IF((87)=(Z3),IF(IF((INDEX(B1:XFD1,((A2)+(1))+(0)))=("store"),(INDEX(B1:XFD1,((A2)+(1))+(1)))=("Z"),"false"),B2,Z90),Z90))</f>
        <v>#VALUE!</v>
      </c>
      <c r="AA90" t="e">
        <f ca="1">IF((A1)=(2),"",IF((87)=(AA3),IF(IF((INDEX(B1:XFD1,((A2)+(1))+(0)))=("store"),(INDEX(B1:XFD1,((A2)+(1))+(1)))=("AA"),"false"),B2,AA90),AA90))</f>
        <v>#VALUE!</v>
      </c>
      <c r="AB90" t="e">
        <f ca="1">IF((A1)=(2),"",IF((87)=(AB3),IF(IF((INDEX(B1:XFD1,((A2)+(1))+(0)))=("store"),(INDEX(B1:XFD1,((A2)+(1))+(1)))=("AB"),"false"),B2,AB90),AB90))</f>
        <v>#VALUE!</v>
      </c>
      <c r="AC90" t="e">
        <f ca="1">IF((A1)=(2),"",IF((87)=(AC3),IF(IF((INDEX(B1:XFD1,((A2)+(1))+(0)))=("store"),(INDEX(B1:XFD1,((A2)+(1))+(1)))=("AC"),"false"),B2,AC90),AC90))</f>
        <v>#VALUE!</v>
      </c>
      <c r="AD90" t="e">
        <f ca="1">IF((A1)=(2),"",IF((87)=(AD3),IF(IF((INDEX(B1:XFD1,((A2)+(1))+(0)))=("store"),(INDEX(B1:XFD1,((A2)+(1))+(1)))=("AD"),"false"),B2,AD90),AD90))</f>
        <v>#VALUE!</v>
      </c>
    </row>
    <row r="91" spans="1:30" x14ac:dyDescent="0.25">
      <c r="A91" t="e">
        <f ca="1">IF((A1)=(2),"",IF((88)=(A3),IF(("call")=(INDEX(B1:XFD1,((A2)+(1))+(0))),(B2)*(2),IF(("goto")=(INDEX(B1:XFD1,((A2)+(1))+(0))),(INDEX(B1:XFD1,((A2)+(1))+(1)))*(2),IF(("gotoiftrue")=(INDEX(B1:XFD1,((A2)+(1))+(0))),IF(B2,(INDEX(B1:XFD1,((A2)+(1))+(1)))*(2),(A91)+(2)),(A91)+(2)))),A91))</f>
        <v>#VALUE!</v>
      </c>
      <c r="B91" t="e">
        <f ca="1">IF((A1)=(2),"",IF((88)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91)+(1)),IF(("add")=(INDEX(B1:XFD1,((A2)+(1))+(0))),(INDEX(B4:B404,(B3)+(1)))+(B91),IF(("equals")=(INDEX(B1:XFD1,((A2)+(1))+(0))),(INDEX(B4:B404,(B3)+(1)))=(B91),IF(("leq")=(INDEX(B1:XFD1,((A2)+(1))+(0))),(INDEX(B4:B404,(B3)+(1)))&lt;=(B91),IF(("greater")=(INDEX(B1:XFD1,((A2)+(1))+(0))),(INDEX(B4:B404,(B3)+(1)))&gt;(B91),IF(("mod")=(INDEX(B1:XFD1,((A2)+(1))+(0))),MOD(INDEX(B4:B404,(B3)+(1)),B91),B91))))))))),B91))</f>
        <v>#VALUE!</v>
      </c>
      <c r="C91" t="e">
        <f ca="1">IF((A1)=(2),1,IF(AND((INDEX(B1:XFD1,((A2)+(1))+(0)))=("writeheap"),(INDEX(B4:B404,(B3)+(1)))=(87)),INDEX(B4:B404,(B3)+(2)),IF((A1)=(2),"",IF((88)=(C3),C91,C91))))</f>
        <v>#VALUE!</v>
      </c>
      <c r="E91" t="e">
        <f ca="1">IF((A1)=(2),"",IF((88)=(E3),IF(("outputline")=(INDEX(B1:XFD1,((A2)+(1))+(0))),B2,E91),E91))</f>
        <v>#VALUE!</v>
      </c>
      <c r="F91" t="e">
        <f ca="1">IF((A1)=(2),"",IF((88)=(F3),IF(IF((INDEX(B1:XFD1,((A2)+(1))+(0)))=("store"),(INDEX(B1:XFD1,((A2)+(1))+(1)))=("F"),"false"),B2,F91),F91))</f>
        <v>#VALUE!</v>
      </c>
      <c r="G91" t="e">
        <f ca="1">IF((A1)=(2),"",IF((88)=(G3),IF(IF((INDEX(B1:XFD1,((A2)+(1))+(0)))=("store"),(INDEX(B1:XFD1,((A2)+(1))+(1)))=("G"),"false"),B2,G91),G91))</f>
        <v>#VALUE!</v>
      </c>
      <c r="H91" t="e">
        <f ca="1">IF((A1)=(2),"",IF((88)=(H3),IF(IF((INDEX(B1:XFD1,((A2)+(1))+(0)))=("store"),(INDEX(B1:XFD1,((A2)+(1))+(1)))=("H"),"false"),B2,H91),H91))</f>
        <v>#VALUE!</v>
      </c>
      <c r="I91" t="e">
        <f ca="1">IF((A1)=(2),"",IF((88)=(I3),IF(IF((INDEX(B1:XFD1,((A2)+(1))+(0)))=("store"),(INDEX(B1:XFD1,((A2)+(1))+(1)))=("I"),"false"),B2,I91),I91))</f>
        <v>#VALUE!</v>
      </c>
      <c r="J91" t="e">
        <f ca="1">IF((A1)=(2),"",IF((88)=(J3),IF(IF((INDEX(B1:XFD1,((A2)+(1))+(0)))=("store"),(INDEX(B1:XFD1,((A2)+(1))+(1)))=("J"),"false"),B2,J91),J91))</f>
        <v>#VALUE!</v>
      </c>
      <c r="K91" t="e">
        <f ca="1">IF((A1)=(2),"",IF((88)=(K3),IF(IF((INDEX(B1:XFD1,((A2)+(1))+(0)))=("store"),(INDEX(B1:XFD1,((A2)+(1))+(1)))=("K"),"false"),B2,K91),K91))</f>
        <v>#VALUE!</v>
      </c>
      <c r="L91" t="e">
        <f ca="1">IF((A1)=(2),"",IF((88)=(L3),IF(IF((INDEX(B1:XFD1,((A2)+(1))+(0)))=("store"),(INDEX(B1:XFD1,((A2)+(1))+(1)))=("L"),"false"),B2,L91),L91))</f>
        <v>#VALUE!</v>
      </c>
      <c r="M91" t="e">
        <f ca="1">IF((A1)=(2),"",IF((88)=(M3),IF(IF((INDEX(B1:XFD1,((A2)+(1))+(0)))=("store"),(INDEX(B1:XFD1,((A2)+(1))+(1)))=("M"),"false"),B2,M91),M91))</f>
        <v>#VALUE!</v>
      </c>
      <c r="N91" t="e">
        <f ca="1">IF((A1)=(2),"",IF((88)=(N3),IF(IF((INDEX(B1:XFD1,((A2)+(1))+(0)))=("store"),(INDEX(B1:XFD1,((A2)+(1))+(1)))=("N"),"false"),B2,N91),N91))</f>
        <v>#VALUE!</v>
      </c>
      <c r="O91" t="e">
        <f ca="1">IF((A1)=(2),"",IF((88)=(O3),IF(IF((INDEX(B1:XFD1,((A2)+(1))+(0)))=("store"),(INDEX(B1:XFD1,((A2)+(1))+(1)))=("O"),"false"),B2,O91),O91))</f>
        <v>#VALUE!</v>
      </c>
      <c r="P91" t="e">
        <f ca="1">IF((A1)=(2),"",IF((88)=(P3),IF(IF((INDEX(B1:XFD1,((A2)+(1))+(0)))=("store"),(INDEX(B1:XFD1,((A2)+(1))+(1)))=("P"),"false"),B2,P91),P91))</f>
        <v>#VALUE!</v>
      </c>
      <c r="Q91" t="e">
        <f ca="1">IF((A1)=(2),"",IF((88)=(Q3),IF(IF((INDEX(B1:XFD1,((A2)+(1))+(0)))=("store"),(INDEX(B1:XFD1,((A2)+(1))+(1)))=("Q"),"false"),B2,Q91),Q91))</f>
        <v>#VALUE!</v>
      </c>
      <c r="R91" t="e">
        <f ca="1">IF((A1)=(2),"",IF((88)=(R3),IF(IF((INDEX(B1:XFD1,((A2)+(1))+(0)))=("store"),(INDEX(B1:XFD1,((A2)+(1))+(1)))=("R"),"false"),B2,R91),R91))</f>
        <v>#VALUE!</v>
      </c>
      <c r="S91" t="e">
        <f ca="1">IF((A1)=(2),"",IF((88)=(S3),IF(IF((INDEX(B1:XFD1,((A2)+(1))+(0)))=("store"),(INDEX(B1:XFD1,((A2)+(1))+(1)))=("S"),"false"),B2,S91),S91))</f>
        <v>#VALUE!</v>
      </c>
      <c r="T91" t="e">
        <f ca="1">IF((A1)=(2),"",IF((88)=(T3),IF(IF((INDEX(B1:XFD1,((A2)+(1))+(0)))=("store"),(INDEX(B1:XFD1,((A2)+(1))+(1)))=("T"),"false"),B2,T91),T91))</f>
        <v>#VALUE!</v>
      </c>
      <c r="U91" t="e">
        <f ca="1">IF((A1)=(2),"",IF((88)=(U3),IF(IF((INDEX(B1:XFD1,((A2)+(1))+(0)))=("store"),(INDEX(B1:XFD1,((A2)+(1))+(1)))=("U"),"false"),B2,U91),U91))</f>
        <v>#VALUE!</v>
      </c>
      <c r="V91" t="e">
        <f ca="1">IF((A1)=(2),"",IF((88)=(V3),IF(IF((INDEX(B1:XFD1,((A2)+(1))+(0)))=("store"),(INDEX(B1:XFD1,((A2)+(1))+(1)))=("V"),"false"),B2,V91),V91))</f>
        <v>#VALUE!</v>
      </c>
      <c r="W91" t="e">
        <f ca="1">IF((A1)=(2),"",IF((88)=(W3),IF(IF((INDEX(B1:XFD1,((A2)+(1))+(0)))=("store"),(INDEX(B1:XFD1,((A2)+(1))+(1)))=("W"),"false"),B2,W91),W91))</f>
        <v>#VALUE!</v>
      </c>
      <c r="X91" t="e">
        <f ca="1">IF((A1)=(2),"",IF((88)=(X3),IF(IF((INDEX(B1:XFD1,((A2)+(1))+(0)))=("store"),(INDEX(B1:XFD1,((A2)+(1))+(1)))=("X"),"false"),B2,X91),X91))</f>
        <v>#VALUE!</v>
      </c>
      <c r="Y91" t="e">
        <f ca="1">IF((A1)=(2),"",IF((88)=(Y3),IF(IF((INDEX(B1:XFD1,((A2)+(1))+(0)))=("store"),(INDEX(B1:XFD1,((A2)+(1))+(1)))=("Y"),"false"),B2,Y91),Y91))</f>
        <v>#VALUE!</v>
      </c>
      <c r="Z91" t="e">
        <f ca="1">IF((A1)=(2),"",IF((88)=(Z3),IF(IF((INDEX(B1:XFD1,((A2)+(1))+(0)))=("store"),(INDEX(B1:XFD1,((A2)+(1))+(1)))=("Z"),"false"),B2,Z91),Z91))</f>
        <v>#VALUE!</v>
      </c>
      <c r="AA91" t="e">
        <f ca="1">IF((A1)=(2),"",IF((88)=(AA3),IF(IF((INDEX(B1:XFD1,((A2)+(1))+(0)))=("store"),(INDEX(B1:XFD1,((A2)+(1))+(1)))=("AA"),"false"),B2,AA91),AA91))</f>
        <v>#VALUE!</v>
      </c>
      <c r="AB91" t="e">
        <f ca="1">IF((A1)=(2),"",IF((88)=(AB3),IF(IF((INDEX(B1:XFD1,((A2)+(1))+(0)))=("store"),(INDEX(B1:XFD1,((A2)+(1))+(1)))=("AB"),"false"),B2,AB91),AB91))</f>
        <v>#VALUE!</v>
      </c>
      <c r="AC91" t="e">
        <f ca="1">IF((A1)=(2),"",IF((88)=(AC3),IF(IF((INDEX(B1:XFD1,((A2)+(1))+(0)))=("store"),(INDEX(B1:XFD1,((A2)+(1))+(1)))=("AC"),"false"),B2,AC91),AC91))</f>
        <v>#VALUE!</v>
      </c>
      <c r="AD91" t="e">
        <f ca="1">IF((A1)=(2),"",IF((88)=(AD3),IF(IF((INDEX(B1:XFD1,((A2)+(1))+(0)))=("store"),(INDEX(B1:XFD1,((A2)+(1))+(1)))=("AD"),"false"),B2,AD91),AD91))</f>
        <v>#VALUE!</v>
      </c>
    </row>
    <row r="92" spans="1:30" x14ac:dyDescent="0.25">
      <c r="A92" t="e">
        <f ca="1">IF((A1)=(2),"",IF((89)=(A3),IF(("call")=(INDEX(B1:XFD1,((A2)+(1))+(0))),(B2)*(2),IF(("goto")=(INDEX(B1:XFD1,((A2)+(1))+(0))),(INDEX(B1:XFD1,((A2)+(1))+(1)))*(2),IF(("gotoiftrue")=(INDEX(B1:XFD1,((A2)+(1))+(0))),IF(B2,(INDEX(B1:XFD1,((A2)+(1))+(1)))*(2),(A92)+(2)),(A92)+(2)))),A92))</f>
        <v>#VALUE!</v>
      </c>
      <c r="B92" t="e">
        <f ca="1">IF((A1)=(2),"",IF((89)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92)+(1)),IF(("add")=(INDEX(B1:XFD1,((A2)+(1))+(0))),(INDEX(B4:B404,(B3)+(1)))+(B92),IF(("equals")=(INDEX(B1:XFD1,((A2)+(1))+(0))),(INDEX(B4:B404,(B3)+(1)))=(B92),IF(("leq")=(INDEX(B1:XFD1,((A2)+(1))+(0))),(INDEX(B4:B404,(B3)+(1)))&lt;=(B92),IF(("greater")=(INDEX(B1:XFD1,((A2)+(1))+(0))),(INDEX(B4:B404,(B3)+(1)))&gt;(B92),IF(("mod")=(INDEX(B1:XFD1,((A2)+(1))+(0))),MOD(INDEX(B4:B404,(B3)+(1)),B92),B92))))))))),B92))</f>
        <v>#VALUE!</v>
      </c>
      <c r="C92" t="e">
        <f ca="1">IF((A1)=(2),1,IF(AND((INDEX(B1:XFD1,((A2)+(1))+(0)))=("writeheap"),(INDEX(B4:B404,(B3)+(1)))=(88)),INDEX(B4:B404,(B3)+(2)),IF((A1)=(2),"",IF((89)=(C3),C92,C92))))</f>
        <v>#VALUE!</v>
      </c>
      <c r="E92" t="e">
        <f ca="1">IF((A1)=(2),"",IF((89)=(E3),IF(("outputline")=(INDEX(B1:XFD1,((A2)+(1))+(0))),B2,E92),E92))</f>
        <v>#VALUE!</v>
      </c>
      <c r="F92" t="e">
        <f ca="1">IF((A1)=(2),"",IF((89)=(F3),IF(IF((INDEX(B1:XFD1,((A2)+(1))+(0)))=("store"),(INDEX(B1:XFD1,((A2)+(1))+(1)))=("F"),"false"),B2,F92),F92))</f>
        <v>#VALUE!</v>
      </c>
      <c r="G92" t="e">
        <f ca="1">IF((A1)=(2),"",IF((89)=(G3),IF(IF((INDEX(B1:XFD1,((A2)+(1))+(0)))=("store"),(INDEX(B1:XFD1,((A2)+(1))+(1)))=("G"),"false"),B2,G92),G92))</f>
        <v>#VALUE!</v>
      </c>
      <c r="H92" t="e">
        <f ca="1">IF((A1)=(2),"",IF((89)=(H3),IF(IF((INDEX(B1:XFD1,((A2)+(1))+(0)))=("store"),(INDEX(B1:XFD1,((A2)+(1))+(1)))=("H"),"false"),B2,H92),H92))</f>
        <v>#VALUE!</v>
      </c>
      <c r="I92" t="e">
        <f ca="1">IF((A1)=(2),"",IF((89)=(I3),IF(IF((INDEX(B1:XFD1,((A2)+(1))+(0)))=("store"),(INDEX(B1:XFD1,((A2)+(1))+(1)))=("I"),"false"),B2,I92),I92))</f>
        <v>#VALUE!</v>
      </c>
      <c r="J92" t="e">
        <f ca="1">IF((A1)=(2),"",IF((89)=(J3),IF(IF((INDEX(B1:XFD1,((A2)+(1))+(0)))=("store"),(INDEX(B1:XFD1,((A2)+(1))+(1)))=("J"),"false"),B2,J92),J92))</f>
        <v>#VALUE!</v>
      </c>
      <c r="K92" t="e">
        <f ca="1">IF((A1)=(2),"",IF((89)=(K3),IF(IF((INDEX(B1:XFD1,((A2)+(1))+(0)))=("store"),(INDEX(B1:XFD1,((A2)+(1))+(1)))=("K"),"false"),B2,K92),K92))</f>
        <v>#VALUE!</v>
      </c>
      <c r="L92" t="e">
        <f ca="1">IF((A1)=(2),"",IF((89)=(L3),IF(IF((INDEX(B1:XFD1,((A2)+(1))+(0)))=("store"),(INDEX(B1:XFD1,((A2)+(1))+(1)))=("L"),"false"),B2,L92),L92))</f>
        <v>#VALUE!</v>
      </c>
      <c r="M92" t="e">
        <f ca="1">IF((A1)=(2),"",IF((89)=(M3),IF(IF((INDEX(B1:XFD1,((A2)+(1))+(0)))=("store"),(INDEX(B1:XFD1,((A2)+(1))+(1)))=("M"),"false"),B2,M92),M92))</f>
        <v>#VALUE!</v>
      </c>
      <c r="N92" t="e">
        <f ca="1">IF((A1)=(2),"",IF((89)=(N3),IF(IF((INDEX(B1:XFD1,((A2)+(1))+(0)))=("store"),(INDEX(B1:XFD1,((A2)+(1))+(1)))=("N"),"false"),B2,N92),N92))</f>
        <v>#VALUE!</v>
      </c>
      <c r="O92" t="e">
        <f ca="1">IF((A1)=(2),"",IF((89)=(O3),IF(IF((INDEX(B1:XFD1,((A2)+(1))+(0)))=("store"),(INDEX(B1:XFD1,((A2)+(1))+(1)))=("O"),"false"),B2,O92),O92))</f>
        <v>#VALUE!</v>
      </c>
      <c r="P92" t="e">
        <f ca="1">IF((A1)=(2),"",IF((89)=(P3),IF(IF((INDEX(B1:XFD1,((A2)+(1))+(0)))=("store"),(INDEX(B1:XFD1,((A2)+(1))+(1)))=("P"),"false"),B2,P92),P92))</f>
        <v>#VALUE!</v>
      </c>
      <c r="Q92" t="e">
        <f ca="1">IF((A1)=(2),"",IF((89)=(Q3),IF(IF((INDEX(B1:XFD1,((A2)+(1))+(0)))=("store"),(INDEX(B1:XFD1,((A2)+(1))+(1)))=("Q"),"false"),B2,Q92),Q92))</f>
        <v>#VALUE!</v>
      </c>
      <c r="R92" t="e">
        <f ca="1">IF((A1)=(2),"",IF((89)=(R3),IF(IF((INDEX(B1:XFD1,((A2)+(1))+(0)))=("store"),(INDEX(B1:XFD1,((A2)+(1))+(1)))=("R"),"false"),B2,R92),R92))</f>
        <v>#VALUE!</v>
      </c>
      <c r="S92" t="e">
        <f ca="1">IF((A1)=(2),"",IF((89)=(S3),IF(IF((INDEX(B1:XFD1,((A2)+(1))+(0)))=("store"),(INDEX(B1:XFD1,((A2)+(1))+(1)))=("S"),"false"),B2,S92),S92))</f>
        <v>#VALUE!</v>
      </c>
      <c r="T92" t="e">
        <f ca="1">IF((A1)=(2),"",IF((89)=(T3),IF(IF((INDEX(B1:XFD1,((A2)+(1))+(0)))=("store"),(INDEX(B1:XFD1,((A2)+(1))+(1)))=("T"),"false"),B2,T92),T92))</f>
        <v>#VALUE!</v>
      </c>
      <c r="U92" t="e">
        <f ca="1">IF((A1)=(2),"",IF((89)=(U3),IF(IF((INDEX(B1:XFD1,((A2)+(1))+(0)))=("store"),(INDEX(B1:XFD1,((A2)+(1))+(1)))=("U"),"false"),B2,U92),U92))</f>
        <v>#VALUE!</v>
      </c>
      <c r="V92" t="e">
        <f ca="1">IF((A1)=(2),"",IF((89)=(V3),IF(IF((INDEX(B1:XFD1,((A2)+(1))+(0)))=("store"),(INDEX(B1:XFD1,((A2)+(1))+(1)))=("V"),"false"),B2,V92),V92))</f>
        <v>#VALUE!</v>
      </c>
      <c r="W92" t="e">
        <f ca="1">IF((A1)=(2),"",IF((89)=(W3),IF(IF((INDEX(B1:XFD1,((A2)+(1))+(0)))=("store"),(INDEX(B1:XFD1,((A2)+(1))+(1)))=("W"),"false"),B2,W92),W92))</f>
        <v>#VALUE!</v>
      </c>
      <c r="X92" t="e">
        <f ca="1">IF((A1)=(2),"",IF((89)=(X3),IF(IF((INDEX(B1:XFD1,((A2)+(1))+(0)))=("store"),(INDEX(B1:XFD1,((A2)+(1))+(1)))=("X"),"false"),B2,X92),X92))</f>
        <v>#VALUE!</v>
      </c>
      <c r="Y92" t="e">
        <f ca="1">IF((A1)=(2),"",IF((89)=(Y3),IF(IF((INDEX(B1:XFD1,((A2)+(1))+(0)))=("store"),(INDEX(B1:XFD1,((A2)+(1))+(1)))=("Y"),"false"),B2,Y92),Y92))</f>
        <v>#VALUE!</v>
      </c>
      <c r="Z92" t="e">
        <f ca="1">IF((A1)=(2),"",IF((89)=(Z3),IF(IF((INDEX(B1:XFD1,((A2)+(1))+(0)))=("store"),(INDEX(B1:XFD1,((A2)+(1))+(1)))=("Z"),"false"),B2,Z92),Z92))</f>
        <v>#VALUE!</v>
      </c>
      <c r="AA92" t="e">
        <f ca="1">IF((A1)=(2),"",IF((89)=(AA3),IF(IF((INDEX(B1:XFD1,((A2)+(1))+(0)))=("store"),(INDEX(B1:XFD1,((A2)+(1))+(1)))=("AA"),"false"),B2,AA92),AA92))</f>
        <v>#VALUE!</v>
      </c>
      <c r="AB92" t="e">
        <f ca="1">IF((A1)=(2),"",IF((89)=(AB3),IF(IF((INDEX(B1:XFD1,((A2)+(1))+(0)))=("store"),(INDEX(B1:XFD1,((A2)+(1))+(1)))=("AB"),"false"),B2,AB92),AB92))</f>
        <v>#VALUE!</v>
      </c>
      <c r="AC92" t="e">
        <f ca="1">IF((A1)=(2),"",IF((89)=(AC3),IF(IF((INDEX(B1:XFD1,((A2)+(1))+(0)))=("store"),(INDEX(B1:XFD1,((A2)+(1))+(1)))=("AC"),"false"),B2,AC92),AC92))</f>
        <v>#VALUE!</v>
      </c>
      <c r="AD92" t="e">
        <f ca="1">IF((A1)=(2),"",IF((89)=(AD3),IF(IF((INDEX(B1:XFD1,((A2)+(1))+(0)))=("store"),(INDEX(B1:XFD1,((A2)+(1))+(1)))=("AD"),"false"),B2,AD92),AD92))</f>
        <v>#VALUE!</v>
      </c>
    </row>
    <row r="93" spans="1:30" x14ac:dyDescent="0.25">
      <c r="A93" t="e">
        <f ca="1">IF((A1)=(2),"",IF((90)=(A3),IF(("call")=(INDEX(B1:XFD1,((A2)+(1))+(0))),(B2)*(2),IF(("goto")=(INDEX(B1:XFD1,((A2)+(1))+(0))),(INDEX(B1:XFD1,((A2)+(1))+(1)))*(2),IF(("gotoiftrue")=(INDEX(B1:XFD1,((A2)+(1))+(0))),IF(B2,(INDEX(B1:XFD1,((A2)+(1))+(1)))*(2),(A93)+(2)),(A93)+(2)))),A93))</f>
        <v>#VALUE!</v>
      </c>
      <c r="B93" t="e">
        <f ca="1">IF((A1)=(2),"",IF((90)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93)+(1)),IF(("add")=(INDEX(B1:XFD1,((A2)+(1))+(0))),(INDEX(B4:B404,(B3)+(1)))+(B93),IF(("equals")=(INDEX(B1:XFD1,((A2)+(1))+(0))),(INDEX(B4:B404,(B3)+(1)))=(B93),IF(("leq")=(INDEX(B1:XFD1,((A2)+(1))+(0))),(INDEX(B4:B404,(B3)+(1)))&lt;=(B93),IF(("greater")=(INDEX(B1:XFD1,((A2)+(1))+(0))),(INDEX(B4:B404,(B3)+(1)))&gt;(B93),IF(("mod")=(INDEX(B1:XFD1,((A2)+(1))+(0))),MOD(INDEX(B4:B404,(B3)+(1)),B93),B93))))))))),B93))</f>
        <v>#VALUE!</v>
      </c>
      <c r="C93" t="e">
        <f ca="1">IF((A1)=(2),1,IF(AND((INDEX(B1:XFD1,((A2)+(1))+(0)))=("writeheap"),(INDEX(B4:B404,(B3)+(1)))=(89)),INDEX(B4:B404,(B3)+(2)),IF((A1)=(2),"",IF((90)=(C3),C93,C93))))</f>
        <v>#VALUE!</v>
      </c>
      <c r="E93" t="e">
        <f ca="1">IF((A1)=(2),"",IF((90)=(E3),IF(("outputline")=(INDEX(B1:XFD1,((A2)+(1))+(0))),B2,E93),E93))</f>
        <v>#VALUE!</v>
      </c>
      <c r="F93" t="e">
        <f ca="1">IF((A1)=(2),"",IF((90)=(F3),IF(IF((INDEX(B1:XFD1,((A2)+(1))+(0)))=("store"),(INDEX(B1:XFD1,((A2)+(1))+(1)))=("F"),"false"),B2,F93),F93))</f>
        <v>#VALUE!</v>
      </c>
      <c r="G93" t="e">
        <f ca="1">IF((A1)=(2),"",IF((90)=(G3),IF(IF((INDEX(B1:XFD1,((A2)+(1))+(0)))=("store"),(INDEX(B1:XFD1,((A2)+(1))+(1)))=("G"),"false"),B2,G93),G93))</f>
        <v>#VALUE!</v>
      </c>
      <c r="H93" t="e">
        <f ca="1">IF((A1)=(2),"",IF((90)=(H3),IF(IF((INDEX(B1:XFD1,((A2)+(1))+(0)))=("store"),(INDEX(B1:XFD1,((A2)+(1))+(1)))=("H"),"false"),B2,H93),H93))</f>
        <v>#VALUE!</v>
      </c>
      <c r="I93" t="e">
        <f ca="1">IF((A1)=(2),"",IF((90)=(I3),IF(IF((INDEX(B1:XFD1,((A2)+(1))+(0)))=("store"),(INDEX(B1:XFD1,((A2)+(1))+(1)))=("I"),"false"),B2,I93),I93))</f>
        <v>#VALUE!</v>
      </c>
      <c r="J93" t="e">
        <f ca="1">IF((A1)=(2),"",IF((90)=(J3),IF(IF((INDEX(B1:XFD1,((A2)+(1))+(0)))=("store"),(INDEX(B1:XFD1,((A2)+(1))+(1)))=("J"),"false"),B2,J93),J93))</f>
        <v>#VALUE!</v>
      </c>
      <c r="K93" t="e">
        <f ca="1">IF((A1)=(2),"",IF((90)=(K3),IF(IF((INDEX(B1:XFD1,((A2)+(1))+(0)))=("store"),(INDEX(B1:XFD1,((A2)+(1))+(1)))=("K"),"false"),B2,K93),K93))</f>
        <v>#VALUE!</v>
      </c>
      <c r="L93" t="e">
        <f ca="1">IF((A1)=(2),"",IF((90)=(L3),IF(IF((INDEX(B1:XFD1,((A2)+(1))+(0)))=("store"),(INDEX(B1:XFD1,((A2)+(1))+(1)))=("L"),"false"),B2,L93),L93))</f>
        <v>#VALUE!</v>
      </c>
      <c r="M93" t="e">
        <f ca="1">IF((A1)=(2),"",IF((90)=(M3),IF(IF((INDEX(B1:XFD1,((A2)+(1))+(0)))=("store"),(INDEX(B1:XFD1,((A2)+(1))+(1)))=("M"),"false"),B2,M93),M93))</f>
        <v>#VALUE!</v>
      </c>
      <c r="N93" t="e">
        <f ca="1">IF((A1)=(2),"",IF((90)=(N3),IF(IF((INDEX(B1:XFD1,((A2)+(1))+(0)))=("store"),(INDEX(B1:XFD1,((A2)+(1))+(1)))=("N"),"false"),B2,N93),N93))</f>
        <v>#VALUE!</v>
      </c>
      <c r="O93" t="e">
        <f ca="1">IF((A1)=(2),"",IF((90)=(O3),IF(IF((INDEX(B1:XFD1,((A2)+(1))+(0)))=("store"),(INDEX(B1:XFD1,((A2)+(1))+(1)))=("O"),"false"),B2,O93),O93))</f>
        <v>#VALUE!</v>
      </c>
      <c r="P93" t="e">
        <f ca="1">IF((A1)=(2),"",IF((90)=(P3),IF(IF((INDEX(B1:XFD1,((A2)+(1))+(0)))=("store"),(INDEX(B1:XFD1,((A2)+(1))+(1)))=("P"),"false"),B2,P93),P93))</f>
        <v>#VALUE!</v>
      </c>
      <c r="Q93" t="e">
        <f ca="1">IF((A1)=(2),"",IF((90)=(Q3),IF(IF((INDEX(B1:XFD1,((A2)+(1))+(0)))=("store"),(INDEX(B1:XFD1,((A2)+(1))+(1)))=("Q"),"false"),B2,Q93),Q93))</f>
        <v>#VALUE!</v>
      </c>
      <c r="R93" t="e">
        <f ca="1">IF((A1)=(2),"",IF((90)=(R3),IF(IF((INDEX(B1:XFD1,((A2)+(1))+(0)))=("store"),(INDEX(B1:XFD1,((A2)+(1))+(1)))=("R"),"false"),B2,R93),R93))</f>
        <v>#VALUE!</v>
      </c>
      <c r="S93" t="e">
        <f ca="1">IF((A1)=(2),"",IF((90)=(S3),IF(IF((INDEX(B1:XFD1,((A2)+(1))+(0)))=("store"),(INDEX(B1:XFD1,((A2)+(1))+(1)))=("S"),"false"),B2,S93),S93))</f>
        <v>#VALUE!</v>
      </c>
      <c r="T93" t="e">
        <f ca="1">IF((A1)=(2),"",IF((90)=(T3),IF(IF((INDEX(B1:XFD1,((A2)+(1))+(0)))=("store"),(INDEX(B1:XFD1,((A2)+(1))+(1)))=("T"),"false"),B2,T93),T93))</f>
        <v>#VALUE!</v>
      </c>
      <c r="U93" t="e">
        <f ca="1">IF((A1)=(2),"",IF((90)=(U3),IF(IF((INDEX(B1:XFD1,((A2)+(1))+(0)))=("store"),(INDEX(B1:XFD1,((A2)+(1))+(1)))=("U"),"false"),B2,U93),U93))</f>
        <v>#VALUE!</v>
      </c>
      <c r="V93" t="e">
        <f ca="1">IF((A1)=(2),"",IF((90)=(V3),IF(IF((INDEX(B1:XFD1,((A2)+(1))+(0)))=("store"),(INDEX(B1:XFD1,((A2)+(1))+(1)))=("V"),"false"),B2,V93),V93))</f>
        <v>#VALUE!</v>
      </c>
      <c r="W93" t="e">
        <f ca="1">IF((A1)=(2),"",IF((90)=(W3),IF(IF((INDEX(B1:XFD1,((A2)+(1))+(0)))=("store"),(INDEX(B1:XFD1,((A2)+(1))+(1)))=("W"),"false"),B2,W93),W93))</f>
        <v>#VALUE!</v>
      </c>
      <c r="X93" t="e">
        <f ca="1">IF((A1)=(2),"",IF((90)=(X3),IF(IF((INDEX(B1:XFD1,((A2)+(1))+(0)))=("store"),(INDEX(B1:XFD1,((A2)+(1))+(1)))=("X"),"false"),B2,X93),X93))</f>
        <v>#VALUE!</v>
      </c>
      <c r="Y93" t="e">
        <f ca="1">IF((A1)=(2),"",IF((90)=(Y3),IF(IF((INDEX(B1:XFD1,((A2)+(1))+(0)))=("store"),(INDEX(B1:XFD1,((A2)+(1))+(1)))=("Y"),"false"),B2,Y93),Y93))</f>
        <v>#VALUE!</v>
      </c>
      <c r="Z93" t="e">
        <f ca="1">IF((A1)=(2),"",IF((90)=(Z3),IF(IF((INDEX(B1:XFD1,((A2)+(1))+(0)))=("store"),(INDEX(B1:XFD1,((A2)+(1))+(1)))=("Z"),"false"),B2,Z93),Z93))</f>
        <v>#VALUE!</v>
      </c>
      <c r="AA93" t="e">
        <f ca="1">IF((A1)=(2),"",IF((90)=(AA3),IF(IF((INDEX(B1:XFD1,((A2)+(1))+(0)))=("store"),(INDEX(B1:XFD1,((A2)+(1))+(1)))=("AA"),"false"),B2,AA93),AA93))</f>
        <v>#VALUE!</v>
      </c>
      <c r="AB93" t="e">
        <f ca="1">IF((A1)=(2),"",IF((90)=(AB3),IF(IF((INDEX(B1:XFD1,((A2)+(1))+(0)))=("store"),(INDEX(B1:XFD1,((A2)+(1))+(1)))=("AB"),"false"),B2,AB93),AB93))</f>
        <v>#VALUE!</v>
      </c>
      <c r="AC93" t="e">
        <f ca="1">IF((A1)=(2),"",IF((90)=(AC3),IF(IF((INDEX(B1:XFD1,((A2)+(1))+(0)))=("store"),(INDEX(B1:XFD1,((A2)+(1))+(1)))=("AC"),"false"),B2,AC93),AC93))</f>
        <v>#VALUE!</v>
      </c>
      <c r="AD93" t="e">
        <f ca="1">IF((A1)=(2),"",IF((90)=(AD3),IF(IF((INDEX(B1:XFD1,((A2)+(1))+(0)))=("store"),(INDEX(B1:XFD1,((A2)+(1))+(1)))=("AD"),"false"),B2,AD93),AD93))</f>
        <v>#VALUE!</v>
      </c>
    </row>
    <row r="94" spans="1:30" x14ac:dyDescent="0.25">
      <c r="A94" t="e">
        <f ca="1">IF((A1)=(2),"",IF((91)=(A3),IF(("call")=(INDEX(B1:XFD1,((A2)+(1))+(0))),(B2)*(2),IF(("goto")=(INDEX(B1:XFD1,((A2)+(1))+(0))),(INDEX(B1:XFD1,((A2)+(1))+(1)))*(2),IF(("gotoiftrue")=(INDEX(B1:XFD1,((A2)+(1))+(0))),IF(B2,(INDEX(B1:XFD1,((A2)+(1))+(1)))*(2),(A94)+(2)),(A94)+(2)))),A94))</f>
        <v>#VALUE!</v>
      </c>
      <c r="B94" t="e">
        <f ca="1">IF((A1)=(2),"",IF((91)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94)+(1)),IF(("add")=(INDEX(B1:XFD1,((A2)+(1))+(0))),(INDEX(B4:B404,(B3)+(1)))+(B94),IF(("equals")=(INDEX(B1:XFD1,((A2)+(1))+(0))),(INDEX(B4:B404,(B3)+(1)))=(B94),IF(("leq")=(INDEX(B1:XFD1,((A2)+(1))+(0))),(INDEX(B4:B404,(B3)+(1)))&lt;=(B94),IF(("greater")=(INDEX(B1:XFD1,((A2)+(1))+(0))),(INDEX(B4:B404,(B3)+(1)))&gt;(B94),IF(("mod")=(INDEX(B1:XFD1,((A2)+(1))+(0))),MOD(INDEX(B4:B404,(B3)+(1)),B94),B94))))))))),B94))</f>
        <v>#VALUE!</v>
      </c>
      <c r="C94" t="e">
        <f ca="1">IF((A1)=(2),1,IF(AND((INDEX(B1:XFD1,((A2)+(1))+(0)))=("writeheap"),(INDEX(B4:B404,(B3)+(1)))=(90)),INDEX(B4:B404,(B3)+(2)),IF((A1)=(2),"",IF((91)=(C3),C94,C94))))</f>
        <v>#VALUE!</v>
      </c>
      <c r="E94" t="e">
        <f ca="1">IF((A1)=(2),"",IF((91)=(E3),IF(("outputline")=(INDEX(B1:XFD1,((A2)+(1))+(0))),B2,E94),E94))</f>
        <v>#VALUE!</v>
      </c>
      <c r="F94" t="e">
        <f ca="1">IF((A1)=(2),"",IF((91)=(F3),IF(IF((INDEX(B1:XFD1,((A2)+(1))+(0)))=("store"),(INDEX(B1:XFD1,((A2)+(1))+(1)))=("F"),"false"),B2,F94),F94))</f>
        <v>#VALUE!</v>
      </c>
      <c r="G94" t="e">
        <f ca="1">IF((A1)=(2),"",IF((91)=(G3),IF(IF((INDEX(B1:XFD1,((A2)+(1))+(0)))=("store"),(INDEX(B1:XFD1,((A2)+(1))+(1)))=("G"),"false"),B2,G94),G94))</f>
        <v>#VALUE!</v>
      </c>
      <c r="H94" t="e">
        <f ca="1">IF((A1)=(2),"",IF((91)=(H3),IF(IF((INDEX(B1:XFD1,((A2)+(1))+(0)))=("store"),(INDEX(B1:XFD1,((A2)+(1))+(1)))=("H"),"false"),B2,H94),H94))</f>
        <v>#VALUE!</v>
      </c>
      <c r="I94" t="e">
        <f ca="1">IF((A1)=(2),"",IF((91)=(I3),IF(IF((INDEX(B1:XFD1,((A2)+(1))+(0)))=("store"),(INDEX(B1:XFD1,((A2)+(1))+(1)))=("I"),"false"),B2,I94),I94))</f>
        <v>#VALUE!</v>
      </c>
      <c r="J94" t="e">
        <f ca="1">IF((A1)=(2),"",IF((91)=(J3),IF(IF((INDEX(B1:XFD1,((A2)+(1))+(0)))=("store"),(INDEX(B1:XFD1,((A2)+(1))+(1)))=("J"),"false"),B2,J94),J94))</f>
        <v>#VALUE!</v>
      </c>
      <c r="K94" t="e">
        <f ca="1">IF((A1)=(2),"",IF((91)=(K3),IF(IF((INDEX(B1:XFD1,((A2)+(1))+(0)))=("store"),(INDEX(B1:XFD1,((A2)+(1))+(1)))=("K"),"false"),B2,K94),K94))</f>
        <v>#VALUE!</v>
      </c>
      <c r="L94" t="e">
        <f ca="1">IF((A1)=(2),"",IF((91)=(L3),IF(IF((INDEX(B1:XFD1,((A2)+(1))+(0)))=("store"),(INDEX(B1:XFD1,((A2)+(1))+(1)))=("L"),"false"),B2,L94),L94))</f>
        <v>#VALUE!</v>
      </c>
      <c r="M94" t="e">
        <f ca="1">IF((A1)=(2),"",IF((91)=(M3),IF(IF((INDEX(B1:XFD1,((A2)+(1))+(0)))=("store"),(INDEX(B1:XFD1,((A2)+(1))+(1)))=("M"),"false"),B2,M94),M94))</f>
        <v>#VALUE!</v>
      </c>
      <c r="N94" t="e">
        <f ca="1">IF((A1)=(2),"",IF((91)=(N3),IF(IF((INDEX(B1:XFD1,((A2)+(1))+(0)))=("store"),(INDEX(B1:XFD1,((A2)+(1))+(1)))=("N"),"false"),B2,N94),N94))</f>
        <v>#VALUE!</v>
      </c>
      <c r="O94" t="e">
        <f ca="1">IF((A1)=(2),"",IF((91)=(O3),IF(IF((INDEX(B1:XFD1,((A2)+(1))+(0)))=("store"),(INDEX(B1:XFD1,((A2)+(1))+(1)))=("O"),"false"),B2,O94),O94))</f>
        <v>#VALUE!</v>
      </c>
      <c r="P94" t="e">
        <f ca="1">IF((A1)=(2),"",IF((91)=(P3),IF(IF((INDEX(B1:XFD1,((A2)+(1))+(0)))=("store"),(INDEX(B1:XFD1,((A2)+(1))+(1)))=("P"),"false"),B2,P94),P94))</f>
        <v>#VALUE!</v>
      </c>
      <c r="Q94" t="e">
        <f ca="1">IF((A1)=(2),"",IF((91)=(Q3),IF(IF((INDEX(B1:XFD1,((A2)+(1))+(0)))=("store"),(INDEX(B1:XFD1,((A2)+(1))+(1)))=("Q"),"false"),B2,Q94),Q94))</f>
        <v>#VALUE!</v>
      </c>
      <c r="R94" t="e">
        <f ca="1">IF((A1)=(2),"",IF((91)=(R3),IF(IF((INDEX(B1:XFD1,((A2)+(1))+(0)))=("store"),(INDEX(B1:XFD1,((A2)+(1))+(1)))=("R"),"false"),B2,R94),R94))</f>
        <v>#VALUE!</v>
      </c>
      <c r="S94" t="e">
        <f ca="1">IF((A1)=(2),"",IF((91)=(S3),IF(IF((INDEX(B1:XFD1,((A2)+(1))+(0)))=("store"),(INDEX(B1:XFD1,((A2)+(1))+(1)))=("S"),"false"),B2,S94),S94))</f>
        <v>#VALUE!</v>
      </c>
      <c r="T94" t="e">
        <f ca="1">IF((A1)=(2),"",IF((91)=(T3),IF(IF((INDEX(B1:XFD1,((A2)+(1))+(0)))=("store"),(INDEX(B1:XFD1,((A2)+(1))+(1)))=("T"),"false"),B2,T94),T94))</f>
        <v>#VALUE!</v>
      </c>
      <c r="U94" t="e">
        <f ca="1">IF((A1)=(2),"",IF((91)=(U3),IF(IF((INDEX(B1:XFD1,((A2)+(1))+(0)))=("store"),(INDEX(B1:XFD1,((A2)+(1))+(1)))=("U"),"false"),B2,U94),U94))</f>
        <v>#VALUE!</v>
      </c>
      <c r="V94" t="e">
        <f ca="1">IF((A1)=(2),"",IF((91)=(V3),IF(IF((INDEX(B1:XFD1,((A2)+(1))+(0)))=("store"),(INDEX(B1:XFD1,((A2)+(1))+(1)))=("V"),"false"),B2,V94),V94))</f>
        <v>#VALUE!</v>
      </c>
      <c r="W94" t="e">
        <f ca="1">IF((A1)=(2),"",IF((91)=(W3),IF(IF((INDEX(B1:XFD1,((A2)+(1))+(0)))=("store"),(INDEX(B1:XFD1,((A2)+(1))+(1)))=("W"),"false"),B2,W94),W94))</f>
        <v>#VALUE!</v>
      </c>
      <c r="X94" t="e">
        <f ca="1">IF((A1)=(2),"",IF((91)=(X3),IF(IF((INDEX(B1:XFD1,((A2)+(1))+(0)))=("store"),(INDEX(B1:XFD1,((A2)+(1))+(1)))=("X"),"false"),B2,X94),X94))</f>
        <v>#VALUE!</v>
      </c>
      <c r="Y94" t="e">
        <f ca="1">IF((A1)=(2),"",IF((91)=(Y3),IF(IF((INDEX(B1:XFD1,((A2)+(1))+(0)))=("store"),(INDEX(B1:XFD1,((A2)+(1))+(1)))=("Y"),"false"),B2,Y94),Y94))</f>
        <v>#VALUE!</v>
      </c>
      <c r="Z94" t="e">
        <f ca="1">IF((A1)=(2),"",IF((91)=(Z3),IF(IF((INDEX(B1:XFD1,((A2)+(1))+(0)))=("store"),(INDEX(B1:XFD1,((A2)+(1))+(1)))=("Z"),"false"),B2,Z94),Z94))</f>
        <v>#VALUE!</v>
      </c>
      <c r="AA94" t="e">
        <f ca="1">IF((A1)=(2),"",IF((91)=(AA3),IF(IF((INDEX(B1:XFD1,((A2)+(1))+(0)))=("store"),(INDEX(B1:XFD1,((A2)+(1))+(1)))=("AA"),"false"),B2,AA94),AA94))</f>
        <v>#VALUE!</v>
      </c>
      <c r="AB94" t="e">
        <f ca="1">IF((A1)=(2),"",IF((91)=(AB3),IF(IF((INDEX(B1:XFD1,((A2)+(1))+(0)))=("store"),(INDEX(B1:XFD1,((A2)+(1))+(1)))=("AB"),"false"),B2,AB94),AB94))</f>
        <v>#VALUE!</v>
      </c>
      <c r="AC94" t="e">
        <f ca="1">IF((A1)=(2),"",IF((91)=(AC3),IF(IF((INDEX(B1:XFD1,((A2)+(1))+(0)))=("store"),(INDEX(B1:XFD1,((A2)+(1))+(1)))=("AC"),"false"),B2,AC94),AC94))</f>
        <v>#VALUE!</v>
      </c>
      <c r="AD94" t="e">
        <f ca="1">IF((A1)=(2),"",IF((91)=(AD3),IF(IF((INDEX(B1:XFD1,((A2)+(1))+(0)))=("store"),(INDEX(B1:XFD1,((A2)+(1))+(1)))=("AD"),"false"),B2,AD94),AD94))</f>
        <v>#VALUE!</v>
      </c>
    </row>
    <row r="95" spans="1:30" x14ac:dyDescent="0.25">
      <c r="A95" t="e">
        <f ca="1">IF((A1)=(2),"",IF((92)=(A3),IF(("call")=(INDEX(B1:XFD1,((A2)+(1))+(0))),(B2)*(2),IF(("goto")=(INDEX(B1:XFD1,((A2)+(1))+(0))),(INDEX(B1:XFD1,((A2)+(1))+(1)))*(2),IF(("gotoiftrue")=(INDEX(B1:XFD1,((A2)+(1))+(0))),IF(B2,(INDEX(B1:XFD1,((A2)+(1))+(1)))*(2),(A95)+(2)),(A95)+(2)))),A95))</f>
        <v>#VALUE!</v>
      </c>
      <c r="B95" t="e">
        <f ca="1">IF((A1)=(2),"",IF((92)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95)+(1)),IF(("add")=(INDEX(B1:XFD1,((A2)+(1))+(0))),(INDEX(B4:B404,(B3)+(1)))+(B95),IF(("equals")=(INDEX(B1:XFD1,((A2)+(1))+(0))),(INDEX(B4:B404,(B3)+(1)))=(B95),IF(("leq")=(INDEX(B1:XFD1,((A2)+(1))+(0))),(INDEX(B4:B404,(B3)+(1)))&lt;=(B95),IF(("greater")=(INDEX(B1:XFD1,((A2)+(1))+(0))),(INDEX(B4:B404,(B3)+(1)))&gt;(B95),IF(("mod")=(INDEX(B1:XFD1,((A2)+(1))+(0))),MOD(INDEX(B4:B404,(B3)+(1)),B95),B95))))))))),B95))</f>
        <v>#VALUE!</v>
      </c>
      <c r="C95" t="e">
        <f ca="1">IF((A1)=(2),1,IF(AND((INDEX(B1:XFD1,((A2)+(1))+(0)))=("writeheap"),(INDEX(B4:B404,(B3)+(1)))=(91)),INDEX(B4:B404,(B3)+(2)),IF((A1)=(2),"",IF((92)=(C3),C95,C95))))</f>
        <v>#VALUE!</v>
      </c>
      <c r="E95" t="e">
        <f ca="1">IF((A1)=(2),"",IF((92)=(E3),IF(("outputline")=(INDEX(B1:XFD1,((A2)+(1))+(0))),B2,E95),E95))</f>
        <v>#VALUE!</v>
      </c>
      <c r="F95" t="e">
        <f ca="1">IF((A1)=(2),"",IF((92)=(F3),IF(IF((INDEX(B1:XFD1,((A2)+(1))+(0)))=("store"),(INDEX(B1:XFD1,((A2)+(1))+(1)))=("F"),"false"),B2,F95),F95))</f>
        <v>#VALUE!</v>
      </c>
      <c r="G95" t="e">
        <f ca="1">IF((A1)=(2),"",IF((92)=(G3),IF(IF((INDEX(B1:XFD1,((A2)+(1))+(0)))=("store"),(INDEX(B1:XFD1,((A2)+(1))+(1)))=("G"),"false"),B2,G95),G95))</f>
        <v>#VALUE!</v>
      </c>
      <c r="H95" t="e">
        <f ca="1">IF((A1)=(2),"",IF((92)=(H3),IF(IF((INDEX(B1:XFD1,((A2)+(1))+(0)))=("store"),(INDEX(B1:XFD1,((A2)+(1))+(1)))=("H"),"false"),B2,H95),H95))</f>
        <v>#VALUE!</v>
      </c>
      <c r="I95" t="e">
        <f ca="1">IF((A1)=(2),"",IF((92)=(I3),IF(IF((INDEX(B1:XFD1,((A2)+(1))+(0)))=("store"),(INDEX(B1:XFD1,((A2)+(1))+(1)))=("I"),"false"),B2,I95),I95))</f>
        <v>#VALUE!</v>
      </c>
      <c r="J95" t="e">
        <f ca="1">IF((A1)=(2),"",IF((92)=(J3),IF(IF((INDEX(B1:XFD1,((A2)+(1))+(0)))=("store"),(INDEX(B1:XFD1,((A2)+(1))+(1)))=("J"),"false"),B2,J95),J95))</f>
        <v>#VALUE!</v>
      </c>
      <c r="K95" t="e">
        <f ca="1">IF((A1)=(2),"",IF((92)=(K3),IF(IF((INDEX(B1:XFD1,((A2)+(1))+(0)))=("store"),(INDEX(B1:XFD1,((A2)+(1))+(1)))=("K"),"false"),B2,K95),K95))</f>
        <v>#VALUE!</v>
      </c>
      <c r="L95" t="e">
        <f ca="1">IF((A1)=(2),"",IF((92)=(L3),IF(IF((INDEX(B1:XFD1,((A2)+(1))+(0)))=("store"),(INDEX(B1:XFD1,((A2)+(1))+(1)))=("L"),"false"),B2,L95),L95))</f>
        <v>#VALUE!</v>
      </c>
      <c r="M95" t="e">
        <f ca="1">IF((A1)=(2),"",IF((92)=(M3),IF(IF((INDEX(B1:XFD1,((A2)+(1))+(0)))=("store"),(INDEX(B1:XFD1,((A2)+(1))+(1)))=("M"),"false"),B2,M95),M95))</f>
        <v>#VALUE!</v>
      </c>
      <c r="N95" t="e">
        <f ca="1">IF((A1)=(2),"",IF((92)=(N3),IF(IF((INDEX(B1:XFD1,((A2)+(1))+(0)))=("store"),(INDEX(B1:XFD1,((A2)+(1))+(1)))=("N"),"false"),B2,N95),N95))</f>
        <v>#VALUE!</v>
      </c>
      <c r="O95" t="e">
        <f ca="1">IF((A1)=(2),"",IF((92)=(O3),IF(IF((INDEX(B1:XFD1,((A2)+(1))+(0)))=("store"),(INDEX(B1:XFD1,((A2)+(1))+(1)))=("O"),"false"),B2,O95),O95))</f>
        <v>#VALUE!</v>
      </c>
      <c r="P95" t="e">
        <f ca="1">IF((A1)=(2),"",IF((92)=(P3),IF(IF((INDEX(B1:XFD1,((A2)+(1))+(0)))=("store"),(INDEX(B1:XFD1,((A2)+(1))+(1)))=("P"),"false"),B2,P95),P95))</f>
        <v>#VALUE!</v>
      </c>
      <c r="Q95" t="e">
        <f ca="1">IF((A1)=(2),"",IF((92)=(Q3),IF(IF((INDEX(B1:XFD1,((A2)+(1))+(0)))=("store"),(INDEX(B1:XFD1,((A2)+(1))+(1)))=("Q"),"false"),B2,Q95),Q95))</f>
        <v>#VALUE!</v>
      </c>
      <c r="R95" t="e">
        <f ca="1">IF((A1)=(2),"",IF((92)=(R3),IF(IF((INDEX(B1:XFD1,((A2)+(1))+(0)))=("store"),(INDEX(B1:XFD1,((A2)+(1))+(1)))=("R"),"false"),B2,R95),R95))</f>
        <v>#VALUE!</v>
      </c>
      <c r="S95" t="e">
        <f ca="1">IF((A1)=(2),"",IF((92)=(S3),IF(IF((INDEX(B1:XFD1,((A2)+(1))+(0)))=("store"),(INDEX(B1:XFD1,((A2)+(1))+(1)))=("S"),"false"),B2,S95),S95))</f>
        <v>#VALUE!</v>
      </c>
      <c r="T95" t="e">
        <f ca="1">IF((A1)=(2),"",IF((92)=(T3),IF(IF((INDEX(B1:XFD1,((A2)+(1))+(0)))=("store"),(INDEX(B1:XFD1,((A2)+(1))+(1)))=("T"),"false"),B2,T95),T95))</f>
        <v>#VALUE!</v>
      </c>
      <c r="U95" t="e">
        <f ca="1">IF((A1)=(2),"",IF((92)=(U3),IF(IF((INDEX(B1:XFD1,((A2)+(1))+(0)))=("store"),(INDEX(B1:XFD1,((A2)+(1))+(1)))=("U"),"false"),B2,U95),U95))</f>
        <v>#VALUE!</v>
      </c>
      <c r="V95" t="e">
        <f ca="1">IF((A1)=(2),"",IF((92)=(V3),IF(IF((INDEX(B1:XFD1,((A2)+(1))+(0)))=("store"),(INDEX(B1:XFD1,((A2)+(1))+(1)))=("V"),"false"),B2,V95),V95))</f>
        <v>#VALUE!</v>
      </c>
      <c r="W95" t="e">
        <f ca="1">IF((A1)=(2),"",IF((92)=(W3),IF(IF((INDEX(B1:XFD1,((A2)+(1))+(0)))=("store"),(INDEX(B1:XFD1,((A2)+(1))+(1)))=("W"),"false"),B2,W95),W95))</f>
        <v>#VALUE!</v>
      </c>
      <c r="X95" t="e">
        <f ca="1">IF((A1)=(2),"",IF((92)=(X3),IF(IF((INDEX(B1:XFD1,((A2)+(1))+(0)))=("store"),(INDEX(B1:XFD1,((A2)+(1))+(1)))=("X"),"false"),B2,X95),X95))</f>
        <v>#VALUE!</v>
      </c>
      <c r="Y95" t="e">
        <f ca="1">IF((A1)=(2),"",IF((92)=(Y3),IF(IF((INDEX(B1:XFD1,((A2)+(1))+(0)))=("store"),(INDEX(B1:XFD1,((A2)+(1))+(1)))=("Y"),"false"),B2,Y95),Y95))</f>
        <v>#VALUE!</v>
      </c>
      <c r="Z95" t="e">
        <f ca="1">IF((A1)=(2),"",IF((92)=(Z3),IF(IF((INDEX(B1:XFD1,((A2)+(1))+(0)))=("store"),(INDEX(B1:XFD1,((A2)+(1))+(1)))=("Z"),"false"),B2,Z95),Z95))</f>
        <v>#VALUE!</v>
      </c>
      <c r="AA95" t="e">
        <f ca="1">IF((A1)=(2),"",IF((92)=(AA3),IF(IF((INDEX(B1:XFD1,((A2)+(1))+(0)))=("store"),(INDEX(B1:XFD1,((A2)+(1))+(1)))=("AA"),"false"),B2,AA95),AA95))</f>
        <v>#VALUE!</v>
      </c>
      <c r="AB95" t="e">
        <f ca="1">IF((A1)=(2),"",IF((92)=(AB3),IF(IF((INDEX(B1:XFD1,((A2)+(1))+(0)))=("store"),(INDEX(B1:XFD1,((A2)+(1))+(1)))=("AB"),"false"),B2,AB95),AB95))</f>
        <v>#VALUE!</v>
      </c>
      <c r="AC95" t="e">
        <f ca="1">IF((A1)=(2),"",IF((92)=(AC3),IF(IF((INDEX(B1:XFD1,((A2)+(1))+(0)))=("store"),(INDEX(B1:XFD1,((A2)+(1))+(1)))=("AC"),"false"),B2,AC95),AC95))</f>
        <v>#VALUE!</v>
      </c>
      <c r="AD95" t="e">
        <f ca="1">IF((A1)=(2),"",IF((92)=(AD3),IF(IF((INDEX(B1:XFD1,((A2)+(1))+(0)))=("store"),(INDEX(B1:XFD1,((A2)+(1))+(1)))=("AD"),"false"),B2,AD95),AD95))</f>
        <v>#VALUE!</v>
      </c>
    </row>
    <row r="96" spans="1:30" x14ac:dyDescent="0.25">
      <c r="A96" t="e">
        <f ca="1">IF((A1)=(2),"",IF((93)=(A3),IF(("call")=(INDEX(B1:XFD1,((A2)+(1))+(0))),(B2)*(2),IF(("goto")=(INDEX(B1:XFD1,((A2)+(1))+(0))),(INDEX(B1:XFD1,((A2)+(1))+(1)))*(2),IF(("gotoiftrue")=(INDEX(B1:XFD1,((A2)+(1))+(0))),IF(B2,(INDEX(B1:XFD1,((A2)+(1))+(1)))*(2),(A96)+(2)),(A96)+(2)))),A96))</f>
        <v>#VALUE!</v>
      </c>
      <c r="B96" t="e">
        <f ca="1">IF((A1)=(2),"",IF((93)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96)+(1)),IF(("add")=(INDEX(B1:XFD1,((A2)+(1))+(0))),(INDEX(B4:B404,(B3)+(1)))+(B96),IF(("equals")=(INDEX(B1:XFD1,((A2)+(1))+(0))),(INDEX(B4:B404,(B3)+(1)))=(B96),IF(("leq")=(INDEX(B1:XFD1,((A2)+(1))+(0))),(INDEX(B4:B404,(B3)+(1)))&lt;=(B96),IF(("greater")=(INDEX(B1:XFD1,((A2)+(1))+(0))),(INDEX(B4:B404,(B3)+(1)))&gt;(B96),IF(("mod")=(INDEX(B1:XFD1,((A2)+(1))+(0))),MOD(INDEX(B4:B404,(B3)+(1)),B96),B96))))))))),B96))</f>
        <v>#VALUE!</v>
      </c>
      <c r="C96" t="e">
        <f ca="1">IF((A1)=(2),1,IF(AND((INDEX(B1:XFD1,((A2)+(1))+(0)))=("writeheap"),(INDEX(B4:B404,(B3)+(1)))=(92)),INDEX(B4:B404,(B3)+(2)),IF((A1)=(2),"",IF((93)=(C3),C96,C96))))</f>
        <v>#VALUE!</v>
      </c>
      <c r="E96" t="e">
        <f ca="1">IF((A1)=(2),"",IF((93)=(E3),IF(("outputline")=(INDEX(B1:XFD1,((A2)+(1))+(0))),B2,E96),E96))</f>
        <v>#VALUE!</v>
      </c>
      <c r="F96" t="e">
        <f ca="1">IF((A1)=(2),"",IF((93)=(F3),IF(IF((INDEX(B1:XFD1,((A2)+(1))+(0)))=("store"),(INDEX(B1:XFD1,((A2)+(1))+(1)))=("F"),"false"),B2,F96),F96))</f>
        <v>#VALUE!</v>
      </c>
      <c r="G96" t="e">
        <f ca="1">IF((A1)=(2),"",IF((93)=(G3),IF(IF((INDEX(B1:XFD1,((A2)+(1))+(0)))=("store"),(INDEX(B1:XFD1,((A2)+(1))+(1)))=("G"),"false"),B2,G96),G96))</f>
        <v>#VALUE!</v>
      </c>
      <c r="H96" t="e">
        <f ca="1">IF((A1)=(2),"",IF((93)=(H3),IF(IF((INDEX(B1:XFD1,((A2)+(1))+(0)))=("store"),(INDEX(B1:XFD1,((A2)+(1))+(1)))=("H"),"false"),B2,H96),H96))</f>
        <v>#VALUE!</v>
      </c>
      <c r="I96" t="e">
        <f ca="1">IF((A1)=(2),"",IF((93)=(I3),IF(IF((INDEX(B1:XFD1,((A2)+(1))+(0)))=("store"),(INDEX(B1:XFD1,((A2)+(1))+(1)))=("I"),"false"),B2,I96),I96))</f>
        <v>#VALUE!</v>
      </c>
      <c r="J96" t="e">
        <f ca="1">IF((A1)=(2),"",IF((93)=(J3),IF(IF((INDEX(B1:XFD1,((A2)+(1))+(0)))=("store"),(INDEX(B1:XFD1,((A2)+(1))+(1)))=("J"),"false"),B2,J96),J96))</f>
        <v>#VALUE!</v>
      </c>
      <c r="K96" t="e">
        <f ca="1">IF((A1)=(2),"",IF((93)=(K3),IF(IF((INDEX(B1:XFD1,((A2)+(1))+(0)))=("store"),(INDEX(B1:XFD1,((A2)+(1))+(1)))=("K"),"false"),B2,K96),K96))</f>
        <v>#VALUE!</v>
      </c>
      <c r="L96" t="e">
        <f ca="1">IF((A1)=(2),"",IF((93)=(L3),IF(IF((INDEX(B1:XFD1,((A2)+(1))+(0)))=("store"),(INDEX(B1:XFD1,((A2)+(1))+(1)))=("L"),"false"),B2,L96),L96))</f>
        <v>#VALUE!</v>
      </c>
      <c r="M96" t="e">
        <f ca="1">IF((A1)=(2),"",IF((93)=(M3),IF(IF((INDEX(B1:XFD1,((A2)+(1))+(0)))=("store"),(INDEX(B1:XFD1,((A2)+(1))+(1)))=("M"),"false"),B2,M96),M96))</f>
        <v>#VALUE!</v>
      </c>
      <c r="N96" t="e">
        <f ca="1">IF((A1)=(2),"",IF((93)=(N3),IF(IF((INDEX(B1:XFD1,((A2)+(1))+(0)))=("store"),(INDEX(B1:XFD1,((A2)+(1))+(1)))=("N"),"false"),B2,N96),N96))</f>
        <v>#VALUE!</v>
      </c>
      <c r="O96" t="e">
        <f ca="1">IF((A1)=(2),"",IF((93)=(O3),IF(IF((INDEX(B1:XFD1,((A2)+(1))+(0)))=("store"),(INDEX(B1:XFD1,((A2)+(1))+(1)))=("O"),"false"),B2,O96),O96))</f>
        <v>#VALUE!</v>
      </c>
      <c r="P96" t="e">
        <f ca="1">IF((A1)=(2),"",IF((93)=(P3),IF(IF((INDEX(B1:XFD1,((A2)+(1))+(0)))=("store"),(INDEX(B1:XFD1,((A2)+(1))+(1)))=("P"),"false"),B2,P96),P96))</f>
        <v>#VALUE!</v>
      </c>
      <c r="Q96" t="e">
        <f ca="1">IF((A1)=(2),"",IF((93)=(Q3),IF(IF((INDEX(B1:XFD1,((A2)+(1))+(0)))=("store"),(INDEX(B1:XFD1,((A2)+(1))+(1)))=("Q"),"false"),B2,Q96),Q96))</f>
        <v>#VALUE!</v>
      </c>
      <c r="R96" t="e">
        <f ca="1">IF((A1)=(2),"",IF((93)=(R3),IF(IF((INDEX(B1:XFD1,((A2)+(1))+(0)))=("store"),(INDEX(B1:XFD1,((A2)+(1))+(1)))=("R"),"false"),B2,R96),R96))</f>
        <v>#VALUE!</v>
      </c>
      <c r="S96" t="e">
        <f ca="1">IF((A1)=(2),"",IF((93)=(S3),IF(IF((INDEX(B1:XFD1,((A2)+(1))+(0)))=("store"),(INDEX(B1:XFD1,((A2)+(1))+(1)))=("S"),"false"),B2,S96),S96))</f>
        <v>#VALUE!</v>
      </c>
      <c r="T96" t="e">
        <f ca="1">IF((A1)=(2),"",IF((93)=(T3),IF(IF((INDEX(B1:XFD1,((A2)+(1))+(0)))=("store"),(INDEX(B1:XFD1,((A2)+(1))+(1)))=("T"),"false"),B2,T96),T96))</f>
        <v>#VALUE!</v>
      </c>
      <c r="U96" t="e">
        <f ca="1">IF((A1)=(2),"",IF((93)=(U3),IF(IF((INDEX(B1:XFD1,((A2)+(1))+(0)))=("store"),(INDEX(B1:XFD1,((A2)+(1))+(1)))=("U"),"false"),B2,U96),U96))</f>
        <v>#VALUE!</v>
      </c>
      <c r="V96" t="e">
        <f ca="1">IF((A1)=(2),"",IF((93)=(V3),IF(IF((INDEX(B1:XFD1,((A2)+(1))+(0)))=("store"),(INDEX(B1:XFD1,((A2)+(1))+(1)))=("V"),"false"),B2,V96),V96))</f>
        <v>#VALUE!</v>
      </c>
      <c r="W96" t="e">
        <f ca="1">IF((A1)=(2),"",IF((93)=(W3),IF(IF((INDEX(B1:XFD1,((A2)+(1))+(0)))=("store"),(INDEX(B1:XFD1,((A2)+(1))+(1)))=("W"),"false"),B2,W96),W96))</f>
        <v>#VALUE!</v>
      </c>
      <c r="X96" t="e">
        <f ca="1">IF((A1)=(2),"",IF((93)=(X3),IF(IF((INDEX(B1:XFD1,((A2)+(1))+(0)))=("store"),(INDEX(B1:XFD1,((A2)+(1))+(1)))=("X"),"false"),B2,X96),X96))</f>
        <v>#VALUE!</v>
      </c>
      <c r="Y96" t="e">
        <f ca="1">IF((A1)=(2),"",IF((93)=(Y3),IF(IF((INDEX(B1:XFD1,((A2)+(1))+(0)))=("store"),(INDEX(B1:XFD1,((A2)+(1))+(1)))=("Y"),"false"),B2,Y96),Y96))</f>
        <v>#VALUE!</v>
      </c>
      <c r="Z96" t="e">
        <f ca="1">IF((A1)=(2),"",IF((93)=(Z3),IF(IF((INDEX(B1:XFD1,((A2)+(1))+(0)))=("store"),(INDEX(B1:XFD1,((A2)+(1))+(1)))=("Z"),"false"),B2,Z96),Z96))</f>
        <v>#VALUE!</v>
      </c>
      <c r="AA96" t="e">
        <f ca="1">IF((A1)=(2),"",IF((93)=(AA3),IF(IF((INDEX(B1:XFD1,((A2)+(1))+(0)))=("store"),(INDEX(B1:XFD1,((A2)+(1))+(1)))=("AA"),"false"),B2,AA96),AA96))</f>
        <v>#VALUE!</v>
      </c>
      <c r="AB96" t="e">
        <f ca="1">IF((A1)=(2),"",IF((93)=(AB3),IF(IF((INDEX(B1:XFD1,((A2)+(1))+(0)))=("store"),(INDEX(B1:XFD1,((A2)+(1))+(1)))=("AB"),"false"),B2,AB96),AB96))</f>
        <v>#VALUE!</v>
      </c>
      <c r="AC96" t="e">
        <f ca="1">IF((A1)=(2),"",IF((93)=(AC3),IF(IF((INDEX(B1:XFD1,((A2)+(1))+(0)))=("store"),(INDEX(B1:XFD1,((A2)+(1))+(1)))=("AC"),"false"),B2,AC96),AC96))</f>
        <v>#VALUE!</v>
      </c>
      <c r="AD96" t="e">
        <f ca="1">IF((A1)=(2),"",IF((93)=(AD3),IF(IF((INDEX(B1:XFD1,((A2)+(1))+(0)))=("store"),(INDEX(B1:XFD1,((A2)+(1))+(1)))=("AD"),"false"),B2,AD96),AD96))</f>
        <v>#VALUE!</v>
      </c>
    </row>
    <row r="97" spans="1:30" x14ac:dyDescent="0.25">
      <c r="A97" t="e">
        <f ca="1">IF((A1)=(2),"",IF((94)=(A3),IF(("call")=(INDEX(B1:XFD1,((A2)+(1))+(0))),(B2)*(2),IF(("goto")=(INDEX(B1:XFD1,((A2)+(1))+(0))),(INDEX(B1:XFD1,((A2)+(1))+(1)))*(2),IF(("gotoiftrue")=(INDEX(B1:XFD1,((A2)+(1))+(0))),IF(B2,(INDEX(B1:XFD1,((A2)+(1))+(1)))*(2),(A97)+(2)),(A97)+(2)))),A97))</f>
        <v>#VALUE!</v>
      </c>
      <c r="B97" t="e">
        <f ca="1">IF((A1)=(2),"",IF((94)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97)+(1)),IF(("add")=(INDEX(B1:XFD1,((A2)+(1))+(0))),(INDEX(B4:B404,(B3)+(1)))+(B97),IF(("equals")=(INDEX(B1:XFD1,((A2)+(1))+(0))),(INDEX(B4:B404,(B3)+(1)))=(B97),IF(("leq")=(INDEX(B1:XFD1,((A2)+(1))+(0))),(INDEX(B4:B404,(B3)+(1)))&lt;=(B97),IF(("greater")=(INDEX(B1:XFD1,((A2)+(1))+(0))),(INDEX(B4:B404,(B3)+(1)))&gt;(B97),IF(("mod")=(INDEX(B1:XFD1,((A2)+(1))+(0))),MOD(INDEX(B4:B404,(B3)+(1)),B97),B97))))))))),B97))</f>
        <v>#VALUE!</v>
      </c>
      <c r="C97" t="e">
        <f ca="1">IF((A1)=(2),1,IF(AND((INDEX(B1:XFD1,((A2)+(1))+(0)))=("writeheap"),(INDEX(B4:B404,(B3)+(1)))=(93)),INDEX(B4:B404,(B3)+(2)),IF((A1)=(2),"",IF((94)=(C3),C97,C97))))</f>
        <v>#VALUE!</v>
      </c>
      <c r="E97" t="e">
        <f ca="1">IF((A1)=(2),"",IF((94)=(E3),IF(("outputline")=(INDEX(B1:XFD1,((A2)+(1))+(0))),B2,E97),E97))</f>
        <v>#VALUE!</v>
      </c>
      <c r="F97" t="e">
        <f ca="1">IF((A1)=(2),"",IF((94)=(F3),IF(IF((INDEX(B1:XFD1,((A2)+(1))+(0)))=("store"),(INDEX(B1:XFD1,((A2)+(1))+(1)))=("F"),"false"),B2,F97),F97))</f>
        <v>#VALUE!</v>
      </c>
      <c r="G97" t="e">
        <f ca="1">IF((A1)=(2),"",IF((94)=(G3),IF(IF((INDEX(B1:XFD1,((A2)+(1))+(0)))=("store"),(INDEX(B1:XFD1,((A2)+(1))+(1)))=("G"),"false"),B2,G97),G97))</f>
        <v>#VALUE!</v>
      </c>
      <c r="H97" t="e">
        <f ca="1">IF((A1)=(2),"",IF((94)=(H3),IF(IF((INDEX(B1:XFD1,((A2)+(1))+(0)))=("store"),(INDEX(B1:XFD1,((A2)+(1))+(1)))=("H"),"false"),B2,H97),H97))</f>
        <v>#VALUE!</v>
      </c>
      <c r="I97" t="e">
        <f ca="1">IF((A1)=(2),"",IF((94)=(I3),IF(IF((INDEX(B1:XFD1,((A2)+(1))+(0)))=("store"),(INDEX(B1:XFD1,((A2)+(1))+(1)))=("I"),"false"),B2,I97),I97))</f>
        <v>#VALUE!</v>
      </c>
      <c r="J97" t="e">
        <f ca="1">IF((A1)=(2),"",IF((94)=(J3),IF(IF((INDEX(B1:XFD1,((A2)+(1))+(0)))=("store"),(INDEX(B1:XFD1,((A2)+(1))+(1)))=("J"),"false"),B2,J97),J97))</f>
        <v>#VALUE!</v>
      </c>
      <c r="K97" t="e">
        <f ca="1">IF((A1)=(2),"",IF((94)=(K3),IF(IF((INDEX(B1:XFD1,((A2)+(1))+(0)))=("store"),(INDEX(B1:XFD1,((A2)+(1))+(1)))=("K"),"false"),B2,K97),K97))</f>
        <v>#VALUE!</v>
      </c>
      <c r="L97" t="e">
        <f ca="1">IF((A1)=(2),"",IF((94)=(L3),IF(IF((INDEX(B1:XFD1,((A2)+(1))+(0)))=("store"),(INDEX(B1:XFD1,((A2)+(1))+(1)))=("L"),"false"),B2,L97),L97))</f>
        <v>#VALUE!</v>
      </c>
      <c r="M97" t="e">
        <f ca="1">IF((A1)=(2),"",IF((94)=(M3),IF(IF((INDEX(B1:XFD1,((A2)+(1))+(0)))=("store"),(INDEX(B1:XFD1,((A2)+(1))+(1)))=("M"),"false"),B2,M97),M97))</f>
        <v>#VALUE!</v>
      </c>
      <c r="N97" t="e">
        <f ca="1">IF((A1)=(2),"",IF((94)=(N3),IF(IF((INDEX(B1:XFD1,((A2)+(1))+(0)))=("store"),(INDEX(B1:XFD1,((A2)+(1))+(1)))=("N"),"false"),B2,N97),N97))</f>
        <v>#VALUE!</v>
      </c>
      <c r="O97" t="e">
        <f ca="1">IF((A1)=(2),"",IF((94)=(O3),IF(IF((INDEX(B1:XFD1,((A2)+(1))+(0)))=("store"),(INDEX(B1:XFD1,((A2)+(1))+(1)))=("O"),"false"),B2,O97),O97))</f>
        <v>#VALUE!</v>
      </c>
      <c r="P97" t="e">
        <f ca="1">IF((A1)=(2),"",IF((94)=(P3),IF(IF((INDEX(B1:XFD1,((A2)+(1))+(0)))=("store"),(INDEX(B1:XFD1,((A2)+(1))+(1)))=("P"),"false"),B2,P97),P97))</f>
        <v>#VALUE!</v>
      </c>
      <c r="Q97" t="e">
        <f ca="1">IF((A1)=(2),"",IF((94)=(Q3),IF(IF((INDEX(B1:XFD1,((A2)+(1))+(0)))=("store"),(INDEX(B1:XFD1,((A2)+(1))+(1)))=("Q"),"false"),B2,Q97),Q97))</f>
        <v>#VALUE!</v>
      </c>
      <c r="R97" t="e">
        <f ca="1">IF((A1)=(2),"",IF((94)=(R3),IF(IF((INDEX(B1:XFD1,((A2)+(1))+(0)))=("store"),(INDEX(B1:XFD1,((A2)+(1))+(1)))=("R"),"false"),B2,R97),R97))</f>
        <v>#VALUE!</v>
      </c>
      <c r="S97" t="e">
        <f ca="1">IF((A1)=(2),"",IF((94)=(S3),IF(IF((INDEX(B1:XFD1,((A2)+(1))+(0)))=("store"),(INDEX(B1:XFD1,((A2)+(1))+(1)))=("S"),"false"),B2,S97),S97))</f>
        <v>#VALUE!</v>
      </c>
      <c r="T97" t="e">
        <f ca="1">IF((A1)=(2),"",IF((94)=(T3),IF(IF((INDEX(B1:XFD1,((A2)+(1))+(0)))=("store"),(INDEX(B1:XFD1,((A2)+(1))+(1)))=("T"),"false"),B2,T97),T97))</f>
        <v>#VALUE!</v>
      </c>
      <c r="U97" t="e">
        <f ca="1">IF((A1)=(2),"",IF((94)=(U3),IF(IF((INDEX(B1:XFD1,((A2)+(1))+(0)))=("store"),(INDEX(B1:XFD1,((A2)+(1))+(1)))=("U"),"false"),B2,U97),U97))</f>
        <v>#VALUE!</v>
      </c>
      <c r="V97" t="e">
        <f ca="1">IF((A1)=(2),"",IF((94)=(V3),IF(IF((INDEX(B1:XFD1,((A2)+(1))+(0)))=("store"),(INDEX(B1:XFD1,((A2)+(1))+(1)))=("V"),"false"),B2,V97),V97))</f>
        <v>#VALUE!</v>
      </c>
      <c r="W97" t="e">
        <f ca="1">IF((A1)=(2),"",IF((94)=(W3),IF(IF((INDEX(B1:XFD1,((A2)+(1))+(0)))=("store"),(INDEX(B1:XFD1,((A2)+(1))+(1)))=("W"),"false"),B2,W97),W97))</f>
        <v>#VALUE!</v>
      </c>
      <c r="X97" t="e">
        <f ca="1">IF((A1)=(2),"",IF((94)=(X3),IF(IF((INDEX(B1:XFD1,((A2)+(1))+(0)))=("store"),(INDEX(B1:XFD1,((A2)+(1))+(1)))=("X"),"false"),B2,X97),X97))</f>
        <v>#VALUE!</v>
      </c>
      <c r="Y97" t="e">
        <f ca="1">IF((A1)=(2),"",IF((94)=(Y3),IF(IF((INDEX(B1:XFD1,((A2)+(1))+(0)))=("store"),(INDEX(B1:XFD1,((A2)+(1))+(1)))=("Y"),"false"),B2,Y97),Y97))</f>
        <v>#VALUE!</v>
      </c>
      <c r="Z97" t="e">
        <f ca="1">IF((A1)=(2),"",IF((94)=(Z3),IF(IF((INDEX(B1:XFD1,((A2)+(1))+(0)))=("store"),(INDEX(B1:XFD1,((A2)+(1))+(1)))=("Z"),"false"),B2,Z97),Z97))</f>
        <v>#VALUE!</v>
      </c>
      <c r="AA97" t="e">
        <f ca="1">IF((A1)=(2),"",IF((94)=(AA3),IF(IF((INDEX(B1:XFD1,((A2)+(1))+(0)))=("store"),(INDEX(B1:XFD1,((A2)+(1))+(1)))=("AA"),"false"),B2,AA97),AA97))</f>
        <v>#VALUE!</v>
      </c>
      <c r="AB97" t="e">
        <f ca="1">IF((A1)=(2),"",IF((94)=(AB3),IF(IF((INDEX(B1:XFD1,((A2)+(1))+(0)))=("store"),(INDEX(B1:XFD1,((A2)+(1))+(1)))=("AB"),"false"),B2,AB97),AB97))</f>
        <v>#VALUE!</v>
      </c>
      <c r="AC97" t="e">
        <f ca="1">IF((A1)=(2),"",IF((94)=(AC3),IF(IF((INDEX(B1:XFD1,((A2)+(1))+(0)))=("store"),(INDEX(B1:XFD1,((A2)+(1))+(1)))=("AC"),"false"),B2,AC97),AC97))</f>
        <v>#VALUE!</v>
      </c>
      <c r="AD97" t="e">
        <f ca="1">IF((A1)=(2),"",IF((94)=(AD3),IF(IF((INDEX(B1:XFD1,((A2)+(1))+(0)))=("store"),(INDEX(B1:XFD1,((A2)+(1))+(1)))=("AD"),"false"),B2,AD97),AD97))</f>
        <v>#VALUE!</v>
      </c>
    </row>
    <row r="98" spans="1:30" x14ac:dyDescent="0.25">
      <c r="A98" t="e">
        <f ca="1">IF((A1)=(2),"",IF((95)=(A3),IF(("call")=(INDEX(B1:XFD1,((A2)+(1))+(0))),(B2)*(2),IF(("goto")=(INDEX(B1:XFD1,((A2)+(1))+(0))),(INDEX(B1:XFD1,((A2)+(1))+(1)))*(2),IF(("gotoiftrue")=(INDEX(B1:XFD1,((A2)+(1))+(0))),IF(B2,(INDEX(B1:XFD1,((A2)+(1))+(1)))*(2),(A98)+(2)),(A98)+(2)))),A98))</f>
        <v>#VALUE!</v>
      </c>
      <c r="B98" t="e">
        <f ca="1">IF((A1)=(2),"",IF((95)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98)+(1)),IF(("add")=(INDEX(B1:XFD1,((A2)+(1))+(0))),(INDEX(B4:B404,(B3)+(1)))+(B98),IF(("equals")=(INDEX(B1:XFD1,((A2)+(1))+(0))),(INDEX(B4:B404,(B3)+(1)))=(B98),IF(("leq")=(INDEX(B1:XFD1,((A2)+(1))+(0))),(INDEX(B4:B404,(B3)+(1)))&lt;=(B98),IF(("greater")=(INDEX(B1:XFD1,((A2)+(1))+(0))),(INDEX(B4:B404,(B3)+(1)))&gt;(B98),IF(("mod")=(INDEX(B1:XFD1,((A2)+(1))+(0))),MOD(INDEX(B4:B404,(B3)+(1)),B98),B98))))))))),B98))</f>
        <v>#VALUE!</v>
      </c>
      <c r="C98" t="e">
        <f ca="1">IF((A1)=(2),1,IF(AND((INDEX(B1:XFD1,((A2)+(1))+(0)))=("writeheap"),(INDEX(B4:B404,(B3)+(1)))=(94)),INDEX(B4:B404,(B3)+(2)),IF((A1)=(2),"",IF((95)=(C3),C98,C98))))</f>
        <v>#VALUE!</v>
      </c>
      <c r="E98" t="e">
        <f ca="1">IF((A1)=(2),"",IF((95)=(E3),IF(("outputline")=(INDEX(B1:XFD1,((A2)+(1))+(0))),B2,E98),E98))</f>
        <v>#VALUE!</v>
      </c>
      <c r="F98" t="e">
        <f ca="1">IF((A1)=(2),"",IF((95)=(F3),IF(IF((INDEX(B1:XFD1,((A2)+(1))+(0)))=("store"),(INDEX(B1:XFD1,((A2)+(1))+(1)))=("F"),"false"),B2,F98),F98))</f>
        <v>#VALUE!</v>
      </c>
      <c r="G98" t="e">
        <f ca="1">IF((A1)=(2),"",IF((95)=(G3),IF(IF((INDEX(B1:XFD1,((A2)+(1))+(0)))=("store"),(INDEX(B1:XFD1,((A2)+(1))+(1)))=("G"),"false"),B2,G98),G98))</f>
        <v>#VALUE!</v>
      </c>
      <c r="H98" t="e">
        <f ca="1">IF((A1)=(2),"",IF((95)=(H3),IF(IF((INDEX(B1:XFD1,((A2)+(1))+(0)))=("store"),(INDEX(B1:XFD1,((A2)+(1))+(1)))=("H"),"false"),B2,H98),H98))</f>
        <v>#VALUE!</v>
      </c>
      <c r="I98" t="e">
        <f ca="1">IF((A1)=(2),"",IF((95)=(I3),IF(IF((INDEX(B1:XFD1,((A2)+(1))+(0)))=("store"),(INDEX(B1:XFD1,((A2)+(1))+(1)))=("I"),"false"),B2,I98),I98))</f>
        <v>#VALUE!</v>
      </c>
      <c r="J98" t="e">
        <f ca="1">IF((A1)=(2),"",IF((95)=(J3),IF(IF((INDEX(B1:XFD1,((A2)+(1))+(0)))=("store"),(INDEX(B1:XFD1,((A2)+(1))+(1)))=("J"),"false"),B2,J98),J98))</f>
        <v>#VALUE!</v>
      </c>
      <c r="K98" t="e">
        <f ca="1">IF((A1)=(2),"",IF((95)=(K3),IF(IF((INDEX(B1:XFD1,((A2)+(1))+(0)))=("store"),(INDEX(B1:XFD1,((A2)+(1))+(1)))=("K"),"false"),B2,K98),K98))</f>
        <v>#VALUE!</v>
      </c>
      <c r="L98" t="e">
        <f ca="1">IF((A1)=(2),"",IF((95)=(L3),IF(IF((INDEX(B1:XFD1,((A2)+(1))+(0)))=("store"),(INDEX(B1:XFD1,((A2)+(1))+(1)))=("L"),"false"),B2,L98),L98))</f>
        <v>#VALUE!</v>
      </c>
      <c r="M98" t="e">
        <f ca="1">IF((A1)=(2),"",IF((95)=(M3),IF(IF((INDEX(B1:XFD1,((A2)+(1))+(0)))=("store"),(INDEX(B1:XFD1,((A2)+(1))+(1)))=("M"),"false"),B2,M98),M98))</f>
        <v>#VALUE!</v>
      </c>
      <c r="N98" t="e">
        <f ca="1">IF((A1)=(2),"",IF((95)=(N3),IF(IF((INDEX(B1:XFD1,((A2)+(1))+(0)))=("store"),(INDEX(B1:XFD1,((A2)+(1))+(1)))=("N"),"false"),B2,N98),N98))</f>
        <v>#VALUE!</v>
      </c>
      <c r="O98" t="e">
        <f ca="1">IF((A1)=(2),"",IF((95)=(O3),IF(IF((INDEX(B1:XFD1,((A2)+(1))+(0)))=("store"),(INDEX(B1:XFD1,((A2)+(1))+(1)))=("O"),"false"),B2,O98),O98))</f>
        <v>#VALUE!</v>
      </c>
      <c r="P98" t="e">
        <f ca="1">IF((A1)=(2),"",IF((95)=(P3),IF(IF((INDEX(B1:XFD1,((A2)+(1))+(0)))=("store"),(INDEX(B1:XFD1,((A2)+(1))+(1)))=("P"),"false"),B2,P98),P98))</f>
        <v>#VALUE!</v>
      </c>
      <c r="Q98" t="e">
        <f ca="1">IF((A1)=(2),"",IF((95)=(Q3),IF(IF((INDEX(B1:XFD1,((A2)+(1))+(0)))=("store"),(INDEX(B1:XFD1,((A2)+(1))+(1)))=("Q"),"false"),B2,Q98),Q98))</f>
        <v>#VALUE!</v>
      </c>
      <c r="R98" t="e">
        <f ca="1">IF((A1)=(2),"",IF((95)=(R3),IF(IF((INDEX(B1:XFD1,((A2)+(1))+(0)))=("store"),(INDEX(B1:XFD1,((A2)+(1))+(1)))=("R"),"false"),B2,R98),R98))</f>
        <v>#VALUE!</v>
      </c>
      <c r="S98" t="e">
        <f ca="1">IF((A1)=(2),"",IF((95)=(S3),IF(IF((INDEX(B1:XFD1,((A2)+(1))+(0)))=("store"),(INDEX(B1:XFD1,((A2)+(1))+(1)))=("S"),"false"),B2,S98),S98))</f>
        <v>#VALUE!</v>
      </c>
      <c r="T98" t="e">
        <f ca="1">IF((A1)=(2),"",IF((95)=(T3),IF(IF((INDEX(B1:XFD1,((A2)+(1))+(0)))=("store"),(INDEX(B1:XFD1,((A2)+(1))+(1)))=("T"),"false"),B2,T98),T98))</f>
        <v>#VALUE!</v>
      </c>
      <c r="U98" t="e">
        <f ca="1">IF((A1)=(2),"",IF((95)=(U3),IF(IF((INDEX(B1:XFD1,((A2)+(1))+(0)))=("store"),(INDEX(B1:XFD1,((A2)+(1))+(1)))=("U"),"false"),B2,U98),U98))</f>
        <v>#VALUE!</v>
      </c>
      <c r="V98" t="e">
        <f ca="1">IF((A1)=(2),"",IF((95)=(V3),IF(IF((INDEX(B1:XFD1,((A2)+(1))+(0)))=("store"),(INDEX(B1:XFD1,((A2)+(1))+(1)))=("V"),"false"),B2,V98),V98))</f>
        <v>#VALUE!</v>
      </c>
      <c r="W98" t="e">
        <f ca="1">IF((A1)=(2),"",IF((95)=(W3),IF(IF((INDEX(B1:XFD1,((A2)+(1))+(0)))=("store"),(INDEX(B1:XFD1,((A2)+(1))+(1)))=("W"),"false"),B2,W98),W98))</f>
        <v>#VALUE!</v>
      </c>
      <c r="X98" t="e">
        <f ca="1">IF((A1)=(2),"",IF((95)=(X3),IF(IF((INDEX(B1:XFD1,((A2)+(1))+(0)))=("store"),(INDEX(B1:XFD1,((A2)+(1))+(1)))=("X"),"false"),B2,X98),X98))</f>
        <v>#VALUE!</v>
      </c>
      <c r="Y98" t="e">
        <f ca="1">IF((A1)=(2),"",IF((95)=(Y3),IF(IF((INDEX(B1:XFD1,((A2)+(1))+(0)))=("store"),(INDEX(B1:XFD1,((A2)+(1))+(1)))=("Y"),"false"),B2,Y98),Y98))</f>
        <v>#VALUE!</v>
      </c>
      <c r="Z98" t="e">
        <f ca="1">IF((A1)=(2),"",IF((95)=(Z3),IF(IF((INDEX(B1:XFD1,((A2)+(1))+(0)))=("store"),(INDEX(B1:XFD1,((A2)+(1))+(1)))=("Z"),"false"),B2,Z98),Z98))</f>
        <v>#VALUE!</v>
      </c>
      <c r="AA98" t="e">
        <f ca="1">IF((A1)=(2),"",IF((95)=(AA3),IF(IF((INDEX(B1:XFD1,((A2)+(1))+(0)))=("store"),(INDEX(B1:XFD1,((A2)+(1))+(1)))=("AA"),"false"),B2,AA98),AA98))</f>
        <v>#VALUE!</v>
      </c>
      <c r="AB98" t="e">
        <f ca="1">IF((A1)=(2),"",IF((95)=(AB3),IF(IF((INDEX(B1:XFD1,((A2)+(1))+(0)))=("store"),(INDEX(B1:XFD1,((A2)+(1))+(1)))=("AB"),"false"),B2,AB98),AB98))</f>
        <v>#VALUE!</v>
      </c>
      <c r="AC98" t="e">
        <f ca="1">IF((A1)=(2),"",IF((95)=(AC3),IF(IF((INDEX(B1:XFD1,((A2)+(1))+(0)))=("store"),(INDEX(B1:XFD1,((A2)+(1))+(1)))=("AC"),"false"),B2,AC98),AC98))</f>
        <v>#VALUE!</v>
      </c>
      <c r="AD98" t="e">
        <f ca="1">IF((A1)=(2),"",IF((95)=(AD3),IF(IF((INDEX(B1:XFD1,((A2)+(1))+(0)))=("store"),(INDEX(B1:XFD1,((A2)+(1))+(1)))=("AD"),"false"),B2,AD98),AD98))</f>
        <v>#VALUE!</v>
      </c>
    </row>
    <row r="99" spans="1:30" x14ac:dyDescent="0.25">
      <c r="A99" t="e">
        <f ca="1">IF((A1)=(2),"",IF((96)=(A3),IF(("call")=(INDEX(B1:XFD1,((A2)+(1))+(0))),(B2)*(2),IF(("goto")=(INDEX(B1:XFD1,((A2)+(1))+(0))),(INDEX(B1:XFD1,((A2)+(1))+(1)))*(2),IF(("gotoiftrue")=(INDEX(B1:XFD1,((A2)+(1))+(0))),IF(B2,(INDEX(B1:XFD1,((A2)+(1))+(1)))*(2),(A99)+(2)),(A99)+(2)))),A99))</f>
        <v>#VALUE!</v>
      </c>
      <c r="B99" t="e">
        <f ca="1">IF((A1)=(2),"",IF((96)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99)+(1)),IF(("add")=(INDEX(B1:XFD1,((A2)+(1))+(0))),(INDEX(B4:B404,(B3)+(1)))+(B99),IF(("equals")=(INDEX(B1:XFD1,((A2)+(1))+(0))),(INDEX(B4:B404,(B3)+(1)))=(B99),IF(("leq")=(INDEX(B1:XFD1,((A2)+(1))+(0))),(INDEX(B4:B404,(B3)+(1)))&lt;=(B99),IF(("greater")=(INDEX(B1:XFD1,((A2)+(1))+(0))),(INDEX(B4:B404,(B3)+(1)))&gt;(B99),IF(("mod")=(INDEX(B1:XFD1,((A2)+(1))+(0))),MOD(INDEX(B4:B404,(B3)+(1)),B99),B99))))))))),B99))</f>
        <v>#VALUE!</v>
      </c>
      <c r="C99" t="e">
        <f ca="1">IF((A1)=(2),1,IF(AND((INDEX(B1:XFD1,((A2)+(1))+(0)))=("writeheap"),(INDEX(B4:B404,(B3)+(1)))=(95)),INDEX(B4:B404,(B3)+(2)),IF((A1)=(2),"",IF((96)=(C3),C99,C99))))</f>
        <v>#VALUE!</v>
      </c>
      <c r="E99" t="e">
        <f ca="1">IF((A1)=(2),"",IF((96)=(E3),IF(("outputline")=(INDEX(B1:XFD1,((A2)+(1))+(0))),B2,E99),E99))</f>
        <v>#VALUE!</v>
      </c>
      <c r="F99" t="e">
        <f ca="1">IF((A1)=(2),"",IF((96)=(F3),IF(IF((INDEX(B1:XFD1,((A2)+(1))+(0)))=("store"),(INDEX(B1:XFD1,((A2)+(1))+(1)))=("F"),"false"),B2,F99),F99))</f>
        <v>#VALUE!</v>
      </c>
      <c r="G99" t="e">
        <f ca="1">IF((A1)=(2),"",IF((96)=(G3),IF(IF((INDEX(B1:XFD1,((A2)+(1))+(0)))=("store"),(INDEX(B1:XFD1,((A2)+(1))+(1)))=("G"),"false"),B2,G99),G99))</f>
        <v>#VALUE!</v>
      </c>
      <c r="H99" t="e">
        <f ca="1">IF((A1)=(2),"",IF((96)=(H3),IF(IF((INDEX(B1:XFD1,((A2)+(1))+(0)))=("store"),(INDEX(B1:XFD1,((A2)+(1))+(1)))=("H"),"false"),B2,H99),H99))</f>
        <v>#VALUE!</v>
      </c>
      <c r="I99" t="e">
        <f ca="1">IF((A1)=(2),"",IF((96)=(I3),IF(IF((INDEX(B1:XFD1,((A2)+(1))+(0)))=("store"),(INDEX(B1:XFD1,((A2)+(1))+(1)))=("I"),"false"),B2,I99),I99))</f>
        <v>#VALUE!</v>
      </c>
      <c r="J99" t="e">
        <f ca="1">IF((A1)=(2),"",IF((96)=(J3),IF(IF((INDEX(B1:XFD1,((A2)+(1))+(0)))=("store"),(INDEX(B1:XFD1,((A2)+(1))+(1)))=("J"),"false"),B2,J99),J99))</f>
        <v>#VALUE!</v>
      </c>
      <c r="K99" t="e">
        <f ca="1">IF((A1)=(2),"",IF((96)=(K3),IF(IF((INDEX(B1:XFD1,((A2)+(1))+(0)))=("store"),(INDEX(B1:XFD1,((A2)+(1))+(1)))=("K"),"false"),B2,K99),K99))</f>
        <v>#VALUE!</v>
      </c>
      <c r="L99" t="e">
        <f ca="1">IF((A1)=(2),"",IF((96)=(L3),IF(IF((INDEX(B1:XFD1,((A2)+(1))+(0)))=("store"),(INDEX(B1:XFD1,((A2)+(1))+(1)))=("L"),"false"),B2,L99),L99))</f>
        <v>#VALUE!</v>
      </c>
      <c r="M99" t="e">
        <f ca="1">IF((A1)=(2),"",IF((96)=(M3),IF(IF((INDEX(B1:XFD1,((A2)+(1))+(0)))=("store"),(INDEX(B1:XFD1,((A2)+(1))+(1)))=("M"),"false"),B2,M99),M99))</f>
        <v>#VALUE!</v>
      </c>
      <c r="N99" t="e">
        <f ca="1">IF((A1)=(2),"",IF((96)=(N3),IF(IF((INDEX(B1:XFD1,((A2)+(1))+(0)))=("store"),(INDEX(B1:XFD1,((A2)+(1))+(1)))=("N"),"false"),B2,N99),N99))</f>
        <v>#VALUE!</v>
      </c>
      <c r="O99" t="e">
        <f ca="1">IF((A1)=(2),"",IF((96)=(O3),IF(IF((INDEX(B1:XFD1,((A2)+(1))+(0)))=("store"),(INDEX(B1:XFD1,((A2)+(1))+(1)))=("O"),"false"),B2,O99),O99))</f>
        <v>#VALUE!</v>
      </c>
      <c r="P99" t="e">
        <f ca="1">IF((A1)=(2),"",IF((96)=(P3),IF(IF((INDEX(B1:XFD1,((A2)+(1))+(0)))=("store"),(INDEX(B1:XFD1,((A2)+(1))+(1)))=("P"),"false"),B2,P99),P99))</f>
        <v>#VALUE!</v>
      </c>
      <c r="Q99" t="e">
        <f ca="1">IF((A1)=(2),"",IF((96)=(Q3),IF(IF((INDEX(B1:XFD1,((A2)+(1))+(0)))=("store"),(INDEX(B1:XFD1,((A2)+(1))+(1)))=("Q"),"false"),B2,Q99),Q99))</f>
        <v>#VALUE!</v>
      </c>
      <c r="R99" t="e">
        <f ca="1">IF((A1)=(2),"",IF((96)=(R3),IF(IF((INDEX(B1:XFD1,((A2)+(1))+(0)))=("store"),(INDEX(B1:XFD1,((A2)+(1))+(1)))=("R"),"false"),B2,R99),R99))</f>
        <v>#VALUE!</v>
      </c>
      <c r="S99" t="e">
        <f ca="1">IF((A1)=(2),"",IF((96)=(S3),IF(IF((INDEX(B1:XFD1,((A2)+(1))+(0)))=("store"),(INDEX(B1:XFD1,((A2)+(1))+(1)))=("S"),"false"),B2,S99),S99))</f>
        <v>#VALUE!</v>
      </c>
      <c r="T99" t="e">
        <f ca="1">IF((A1)=(2),"",IF((96)=(T3),IF(IF((INDEX(B1:XFD1,((A2)+(1))+(0)))=("store"),(INDEX(B1:XFD1,((A2)+(1))+(1)))=("T"),"false"),B2,T99),T99))</f>
        <v>#VALUE!</v>
      </c>
      <c r="U99" t="e">
        <f ca="1">IF((A1)=(2),"",IF((96)=(U3),IF(IF((INDEX(B1:XFD1,((A2)+(1))+(0)))=("store"),(INDEX(B1:XFD1,((A2)+(1))+(1)))=("U"),"false"),B2,U99),U99))</f>
        <v>#VALUE!</v>
      </c>
      <c r="V99" t="e">
        <f ca="1">IF((A1)=(2),"",IF((96)=(V3),IF(IF((INDEX(B1:XFD1,((A2)+(1))+(0)))=("store"),(INDEX(B1:XFD1,((A2)+(1))+(1)))=("V"),"false"),B2,V99),V99))</f>
        <v>#VALUE!</v>
      </c>
      <c r="W99" t="e">
        <f ca="1">IF((A1)=(2),"",IF((96)=(W3),IF(IF((INDEX(B1:XFD1,((A2)+(1))+(0)))=("store"),(INDEX(B1:XFD1,((A2)+(1))+(1)))=("W"),"false"),B2,W99),W99))</f>
        <v>#VALUE!</v>
      </c>
      <c r="X99" t="e">
        <f ca="1">IF((A1)=(2),"",IF((96)=(X3),IF(IF((INDEX(B1:XFD1,((A2)+(1))+(0)))=("store"),(INDEX(B1:XFD1,((A2)+(1))+(1)))=("X"),"false"),B2,X99),X99))</f>
        <v>#VALUE!</v>
      </c>
      <c r="Y99" t="e">
        <f ca="1">IF((A1)=(2),"",IF((96)=(Y3),IF(IF((INDEX(B1:XFD1,((A2)+(1))+(0)))=("store"),(INDEX(B1:XFD1,((A2)+(1))+(1)))=("Y"),"false"),B2,Y99),Y99))</f>
        <v>#VALUE!</v>
      </c>
      <c r="Z99" t="e">
        <f ca="1">IF((A1)=(2),"",IF((96)=(Z3),IF(IF((INDEX(B1:XFD1,((A2)+(1))+(0)))=("store"),(INDEX(B1:XFD1,((A2)+(1))+(1)))=("Z"),"false"),B2,Z99),Z99))</f>
        <v>#VALUE!</v>
      </c>
      <c r="AA99" t="e">
        <f ca="1">IF((A1)=(2),"",IF((96)=(AA3),IF(IF((INDEX(B1:XFD1,((A2)+(1))+(0)))=("store"),(INDEX(B1:XFD1,((A2)+(1))+(1)))=("AA"),"false"),B2,AA99),AA99))</f>
        <v>#VALUE!</v>
      </c>
      <c r="AB99" t="e">
        <f ca="1">IF((A1)=(2),"",IF((96)=(AB3),IF(IF((INDEX(B1:XFD1,((A2)+(1))+(0)))=("store"),(INDEX(B1:XFD1,((A2)+(1))+(1)))=("AB"),"false"),B2,AB99),AB99))</f>
        <v>#VALUE!</v>
      </c>
      <c r="AC99" t="e">
        <f ca="1">IF((A1)=(2),"",IF((96)=(AC3),IF(IF((INDEX(B1:XFD1,((A2)+(1))+(0)))=("store"),(INDEX(B1:XFD1,((A2)+(1))+(1)))=("AC"),"false"),B2,AC99),AC99))</f>
        <v>#VALUE!</v>
      </c>
      <c r="AD99" t="e">
        <f ca="1">IF((A1)=(2),"",IF((96)=(AD3),IF(IF((INDEX(B1:XFD1,((A2)+(1))+(0)))=("store"),(INDEX(B1:XFD1,((A2)+(1))+(1)))=("AD"),"false"),B2,AD99),AD99))</f>
        <v>#VALUE!</v>
      </c>
    </row>
    <row r="100" spans="1:30" x14ac:dyDescent="0.25">
      <c r="A100" t="e">
        <f ca="1">IF((A1)=(2),"",IF((97)=(A3),IF(("call")=(INDEX(B1:XFD1,((A2)+(1))+(0))),(B2)*(2),IF(("goto")=(INDEX(B1:XFD1,((A2)+(1))+(0))),(INDEX(B1:XFD1,((A2)+(1))+(1)))*(2),IF(("gotoiftrue")=(INDEX(B1:XFD1,((A2)+(1))+(0))),IF(B2,(INDEX(B1:XFD1,((A2)+(1))+(1)))*(2),(A100)+(2)),(A100)+(2)))),A100))</f>
        <v>#VALUE!</v>
      </c>
      <c r="B100" t="e">
        <f ca="1">IF((A1)=(2),"",IF((97)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100)+(1)),IF(("add")=(INDEX(B1:XFD1,((A2)+(1))+(0))),(INDEX(B4:B404,(B3)+(1)))+(B100),IF(("equals")=(INDEX(B1:XFD1,((A2)+(1))+(0))),(INDEX(B4:B404,(B3)+(1)))=(B100),IF(("leq")=(INDEX(B1:XFD1,((A2)+(1))+(0))),(INDEX(B4:B404,(B3)+(1)))&lt;=(B100),IF(("greater")=(INDEX(B1:XFD1,((A2)+(1))+(0))),(INDEX(B4:B404,(B3)+(1)))&gt;(B100),IF(("mod")=(INDEX(B1:XFD1,((A2)+(1))+(0))),MOD(INDEX(B4:B404,(B3)+(1)),B100),B100))))))))),B100))</f>
        <v>#VALUE!</v>
      </c>
      <c r="C100" t="e">
        <f ca="1">IF((A1)=(2),1,IF(AND((INDEX(B1:XFD1,((A2)+(1))+(0)))=("writeheap"),(INDEX(B4:B404,(B3)+(1)))=(96)),INDEX(B4:B404,(B3)+(2)),IF((A1)=(2),"",IF((97)=(C3),C100,C100))))</f>
        <v>#VALUE!</v>
      </c>
      <c r="E100" t="e">
        <f ca="1">IF((A1)=(2),"",IF((97)=(E3),IF(("outputline")=(INDEX(B1:XFD1,((A2)+(1))+(0))),B2,E100),E100))</f>
        <v>#VALUE!</v>
      </c>
      <c r="F100" t="e">
        <f ca="1">IF((A1)=(2),"",IF((97)=(F3),IF(IF((INDEX(B1:XFD1,((A2)+(1))+(0)))=("store"),(INDEX(B1:XFD1,((A2)+(1))+(1)))=("F"),"false"),B2,F100),F100))</f>
        <v>#VALUE!</v>
      </c>
      <c r="G100" t="e">
        <f ca="1">IF((A1)=(2),"",IF((97)=(G3),IF(IF((INDEX(B1:XFD1,((A2)+(1))+(0)))=("store"),(INDEX(B1:XFD1,((A2)+(1))+(1)))=("G"),"false"),B2,G100),G100))</f>
        <v>#VALUE!</v>
      </c>
      <c r="H100" t="e">
        <f ca="1">IF((A1)=(2),"",IF((97)=(H3),IF(IF((INDEX(B1:XFD1,((A2)+(1))+(0)))=("store"),(INDEX(B1:XFD1,((A2)+(1))+(1)))=("H"),"false"),B2,H100),H100))</f>
        <v>#VALUE!</v>
      </c>
      <c r="I100" t="e">
        <f ca="1">IF((A1)=(2),"",IF((97)=(I3),IF(IF((INDEX(B1:XFD1,((A2)+(1))+(0)))=("store"),(INDEX(B1:XFD1,((A2)+(1))+(1)))=("I"),"false"),B2,I100),I100))</f>
        <v>#VALUE!</v>
      </c>
      <c r="J100" t="e">
        <f ca="1">IF((A1)=(2),"",IF((97)=(J3),IF(IF((INDEX(B1:XFD1,((A2)+(1))+(0)))=("store"),(INDEX(B1:XFD1,((A2)+(1))+(1)))=("J"),"false"),B2,J100),J100))</f>
        <v>#VALUE!</v>
      </c>
      <c r="K100" t="e">
        <f ca="1">IF((A1)=(2),"",IF((97)=(K3),IF(IF((INDEX(B1:XFD1,((A2)+(1))+(0)))=("store"),(INDEX(B1:XFD1,((A2)+(1))+(1)))=("K"),"false"),B2,K100),K100))</f>
        <v>#VALUE!</v>
      </c>
      <c r="L100" t="e">
        <f ca="1">IF((A1)=(2),"",IF((97)=(L3),IF(IF((INDEX(B1:XFD1,((A2)+(1))+(0)))=("store"),(INDEX(B1:XFD1,((A2)+(1))+(1)))=("L"),"false"),B2,L100),L100))</f>
        <v>#VALUE!</v>
      </c>
      <c r="M100" t="e">
        <f ca="1">IF((A1)=(2),"",IF((97)=(M3),IF(IF((INDEX(B1:XFD1,((A2)+(1))+(0)))=("store"),(INDEX(B1:XFD1,((A2)+(1))+(1)))=("M"),"false"),B2,M100),M100))</f>
        <v>#VALUE!</v>
      </c>
      <c r="N100" t="e">
        <f ca="1">IF((A1)=(2),"",IF((97)=(N3),IF(IF((INDEX(B1:XFD1,((A2)+(1))+(0)))=("store"),(INDEX(B1:XFD1,((A2)+(1))+(1)))=("N"),"false"),B2,N100),N100))</f>
        <v>#VALUE!</v>
      </c>
      <c r="O100" t="e">
        <f ca="1">IF((A1)=(2),"",IF((97)=(O3),IF(IF((INDEX(B1:XFD1,((A2)+(1))+(0)))=("store"),(INDEX(B1:XFD1,((A2)+(1))+(1)))=("O"),"false"),B2,O100),O100))</f>
        <v>#VALUE!</v>
      </c>
      <c r="P100" t="e">
        <f ca="1">IF((A1)=(2),"",IF((97)=(P3),IF(IF((INDEX(B1:XFD1,((A2)+(1))+(0)))=("store"),(INDEX(B1:XFD1,((A2)+(1))+(1)))=("P"),"false"),B2,P100),P100))</f>
        <v>#VALUE!</v>
      </c>
      <c r="Q100" t="e">
        <f ca="1">IF((A1)=(2),"",IF((97)=(Q3),IF(IF((INDEX(B1:XFD1,((A2)+(1))+(0)))=("store"),(INDEX(B1:XFD1,((A2)+(1))+(1)))=("Q"),"false"),B2,Q100),Q100))</f>
        <v>#VALUE!</v>
      </c>
      <c r="R100" t="e">
        <f ca="1">IF((A1)=(2),"",IF((97)=(R3),IF(IF((INDEX(B1:XFD1,((A2)+(1))+(0)))=("store"),(INDEX(B1:XFD1,((A2)+(1))+(1)))=("R"),"false"),B2,R100),R100))</f>
        <v>#VALUE!</v>
      </c>
      <c r="S100" t="e">
        <f ca="1">IF((A1)=(2),"",IF((97)=(S3),IF(IF((INDEX(B1:XFD1,((A2)+(1))+(0)))=("store"),(INDEX(B1:XFD1,((A2)+(1))+(1)))=("S"),"false"),B2,S100),S100))</f>
        <v>#VALUE!</v>
      </c>
      <c r="T100" t="e">
        <f ca="1">IF((A1)=(2),"",IF((97)=(T3),IF(IF((INDEX(B1:XFD1,((A2)+(1))+(0)))=("store"),(INDEX(B1:XFD1,((A2)+(1))+(1)))=("T"),"false"),B2,T100),T100))</f>
        <v>#VALUE!</v>
      </c>
      <c r="U100" t="e">
        <f ca="1">IF((A1)=(2),"",IF((97)=(U3),IF(IF((INDEX(B1:XFD1,((A2)+(1))+(0)))=("store"),(INDEX(B1:XFD1,((A2)+(1))+(1)))=("U"),"false"),B2,U100),U100))</f>
        <v>#VALUE!</v>
      </c>
      <c r="V100" t="e">
        <f ca="1">IF((A1)=(2),"",IF((97)=(V3),IF(IF((INDEX(B1:XFD1,((A2)+(1))+(0)))=("store"),(INDEX(B1:XFD1,((A2)+(1))+(1)))=("V"),"false"),B2,V100),V100))</f>
        <v>#VALUE!</v>
      </c>
      <c r="W100" t="e">
        <f ca="1">IF((A1)=(2),"",IF((97)=(W3),IF(IF((INDEX(B1:XFD1,((A2)+(1))+(0)))=("store"),(INDEX(B1:XFD1,((A2)+(1))+(1)))=("W"),"false"),B2,W100),W100))</f>
        <v>#VALUE!</v>
      </c>
      <c r="X100" t="e">
        <f ca="1">IF((A1)=(2),"",IF((97)=(X3),IF(IF((INDEX(B1:XFD1,((A2)+(1))+(0)))=("store"),(INDEX(B1:XFD1,((A2)+(1))+(1)))=("X"),"false"),B2,X100),X100))</f>
        <v>#VALUE!</v>
      </c>
      <c r="Y100" t="e">
        <f ca="1">IF((A1)=(2),"",IF((97)=(Y3),IF(IF((INDEX(B1:XFD1,((A2)+(1))+(0)))=("store"),(INDEX(B1:XFD1,((A2)+(1))+(1)))=("Y"),"false"),B2,Y100),Y100))</f>
        <v>#VALUE!</v>
      </c>
      <c r="Z100" t="e">
        <f ca="1">IF((A1)=(2),"",IF((97)=(Z3),IF(IF((INDEX(B1:XFD1,((A2)+(1))+(0)))=("store"),(INDEX(B1:XFD1,((A2)+(1))+(1)))=("Z"),"false"),B2,Z100),Z100))</f>
        <v>#VALUE!</v>
      </c>
      <c r="AA100" t="e">
        <f ca="1">IF((A1)=(2),"",IF((97)=(AA3),IF(IF((INDEX(B1:XFD1,((A2)+(1))+(0)))=("store"),(INDEX(B1:XFD1,((A2)+(1))+(1)))=("AA"),"false"),B2,AA100),AA100))</f>
        <v>#VALUE!</v>
      </c>
      <c r="AB100" t="e">
        <f ca="1">IF((A1)=(2),"",IF((97)=(AB3),IF(IF((INDEX(B1:XFD1,((A2)+(1))+(0)))=("store"),(INDEX(B1:XFD1,((A2)+(1))+(1)))=("AB"),"false"),B2,AB100),AB100))</f>
        <v>#VALUE!</v>
      </c>
      <c r="AC100" t="e">
        <f ca="1">IF((A1)=(2),"",IF((97)=(AC3),IF(IF((INDEX(B1:XFD1,((A2)+(1))+(0)))=("store"),(INDEX(B1:XFD1,((A2)+(1))+(1)))=("AC"),"false"),B2,AC100),AC100))</f>
        <v>#VALUE!</v>
      </c>
      <c r="AD100" t="e">
        <f ca="1">IF((A1)=(2),"",IF((97)=(AD3),IF(IF((INDEX(B1:XFD1,((A2)+(1))+(0)))=("store"),(INDEX(B1:XFD1,((A2)+(1))+(1)))=("AD"),"false"),B2,AD100),AD100))</f>
        <v>#VALUE!</v>
      </c>
    </row>
    <row r="101" spans="1:30" x14ac:dyDescent="0.25">
      <c r="A101" t="e">
        <f ca="1">IF((A1)=(2),"",IF((98)=(A3),IF(("call")=(INDEX(B1:XFD1,((A2)+(1))+(0))),(B2)*(2),IF(("goto")=(INDEX(B1:XFD1,((A2)+(1))+(0))),(INDEX(B1:XFD1,((A2)+(1))+(1)))*(2),IF(("gotoiftrue")=(INDEX(B1:XFD1,((A2)+(1))+(0))),IF(B2,(INDEX(B1:XFD1,((A2)+(1))+(1)))*(2),(A101)+(2)),(A101)+(2)))),A101))</f>
        <v>#VALUE!</v>
      </c>
      <c r="B101" t="e">
        <f ca="1">IF((A1)=(2),"",IF((98)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101)+(1)),IF(("add")=(INDEX(B1:XFD1,((A2)+(1))+(0))),(INDEX(B4:B404,(B3)+(1)))+(B101),IF(("equals")=(INDEX(B1:XFD1,((A2)+(1))+(0))),(INDEX(B4:B404,(B3)+(1)))=(B101),IF(("leq")=(INDEX(B1:XFD1,((A2)+(1))+(0))),(INDEX(B4:B404,(B3)+(1)))&lt;=(B101),IF(("greater")=(INDEX(B1:XFD1,((A2)+(1))+(0))),(INDEX(B4:B404,(B3)+(1)))&gt;(B101),IF(("mod")=(INDEX(B1:XFD1,((A2)+(1))+(0))),MOD(INDEX(B4:B404,(B3)+(1)),B101),B101))))))))),B101))</f>
        <v>#VALUE!</v>
      </c>
      <c r="C101" t="e">
        <f ca="1">IF((A1)=(2),1,IF(AND((INDEX(B1:XFD1,((A2)+(1))+(0)))=("writeheap"),(INDEX(B4:B404,(B3)+(1)))=(97)),INDEX(B4:B404,(B3)+(2)),IF((A1)=(2),"",IF((98)=(C3),C101,C101))))</f>
        <v>#VALUE!</v>
      </c>
      <c r="E101" t="e">
        <f ca="1">IF((A1)=(2),"",IF((98)=(E3),IF(("outputline")=(INDEX(B1:XFD1,((A2)+(1))+(0))),B2,E101),E101))</f>
        <v>#VALUE!</v>
      </c>
      <c r="F101" t="e">
        <f ca="1">IF((A1)=(2),"",IF((98)=(F3),IF(IF((INDEX(B1:XFD1,((A2)+(1))+(0)))=("store"),(INDEX(B1:XFD1,((A2)+(1))+(1)))=("F"),"false"),B2,F101),F101))</f>
        <v>#VALUE!</v>
      </c>
      <c r="G101" t="e">
        <f ca="1">IF((A1)=(2),"",IF((98)=(G3),IF(IF((INDEX(B1:XFD1,((A2)+(1))+(0)))=("store"),(INDEX(B1:XFD1,((A2)+(1))+(1)))=("G"),"false"),B2,G101),G101))</f>
        <v>#VALUE!</v>
      </c>
      <c r="H101" t="e">
        <f ca="1">IF((A1)=(2),"",IF((98)=(H3),IF(IF((INDEX(B1:XFD1,((A2)+(1))+(0)))=("store"),(INDEX(B1:XFD1,((A2)+(1))+(1)))=("H"),"false"),B2,H101),H101))</f>
        <v>#VALUE!</v>
      </c>
      <c r="I101" t="e">
        <f ca="1">IF((A1)=(2),"",IF((98)=(I3),IF(IF((INDEX(B1:XFD1,((A2)+(1))+(0)))=("store"),(INDEX(B1:XFD1,((A2)+(1))+(1)))=("I"),"false"),B2,I101),I101))</f>
        <v>#VALUE!</v>
      </c>
      <c r="J101" t="e">
        <f ca="1">IF((A1)=(2),"",IF((98)=(J3),IF(IF((INDEX(B1:XFD1,((A2)+(1))+(0)))=("store"),(INDEX(B1:XFD1,((A2)+(1))+(1)))=("J"),"false"),B2,J101),J101))</f>
        <v>#VALUE!</v>
      </c>
      <c r="K101" t="e">
        <f ca="1">IF((A1)=(2),"",IF((98)=(K3),IF(IF((INDEX(B1:XFD1,((A2)+(1))+(0)))=("store"),(INDEX(B1:XFD1,((A2)+(1))+(1)))=("K"),"false"),B2,K101),K101))</f>
        <v>#VALUE!</v>
      </c>
      <c r="L101" t="e">
        <f ca="1">IF((A1)=(2),"",IF((98)=(L3),IF(IF((INDEX(B1:XFD1,((A2)+(1))+(0)))=("store"),(INDEX(B1:XFD1,((A2)+(1))+(1)))=("L"),"false"),B2,L101),L101))</f>
        <v>#VALUE!</v>
      </c>
      <c r="M101" t="e">
        <f ca="1">IF((A1)=(2),"",IF((98)=(M3),IF(IF((INDEX(B1:XFD1,((A2)+(1))+(0)))=("store"),(INDEX(B1:XFD1,((A2)+(1))+(1)))=("M"),"false"),B2,M101),M101))</f>
        <v>#VALUE!</v>
      </c>
      <c r="N101" t="e">
        <f ca="1">IF((A1)=(2),"",IF((98)=(N3),IF(IF((INDEX(B1:XFD1,((A2)+(1))+(0)))=("store"),(INDEX(B1:XFD1,((A2)+(1))+(1)))=("N"),"false"),B2,N101),N101))</f>
        <v>#VALUE!</v>
      </c>
      <c r="O101" t="e">
        <f ca="1">IF((A1)=(2),"",IF((98)=(O3),IF(IF((INDEX(B1:XFD1,((A2)+(1))+(0)))=("store"),(INDEX(B1:XFD1,((A2)+(1))+(1)))=("O"),"false"),B2,O101),O101))</f>
        <v>#VALUE!</v>
      </c>
      <c r="P101" t="e">
        <f ca="1">IF((A1)=(2),"",IF((98)=(P3),IF(IF((INDEX(B1:XFD1,((A2)+(1))+(0)))=("store"),(INDEX(B1:XFD1,((A2)+(1))+(1)))=("P"),"false"),B2,P101),P101))</f>
        <v>#VALUE!</v>
      </c>
      <c r="Q101" t="e">
        <f ca="1">IF((A1)=(2),"",IF((98)=(Q3),IF(IF((INDEX(B1:XFD1,((A2)+(1))+(0)))=("store"),(INDEX(B1:XFD1,((A2)+(1))+(1)))=("Q"),"false"),B2,Q101),Q101))</f>
        <v>#VALUE!</v>
      </c>
      <c r="R101" t="e">
        <f ca="1">IF((A1)=(2),"",IF((98)=(R3),IF(IF((INDEX(B1:XFD1,((A2)+(1))+(0)))=("store"),(INDEX(B1:XFD1,((A2)+(1))+(1)))=("R"),"false"),B2,R101),R101))</f>
        <v>#VALUE!</v>
      </c>
      <c r="S101" t="e">
        <f ca="1">IF((A1)=(2),"",IF((98)=(S3),IF(IF((INDEX(B1:XFD1,((A2)+(1))+(0)))=("store"),(INDEX(B1:XFD1,((A2)+(1))+(1)))=("S"),"false"),B2,S101),S101))</f>
        <v>#VALUE!</v>
      </c>
      <c r="T101" t="e">
        <f ca="1">IF((A1)=(2),"",IF((98)=(T3),IF(IF((INDEX(B1:XFD1,((A2)+(1))+(0)))=("store"),(INDEX(B1:XFD1,((A2)+(1))+(1)))=("T"),"false"),B2,T101),T101))</f>
        <v>#VALUE!</v>
      </c>
      <c r="U101" t="e">
        <f ca="1">IF((A1)=(2),"",IF((98)=(U3),IF(IF((INDEX(B1:XFD1,((A2)+(1))+(0)))=("store"),(INDEX(B1:XFD1,((A2)+(1))+(1)))=("U"),"false"),B2,U101),U101))</f>
        <v>#VALUE!</v>
      </c>
      <c r="V101" t="e">
        <f ca="1">IF((A1)=(2),"",IF((98)=(V3),IF(IF((INDEX(B1:XFD1,((A2)+(1))+(0)))=("store"),(INDEX(B1:XFD1,((A2)+(1))+(1)))=("V"),"false"),B2,V101),V101))</f>
        <v>#VALUE!</v>
      </c>
      <c r="W101" t="e">
        <f ca="1">IF((A1)=(2),"",IF((98)=(W3),IF(IF((INDEX(B1:XFD1,((A2)+(1))+(0)))=("store"),(INDEX(B1:XFD1,((A2)+(1))+(1)))=("W"),"false"),B2,W101),W101))</f>
        <v>#VALUE!</v>
      </c>
      <c r="X101" t="e">
        <f ca="1">IF((A1)=(2),"",IF((98)=(X3),IF(IF((INDEX(B1:XFD1,((A2)+(1))+(0)))=("store"),(INDEX(B1:XFD1,((A2)+(1))+(1)))=("X"),"false"),B2,X101),X101))</f>
        <v>#VALUE!</v>
      </c>
      <c r="Y101" t="e">
        <f ca="1">IF((A1)=(2),"",IF((98)=(Y3),IF(IF((INDEX(B1:XFD1,((A2)+(1))+(0)))=("store"),(INDEX(B1:XFD1,((A2)+(1))+(1)))=("Y"),"false"),B2,Y101),Y101))</f>
        <v>#VALUE!</v>
      </c>
      <c r="Z101" t="e">
        <f ca="1">IF((A1)=(2),"",IF((98)=(Z3),IF(IF((INDEX(B1:XFD1,((A2)+(1))+(0)))=("store"),(INDEX(B1:XFD1,((A2)+(1))+(1)))=("Z"),"false"),B2,Z101),Z101))</f>
        <v>#VALUE!</v>
      </c>
      <c r="AA101" t="e">
        <f ca="1">IF((A1)=(2),"",IF((98)=(AA3),IF(IF((INDEX(B1:XFD1,((A2)+(1))+(0)))=("store"),(INDEX(B1:XFD1,((A2)+(1))+(1)))=("AA"),"false"),B2,AA101),AA101))</f>
        <v>#VALUE!</v>
      </c>
      <c r="AB101" t="e">
        <f ca="1">IF((A1)=(2),"",IF((98)=(AB3),IF(IF((INDEX(B1:XFD1,((A2)+(1))+(0)))=("store"),(INDEX(B1:XFD1,((A2)+(1))+(1)))=("AB"),"false"),B2,AB101),AB101))</f>
        <v>#VALUE!</v>
      </c>
      <c r="AC101" t="e">
        <f ca="1">IF((A1)=(2),"",IF((98)=(AC3),IF(IF((INDEX(B1:XFD1,((A2)+(1))+(0)))=("store"),(INDEX(B1:XFD1,((A2)+(1))+(1)))=("AC"),"false"),B2,AC101),AC101))</f>
        <v>#VALUE!</v>
      </c>
      <c r="AD101" t="e">
        <f ca="1">IF((A1)=(2),"",IF((98)=(AD3),IF(IF((INDEX(B1:XFD1,((A2)+(1))+(0)))=("store"),(INDEX(B1:XFD1,((A2)+(1))+(1)))=("AD"),"false"),B2,AD101),AD101))</f>
        <v>#VALUE!</v>
      </c>
    </row>
    <row r="102" spans="1:30" x14ac:dyDescent="0.25">
      <c r="A102" t="e">
        <f ca="1">IF((A1)=(2),"",IF((99)=(A3),IF(("call")=(INDEX(B1:XFD1,((A2)+(1))+(0))),(B2)*(2),IF(("goto")=(INDEX(B1:XFD1,((A2)+(1))+(0))),(INDEX(B1:XFD1,((A2)+(1))+(1)))*(2),IF(("gotoiftrue")=(INDEX(B1:XFD1,((A2)+(1))+(0))),IF(B2,(INDEX(B1:XFD1,((A2)+(1))+(1)))*(2),(A102)+(2)),(A102)+(2)))),A102))</f>
        <v>#VALUE!</v>
      </c>
      <c r="B102" t="e">
        <f ca="1">IF((A1)=(2),"",IF((99)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102)+(1)),IF(("add")=(INDEX(B1:XFD1,((A2)+(1))+(0))),(INDEX(B4:B404,(B3)+(1)))+(B102),IF(("equals")=(INDEX(B1:XFD1,((A2)+(1))+(0))),(INDEX(B4:B404,(B3)+(1)))=(B102),IF(("leq")=(INDEX(B1:XFD1,((A2)+(1))+(0))),(INDEX(B4:B404,(B3)+(1)))&lt;=(B102),IF(("greater")=(INDEX(B1:XFD1,((A2)+(1))+(0))),(INDEX(B4:B404,(B3)+(1)))&gt;(B102),IF(("mod")=(INDEX(B1:XFD1,((A2)+(1))+(0))),MOD(INDEX(B4:B404,(B3)+(1)),B102),B102))))))))),B102))</f>
        <v>#VALUE!</v>
      </c>
      <c r="C102" t="e">
        <f ca="1">IF((A1)=(2),1,IF(AND((INDEX(B1:XFD1,((A2)+(1))+(0)))=("writeheap"),(INDEX(B4:B404,(B3)+(1)))=(98)),INDEX(B4:B404,(B3)+(2)),IF((A1)=(2),"",IF((99)=(C3),C102,C102))))</f>
        <v>#VALUE!</v>
      </c>
      <c r="E102" t="e">
        <f ca="1">IF((A1)=(2),"",IF((99)=(E3),IF(("outputline")=(INDEX(B1:XFD1,((A2)+(1))+(0))),B2,E102),E102))</f>
        <v>#VALUE!</v>
      </c>
      <c r="F102" t="e">
        <f ca="1">IF((A1)=(2),"",IF((99)=(F3),IF(IF((INDEX(B1:XFD1,((A2)+(1))+(0)))=("store"),(INDEX(B1:XFD1,((A2)+(1))+(1)))=("F"),"false"),B2,F102),F102))</f>
        <v>#VALUE!</v>
      </c>
      <c r="G102" t="e">
        <f ca="1">IF((A1)=(2),"",IF((99)=(G3),IF(IF((INDEX(B1:XFD1,((A2)+(1))+(0)))=("store"),(INDEX(B1:XFD1,((A2)+(1))+(1)))=("G"),"false"),B2,G102),G102))</f>
        <v>#VALUE!</v>
      </c>
      <c r="H102" t="e">
        <f ca="1">IF((A1)=(2),"",IF((99)=(H3),IF(IF((INDEX(B1:XFD1,((A2)+(1))+(0)))=("store"),(INDEX(B1:XFD1,((A2)+(1))+(1)))=("H"),"false"),B2,H102),H102))</f>
        <v>#VALUE!</v>
      </c>
      <c r="I102" t="e">
        <f ca="1">IF((A1)=(2),"",IF((99)=(I3),IF(IF((INDEX(B1:XFD1,((A2)+(1))+(0)))=("store"),(INDEX(B1:XFD1,((A2)+(1))+(1)))=("I"),"false"),B2,I102),I102))</f>
        <v>#VALUE!</v>
      </c>
      <c r="J102" t="e">
        <f ca="1">IF((A1)=(2),"",IF((99)=(J3),IF(IF((INDEX(B1:XFD1,((A2)+(1))+(0)))=("store"),(INDEX(B1:XFD1,((A2)+(1))+(1)))=("J"),"false"),B2,J102),J102))</f>
        <v>#VALUE!</v>
      </c>
      <c r="K102" t="e">
        <f ca="1">IF((A1)=(2),"",IF((99)=(K3),IF(IF((INDEX(B1:XFD1,((A2)+(1))+(0)))=("store"),(INDEX(B1:XFD1,((A2)+(1))+(1)))=("K"),"false"),B2,K102),K102))</f>
        <v>#VALUE!</v>
      </c>
      <c r="L102" t="e">
        <f ca="1">IF((A1)=(2),"",IF((99)=(L3),IF(IF((INDEX(B1:XFD1,((A2)+(1))+(0)))=("store"),(INDEX(B1:XFD1,((A2)+(1))+(1)))=("L"),"false"),B2,L102),L102))</f>
        <v>#VALUE!</v>
      </c>
      <c r="M102" t="e">
        <f ca="1">IF((A1)=(2),"",IF((99)=(M3),IF(IF((INDEX(B1:XFD1,((A2)+(1))+(0)))=("store"),(INDEX(B1:XFD1,((A2)+(1))+(1)))=("M"),"false"),B2,M102),M102))</f>
        <v>#VALUE!</v>
      </c>
      <c r="N102" t="e">
        <f ca="1">IF((A1)=(2),"",IF((99)=(N3),IF(IF((INDEX(B1:XFD1,((A2)+(1))+(0)))=("store"),(INDEX(B1:XFD1,((A2)+(1))+(1)))=("N"),"false"),B2,N102),N102))</f>
        <v>#VALUE!</v>
      </c>
      <c r="O102" t="e">
        <f ca="1">IF((A1)=(2),"",IF((99)=(O3),IF(IF((INDEX(B1:XFD1,((A2)+(1))+(0)))=("store"),(INDEX(B1:XFD1,((A2)+(1))+(1)))=("O"),"false"),B2,O102),O102))</f>
        <v>#VALUE!</v>
      </c>
      <c r="P102" t="e">
        <f ca="1">IF((A1)=(2),"",IF((99)=(P3),IF(IF((INDEX(B1:XFD1,((A2)+(1))+(0)))=("store"),(INDEX(B1:XFD1,((A2)+(1))+(1)))=("P"),"false"),B2,P102),P102))</f>
        <v>#VALUE!</v>
      </c>
      <c r="Q102" t="e">
        <f ca="1">IF((A1)=(2),"",IF((99)=(Q3),IF(IF((INDEX(B1:XFD1,((A2)+(1))+(0)))=("store"),(INDEX(B1:XFD1,((A2)+(1))+(1)))=("Q"),"false"),B2,Q102),Q102))</f>
        <v>#VALUE!</v>
      </c>
      <c r="R102" t="e">
        <f ca="1">IF((A1)=(2),"",IF((99)=(R3),IF(IF((INDEX(B1:XFD1,((A2)+(1))+(0)))=("store"),(INDEX(B1:XFD1,((A2)+(1))+(1)))=("R"),"false"),B2,R102),R102))</f>
        <v>#VALUE!</v>
      </c>
      <c r="S102" t="e">
        <f ca="1">IF((A1)=(2),"",IF((99)=(S3),IF(IF((INDEX(B1:XFD1,((A2)+(1))+(0)))=("store"),(INDEX(B1:XFD1,((A2)+(1))+(1)))=("S"),"false"),B2,S102),S102))</f>
        <v>#VALUE!</v>
      </c>
      <c r="T102" t="e">
        <f ca="1">IF((A1)=(2),"",IF((99)=(T3),IF(IF((INDEX(B1:XFD1,((A2)+(1))+(0)))=("store"),(INDEX(B1:XFD1,((A2)+(1))+(1)))=("T"),"false"),B2,T102),T102))</f>
        <v>#VALUE!</v>
      </c>
      <c r="U102" t="e">
        <f ca="1">IF((A1)=(2),"",IF((99)=(U3),IF(IF((INDEX(B1:XFD1,((A2)+(1))+(0)))=("store"),(INDEX(B1:XFD1,((A2)+(1))+(1)))=("U"),"false"),B2,U102),U102))</f>
        <v>#VALUE!</v>
      </c>
      <c r="V102" t="e">
        <f ca="1">IF((A1)=(2),"",IF((99)=(V3),IF(IF((INDEX(B1:XFD1,((A2)+(1))+(0)))=("store"),(INDEX(B1:XFD1,((A2)+(1))+(1)))=("V"),"false"),B2,V102),V102))</f>
        <v>#VALUE!</v>
      </c>
      <c r="W102" t="e">
        <f ca="1">IF((A1)=(2),"",IF((99)=(W3),IF(IF((INDEX(B1:XFD1,((A2)+(1))+(0)))=("store"),(INDEX(B1:XFD1,((A2)+(1))+(1)))=("W"),"false"),B2,W102),W102))</f>
        <v>#VALUE!</v>
      </c>
      <c r="X102" t="e">
        <f ca="1">IF((A1)=(2),"",IF((99)=(X3),IF(IF((INDEX(B1:XFD1,((A2)+(1))+(0)))=("store"),(INDEX(B1:XFD1,((A2)+(1))+(1)))=("X"),"false"),B2,X102),X102))</f>
        <v>#VALUE!</v>
      </c>
      <c r="Y102" t="e">
        <f ca="1">IF((A1)=(2),"",IF((99)=(Y3),IF(IF((INDEX(B1:XFD1,((A2)+(1))+(0)))=("store"),(INDEX(B1:XFD1,((A2)+(1))+(1)))=("Y"),"false"),B2,Y102),Y102))</f>
        <v>#VALUE!</v>
      </c>
      <c r="Z102" t="e">
        <f ca="1">IF((A1)=(2),"",IF((99)=(Z3),IF(IF((INDEX(B1:XFD1,((A2)+(1))+(0)))=("store"),(INDEX(B1:XFD1,((A2)+(1))+(1)))=("Z"),"false"),B2,Z102),Z102))</f>
        <v>#VALUE!</v>
      </c>
      <c r="AA102" t="e">
        <f ca="1">IF((A1)=(2),"",IF((99)=(AA3),IF(IF((INDEX(B1:XFD1,((A2)+(1))+(0)))=("store"),(INDEX(B1:XFD1,((A2)+(1))+(1)))=("AA"),"false"),B2,AA102),AA102))</f>
        <v>#VALUE!</v>
      </c>
      <c r="AB102" t="e">
        <f ca="1">IF((A1)=(2),"",IF((99)=(AB3),IF(IF((INDEX(B1:XFD1,((A2)+(1))+(0)))=("store"),(INDEX(B1:XFD1,((A2)+(1))+(1)))=("AB"),"false"),B2,AB102),AB102))</f>
        <v>#VALUE!</v>
      </c>
      <c r="AC102" t="e">
        <f ca="1">IF((A1)=(2),"",IF((99)=(AC3),IF(IF((INDEX(B1:XFD1,((A2)+(1))+(0)))=("store"),(INDEX(B1:XFD1,((A2)+(1))+(1)))=("AC"),"false"),B2,AC102),AC102))</f>
        <v>#VALUE!</v>
      </c>
      <c r="AD102" t="e">
        <f ca="1">IF((A1)=(2),"",IF((99)=(AD3),IF(IF((INDEX(B1:XFD1,((A2)+(1))+(0)))=("store"),(INDEX(B1:XFD1,((A2)+(1))+(1)))=("AD"),"false"),B2,AD102),AD102))</f>
        <v>#VALUE!</v>
      </c>
    </row>
    <row r="103" spans="1:30" x14ac:dyDescent="0.25">
      <c r="A103" t="e">
        <f ca="1">IF((A1)=(2),"",IF((100)=(A3),IF(("call")=(INDEX(B1:XFD1,((A2)+(1))+(0))),(B2)*(2),IF(("goto")=(INDEX(B1:XFD1,((A2)+(1))+(0))),(INDEX(B1:XFD1,((A2)+(1))+(1)))*(2),IF(("gotoiftrue")=(INDEX(B1:XFD1,((A2)+(1))+(0))),IF(B2,(INDEX(B1:XFD1,((A2)+(1))+(1)))*(2),(A103)+(2)),(A103)+(2)))),A103))</f>
        <v>#VALUE!</v>
      </c>
      <c r="B103" t="e">
        <f ca="1">IF((A1)=(2),"",IF((100)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103)+(1)),IF(("add")=(INDEX(B1:XFD1,((A2)+(1))+(0))),(INDEX(B4:B404,(B3)+(1)))+(B103),IF(("equals")=(INDEX(B1:XFD1,((A2)+(1))+(0))),(INDEX(B4:B404,(B3)+(1)))=(B103),IF(("leq")=(INDEX(B1:XFD1,((A2)+(1))+(0))),(INDEX(B4:B404,(B3)+(1)))&lt;=(B103),IF(("greater")=(INDEX(B1:XFD1,((A2)+(1))+(0))),(INDEX(B4:B404,(B3)+(1)))&gt;(B103),IF(("mod")=(INDEX(B1:XFD1,((A2)+(1))+(0))),MOD(INDEX(B4:B404,(B3)+(1)),B103),B103))))))))),B103))</f>
        <v>#VALUE!</v>
      </c>
      <c r="C103" t="e">
        <f ca="1">IF((A1)=(2),1,IF(AND((INDEX(B1:XFD1,((A2)+(1))+(0)))=("writeheap"),(INDEX(B4:B404,(B3)+(1)))=(99)),INDEX(B4:B404,(B3)+(2)),IF((A1)=(2),"",IF((100)=(C3),C103,C103))))</f>
        <v>#VALUE!</v>
      </c>
      <c r="E103" t="e">
        <f ca="1">IF((A1)=(2),"",IF((100)=(E3),IF(("outputline")=(INDEX(B1:XFD1,((A2)+(1))+(0))),B2,E103),E103))</f>
        <v>#VALUE!</v>
      </c>
      <c r="F103" t="e">
        <f ca="1">IF((A1)=(2),"",IF((100)=(F3),IF(IF((INDEX(B1:XFD1,((A2)+(1))+(0)))=("store"),(INDEX(B1:XFD1,((A2)+(1))+(1)))=("F"),"false"),B2,F103),F103))</f>
        <v>#VALUE!</v>
      </c>
      <c r="G103" t="e">
        <f ca="1">IF((A1)=(2),"",IF((100)=(G3),IF(IF((INDEX(B1:XFD1,((A2)+(1))+(0)))=("store"),(INDEX(B1:XFD1,((A2)+(1))+(1)))=("G"),"false"),B2,G103),G103))</f>
        <v>#VALUE!</v>
      </c>
      <c r="H103" t="e">
        <f ca="1">IF((A1)=(2),"",IF((100)=(H3),IF(IF((INDEX(B1:XFD1,((A2)+(1))+(0)))=("store"),(INDEX(B1:XFD1,((A2)+(1))+(1)))=("H"),"false"),B2,H103),H103))</f>
        <v>#VALUE!</v>
      </c>
      <c r="I103" t="e">
        <f ca="1">IF((A1)=(2),"",IF((100)=(I3),IF(IF((INDEX(B1:XFD1,((A2)+(1))+(0)))=("store"),(INDEX(B1:XFD1,((A2)+(1))+(1)))=("I"),"false"),B2,I103),I103))</f>
        <v>#VALUE!</v>
      </c>
      <c r="J103" t="e">
        <f ca="1">IF((A1)=(2),"",IF((100)=(J3),IF(IF((INDEX(B1:XFD1,((A2)+(1))+(0)))=("store"),(INDEX(B1:XFD1,((A2)+(1))+(1)))=("J"),"false"),B2,J103),J103))</f>
        <v>#VALUE!</v>
      </c>
      <c r="K103" t="e">
        <f ca="1">IF((A1)=(2),"",IF((100)=(K3),IF(IF((INDEX(B1:XFD1,((A2)+(1))+(0)))=("store"),(INDEX(B1:XFD1,((A2)+(1))+(1)))=("K"),"false"),B2,K103),K103))</f>
        <v>#VALUE!</v>
      </c>
      <c r="L103" t="e">
        <f ca="1">IF((A1)=(2),"",IF((100)=(L3),IF(IF((INDEX(B1:XFD1,((A2)+(1))+(0)))=("store"),(INDEX(B1:XFD1,((A2)+(1))+(1)))=("L"),"false"),B2,L103),L103))</f>
        <v>#VALUE!</v>
      </c>
      <c r="M103" t="e">
        <f ca="1">IF((A1)=(2),"",IF((100)=(M3),IF(IF((INDEX(B1:XFD1,((A2)+(1))+(0)))=("store"),(INDEX(B1:XFD1,((A2)+(1))+(1)))=("M"),"false"),B2,M103),M103))</f>
        <v>#VALUE!</v>
      </c>
      <c r="N103" t="e">
        <f ca="1">IF((A1)=(2),"",IF((100)=(N3),IF(IF((INDEX(B1:XFD1,((A2)+(1))+(0)))=("store"),(INDEX(B1:XFD1,((A2)+(1))+(1)))=("N"),"false"),B2,N103),N103))</f>
        <v>#VALUE!</v>
      </c>
      <c r="O103" t="e">
        <f ca="1">IF((A1)=(2),"",IF((100)=(O3),IF(IF((INDEX(B1:XFD1,((A2)+(1))+(0)))=("store"),(INDEX(B1:XFD1,((A2)+(1))+(1)))=("O"),"false"),B2,O103),O103))</f>
        <v>#VALUE!</v>
      </c>
      <c r="P103" t="e">
        <f ca="1">IF((A1)=(2),"",IF((100)=(P3),IF(IF((INDEX(B1:XFD1,((A2)+(1))+(0)))=("store"),(INDEX(B1:XFD1,((A2)+(1))+(1)))=("P"),"false"),B2,P103),P103))</f>
        <v>#VALUE!</v>
      </c>
      <c r="Q103" t="e">
        <f ca="1">IF((A1)=(2),"",IF((100)=(Q3),IF(IF((INDEX(B1:XFD1,((A2)+(1))+(0)))=("store"),(INDEX(B1:XFD1,((A2)+(1))+(1)))=("Q"),"false"),B2,Q103),Q103))</f>
        <v>#VALUE!</v>
      </c>
      <c r="R103" t="e">
        <f ca="1">IF((A1)=(2),"",IF((100)=(R3),IF(IF((INDEX(B1:XFD1,((A2)+(1))+(0)))=("store"),(INDEX(B1:XFD1,((A2)+(1))+(1)))=("R"),"false"),B2,R103),R103))</f>
        <v>#VALUE!</v>
      </c>
      <c r="S103" t="e">
        <f ca="1">IF((A1)=(2),"",IF((100)=(S3),IF(IF((INDEX(B1:XFD1,((A2)+(1))+(0)))=("store"),(INDEX(B1:XFD1,((A2)+(1))+(1)))=("S"),"false"),B2,S103),S103))</f>
        <v>#VALUE!</v>
      </c>
      <c r="T103" t="e">
        <f ca="1">IF((A1)=(2),"",IF((100)=(T3),IF(IF((INDEX(B1:XFD1,((A2)+(1))+(0)))=("store"),(INDEX(B1:XFD1,((A2)+(1))+(1)))=("T"),"false"),B2,T103),T103))</f>
        <v>#VALUE!</v>
      </c>
      <c r="U103" t="e">
        <f ca="1">IF((A1)=(2),"",IF((100)=(U3),IF(IF((INDEX(B1:XFD1,((A2)+(1))+(0)))=("store"),(INDEX(B1:XFD1,((A2)+(1))+(1)))=("U"),"false"),B2,U103),U103))</f>
        <v>#VALUE!</v>
      </c>
      <c r="V103" t="e">
        <f ca="1">IF((A1)=(2),"",IF((100)=(V3),IF(IF((INDEX(B1:XFD1,((A2)+(1))+(0)))=("store"),(INDEX(B1:XFD1,((A2)+(1))+(1)))=("V"),"false"),B2,V103),V103))</f>
        <v>#VALUE!</v>
      </c>
      <c r="W103" t="e">
        <f ca="1">IF((A1)=(2),"",IF((100)=(W3),IF(IF((INDEX(B1:XFD1,((A2)+(1))+(0)))=("store"),(INDEX(B1:XFD1,((A2)+(1))+(1)))=("W"),"false"),B2,W103),W103))</f>
        <v>#VALUE!</v>
      </c>
      <c r="X103" t="e">
        <f ca="1">IF((A1)=(2),"",IF((100)=(X3),IF(IF((INDEX(B1:XFD1,((A2)+(1))+(0)))=("store"),(INDEX(B1:XFD1,((A2)+(1))+(1)))=("X"),"false"),B2,X103),X103))</f>
        <v>#VALUE!</v>
      </c>
      <c r="Y103" t="e">
        <f ca="1">IF((A1)=(2),"",IF((100)=(Y3),IF(IF((INDEX(B1:XFD1,((A2)+(1))+(0)))=("store"),(INDEX(B1:XFD1,((A2)+(1))+(1)))=("Y"),"false"),B2,Y103),Y103))</f>
        <v>#VALUE!</v>
      </c>
      <c r="Z103" t="e">
        <f ca="1">IF((A1)=(2),"",IF((100)=(Z3),IF(IF((INDEX(B1:XFD1,((A2)+(1))+(0)))=("store"),(INDEX(B1:XFD1,((A2)+(1))+(1)))=("Z"),"false"),B2,Z103),Z103))</f>
        <v>#VALUE!</v>
      </c>
      <c r="AA103" t="e">
        <f ca="1">IF((A1)=(2),"",IF((100)=(AA3),IF(IF((INDEX(B1:XFD1,((A2)+(1))+(0)))=("store"),(INDEX(B1:XFD1,((A2)+(1))+(1)))=("AA"),"false"),B2,AA103),AA103))</f>
        <v>#VALUE!</v>
      </c>
      <c r="AB103" t="e">
        <f ca="1">IF((A1)=(2),"",IF((100)=(AB3),IF(IF((INDEX(B1:XFD1,((A2)+(1))+(0)))=("store"),(INDEX(B1:XFD1,((A2)+(1))+(1)))=("AB"),"false"),B2,AB103),AB103))</f>
        <v>#VALUE!</v>
      </c>
      <c r="AC103" t="e">
        <f ca="1">IF((A1)=(2),"",IF((100)=(AC3),IF(IF((INDEX(B1:XFD1,((A2)+(1))+(0)))=("store"),(INDEX(B1:XFD1,((A2)+(1))+(1)))=("AC"),"false"),B2,AC103),AC103))</f>
        <v>#VALUE!</v>
      </c>
      <c r="AD103" t="e">
        <f ca="1">IF((A1)=(2),"",IF((100)=(AD3),IF(IF((INDEX(B1:XFD1,((A2)+(1))+(0)))=("store"),(INDEX(B1:XFD1,((A2)+(1))+(1)))=("AD"),"false"),B2,AD103),AD103))</f>
        <v>#VALUE!</v>
      </c>
    </row>
    <row r="104" spans="1:30" x14ac:dyDescent="0.25">
      <c r="A104" t="e">
        <f ca="1">IF((A1)=(2),"",IF((101)=(A3),IF(("call")=(INDEX(B1:XFD1,((A2)+(1))+(0))),(B2)*(2),IF(("goto")=(INDEX(B1:XFD1,((A2)+(1))+(0))),(INDEX(B1:XFD1,((A2)+(1))+(1)))*(2),IF(("gotoiftrue")=(INDEX(B1:XFD1,((A2)+(1))+(0))),IF(B2,(INDEX(B1:XFD1,((A2)+(1))+(1)))*(2),(A104)+(2)),(A104)+(2)))),A104))</f>
        <v>#VALUE!</v>
      </c>
      <c r="B104" t="e">
        <f ca="1">IF((A1)=(2),"",IF((101)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104)+(1)),IF(("add")=(INDEX(B1:XFD1,((A2)+(1))+(0))),(INDEX(B4:B404,(B3)+(1)))+(B104),IF(("equals")=(INDEX(B1:XFD1,((A2)+(1))+(0))),(INDEX(B4:B404,(B3)+(1)))=(B104),IF(("leq")=(INDEX(B1:XFD1,((A2)+(1))+(0))),(INDEX(B4:B404,(B3)+(1)))&lt;=(B104),IF(("greater")=(INDEX(B1:XFD1,((A2)+(1))+(0))),(INDEX(B4:B404,(B3)+(1)))&gt;(B104),IF(("mod")=(INDEX(B1:XFD1,((A2)+(1))+(0))),MOD(INDEX(B4:B404,(B3)+(1)),B104),B104))))))))),B104))</f>
        <v>#VALUE!</v>
      </c>
      <c r="C104" t="e">
        <f ca="1">IF((A1)=(2),1,IF(AND((INDEX(B1:XFD1,((A2)+(1))+(0)))=("writeheap"),(INDEX(B4:B404,(B3)+(1)))=(100)),INDEX(B4:B404,(B3)+(2)),IF((A1)=(2),"",IF((101)=(C3),C104,C104))))</f>
        <v>#VALUE!</v>
      </c>
      <c r="E104" t="e">
        <f ca="1">IF((A1)=(2),"",IF((101)=(E3),IF(("outputline")=(INDEX(B1:XFD1,((A2)+(1))+(0))),B2,E104),E104))</f>
        <v>#VALUE!</v>
      </c>
      <c r="F104" t="e">
        <f ca="1">IF((A1)=(2),"",IF((101)=(F3),IF(IF((INDEX(B1:XFD1,((A2)+(1))+(0)))=("store"),(INDEX(B1:XFD1,((A2)+(1))+(1)))=("F"),"false"),B2,F104),F104))</f>
        <v>#VALUE!</v>
      </c>
      <c r="G104" t="e">
        <f ca="1">IF((A1)=(2),"",IF((101)=(G3),IF(IF((INDEX(B1:XFD1,((A2)+(1))+(0)))=("store"),(INDEX(B1:XFD1,((A2)+(1))+(1)))=("G"),"false"),B2,G104),G104))</f>
        <v>#VALUE!</v>
      </c>
      <c r="H104" t="e">
        <f ca="1">IF((A1)=(2),"",IF((101)=(H3),IF(IF((INDEX(B1:XFD1,((A2)+(1))+(0)))=("store"),(INDEX(B1:XFD1,((A2)+(1))+(1)))=("H"),"false"),B2,H104),H104))</f>
        <v>#VALUE!</v>
      </c>
      <c r="I104" t="e">
        <f ca="1">IF((A1)=(2),"",IF((101)=(I3),IF(IF((INDEX(B1:XFD1,((A2)+(1))+(0)))=("store"),(INDEX(B1:XFD1,((A2)+(1))+(1)))=("I"),"false"),B2,I104),I104))</f>
        <v>#VALUE!</v>
      </c>
      <c r="J104" t="e">
        <f ca="1">IF((A1)=(2),"",IF((101)=(J3),IF(IF((INDEX(B1:XFD1,((A2)+(1))+(0)))=("store"),(INDEX(B1:XFD1,((A2)+(1))+(1)))=("J"),"false"),B2,J104),J104))</f>
        <v>#VALUE!</v>
      </c>
      <c r="K104" t="e">
        <f ca="1">IF((A1)=(2),"",IF((101)=(K3),IF(IF((INDEX(B1:XFD1,((A2)+(1))+(0)))=("store"),(INDEX(B1:XFD1,((A2)+(1))+(1)))=("K"),"false"),B2,K104),K104))</f>
        <v>#VALUE!</v>
      </c>
      <c r="L104" t="e">
        <f ca="1">IF((A1)=(2),"",IF((101)=(L3),IF(IF((INDEX(B1:XFD1,((A2)+(1))+(0)))=("store"),(INDEX(B1:XFD1,((A2)+(1))+(1)))=("L"),"false"),B2,L104),L104))</f>
        <v>#VALUE!</v>
      </c>
      <c r="M104" t="e">
        <f ca="1">IF((A1)=(2),"",IF((101)=(M3),IF(IF((INDEX(B1:XFD1,((A2)+(1))+(0)))=("store"),(INDEX(B1:XFD1,((A2)+(1))+(1)))=("M"),"false"),B2,M104),M104))</f>
        <v>#VALUE!</v>
      </c>
      <c r="N104" t="e">
        <f ca="1">IF((A1)=(2),"",IF((101)=(N3),IF(IF((INDEX(B1:XFD1,((A2)+(1))+(0)))=("store"),(INDEX(B1:XFD1,((A2)+(1))+(1)))=("N"),"false"),B2,N104),N104))</f>
        <v>#VALUE!</v>
      </c>
      <c r="O104" t="e">
        <f ca="1">IF((A1)=(2),"",IF((101)=(O3),IF(IF((INDEX(B1:XFD1,((A2)+(1))+(0)))=("store"),(INDEX(B1:XFD1,((A2)+(1))+(1)))=("O"),"false"),B2,O104),O104))</f>
        <v>#VALUE!</v>
      </c>
      <c r="P104" t="e">
        <f ca="1">IF((A1)=(2),"",IF((101)=(P3),IF(IF((INDEX(B1:XFD1,((A2)+(1))+(0)))=("store"),(INDEX(B1:XFD1,((A2)+(1))+(1)))=("P"),"false"),B2,P104),P104))</f>
        <v>#VALUE!</v>
      </c>
      <c r="Q104" t="e">
        <f ca="1">IF((A1)=(2),"",IF((101)=(Q3),IF(IF((INDEX(B1:XFD1,((A2)+(1))+(0)))=("store"),(INDEX(B1:XFD1,((A2)+(1))+(1)))=("Q"),"false"),B2,Q104),Q104))</f>
        <v>#VALUE!</v>
      </c>
      <c r="R104" t="e">
        <f ca="1">IF((A1)=(2),"",IF((101)=(R3),IF(IF((INDEX(B1:XFD1,((A2)+(1))+(0)))=("store"),(INDEX(B1:XFD1,((A2)+(1))+(1)))=("R"),"false"),B2,R104),R104))</f>
        <v>#VALUE!</v>
      </c>
      <c r="S104" t="e">
        <f ca="1">IF((A1)=(2),"",IF((101)=(S3),IF(IF((INDEX(B1:XFD1,((A2)+(1))+(0)))=("store"),(INDEX(B1:XFD1,((A2)+(1))+(1)))=("S"),"false"),B2,S104),S104))</f>
        <v>#VALUE!</v>
      </c>
      <c r="T104" t="e">
        <f ca="1">IF((A1)=(2),"",IF((101)=(T3),IF(IF((INDEX(B1:XFD1,((A2)+(1))+(0)))=("store"),(INDEX(B1:XFD1,((A2)+(1))+(1)))=("T"),"false"),B2,T104),T104))</f>
        <v>#VALUE!</v>
      </c>
      <c r="U104" t="e">
        <f ca="1">IF((A1)=(2),"",IF((101)=(U3),IF(IF((INDEX(B1:XFD1,((A2)+(1))+(0)))=("store"),(INDEX(B1:XFD1,((A2)+(1))+(1)))=("U"),"false"),B2,U104),U104))</f>
        <v>#VALUE!</v>
      </c>
      <c r="V104" t="e">
        <f ca="1">IF((A1)=(2),"",IF((101)=(V3),IF(IF((INDEX(B1:XFD1,((A2)+(1))+(0)))=("store"),(INDEX(B1:XFD1,((A2)+(1))+(1)))=("V"),"false"),B2,V104),V104))</f>
        <v>#VALUE!</v>
      </c>
      <c r="W104" t="e">
        <f ca="1">IF((A1)=(2),"",IF((101)=(W3),IF(IF((INDEX(B1:XFD1,((A2)+(1))+(0)))=("store"),(INDEX(B1:XFD1,((A2)+(1))+(1)))=("W"),"false"),B2,W104),W104))</f>
        <v>#VALUE!</v>
      </c>
      <c r="X104" t="e">
        <f ca="1">IF((A1)=(2),"",IF((101)=(X3),IF(IF((INDEX(B1:XFD1,((A2)+(1))+(0)))=("store"),(INDEX(B1:XFD1,((A2)+(1))+(1)))=("X"),"false"),B2,X104),X104))</f>
        <v>#VALUE!</v>
      </c>
      <c r="Y104" t="e">
        <f ca="1">IF((A1)=(2),"",IF((101)=(Y3),IF(IF((INDEX(B1:XFD1,((A2)+(1))+(0)))=("store"),(INDEX(B1:XFD1,((A2)+(1))+(1)))=("Y"),"false"),B2,Y104),Y104))</f>
        <v>#VALUE!</v>
      </c>
      <c r="Z104" t="e">
        <f ca="1">IF((A1)=(2),"",IF((101)=(Z3),IF(IF((INDEX(B1:XFD1,((A2)+(1))+(0)))=("store"),(INDEX(B1:XFD1,((A2)+(1))+(1)))=("Z"),"false"),B2,Z104),Z104))</f>
        <v>#VALUE!</v>
      </c>
      <c r="AA104" t="e">
        <f ca="1">IF((A1)=(2),"",IF((101)=(AA3),IF(IF((INDEX(B1:XFD1,((A2)+(1))+(0)))=("store"),(INDEX(B1:XFD1,((A2)+(1))+(1)))=("AA"),"false"),B2,AA104),AA104))</f>
        <v>#VALUE!</v>
      </c>
      <c r="AB104" t="e">
        <f ca="1">IF((A1)=(2),"",IF((101)=(AB3),IF(IF((INDEX(B1:XFD1,((A2)+(1))+(0)))=("store"),(INDEX(B1:XFD1,((A2)+(1))+(1)))=("AB"),"false"),B2,AB104),AB104))</f>
        <v>#VALUE!</v>
      </c>
      <c r="AC104" t="e">
        <f ca="1">IF((A1)=(2),"",IF((101)=(AC3),IF(IF((INDEX(B1:XFD1,((A2)+(1))+(0)))=("store"),(INDEX(B1:XFD1,((A2)+(1))+(1)))=("AC"),"false"),B2,AC104),AC104))</f>
        <v>#VALUE!</v>
      </c>
      <c r="AD104" t="e">
        <f ca="1">IF((A1)=(2),"",IF((101)=(AD3),IF(IF((INDEX(B1:XFD1,((A2)+(1))+(0)))=("store"),(INDEX(B1:XFD1,((A2)+(1))+(1)))=("AD"),"false"),B2,AD104),AD104))</f>
        <v>#VALUE!</v>
      </c>
    </row>
    <row r="105" spans="1:30" x14ac:dyDescent="0.25">
      <c r="A105" t="e">
        <f ca="1">IF((A1)=(2),"",IF((102)=(A3),IF(("call")=(INDEX(B1:XFD1,((A2)+(1))+(0))),(B2)*(2),IF(("goto")=(INDEX(B1:XFD1,((A2)+(1))+(0))),(INDEX(B1:XFD1,((A2)+(1))+(1)))*(2),IF(("gotoiftrue")=(INDEX(B1:XFD1,((A2)+(1))+(0))),IF(B2,(INDEX(B1:XFD1,((A2)+(1))+(1)))*(2),(A105)+(2)),(A105)+(2)))),A105))</f>
        <v>#VALUE!</v>
      </c>
      <c r="B105" t="e">
        <f ca="1">IF((A1)=(2),"",IF((102)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105)+(1)),IF(("add")=(INDEX(B1:XFD1,((A2)+(1))+(0))),(INDEX(B4:B404,(B3)+(1)))+(B105),IF(("equals")=(INDEX(B1:XFD1,((A2)+(1))+(0))),(INDEX(B4:B404,(B3)+(1)))=(B105),IF(("leq")=(INDEX(B1:XFD1,((A2)+(1))+(0))),(INDEX(B4:B404,(B3)+(1)))&lt;=(B105),IF(("greater")=(INDEX(B1:XFD1,((A2)+(1))+(0))),(INDEX(B4:B404,(B3)+(1)))&gt;(B105),IF(("mod")=(INDEX(B1:XFD1,((A2)+(1))+(0))),MOD(INDEX(B4:B404,(B3)+(1)),B105),B105))))))))),B105))</f>
        <v>#VALUE!</v>
      </c>
      <c r="C105" t="e">
        <f ca="1">IF((A1)=(2),1,IF(AND((INDEX(B1:XFD1,((A2)+(1))+(0)))=("writeheap"),(INDEX(B4:B404,(B3)+(1)))=(101)),INDEX(B4:B404,(B3)+(2)),IF((A1)=(2),"",IF((102)=(C3),C105,C105))))</f>
        <v>#VALUE!</v>
      </c>
      <c r="E105" t="e">
        <f ca="1">IF((A1)=(2),"",IF((102)=(E3),IF(("outputline")=(INDEX(B1:XFD1,((A2)+(1))+(0))),B2,E105),E105))</f>
        <v>#VALUE!</v>
      </c>
      <c r="F105" t="e">
        <f ca="1">IF((A1)=(2),"",IF((102)=(F3),IF(IF((INDEX(B1:XFD1,((A2)+(1))+(0)))=("store"),(INDEX(B1:XFD1,((A2)+(1))+(1)))=("F"),"false"),B2,F105),F105))</f>
        <v>#VALUE!</v>
      </c>
      <c r="G105" t="e">
        <f ca="1">IF((A1)=(2),"",IF((102)=(G3),IF(IF((INDEX(B1:XFD1,((A2)+(1))+(0)))=("store"),(INDEX(B1:XFD1,((A2)+(1))+(1)))=("G"),"false"),B2,G105),G105))</f>
        <v>#VALUE!</v>
      </c>
      <c r="H105" t="e">
        <f ca="1">IF((A1)=(2),"",IF((102)=(H3),IF(IF((INDEX(B1:XFD1,((A2)+(1))+(0)))=("store"),(INDEX(B1:XFD1,((A2)+(1))+(1)))=("H"),"false"),B2,H105),H105))</f>
        <v>#VALUE!</v>
      </c>
      <c r="I105" t="e">
        <f ca="1">IF((A1)=(2),"",IF((102)=(I3),IF(IF((INDEX(B1:XFD1,((A2)+(1))+(0)))=("store"),(INDEX(B1:XFD1,((A2)+(1))+(1)))=("I"),"false"),B2,I105),I105))</f>
        <v>#VALUE!</v>
      </c>
      <c r="J105" t="e">
        <f ca="1">IF((A1)=(2),"",IF((102)=(J3),IF(IF((INDEX(B1:XFD1,((A2)+(1))+(0)))=("store"),(INDEX(B1:XFD1,((A2)+(1))+(1)))=("J"),"false"),B2,J105),J105))</f>
        <v>#VALUE!</v>
      </c>
      <c r="K105" t="e">
        <f ca="1">IF((A1)=(2),"",IF((102)=(K3),IF(IF((INDEX(B1:XFD1,((A2)+(1))+(0)))=("store"),(INDEX(B1:XFD1,((A2)+(1))+(1)))=("K"),"false"),B2,K105),K105))</f>
        <v>#VALUE!</v>
      </c>
      <c r="L105" t="e">
        <f ca="1">IF((A1)=(2),"",IF((102)=(L3),IF(IF((INDEX(B1:XFD1,((A2)+(1))+(0)))=("store"),(INDEX(B1:XFD1,((A2)+(1))+(1)))=("L"),"false"),B2,L105),L105))</f>
        <v>#VALUE!</v>
      </c>
      <c r="M105" t="e">
        <f ca="1">IF((A1)=(2),"",IF((102)=(M3),IF(IF((INDEX(B1:XFD1,((A2)+(1))+(0)))=("store"),(INDEX(B1:XFD1,((A2)+(1))+(1)))=("M"),"false"),B2,M105),M105))</f>
        <v>#VALUE!</v>
      </c>
      <c r="N105" t="e">
        <f ca="1">IF((A1)=(2),"",IF((102)=(N3),IF(IF((INDEX(B1:XFD1,((A2)+(1))+(0)))=("store"),(INDEX(B1:XFD1,((A2)+(1))+(1)))=("N"),"false"),B2,N105),N105))</f>
        <v>#VALUE!</v>
      </c>
      <c r="O105" t="e">
        <f ca="1">IF((A1)=(2),"",IF((102)=(O3),IF(IF((INDEX(B1:XFD1,((A2)+(1))+(0)))=("store"),(INDEX(B1:XFD1,((A2)+(1))+(1)))=("O"),"false"),B2,O105),O105))</f>
        <v>#VALUE!</v>
      </c>
      <c r="P105" t="e">
        <f ca="1">IF((A1)=(2),"",IF((102)=(P3),IF(IF((INDEX(B1:XFD1,((A2)+(1))+(0)))=("store"),(INDEX(B1:XFD1,((A2)+(1))+(1)))=("P"),"false"),B2,P105),P105))</f>
        <v>#VALUE!</v>
      </c>
      <c r="Q105" t="e">
        <f ca="1">IF((A1)=(2),"",IF((102)=(Q3),IF(IF((INDEX(B1:XFD1,((A2)+(1))+(0)))=("store"),(INDEX(B1:XFD1,((A2)+(1))+(1)))=("Q"),"false"),B2,Q105),Q105))</f>
        <v>#VALUE!</v>
      </c>
      <c r="R105" t="e">
        <f ca="1">IF((A1)=(2),"",IF((102)=(R3),IF(IF((INDEX(B1:XFD1,((A2)+(1))+(0)))=("store"),(INDEX(B1:XFD1,((A2)+(1))+(1)))=("R"),"false"),B2,R105),R105))</f>
        <v>#VALUE!</v>
      </c>
      <c r="S105" t="e">
        <f ca="1">IF((A1)=(2),"",IF((102)=(S3),IF(IF((INDEX(B1:XFD1,((A2)+(1))+(0)))=("store"),(INDEX(B1:XFD1,((A2)+(1))+(1)))=("S"),"false"),B2,S105),S105))</f>
        <v>#VALUE!</v>
      </c>
      <c r="T105" t="e">
        <f ca="1">IF((A1)=(2),"",IF((102)=(T3),IF(IF((INDEX(B1:XFD1,((A2)+(1))+(0)))=("store"),(INDEX(B1:XFD1,((A2)+(1))+(1)))=("T"),"false"),B2,T105),T105))</f>
        <v>#VALUE!</v>
      </c>
      <c r="U105" t="e">
        <f ca="1">IF((A1)=(2),"",IF((102)=(U3),IF(IF((INDEX(B1:XFD1,((A2)+(1))+(0)))=("store"),(INDEX(B1:XFD1,((A2)+(1))+(1)))=("U"),"false"),B2,U105),U105))</f>
        <v>#VALUE!</v>
      </c>
      <c r="V105" t="e">
        <f ca="1">IF((A1)=(2),"",IF((102)=(V3),IF(IF((INDEX(B1:XFD1,((A2)+(1))+(0)))=("store"),(INDEX(B1:XFD1,((A2)+(1))+(1)))=("V"),"false"),B2,V105),V105))</f>
        <v>#VALUE!</v>
      </c>
      <c r="W105" t="e">
        <f ca="1">IF((A1)=(2),"",IF((102)=(W3),IF(IF((INDEX(B1:XFD1,((A2)+(1))+(0)))=("store"),(INDEX(B1:XFD1,((A2)+(1))+(1)))=("W"),"false"),B2,W105),W105))</f>
        <v>#VALUE!</v>
      </c>
      <c r="X105" t="e">
        <f ca="1">IF((A1)=(2),"",IF((102)=(X3),IF(IF((INDEX(B1:XFD1,((A2)+(1))+(0)))=("store"),(INDEX(B1:XFD1,((A2)+(1))+(1)))=("X"),"false"),B2,X105),X105))</f>
        <v>#VALUE!</v>
      </c>
      <c r="Y105" t="e">
        <f ca="1">IF((A1)=(2),"",IF((102)=(Y3),IF(IF((INDEX(B1:XFD1,((A2)+(1))+(0)))=("store"),(INDEX(B1:XFD1,((A2)+(1))+(1)))=("Y"),"false"),B2,Y105),Y105))</f>
        <v>#VALUE!</v>
      </c>
      <c r="Z105" t="e">
        <f ca="1">IF((A1)=(2),"",IF((102)=(Z3),IF(IF((INDEX(B1:XFD1,((A2)+(1))+(0)))=("store"),(INDEX(B1:XFD1,((A2)+(1))+(1)))=("Z"),"false"),B2,Z105),Z105))</f>
        <v>#VALUE!</v>
      </c>
      <c r="AA105" t="e">
        <f ca="1">IF((A1)=(2),"",IF((102)=(AA3),IF(IF((INDEX(B1:XFD1,((A2)+(1))+(0)))=("store"),(INDEX(B1:XFD1,((A2)+(1))+(1)))=("AA"),"false"),B2,AA105),AA105))</f>
        <v>#VALUE!</v>
      </c>
      <c r="AB105" t="e">
        <f ca="1">IF((A1)=(2),"",IF((102)=(AB3),IF(IF((INDEX(B1:XFD1,((A2)+(1))+(0)))=("store"),(INDEX(B1:XFD1,((A2)+(1))+(1)))=("AB"),"false"),B2,AB105),AB105))</f>
        <v>#VALUE!</v>
      </c>
      <c r="AC105" t="e">
        <f ca="1">IF((A1)=(2),"",IF((102)=(AC3),IF(IF((INDEX(B1:XFD1,((A2)+(1))+(0)))=("store"),(INDEX(B1:XFD1,((A2)+(1))+(1)))=("AC"),"false"),B2,AC105),AC105))</f>
        <v>#VALUE!</v>
      </c>
      <c r="AD105" t="e">
        <f ca="1">IF((A1)=(2),"",IF((102)=(AD3),IF(IF((INDEX(B1:XFD1,((A2)+(1))+(0)))=("store"),(INDEX(B1:XFD1,((A2)+(1))+(1)))=("AD"),"false"),B2,AD105),AD105))</f>
        <v>#VALUE!</v>
      </c>
    </row>
    <row r="106" spans="1:30" x14ac:dyDescent="0.25">
      <c r="A106" t="e">
        <f ca="1">IF((A1)=(2),"",IF((103)=(A3),IF(("call")=(INDEX(B1:XFD1,((A2)+(1))+(0))),(B2)*(2),IF(("goto")=(INDEX(B1:XFD1,((A2)+(1))+(0))),(INDEX(B1:XFD1,((A2)+(1))+(1)))*(2),IF(("gotoiftrue")=(INDEX(B1:XFD1,((A2)+(1))+(0))),IF(B2,(INDEX(B1:XFD1,((A2)+(1))+(1)))*(2),(A106)+(2)),(A106)+(2)))),A106))</f>
        <v>#VALUE!</v>
      </c>
      <c r="B106" t="e">
        <f ca="1">IF((A1)=(2),"",IF((103)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106)+(1)),IF(("add")=(INDEX(B1:XFD1,((A2)+(1))+(0))),(INDEX(B4:B404,(B3)+(1)))+(B106),IF(("equals")=(INDEX(B1:XFD1,((A2)+(1))+(0))),(INDEX(B4:B404,(B3)+(1)))=(B106),IF(("leq")=(INDEX(B1:XFD1,((A2)+(1))+(0))),(INDEX(B4:B404,(B3)+(1)))&lt;=(B106),IF(("greater")=(INDEX(B1:XFD1,((A2)+(1))+(0))),(INDEX(B4:B404,(B3)+(1)))&gt;(B106),IF(("mod")=(INDEX(B1:XFD1,((A2)+(1))+(0))),MOD(INDEX(B4:B404,(B3)+(1)),B106),B106))))))))),B106))</f>
        <v>#VALUE!</v>
      </c>
      <c r="C106" t="e">
        <f ca="1">IF((A1)=(2),1,IF(AND((INDEX(B1:XFD1,((A2)+(1))+(0)))=("writeheap"),(INDEX(B4:B404,(B3)+(1)))=(102)),INDEX(B4:B404,(B3)+(2)),IF((A1)=(2),"",IF((103)=(C3),C106,C106))))</f>
        <v>#VALUE!</v>
      </c>
      <c r="E106" t="e">
        <f ca="1">IF((A1)=(2),"",IF((103)=(E3),IF(("outputline")=(INDEX(B1:XFD1,((A2)+(1))+(0))),B2,E106),E106))</f>
        <v>#VALUE!</v>
      </c>
      <c r="F106" t="e">
        <f ca="1">IF((A1)=(2),"",IF((103)=(F3),IF(IF((INDEX(B1:XFD1,((A2)+(1))+(0)))=("store"),(INDEX(B1:XFD1,((A2)+(1))+(1)))=("F"),"false"),B2,F106),F106))</f>
        <v>#VALUE!</v>
      </c>
      <c r="G106" t="e">
        <f ca="1">IF((A1)=(2),"",IF((103)=(G3),IF(IF((INDEX(B1:XFD1,((A2)+(1))+(0)))=("store"),(INDEX(B1:XFD1,((A2)+(1))+(1)))=("G"),"false"),B2,G106),G106))</f>
        <v>#VALUE!</v>
      </c>
      <c r="H106" t="e">
        <f ca="1">IF((A1)=(2),"",IF((103)=(H3),IF(IF((INDEX(B1:XFD1,((A2)+(1))+(0)))=("store"),(INDEX(B1:XFD1,((A2)+(1))+(1)))=("H"),"false"),B2,H106),H106))</f>
        <v>#VALUE!</v>
      </c>
      <c r="I106" t="e">
        <f ca="1">IF((A1)=(2),"",IF((103)=(I3),IF(IF((INDEX(B1:XFD1,((A2)+(1))+(0)))=("store"),(INDEX(B1:XFD1,((A2)+(1))+(1)))=("I"),"false"),B2,I106),I106))</f>
        <v>#VALUE!</v>
      </c>
      <c r="J106" t="e">
        <f ca="1">IF((A1)=(2),"",IF((103)=(J3),IF(IF((INDEX(B1:XFD1,((A2)+(1))+(0)))=("store"),(INDEX(B1:XFD1,((A2)+(1))+(1)))=("J"),"false"),B2,J106),J106))</f>
        <v>#VALUE!</v>
      </c>
      <c r="K106" t="e">
        <f ca="1">IF((A1)=(2),"",IF((103)=(K3),IF(IF((INDEX(B1:XFD1,((A2)+(1))+(0)))=("store"),(INDEX(B1:XFD1,((A2)+(1))+(1)))=("K"),"false"),B2,K106),K106))</f>
        <v>#VALUE!</v>
      </c>
      <c r="L106" t="e">
        <f ca="1">IF((A1)=(2),"",IF((103)=(L3),IF(IF((INDEX(B1:XFD1,((A2)+(1))+(0)))=("store"),(INDEX(B1:XFD1,((A2)+(1))+(1)))=("L"),"false"),B2,L106),L106))</f>
        <v>#VALUE!</v>
      </c>
      <c r="M106" t="e">
        <f ca="1">IF((A1)=(2),"",IF((103)=(M3),IF(IF((INDEX(B1:XFD1,((A2)+(1))+(0)))=("store"),(INDEX(B1:XFD1,((A2)+(1))+(1)))=("M"),"false"),B2,M106),M106))</f>
        <v>#VALUE!</v>
      </c>
      <c r="N106" t="e">
        <f ca="1">IF((A1)=(2),"",IF((103)=(N3),IF(IF((INDEX(B1:XFD1,((A2)+(1))+(0)))=("store"),(INDEX(B1:XFD1,((A2)+(1))+(1)))=("N"),"false"),B2,N106),N106))</f>
        <v>#VALUE!</v>
      </c>
      <c r="O106" t="e">
        <f ca="1">IF((A1)=(2),"",IF((103)=(O3),IF(IF((INDEX(B1:XFD1,((A2)+(1))+(0)))=("store"),(INDEX(B1:XFD1,((A2)+(1))+(1)))=("O"),"false"),B2,O106),O106))</f>
        <v>#VALUE!</v>
      </c>
      <c r="P106" t="e">
        <f ca="1">IF((A1)=(2),"",IF((103)=(P3),IF(IF((INDEX(B1:XFD1,((A2)+(1))+(0)))=("store"),(INDEX(B1:XFD1,((A2)+(1))+(1)))=("P"),"false"),B2,P106),P106))</f>
        <v>#VALUE!</v>
      </c>
      <c r="Q106" t="e">
        <f ca="1">IF((A1)=(2),"",IF((103)=(Q3),IF(IF((INDEX(B1:XFD1,((A2)+(1))+(0)))=("store"),(INDEX(B1:XFD1,((A2)+(1))+(1)))=("Q"),"false"),B2,Q106),Q106))</f>
        <v>#VALUE!</v>
      </c>
      <c r="R106" t="e">
        <f ca="1">IF((A1)=(2),"",IF((103)=(R3),IF(IF((INDEX(B1:XFD1,((A2)+(1))+(0)))=("store"),(INDEX(B1:XFD1,((A2)+(1))+(1)))=("R"),"false"),B2,R106),R106))</f>
        <v>#VALUE!</v>
      </c>
      <c r="S106" t="e">
        <f ca="1">IF((A1)=(2),"",IF((103)=(S3),IF(IF((INDEX(B1:XFD1,((A2)+(1))+(0)))=("store"),(INDEX(B1:XFD1,((A2)+(1))+(1)))=("S"),"false"),B2,S106),S106))</f>
        <v>#VALUE!</v>
      </c>
      <c r="T106" t="e">
        <f ca="1">IF((A1)=(2),"",IF((103)=(T3),IF(IF((INDEX(B1:XFD1,((A2)+(1))+(0)))=("store"),(INDEX(B1:XFD1,((A2)+(1))+(1)))=("T"),"false"),B2,T106),T106))</f>
        <v>#VALUE!</v>
      </c>
      <c r="U106" t="e">
        <f ca="1">IF((A1)=(2),"",IF((103)=(U3),IF(IF((INDEX(B1:XFD1,((A2)+(1))+(0)))=("store"),(INDEX(B1:XFD1,((A2)+(1))+(1)))=("U"),"false"),B2,U106),U106))</f>
        <v>#VALUE!</v>
      </c>
      <c r="V106" t="e">
        <f ca="1">IF((A1)=(2),"",IF((103)=(V3),IF(IF((INDEX(B1:XFD1,((A2)+(1))+(0)))=("store"),(INDEX(B1:XFD1,((A2)+(1))+(1)))=("V"),"false"),B2,V106),V106))</f>
        <v>#VALUE!</v>
      </c>
      <c r="W106" t="e">
        <f ca="1">IF((A1)=(2),"",IF((103)=(W3),IF(IF((INDEX(B1:XFD1,((A2)+(1))+(0)))=("store"),(INDEX(B1:XFD1,((A2)+(1))+(1)))=("W"),"false"),B2,W106),W106))</f>
        <v>#VALUE!</v>
      </c>
      <c r="X106" t="e">
        <f ca="1">IF((A1)=(2),"",IF((103)=(X3),IF(IF((INDEX(B1:XFD1,((A2)+(1))+(0)))=("store"),(INDEX(B1:XFD1,((A2)+(1))+(1)))=("X"),"false"),B2,X106),X106))</f>
        <v>#VALUE!</v>
      </c>
      <c r="Y106" t="e">
        <f ca="1">IF((A1)=(2),"",IF((103)=(Y3),IF(IF((INDEX(B1:XFD1,((A2)+(1))+(0)))=("store"),(INDEX(B1:XFD1,((A2)+(1))+(1)))=("Y"),"false"),B2,Y106),Y106))</f>
        <v>#VALUE!</v>
      </c>
      <c r="Z106" t="e">
        <f ca="1">IF((A1)=(2),"",IF((103)=(Z3),IF(IF((INDEX(B1:XFD1,((A2)+(1))+(0)))=("store"),(INDEX(B1:XFD1,((A2)+(1))+(1)))=("Z"),"false"),B2,Z106),Z106))</f>
        <v>#VALUE!</v>
      </c>
      <c r="AA106" t="e">
        <f ca="1">IF((A1)=(2),"",IF((103)=(AA3),IF(IF((INDEX(B1:XFD1,((A2)+(1))+(0)))=("store"),(INDEX(B1:XFD1,((A2)+(1))+(1)))=("AA"),"false"),B2,AA106),AA106))</f>
        <v>#VALUE!</v>
      </c>
      <c r="AB106" t="e">
        <f ca="1">IF((A1)=(2),"",IF((103)=(AB3),IF(IF((INDEX(B1:XFD1,((A2)+(1))+(0)))=("store"),(INDEX(B1:XFD1,((A2)+(1))+(1)))=("AB"),"false"),B2,AB106),AB106))</f>
        <v>#VALUE!</v>
      </c>
      <c r="AC106" t="e">
        <f ca="1">IF((A1)=(2),"",IF((103)=(AC3),IF(IF((INDEX(B1:XFD1,((A2)+(1))+(0)))=("store"),(INDEX(B1:XFD1,((A2)+(1))+(1)))=("AC"),"false"),B2,AC106),AC106))</f>
        <v>#VALUE!</v>
      </c>
      <c r="AD106" t="e">
        <f ca="1">IF((A1)=(2),"",IF((103)=(AD3),IF(IF((INDEX(B1:XFD1,((A2)+(1))+(0)))=("store"),(INDEX(B1:XFD1,((A2)+(1))+(1)))=("AD"),"false"),B2,AD106),AD106))</f>
        <v>#VALUE!</v>
      </c>
    </row>
    <row r="107" spans="1:30" x14ac:dyDescent="0.25">
      <c r="A107" t="e">
        <f ca="1">IF((A1)=(2),"",IF((104)=(A3),IF(("call")=(INDEX(B1:XFD1,((A2)+(1))+(0))),(B2)*(2),IF(("goto")=(INDEX(B1:XFD1,((A2)+(1))+(0))),(INDEX(B1:XFD1,((A2)+(1))+(1)))*(2),IF(("gotoiftrue")=(INDEX(B1:XFD1,((A2)+(1))+(0))),IF(B2,(INDEX(B1:XFD1,((A2)+(1))+(1)))*(2),(A107)+(2)),(A107)+(2)))),A107))</f>
        <v>#VALUE!</v>
      </c>
      <c r="B107" t="e">
        <f ca="1">IF((A1)=(2),"",IF((104)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107)+(1)),IF(("add")=(INDEX(B1:XFD1,((A2)+(1))+(0))),(INDEX(B4:B404,(B3)+(1)))+(B107),IF(("equals")=(INDEX(B1:XFD1,((A2)+(1))+(0))),(INDEX(B4:B404,(B3)+(1)))=(B107),IF(("leq")=(INDEX(B1:XFD1,((A2)+(1))+(0))),(INDEX(B4:B404,(B3)+(1)))&lt;=(B107),IF(("greater")=(INDEX(B1:XFD1,((A2)+(1))+(0))),(INDEX(B4:B404,(B3)+(1)))&gt;(B107),IF(("mod")=(INDEX(B1:XFD1,((A2)+(1))+(0))),MOD(INDEX(B4:B404,(B3)+(1)),B107),B107))))))))),B107))</f>
        <v>#VALUE!</v>
      </c>
      <c r="C107" t="e">
        <f ca="1">IF((A1)=(2),1,IF(AND((INDEX(B1:XFD1,((A2)+(1))+(0)))=("writeheap"),(INDEX(B4:B404,(B3)+(1)))=(103)),INDEX(B4:B404,(B3)+(2)),IF((A1)=(2),"",IF((104)=(C3),C107,C107))))</f>
        <v>#VALUE!</v>
      </c>
      <c r="E107" t="e">
        <f ca="1">IF((A1)=(2),"",IF((104)=(E3),IF(("outputline")=(INDEX(B1:XFD1,((A2)+(1))+(0))),B2,E107),E107))</f>
        <v>#VALUE!</v>
      </c>
      <c r="F107" t="e">
        <f ca="1">IF((A1)=(2),"",IF((104)=(F3),IF(IF((INDEX(B1:XFD1,((A2)+(1))+(0)))=("store"),(INDEX(B1:XFD1,((A2)+(1))+(1)))=("F"),"false"),B2,F107),F107))</f>
        <v>#VALUE!</v>
      </c>
      <c r="G107" t="e">
        <f ca="1">IF((A1)=(2),"",IF((104)=(G3),IF(IF((INDEX(B1:XFD1,((A2)+(1))+(0)))=("store"),(INDEX(B1:XFD1,((A2)+(1))+(1)))=("G"),"false"),B2,G107),G107))</f>
        <v>#VALUE!</v>
      </c>
      <c r="H107" t="e">
        <f ca="1">IF((A1)=(2),"",IF((104)=(H3),IF(IF((INDEX(B1:XFD1,((A2)+(1))+(0)))=("store"),(INDEX(B1:XFD1,((A2)+(1))+(1)))=("H"),"false"),B2,H107),H107))</f>
        <v>#VALUE!</v>
      </c>
      <c r="I107" t="e">
        <f ca="1">IF((A1)=(2),"",IF((104)=(I3),IF(IF((INDEX(B1:XFD1,((A2)+(1))+(0)))=("store"),(INDEX(B1:XFD1,((A2)+(1))+(1)))=("I"),"false"),B2,I107),I107))</f>
        <v>#VALUE!</v>
      </c>
      <c r="J107" t="e">
        <f ca="1">IF((A1)=(2),"",IF((104)=(J3),IF(IF((INDEX(B1:XFD1,((A2)+(1))+(0)))=("store"),(INDEX(B1:XFD1,((A2)+(1))+(1)))=("J"),"false"),B2,J107),J107))</f>
        <v>#VALUE!</v>
      </c>
      <c r="K107" t="e">
        <f ca="1">IF((A1)=(2),"",IF((104)=(K3),IF(IF((INDEX(B1:XFD1,((A2)+(1))+(0)))=("store"),(INDEX(B1:XFD1,((A2)+(1))+(1)))=("K"),"false"),B2,K107),K107))</f>
        <v>#VALUE!</v>
      </c>
      <c r="L107" t="e">
        <f ca="1">IF((A1)=(2),"",IF((104)=(L3),IF(IF((INDEX(B1:XFD1,((A2)+(1))+(0)))=("store"),(INDEX(B1:XFD1,((A2)+(1))+(1)))=("L"),"false"),B2,L107),L107))</f>
        <v>#VALUE!</v>
      </c>
      <c r="M107" t="e">
        <f ca="1">IF((A1)=(2),"",IF((104)=(M3),IF(IF((INDEX(B1:XFD1,((A2)+(1))+(0)))=("store"),(INDEX(B1:XFD1,((A2)+(1))+(1)))=("M"),"false"),B2,M107),M107))</f>
        <v>#VALUE!</v>
      </c>
      <c r="N107" t="e">
        <f ca="1">IF((A1)=(2),"",IF((104)=(N3),IF(IF((INDEX(B1:XFD1,((A2)+(1))+(0)))=("store"),(INDEX(B1:XFD1,((A2)+(1))+(1)))=("N"),"false"),B2,N107),N107))</f>
        <v>#VALUE!</v>
      </c>
      <c r="O107" t="e">
        <f ca="1">IF((A1)=(2),"",IF((104)=(O3),IF(IF((INDEX(B1:XFD1,((A2)+(1))+(0)))=("store"),(INDEX(B1:XFD1,((A2)+(1))+(1)))=("O"),"false"),B2,O107),O107))</f>
        <v>#VALUE!</v>
      </c>
      <c r="P107" t="e">
        <f ca="1">IF((A1)=(2),"",IF((104)=(P3),IF(IF((INDEX(B1:XFD1,((A2)+(1))+(0)))=("store"),(INDEX(B1:XFD1,((A2)+(1))+(1)))=("P"),"false"),B2,P107),P107))</f>
        <v>#VALUE!</v>
      </c>
      <c r="Q107" t="e">
        <f ca="1">IF((A1)=(2),"",IF((104)=(Q3),IF(IF((INDEX(B1:XFD1,((A2)+(1))+(0)))=("store"),(INDEX(B1:XFD1,((A2)+(1))+(1)))=("Q"),"false"),B2,Q107),Q107))</f>
        <v>#VALUE!</v>
      </c>
      <c r="R107" t="e">
        <f ca="1">IF((A1)=(2),"",IF((104)=(R3),IF(IF((INDEX(B1:XFD1,((A2)+(1))+(0)))=("store"),(INDEX(B1:XFD1,((A2)+(1))+(1)))=("R"),"false"),B2,R107),R107))</f>
        <v>#VALUE!</v>
      </c>
      <c r="S107" t="e">
        <f ca="1">IF((A1)=(2),"",IF((104)=(S3),IF(IF((INDEX(B1:XFD1,((A2)+(1))+(0)))=("store"),(INDEX(B1:XFD1,((A2)+(1))+(1)))=("S"),"false"),B2,S107),S107))</f>
        <v>#VALUE!</v>
      </c>
      <c r="T107" t="e">
        <f ca="1">IF((A1)=(2),"",IF((104)=(T3),IF(IF((INDEX(B1:XFD1,((A2)+(1))+(0)))=("store"),(INDEX(B1:XFD1,((A2)+(1))+(1)))=("T"),"false"),B2,T107),T107))</f>
        <v>#VALUE!</v>
      </c>
      <c r="U107" t="e">
        <f ca="1">IF((A1)=(2),"",IF((104)=(U3),IF(IF((INDEX(B1:XFD1,((A2)+(1))+(0)))=("store"),(INDEX(B1:XFD1,((A2)+(1))+(1)))=("U"),"false"),B2,U107),U107))</f>
        <v>#VALUE!</v>
      </c>
      <c r="V107" t="e">
        <f ca="1">IF((A1)=(2),"",IF((104)=(V3),IF(IF((INDEX(B1:XFD1,((A2)+(1))+(0)))=("store"),(INDEX(B1:XFD1,((A2)+(1))+(1)))=("V"),"false"),B2,V107),V107))</f>
        <v>#VALUE!</v>
      </c>
      <c r="W107" t="e">
        <f ca="1">IF((A1)=(2),"",IF((104)=(W3),IF(IF((INDEX(B1:XFD1,((A2)+(1))+(0)))=("store"),(INDEX(B1:XFD1,((A2)+(1))+(1)))=("W"),"false"),B2,W107),W107))</f>
        <v>#VALUE!</v>
      </c>
      <c r="X107" t="e">
        <f ca="1">IF((A1)=(2),"",IF((104)=(X3),IF(IF((INDEX(B1:XFD1,((A2)+(1))+(0)))=("store"),(INDEX(B1:XFD1,((A2)+(1))+(1)))=("X"),"false"),B2,X107),X107))</f>
        <v>#VALUE!</v>
      </c>
      <c r="Y107" t="e">
        <f ca="1">IF((A1)=(2),"",IF((104)=(Y3),IF(IF((INDEX(B1:XFD1,((A2)+(1))+(0)))=("store"),(INDEX(B1:XFD1,((A2)+(1))+(1)))=("Y"),"false"),B2,Y107),Y107))</f>
        <v>#VALUE!</v>
      </c>
      <c r="Z107" t="e">
        <f ca="1">IF((A1)=(2),"",IF((104)=(Z3),IF(IF((INDEX(B1:XFD1,((A2)+(1))+(0)))=("store"),(INDEX(B1:XFD1,((A2)+(1))+(1)))=("Z"),"false"),B2,Z107),Z107))</f>
        <v>#VALUE!</v>
      </c>
      <c r="AA107" t="e">
        <f ca="1">IF((A1)=(2),"",IF((104)=(AA3),IF(IF((INDEX(B1:XFD1,((A2)+(1))+(0)))=("store"),(INDEX(B1:XFD1,((A2)+(1))+(1)))=("AA"),"false"),B2,AA107),AA107))</f>
        <v>#VALUE!</v>
      </c>
      <c r="AB107" t="e">
        <f ca="1">IF((A1)=(2),"",IF((104)=(AB3),IF(IF((INDEX(B1:XFD1,((A2)+(1))+(0)))=("store"),(INDEX(B1:XFD1,((A2)+(1))+(1)))=("AB"),"false"),B2,AB107),AB107))</f>
        <v>#VALUE!</v>
      </c>
      <c r="AC107" t="e">
        <f ca="1">IF((A1)=(2),"",IF((104)=(AC3),IF(IF((INDEX(B1:XFD1,((A2)+(1))+(0)))=("store"),(INDEX(B1:XFD1,((A2)+(1))+(1)))=("AC"),"false"),B2,AC107),AC107))</f>
        <v>#VALUE!</v>
      </c>
      <c r="AD107" t="e">
        <f ca="1">IF((A1)=(2),"",IF((104)=(AD3),IF(IF((INDEX(B1:XFD1,((A2)+(1))+(0)))=("store"),(INDEX(B1:XFD1,((A2)+(1))+(1)))=("AD"),"false"),B2,AD107),AD107))</f>
        <v>#VALUE!</v>
      </c>
    </row>
    <row r="108" spans="1:30" x14ac:dyDescent="0.25">
      <c r="A108" t="e">
        <f ca="1">IF((A1)=(2),"",IF((105)=(A3),IF(("call")=(INDEX(B1:XFD1,((A2)+(1))+(0))),(B2)*(2),IF(("goto")=(INDEX(B1:XFD1,((A2)+(1))+(0))),(INDEX(B1:XFD1,((A2)+(1))+(1)))*(2),IF(("gotoiftrue")=(INDEX(B1:XFD1,((A2)+(1))+(0))),IF(B2,(INDEX(B1:XFD1,((A2)+(1))+(1)))*(2),(A108)+(2)),(A108)+(2)))),A108))</f>
        <v>#VALUE!</v>
      </c>
      <c r="B108" t="e">
        <f ca="1">IF((A1)=(2),"",IF((105)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108)+(1)),IF(("add")=(INDEX(B1:XFD1,((A2)+(1))+(0))),(INDEX(B4:B404,(B3)+(1)))+(B108),IF(("equals")=(INDEX(B1:XFD1,((A2)+(1))+(0))),(INDEX(B4:B404,(B3)+(1)))=(B108),IF(("leq")=(INDEX(B1:XFD1,((A2)+(1))+(0))),(INDEX(B4:B404,(B3)+(1)))&lt;=(B108),IF(("greater")=(INDEX(B1:XFD1,((A2)+(1))+(0))),(INDEX(B4:B404,(B3)+(1)))&gt;(B108),IF(("mod")=(INDEX(B1:XFD1,((A2)+(1))+(0))),MOD(INDEX(B4:B404,(B3)+(1)),B108),B108))))))))),B108))</f>
        <v>#VALUE!</v>
      </c>
      <c r="C108" t="e">
        <f ca="1">IF((A1)=(2),1,IF(AND((INDEX(B1:XFD1,((A2)+(1))+(0)))=("writeheap"),(INDEX(B4:B404,(B3)+(1)))=(104)),INDEX(B4:B404,(B3)+(2)),IF((A1)=(2),"",IF((105)=(C3),C108,C108))))</f>
        <v>#VALUE!</v>
      </c>
      <c r="E108" t="e">
        <f ca="1">IF((A1)=(2),"",IF((105)=(E3),IF(("outputline")=(INDEX(B1:XFD1,((A2)+(1))+(0))),B2,E108),E108))</f>
        <v>#VALUE!</v>
      </c>
      <c r="F108" t="e">
        <f ca="1">IF((A1)=(2),"",IF((105)=(F3),IF(IF((INDEX(B1:XFD1,((A2)+(1))+(0)))=("store"),(INDEX(B1:XFD1,((A2)+(1))+(1)))=("F"),"false"),B2,F108),F108))</f>
        <v>#VALUE!</v>
      </c>
      <c r="G108" t="e">
        <f ca="1">IF((A1)=(2),"",IF((105)=(G3),IF(IF((INDEX(B1:XFD1,((A2)+(1))+(0)))=("store"),(INDEX(B1:XFD1,((A2)+(1))+(1)))=("G"),"false"),B2,G108),G108))</f>
        <v>#VALUE!</v>
      </c>
      <c r="H108" t="e">
        <f ca="1">IF((A1)=(2),"",IF((105)=(H3),IF(IF((INDEX(B1:XFD1,((A2)+(1))+(0)))=("store"),(INDEX(B1:XFD1,((A2)+(1))+(1)))=("H"),"false"),B2,H108),H108))</f>
        <v>#VALUE!</v>
      </c>
      <c r="I108" t="e">
        <f ca="1">IF((A1)=(2),"",IF((105)=(I3),IF(IF((INDEX(B1:XFD1,((A2)+(1))+(0)))=("store"),(INDEX(B1:XFD1,((A2)+(1))+(1)))=("I"),"false"),B2,I108),I108))</f>
        <v>#VALUE!</v>
      </c>
      <c r="J108" t="e">
        <f ca="1">IF((A1)=(2),"",IF((105)=(J3),IF(IF((INDEX(B1:XFD1,((A2)+(1))+(0)))=("store"),(INDEX(B1:XFD1,((A2)+(1))+(1)))=("J"),"false"),B2,J108),J108))</f>
        <v>#VALUE!</v>
      </c>
      <c r="K108" t="e">
        <f ca="1">IF((A1)=(2),"",IF((105)=(K3),IF(IF((INDEX(B1:XFD1,((A2)+(1))+(0)))=("store"),(INDEX(B1:XFD1,((A2)+(1))+(1)))=("K"),"false"),B2,K108),K108))</f>
        <v>#VALUE!</v>
      </c>
      <c r="L108" t="e">
        <f ca="1">IF((A1)=(2),"",IF((105)=(L3),IF(IF((INDEX(B1:XFD1,((A2)+(1))+(0)))=("store"),(INDEX(B1:XFD1,((A2)+(1))+(1)))=("L"),"false"),B2,L108),L108))</f>
        <v>#VALUE!</v>
      </c>
      <c r="M108" t="e">
        <f ca="1">IF((A1)=(2),"",IF((105)=(M3),IF(IF((INDEX(B1:XFD1,((A2)+(1))+(0)))=("store"),(INDEX(B1:XFD1,((A2)+(1))+(1)))=("M"),"false"),B2,M108),M108))</f>
        <v>#VALUE!</v>
      </c>
      <c r="N108" t="e">
        <f ca="1">IF((A1)=(2),"",IF((105)=(N3),IF(IF((INDEX(B1:XFD1,((A2)+(1))+(0)))=("store"),(INDEX(B1:XFD1,((A2)+(1))+(1)))=("N"),"false"),B2,N108),N108))</f>
        <v>#VALUE!</v>
      </c>
      <c r="O108" t="e">
        <f ca="1">IF((A1)=(2),"",IF((105)=(O3),IF(IF((INDEX(B1:XFD1,((A2)+(1))+(0)))=("store"),(INDEX(B1:XFD1,((A2)+(1))+(1)))=("O"),"false"),B2,O108),O108))</f>
        <v>#VALUE!</v>
      </c>
      <c r="P108" t="e">
        <f ca="1">IF((A1)=(2),"",IF((105)=(P3),IF(IF((INDEX(B1:XFD1,((A2)+(1))+(0)))=("store"),(INDEX(B1:XFD1,((A2)+(1))+(1)))=("P"),"false"),B2,P108),P108))</f>
        <v>#VALUE!</v>
      </c>
      <c r="Q108" t="e">
        <f ca="1">IF((A1)=(2),"",IF((105)=(Q3),IF(IF((INDEX(B1:XFD1,((A2)+(1))+(0)))=("store"),(INDEX(B1:XFD1,((A2)+(1))+(1)))=("Q"),"false"),B2,Q108),Q108))</f>
        <v>#VALUE!</v>
      </c>
      <c r="R108" t="e">
        <f ca="1">IF((A1)=(2),"",IF((105)=(R3),IF(IF((INDEX(B1:XFD1,((A2)+(1))+(0)))=("store"),(INDEX(B1:XFD1,((A2)+(1))+(1)))=("R"),"false"),B2,R108),R108))</f>
        <v>#VALUE!</v>
      </c>
      <c r="S108" t="e">
        <f ca="1">IF((A1)=(2),"",IF((105)=(S3),IF(IF((INDEX(B1:XFD1,((A2)+(1))+(0)))=("store"),(INDEX(B1:XFD1,((A2)+(1))+(1)))=("S"),"false"),B2,S108),S108))</f>
        <v>#VALUE!</v>
      </c>
      <c r="T108" t="e">
        <f ca="1">IF((A1)=(2),"",IF((105)=(T3),IF(IF((INDEX(B1:XFD1,((A2)+(1))+(0)))=("store"),(INDEX(B1:XFD1,((A2)+(1))+(1)))=("T"),"false"),B2,T108),T108))</f>
        <v>#VALUE!</v>
      </c>
      <c r="U108" t="e">
        <f ca="1">IF((A1)=(2),"",IF((105)=(U3),IF(IF((INDEX(B1:XFD1,((A2)+(1))+(0)))=("store"),(INDEX(B1:XFD1,((A2)+(1))+(1)))=("U"),"false"),B2,U108),U108))</f>
        <v>#VALUE!</v>
      </c>
      <c r="V108" t="e">
        <f ca="1">IF((A1)=(2),"",IF((105)=(V3),IF(IF((INDEX(B1:XFD1,((A2)+(1))+(0)))=("store"),(INDEX(B1:XFD1,((A2)+(1))+(1)))=("V"),"false"),B2,V108),V108))</f>
        <v>#VALUE!</v>
      </c>
      <c r="W108" t="e">
        <f ca="1">IF((A1)=(2),"",IF((105)=(W3),IF(IF((INDEX(B1:XFD1,((A2)+(1))+(0)))=("store"),(INDEX(B1:XFD1,((A2)+(1))+(1)))=("W"),"false"),B2,W108),W108))</f>
        <v>#VALUE!</v>
      </c>
      <c r="X108" t="e">
        <f ca="1">IF((A1)=(2),"",IF((105)=(X3),IF(IF((INDEX(B1:XFD1,((A2)+(1))+(0)))=("store"),(INDEX(B1:XFD1,((A2)+(1))+(1)))=("X"),"false"),B2,X108),X108))</f>
        <v>#VALUE!</v>
      </c>
      <c r="Y108" t="e">
        <f ca="1">IF((A1)=(2),"",IF((105)=(Y3),IF(IF((INDEX(B1:XFD1,((A2)+(1))+(0)))=("store"),(INDEX(B1:XFD1,((A2)+(1))+(1)))=("Y"),"false"),B2,Y108),Y108))</f>
        <v>#VALUE!</v>
      </c>
      <c r="Z108" t="e">
        <f ca="1">IF((A1)=(2),"",IF((105)=(Z3),IF(IF((INDEX(B1:XFD1,((A2)+(1))+(0)))=("store"),(INDEX(B1:XFD1,((A2)+(1))+(1)))=("Z"),"false"),B2,Z108),Z108))</f>
        <v>#VALUE!</v>
      </c>
      <c r="AA108" t="e">
        <f ca="1">IF((A1)=(2),"",IF((105)=(AA3),IF(IF((INDEX(B1:XFD1,((A2)+(1))+(0)))=("store"),(INDEX(B1:XFD1,((A2)+(1))+(1)))=("AA"),"false"),B2,AA108),AA108))</f>
        <v>#VALUE!</v>
      </c>
      <c r="AB108" t="e">
        <f ca="1">IF((A1)=(2),"",IF((105)=(AB3),IF(IF((INDEX(B1:XFD1,((A2)+(1))+(0)))=("store"),(INDEX(B1:XFD1,((A2)+(1))+(1)))=("AB"),"false"),B2,AB108),AB108))</f>
        <v>#VALUE!</v>
      </c>
      <c r="AC108" t="e">
        <f ca="1">IF((A1)=(2),"",IF((105)=(AC3),IF(IF((INDEX(B1:XFD1,((A2)+(1))+(0)))=("store"),(INDEX(B1:XFD1,((A2)+(1))+(1)))=("AC"),"false"),B2,AC108),AC108))</f>
        <v>#VALUE!</v>
      </c>
      <c r="AD108" t="e">
        <f ca="1">IF((A1)=(2),"",IF((105)=(AD3),IF(IF((INDEX(B1:XFD1,((A2)+(1))+(0)))=("store"),(INDEX(B1:XFD1,((A2)+(1))+(1)))=("AD"),"false"),B2,AD108),AD108))</f>
        <v>#VALUE!</v>
      </c>
    </row>
    <row r="109" spans="1:30" x14ac:dyDescent="0.25">
      <c r="A109" t="e">
        <f ca="1">IF((A1)=(2),"",IF((106)=(A3),IF(("call")=(INDEX(B1:XFD1,((A2)+(1))+(0))),(B2)*(2),IF(("goto")=(INDEX(B1:XFD1,((A2)+(1))+(0))),(INDEX(B1:XFD1,((A2)+(1))+(1)))*(2),IF(("gotoiftrue")=(INDEX(B1:XFD1,((A2)+(1))+(0))),IF(B2,(INDEX(B1:XFD1,((A2)+(1))+(1)))*(2),(A109)+(2)),(A109)+(2)))),A109))</f>
        <v>#VALUE!</v>
      </c>
      <c r="B109" t="e">
        <f ca="1">IF((A1)=(2),"",IF((106)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109)+(1)),IF(("add")=(INDEX(B1:XFD1,((A2)+(1))+(0))),(INDEX(B4:B404,(B3)+(1)))+(B109),IF(("equals")=(INDEX(B1:XFD1,((A2)+(1))+(0))),(INDEX(B4:B404,(B3)+(1)))=(B109),IF(("leq")=(INDEX(B1:XFD1,((A2)+(1))+(0))),(INDEX(B4:B404,(B3)+(1)))&lt;=(B109),IF(("greater")=(INDEX(B1:XFD1,((A2)+(1))+(0))),(INDEX(B4:B404,(B3)+(1)))&gt;(B109),IF(("mod")=(INDEX(B1:XFD1,((A2)+(1))+(0))),MOD(INDEX(B4:B404,(B3)+(1)),B109),B109))))))))),B109))</f>
        <v>#VALUE!</v>
      </c>
      <c r="C109" t="e">
        <f ca="1">IF((A1)=(2),1,IF(AND((INDEX(B1:XFD1,((A2)+(1))+(0)))=("writeheap"),(INDEX(B4:B404,(B3)+(1)))=(105)),INDEX(B4:B404,(B3)+(2)),IF((A1)=(2),"",IF((106)=(C3),C109,C109))))</f>
        <v>#VALUE!</v>
      </c>
      <c r="E109" t="e">
        <f ca="1">IF((A1)=(2),"",IF((106)=(E3),IF(("outputline")=(INDEX(B1:XFD1,((A2)+(1))+(0))),B2,E109),E109))</f>
        <v>#VALUE!</v>
      </c>
      <c r="F109" t="e">
        <f ca="1">IF((A1)=(2),"",IF((106)=(F3),IF(IF((INDEX(B1:XFD1,((A2)+(1))+(0)))=("store"),(INDEX(B1:XFD1,((A2)+(1))+(1)))=("F"),"false"),B2,F109),F109))</f>
        <v>#VALUE!</v>
      </c>
      <c r="G109" t="e">
        <f ca="1">IF((A1)=(2),"",IF((106)=(G3),IF(IF((INDEX(B1:XFD1,((A2)+(1))+(0)))=("store"),(INDEX(B1:XFD1,((A2)+(1))+(1)))=("G"),"false"),B2,G109),G109))</f>
        <v>#VALUE!</v>
      </c>
      <c r="H109" t="e">
        <f ca="1">IF((A1)=(2),"",IF((106)=(H3),IF(IF((INDEX(B1:XFD1,((A2)+(1))+(0)))=("store"),(INDEX(B1:XFD1,((A2)+(1))+(1)))=("H"),"false"),B2,H109),H109))</f>
        <v>#VALUE!</v>
      </c>
      <c r="I109" t="e">
        <f ca="1">IF((A1)=(2),"",IF((106)=(I3),IF(IF((INDEX(B1:XFD1,((A2)+(1))+(0)))=("store"),(INDEX(B1:XFD1,((A2)+(1))+(1)))=("I"),"false"),B2,I109),I109))</f>
        <v>#VALUE!</v>
      </c>
      <c r="J109" t="e">
        <f ca="1">IF((A1)=(2),"",IF((106)=(J3),IF(IF((INDEX(B1:XFD1,((A2)+(1))+(0)))=("store"),(INDEX(B1:XFD1,((A2)+(1))+(1)))=("J"),"false"),B2,J109),J109))</f>
        <v>#VALUE!</v>
      </c>
      <c r="K109" t="e">
        <f ca="1">IF((A1)=(2),"",IF((106)=(K3),IF(IF((INDEX(B1:XFD1,((A2)+(1))+(0)))=("store"),(INDEX(B1:XFD1,((A2)+(1))+(1)))=("K"),"false"),B2,K109),K109))</f>
        <v>#VALUE!</v>
      </c>
      <c r="L109" t="e">
        <f ca="1">IF((A1)=(2),"",IF((106)=(L3),IF(IF((INDEX(B1:XFD1,((A2)+(1))+(0)))=("store"),(INDEX(B1:XFD1,((A2)+(1))+(1)))=("L"),"false"),B2,L109),L109))</f>
        <v>#VALUE!</v>
      </c>
      <c r="M109" t="e">
        <f ca="1">IF((A1)=(2),"",IF((106)=(M3),IF(IF((INDEX(B1:XFD1,((A2)+(1))+(0)))=("store"),(INDEX(B1:XFD1,((A2)+(1))+(1)))=("M"),"false"),B2,M109),M109))</f>
        <v>#VALUE!</v>
      </c>
      <c r="N109" t="e">
        <f ca="1">IF((A1)=(2),"",IF((106)=(N3),IF(IF((INDEX(B1:XFD1,((A2)+(1))+(0)))=("store"),(INDEX(B1:XFD1,((A2)+(1))+(1)))=("N"),"false"),B2,N109),N109))</f>
        <v>#VALUE!</v>
      </c>
      <c r="O109" t="e">
        <f ca="1">IF((A1)=(2),"",IF((106)=(O3),IF(IF((INDEX(B1:XFD1,((A2)+(1))+(0)))=("store"),(INDEX(B1:XFD1,((A2)+(1))+(1)))=("O"),"false"),B2,O109),O109))</f>
        <v>#VALUE!</v>
      </c>
      <c r="P109" t="e">
        <f ca="1">IF((A1)=(2),"",IF((106)=(P3),IF(IF((INDEX(B1:XFD1,((A2)+(1))+(0)))=("store"),(INDEX(B1:XFD1,((A2)+(1))+(1)))=("P"),"false"),B2,P109),P109))</f>
        <v>#VALUE!</v>
      </c>
      <c r="Q109" t="e">
        <f ca="1">IF((A1)=(2),"",IF((106)=(Q3),IF(IF((INDEX(B1:XFD1,((A2)+(1))+(0)))=("store"),(INDEX(B1:XFD1,((A2)+(1))+(1)))=("Q"),"false"),B2,Q109),Q109))</f>
        <v>#VALUE!</v>
      </c>
      <c r="R109" t="e">
        <f ca="1">IF((A1)=(2),"",IF((106)=(R3),IF(IF((INDEX(B1:XFD1,((A2)+(1))+(0)))=("store"),(INDEX(B1:XFD1,((A2)+(1))+(1)))=("R"),"false"),B2,R109),R109))</f>
        <v>#VALUE!</v>
      </c>
      <c r="S109" t="e">
        <f ca="1">IF((A1)=(2),"",IF((106)=(S3),IF(IF((INDEX(B1:XFD1,((A2)+(1))+(0)))=("store"),(INDEX(B1:XFD1,((A2)+(1))+(1)))=("S"),"false"),B2,S109),S109))</f>
        <v>#VALUE!</v>
      </c>
      <c r="T109" t="e">
        <f ca="1">IF((A1)=(2),"",IF((106)=(T3),IF(IF((INDEX(B1:XFD1,((A2)+(1))+(0)))=("store"),(INDEX(B1:XFD1,((A2)+(1))+(1)))=("T"),"false"),B2,T109),T109))</f>
        <v>#VALUE!</v>
      </c>
      <c r="U109" t="e">
        <f ca="1">IF((A1)=(2),"",IF((106)=(U3),IF(IF((INDEX(B1:XFD1,((A2)+(1))+(0)))=("store"),(INDEX(B1:XFD1,((A2)+(1))+(1)))=("U"),"false"),B2,U109),U109))</f>
        <v>#VALUE!</v>
      </c>
      <c r="V109" t="e">
        <f ca="1">IF((A1)=(2),"",IF((106)=(V3),IF(IF((INDEX(B1:XFD1,((A2)+(1))+(0)))=("store"),(INDEX(B1:XFD1,((A2)+(1))+(1)))=("V"),"false"),B2,V109),V109))</f>
        <v>#VALUE!</v>
      </c>
      <c r="W109" t="e">
        <f ca="1">IF((A1)=(2),"",IF((106)=(W3),IF(IF((INDEX(B1:XFD1,((A2)+(1))+(0)))=("store"),(INDEX(B1:XFD1,((A2)+(1))+(1)))=("W"),"false"),B2,W109),W109))</f>
        <v>#VALUE!</v>
      </c>
      <c r="X109" t="e">
        <f ca="1">IF((A1)=(2),"",IF((106)=(X3),IF(IF((INDEX(B1:XFD1,((A2)+(1))+(0)))=("store"),(INDEX(B1:XFD1,((A2)+(1))+(1)))=("X"),"false"),B2,X109),X109))</f>
        <v>#VALUE!</v>
      </c>
      <c r="Y109" t="e">
        <f ca="1">IF((A1)=(2),"",IF((106)=(Y3),IF(IF((INDEX(B1:XFD1,((A2)+(1))+(0)))=("store"),(INDEX(B1:XFD1,((A2)+(1))+(1)))=("Y"),"false"),B2,Y109),Y109))</f>
        <v>#VALUE!</v>
      </c>
      <c r="Z109" t="e">
        <f ca="1">IF((A1)=(2),"",IF((106)=(Z3),IF(IF((INDEX(B1:XFD1,((A2)+(1))+(0)))=("store"),(INDEX(B1:XFD1,((A2)+(1))+(1)))=("Z"),"false"),B2,Z109),Z109))</f>
        <v>#VALUE!</v>
      </c>
      <c r="AA109" t="e">
        <f ca="1">IF((A1)=(2),"",IF((106)=(AA3),IF(IF((INDEX(B1:XFD1,((A2)+(1))+(0)))=("store"),(INDEX(B1:XFD1,((A2)+(1))+(1)))=("AA"),"false"),B2,AA109),AA109))</f>
        <v>#VALUE!</v>
      </c>
      <c r="AB109" t="e">
        <f ca="1">IF((A1)=(2),"",IF((106)=(AB3),IF(IF((INDEX(B1:XFD1,((A2)+(1))+(0)))=("store"),(INDEX(B1:XFD1,((A2)+(1))+(1)))=("AB"),"false"),B2,AB109),AB109))</f>
        <v>#VALUE!</v>
      </c>
      <c r="AC109" t="e">
        <f ca="1">IF((A1)=(2),"",IF((106)=(AC3),IF(IF((INDEX(B1:XFD1,((A2)+(1))+(0)))=("store"),(INDEX(B1:XFD1,((A2)+(1))+(1)))=("AC"),"false"),B2,AC109),AC109))</f>
        <v>#VALUE!</v>
      </c>
      <c r="AD109" t="e">
        <f ca="1">IF((A1)=(2),"",IF((106)=(AD3),IF(IF((INDEX(B1:XFD1,((A2)+(1))+(0)))=("store"),(INDEX(B1:XFD1,((A2)+(1))+(1)))=("AD"),"false"),B2,AD109),AD109))</f>
        <v>#VALUE!</v>
      </c>
    </row>
    <row r="110" spans="1:30" x14ac:dyDescent="0.25">
      <c r="A110" t="e">
        <f ca="1">IF((A1)=(2),"",IF((107)=(A3),IF(("call")=(INDEX(B1:XFD1,((A2)+(1))+(0))),(B2)*(2),IF(("goto")=(INDEX(B1:XFD1,((A2)+(1))+(0))),(INDEX(B1:XFD1,((A2)+(1))+(1)))*(2),IF(("gotoiftrue")=(INDEX(B1:XFD1,((A2)+(1))+(0))),IF(B2,(INDEX(B1:XFD1,((A2)+(1))+(1)))*(2),(A110)+(2)),(A110)+(2)))),A110))</f>
        <v>#VALUE!</v>
      </c>
      <c r="B110" t="e">
        <f ca="1">IF((A1)=(2),"",IF((107)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110)+(1)),IF(("add")=(INDEX(B1:XFD1,((A2)+(1))+(0))),(INDEX(B4:B404,(B3)+(1)))+(B110),IF(("equals")=(INDEX(B1:XFD1,((A2)+(1))+(0))),(INDEX(B4:B404,(B3)+(1)))=(B110),IF(("leq")=(INDEX(B1:XFD1,((A2)+(1))+(0))),(INDEX(B4:B404,(B3)+(1)))&lt;=(B110),IF(("greater")=(INDEX(B1:XFD1,((A2)+(1))+(0))),(INDEX(B4:B404,(B3)+(1)))&gt;(B110),IF(("mod")=(INDEX(B1:XFD1,((A2)+(1))+(0))),MOD(INDEX(B4:B404,(B3)+(1)),B110),B110))))))))),B110))</f>
        <v>#VALUE!</v>
      </c>
      <c r="C110" t="e">
        <f ca="1">IF((A1)=(2),1,IF(AND((INDEX(B1:XFD1,((A2)+(1))+(0)))=("writeheap"),(INDEX(B4:B404,(B3)+(1)))=(106)),INDEX(B4:B404,(B3)+(2)),IF((A1)=(2),"",IF((107)=(C3),C110,C110))))</f>
        <v>#VALUE!</v>
      </c>
      <c r="E110" t="e">
        <f ca="1">IF((A1)=(2),"",IF((107)=(E3),IF(("outputline")=(INDEX(B1:XFD1,((A2)+(1))+(0))),B2,E110),E110))</f>
        <v>#VALUE!</v>
      </c>
      <c r="F110" t="e">
        <f ca="1">IF((A1)=(2),"",IF((107)=(F3),IF(IF((INDEX(B1:XFD1,((A2)+(1))+(0)))=("store"),(INDEX(B1:XFD1,((A2)+(1))+(1)))=("F"),"false"),B2,F110),F110))</f>
        <v>#VALUE!</v>
      </c>
      <c r="G110" t="e">
        <f ca="1">IF((A1)=(2),"",IF((107)=(G3),IF(IF((INDEX(B1:XFD1,((A2)+(1))+(0)))=("store"),(INDEX(B1:XFD1,((A2)+(1))+(1)))=("G"),"false"),B2,G110),G110))</f>
        <v>#VALUE!</v>
      </c>
      <c r="H110" t="e">
        <f ca="1">IF((A1)=(2),"",IF((107)=(H3),IF(IF((INDEX(B1:XFD1,((A2)+(1))+(0)))=("store"),(INDEX(B1:XFD1,((A2)+(1))+(1)))=("H"),"false"),B2,H110),H110))</f>
        <v>#VALUE!</v>
      </c>
      <c r="I110" t="e">
        <f ca="1">IF((A1)=(2),"",IF((107)=(I3),IF(IF((INDEX(B1:XFD1,((A2)+(1))+(0)))=("store"),(INDEX(B1:XFD1,((A2)+(1))+(1)))=("I"),"false"),B2,I110),I110))</f>
        <v>#VALUE!</v>
      </c>
      <c r="J110" t="e">
        <f ca="1">IF((A1)=(2),"",IF((107)=(J3),IF(IF((INDEX(B1:XFD1,((A2)+(1))+(0)))=("store"),(INDEX(B1:XFD1,((A2)+(1))+(1)))=("J"),"false"),B2,J110),J110))</f>
        <v>#VALUE!</v>
      </c>
      <c r="K110" t="e">
        <f ca="1">IF((A1)=(2),"",IF((107)=(K3),IF(IF((INDEX(B1:XFD1,((A2)+(1))+(0)))=("store"),(INDEX(B1:XFD1,((A2)+(1))+(1)))=("K"),"false"),B2,K110),K110))</f>
        <v>#VALUE!</v>
      </c>
      <c r="L110" t="e">
        <f ca="1">IF((A1)=(2),"",IF((107)=(L3),IF(IF((INDEX(B1:XFD1,((A2)+(1))+(0)))=("store"),(INDEX(B1:XFD1,((A2)+(1))+(1)))=("L"),"false"),B2,L110),L110))</f>
        <v>#VALUE!</v>
      </c>
      <c r="M110" t="e">
        <f ca="1">IF((A1)=(2),"",IF((107)=(M3),IF(IF((INDEX(B1:XFD1,((A2)+(1))+(0)))=("store"),(INDEX(B1:XFD1,((A2)+(1))+(1)))=("M"),"false"),B2,M110),M110))</f>
        <v>#VALUE!</v>
      </c>
      <c r="N110" t="e">
        <f ca="1">IF((A1)=(2),"",IF((107)=(N3),IF(IF((INDEX(B1:XFD1,((A2)+(1))+(0)))=("store"),(INDEX(B1:XFD1,((A2)+(1))+(1)))=("N"),"false"),B2,N110),N110))</f>
        <v>#VALUE!</v>
      </c>
      <c r="O110" t="e">
        <f ca="1">IF((A1)=(2),"",IF((107)=(O3),IF(IF((INDEX(B1:XFD1,((A2)+(1))+(0)))=("store"),(INDEX(B1:XFD1,((A2)+(1))+(1)))=("O"),"false"),B2,O110),O110))</f>
        <v>#VALUE!</v>
      </c>
      <c r="P110" t="e">
        <f ca="1">IF((A1)=(2),"",IF((107)=(P3),IF(IF((INDEX(B1:XFD1,((A2)+(1))+(0)))=("store"),(INDEX(B1:XFD1,((A2)+(1))+(1)))=("P"),"false"),B2,P110),P110))</f>
        <v>#VALUE!</v>
      </c>
      <c r="Q110" t="e">
        <f ca="1">IF((A1)=(2),"",IF((107)=(Q3),IF(IF((INDEX(B1:XFD1,((A2)+(1))+(0)))=("store"),(INDEX(B1:XFD1,((A2)+(1))+(1)))=("Q"),"false"),B2,Q110),Q110))</f>
        <v>#VALUE!</v>
      </c>
      <c r="R110" t="e">
        <f ca="1">IF((A1)=(2),"",IF((107)=(R3),IF(IF((INDEX(B1:XFD1,((A2)+(1))+(0)))=("store"),(INDEX(B1:XFD1,((A2)+(1))+(1)))=("R"),"false"),B2,R110),R110))</f>
        <v>#VALUE!</v>
      </c>
      <c r="S110" t="e">
        <f ca="1">IF((A1)=(2),"",IF((107)=(S3),IF(IF((INDEX(B1:XFD1,((A2)+(1))+(0)))=("store"),(INDEX(B1:XFD1,((A2)+(1))+(1)))=("S"),"false"),B2,S110),S110))</f>
        <v>#VALUE!</v>
      </c>
      <c r="T110" t="e">
        <f ca="1">IF((A1)=(2),"",IF((107)=(T3),IF(IF((INDEX(B1:XFD1,((A2)+(1))+(0)))=("store"),(INDEX(B1:XFD1,((A2)+(1))+(1)))=("T"),"false"),B2,T110),T110))</f>
        <v>#VALUE!</v>
      </c>
      <c r="U110" t="e">
        <f ca="1">IF((A1)=(2),"",IF((107)=(U3),IF(IF((INDEX(B1:XFD1,((A2)+(1))+(0)))=("store"),(INDEX(B1:XFD1,((A2)+(1))+(1)))=("U"),"false"),B2,U110),U110))</f>
        <v>#VALUE!</v>
      </c>
      <c r="V110" t="e">
        <f ca="1">IF((A1)=(2),"",IF((107)=(V3),IF(IF((INDEX(B1:XFD1,((A2)+(1))+(0)))=("store"),(INDEX(B1:XFD1,((A2)+(1))+(1)))=("V"),"false"),B2,V110),V110))</f>
        <v>#VALUE!</v>
      </c>
      <c r="W110" t="e">
        <f ca="1">IF((A1)=(2),"",IF((107)=(W3),IF(IF((INDEX(B1:XFD1,((A2)+(1))+(0)))=("store"),(INDEX(B1:XFD1,((A2)+(1))+(1)))=("W"),"false"),B2,W110),W110))</f>
        <v>#VALUE!</v>
      </c>
      <c r="X110" t="e">
        <f ca="1">IF((A1)=(2),"",IF((107)=(X3),IF(IF((INDEX(B1:XFD1,((A2)+(1))+(0)))=("store"),(INDEX(B1:XFD1,((A2)+(1))+(1)))=("X"),"false"),B2,X110),X110))</f>
        <v>#VALUE!</v>
      </c>
      <c r="Y110" t="e">
        <f ca="1">IF((A1)=(2),"",IF((107)=(Y3),IF(IF((INDEX(B1:XFD1,((A2)+(1))+(0)))=("store"),(INDEX(B1:XFD1,((A2)+(1))+(1)))=("Y"),"false"),B2,Y110),Y110))</f>
        <v>#VALUE!</v>
      </c>
      <c r="Z110" t="e">
        <f ca="1">IF((A1)=(2),"",IF((107)=(Z3),IF(IF((INDEX(B1:XFD1,((A2)+(1))+(0)))=("store"),(INDEX(B1:XFD1,((A2)+(1))+(1)))=("Z"),"false"),B2,Z110),Z110))</f>
        <v>#VALUE!</v>
      </c>
      <c r="AA110" t="e">
        <f ca="1">IF((A1)=(2),"",IF((107)=(AA3),IF(IF((INDEX(B1:XFD1,((A2)+(1))+(0)))=("store"),(INDEX(B1:XFD1,((A2)+(1))+(1)))=("AA"),"false"),B2,AA110),AA110))</f>
        <v>#VALUE!</v>
      </c>
      <c r="AB110" t="e">
        <f ca="1">IF((A1)=(2),"",IF((107)=(AB3),IF(IF((INDEX(B1:XFD1,((A2)+(1))+(0)))=("store"),(INDEX(B1:XFD1,((A2)+(1))+(1)))=("AB"),"false"),B2,AB110),AB110))</f>
        <v>#VALUE!</v>
      </c>
      <c r="AC110" t="e">
        <f ca="1">IF((A1)=(2),"",IF((107)=(AC3),IF(IF((INDEX(B1:XFD1,((A2)+(1))+(0)))=("store"),(INDEX(B1:XFD1,((A2)+(1))+(1)))=("AC"),"false"),B2,AC110),AC110))</f>
        <v>#VALUE!</v>
      </c>
      <c r="AD110" t="e">
        <f ca="1">IF((A1)=(2),"",IF((107)=(AD3),IF(IF((INDEX(B1:XFD1,((A2)+(1))+(0)))=("store"),(INDEX(B1:XFD1,((A2)+(1))+(1)))=("AD"),"false"),B2,AD110),AD110))</f>
        <v>#VALUE!</v>
      </c>
    </row>
    <row r="111" spans="1:30" x14ac:dyDescent="0.25">
      <c r="A111" t="e">
        <f ca="1">IF((A1)=(2),"",IF((108)=(A3),IF(("call")=(INDEX(B1:XFD1,((A2)+(1))+(0))),(B2)*(2),IF(("goto")=(INDEX(B1:XFD1,((A2)+(1))+(0))),(INDEX(B1:XFD1,((A2)+(1))+(1)))*(2),IF(("gotoiftrue")=(INDEX(B1:XFD1,((A2)+(1))+(0))),IF(B2,(INDEX(B1:XFD1,((A2)+(1))+(1)))*(2),(A111)+(2)),(A111)+(2)))),A111))</f>
        <v>#VALUE!</v>
      </c>
      <c r="B111" t="e">
        <f ca="1">IF((A1)=(2),"",IF((108)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111)+(1)),IF(("add")=(INDEX(B1:XFD1,((A2)+(1))+(0))),(INDEX(B4:B404,(B3)+(1)))+(B111),IF(("equals")=(INDEX(B1:XFD1,((A2)+(1))+(0))),(INDEX(B4:B404,(B3)+(1)))=(B111),IF(("leq")=(INDEX(B1:XFD1,((A2)+(1))+(0))),(INDEX(B4:B404,(B3)+(1)))&lt;=(B111),IF(("greater")=(INDEX(B1:XFD1,((A2)+(1))+(0))),(INDEX(B4:B404,(B3)+(1)))&gt;(B111),IF(("mod")=(INDEX(B1:XFD1,((A2)+(1))+(0))),MOD(INDEX(B4:B404,(B3)+(1)),B111),B111))))))))),B111))</f>
        <v>#VALUE!</v>
      </c>
      <c r="C111" t="e">
        <f ca="1">IF((A1)=(2),1,IF(AND((INDEX(B1:XFD1,((A2)+(1))+(0)))=("writeheap"),(INDEX(B4:B404,(B3)+(1)))=(107)),INDEX(B4:B404,(B3)+(2)),IF((A1)=(2),"",IF((108)=(C3),C111,C111))))</f>
        <v>#VALUE!</v>
      </c>
      <c r="E111" t="e">
        <f ca="1">IF((A1)=(2),"",IF((108)=(E3),IF(("outputline")=(INDEX(B1:XFD1,((A2)+(1))+(0))),B2,E111),E111))</f>
        <v>#VALUE!</v>
      </c>
      <c r="F111" t="e">
        <f ca="1">IF((A1)=(2),"",IF((108)=(F3),IF(IF((INDEX(B1:XFD1,((A2)+(1))+(0)))=("store"),(INDEX(B1:XFD1,((A2)+(1))+(1)))=("F"),"false"),B2,F111),F111))</f>
        <v>#VALUE!</v>
      </c>
      <c r="G111" t="e">
        <f ca="1">IF((A1)=(2),"",IF((108)=(G3),IF(IF((INDEX(B1:XFD1,((A2)+(1))+(0)))=("store"),(INDEX(B1:XFD1,((A2)+(1))+(1)))=("G"),"false"),B2,G111),G111))</f>
        <v>#VALUE!</v>
      </c>
      <c r="H111" t="e">
        <f ca="1">IF((A1)=(2),"",IF((108)=(H3),IF(IF((INDEX(B1:XFD1,((A2)+(1))+(0)))=("store"),(INDEX(B1:XFD1,((A2)+(1))+(1)))=("H"),"false"),B2,H111),H111))</f>
        <v>#VALUE!</v>
      </c>
      <c r="I111" t="e">
        <f ca="1">IF((A1)=(2),"",IF((108)=(I3),IF(IF((INDEX(B1:XFD1,((A2)+(1))+(0)))=("store"),(INDEX(B1:XFD1,((A2)+(1))+(1)))=("I"),"false"),B2,I111),I111))</f>
        <v>#VALUE!</v>
      </c>
      <c r="J111" t="e">
        <f ca="1">IF((A1)=(2),"",IF((108)=(J3),IF(IF((INDEX(B1:XFD1,((A2)+(1))+(0)))=("store"),(INDEX(B1:XFD1,((A2)+(1))+(1)))=("J"),"false"),B2,J111),J111))</f>
        <v>#VALUE!</v>
      </c>
      <c r="K111" t="e">
        <f ca="1">IF((A1)=(2),"",IF((108)=(K3),IF(IF((INDEX(B1:XFD1,((A2)+(1))+(0)))=("store"),(INDEX(B1:XFD1,((A2)+(1))+(1)))=("K"),"false"),B2,K111),K111))</f>
        <v>#VALUE!</v>
      </c>
      <c r="L111" t="e">
        <f ca="1">IF((A1)=(2),"",IF((108)=(L3),IF(IF((INDEX(B1:XFD1,((A2)+(1))+(0)))=("store"),(INDEX(B1:XFD1,((A2)+(1))+(1)))=("L"),"false"),B2,L111),L111))</f>
        <v>#VALUE!</v>
      </c>
      <c r="M111" t="e">
        <f ca="1">IF((A1)=(2),"",IF((108)=(M3),IF(IF((INDEX(B1:XFD1,((A2)+(1))+(0)))=("store"),(INDEX(B1:XFD1,((A2)+(1))+(1)))=("M"),"false"),B2,M111),M111))</f>
        <v>#VALUE!</v>
      </c>
      <c r="N111" t="e">
        <f ca="1">IF((A1)=(2),"",IF((108)=(N3),IF(IF((INDEX(B1:XFD1,((A2)+(1))+(0)))=("store"),(INDEX(B1:XFD1,((A2)+(1))+(1)))=("N"),"false"),B2,N111),N111))</f>
        <v>#VALUE!</v>
      </c>
      <c r="O111" t="e">
        <f ca="1">IF((A1)=(2),"",IF((108)=(O3),IF(IF((INDEX(B1:XFD1,((A2)+(1))+(0)))=("store"),(INDEX(B1:XFD1,((A2)+(1))+(1)))=("O"),"false"),B2,O111),O111))</f>
        <v>#VALUE!</v>
      </c>
      <c r="P111" t="e">
        <f ca="1">IF((A1)=(2),"",IF((108)=(P3),IF(IF((INDEX(B1:XFD1,((A2)+(1))+(0)))=("store"),(INDEX(B1:XFD1,((A2)+(1))+(1)))=("P"),"false"),B2,P111),P111))</f>
        <v>#VALUE!</v>
      </c>
      <c r="Q111" t="e">
        <f ca="1">IF((A1)=(2),"",IF((108)=(Q3),IF(IF((INDEX(B1:XFD1,((A2)+(1))+(0)))=("store"),(INDEX(B1:XFD1,((A2)+(1))+(1)))=("Q"),"false"),B2,Q111),Q111))</f>
        <v>#VALUE!</v>
      </c>
      <c r="R111" t="e">
        <f ca="1">IF((A1)=(2),"",IF((108)=(R3),IF(IF((INDEX(B1:XFD1,((A2)+(1))+(0)))=("store"),(INDEX(B1:XFD1,((A2)+(1))+(1)))=("R"),"false"),B2,R111),R111))</f>
        <v>#VALUE!</v>
      </c>
      <c r="S111" t="e">
        <f ca="1">IF((A1)=(2),"",IF((108)=(S3),IF(IF((INDEX(B1:XFD1,((A2)+(1))+(0)))=("store"),(INDEX(B1:XFD1,((A2)+(1))+(1)))=("S"),"false"),B2,S111),S111))</f>
        <v>#VALUE!</v>
      </c>
      <c r="T111" t="e">
        <f ca="1">IF((A1)=(2),"",IF((108)=(T3),IF(IF((INDEX(B1:XFD1,((A2)+(1))+(0)))=("store"),(INDEX(B1:XFD1,((A2)+(1))+(1)))=("T"),"false"),B2,T111),T111))</f>
        <v>#VALUE!</v>
      </c>
      <c r="U111" t="e">
        <f ca="1">IF((A1)=(2),"",IF((108)=(U3),IF(IF((INDEX(B1:XFD1,((A2)+(1))+(0)))=("store"),(INDEX(B1:XFD1,((A2)+(1))+(1)))=("U"),"false"),B2,U111),U111))</f>
        <v>#VALUE!</v>
      </c>
      <c r="V111" t="e">
        <f ca="1">IF((A1)=(2),"",IF((108)=(V3),IF(IF((INDEX(B1:XFD1,((A2)+(1))+(0)))=("store"),(INDEX(B1:XFD1,((A2)+(1))+(1)))=("V"),"false"),B2,V111),V111))</f>
        <v>#VALUE!</v>
      </c>
      <c r="W111" t="e">
        <f ca="1">IF((A1)=(2),"",IF((108)=(W3),IF(IF((INDEX(B1:XFD1,((A2)+(1))+(0)))=("store"),(INDEX(B1:XFD1,((A2)+(1))+(1)))=("W"),"false"),B2,W111),W111))</f>
        <v>#VALUE!</v>
      </c>
      <c r="X111" t="e">
        <f ca="1">IF((A1)=(2),"",IF((108)=(X3),IF(IF((INDEX(B1:XFD1,((A2)+(1))+(0)))=("store"),(INDEX(B1:XFD1,((A2)+(1))+(1)))=("X"),"false"),B2,X111),X111))</f>
        <v>#VALUE!</v>
      </c>
      <c r="Y111" t="e">
        <f ca="1">IF((A1)=(2),"",IF((108)=(Y3),IF(IF((INDEX(B1:XFD1,((A2)+(1))+(0)))=("store"),(INDEX(B1:XFD1,((A2)+(1))+(1)))=("Y"),"false"),B2,Y111),Y111))</f>
        <v>#VALUE!</v>
      </c>
      <c r="Z111" t="e">
        <f ca="1">IF((A1)=(2),"",IF((108)=(Z3),IF(IF((INDEX(B1:XFD1,((A2)+(1))+(0)))=("store"),(INDEX(B1:XFD1,((A2)+(1))+(1)))=("Z"),"false"),B2,Z111),Z111))</f>
        <v>#VALUE!</v>
      </c>
      <c r="AA111" t="e">
        <f ca="1">IF((A1)=(2),"",IF((108)=(AA3),IF(IF((INDEX(B1:XFD1,((A2)+(1))+(0)))=("store"),(INDEX(B1:XFD1,((A2)+(1))+(1)))=("AA"),"false"),B2,AA111),AA111))</f>
        <v>#VALUE!</v>
      </c>
      <c r="AB111" t="e">
        <f ca="1">IF((A1)=(2),"",IF((108)=(AB3),IF(IF((INDEX(B1:XFD1,((A2)+(1))+(0)))=("store"),(INDEX(B1:XFD1,((A2)+(1))+(1)))=("AB"),"false"),B2,AB111),AB111))</f>
        <v>#VALUE!</v>
      </c>
      <c r="AC111" t="e">
        <f ca="1">IF((A1)=(2),"",IF((108)=(AC3),IF(IF((INDEX(B1:XFD1,((A2)+(1))+(0)))=("store"),(INDEX(B1:XFD1,((A2)+(1))+(1)))=("AC"),"false"),B2,AC111),AC111))</f>
        <v>#VALUE!</v>
      </c>
      <c r="AD111" t="e">
        <f ca="1">IF((A1)=(2),"",IF((108)=(AD3),IF(IF((INDEX(B1:XFD1,((A2)+(1))+(0)))=("store"),(INDEX(B1:XFD1,((A2)+(1))+(1)))=("AD"),"false"),B2,AD111),AD111))</f>
        <v>#VALUE!</v>
      </c>
    </row>
    <row r="112" spans="1:30" x14ac:dyDescent="0.25">
      <c r="A112" t="e">
        <f ca="1">IF((A1)=(2),"",IF((109)=(A3),IF(("call")=(INDEX(B1:XFD1,((A2)+(1))+(0))),(B2)*(2),IF(("goto")=(INDEX(B1:XFD1,((A2)+(1))+(0))),(INDEX(B1:XFD1,((A2)+(1))+(1)))*(2),IF(("gotoiftrue")=(INDEX(B1:XFD1,((A2)+(1))+(0))),IF(B2,(INDEX(B1:XFD1,((A2)+(1))+(1)))*(2),(A112)+(2)),(A112)+(2)))),A112))</f>
        <v>#VALUE!</v>
      </c>
      <c r="B112" t="e">
        <f ca="1">IF((A1)=(2),"",IF((109)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112)+(1)),IF(("add")=(INDEX(B1:XFD1,((A2)+(1))+(0))),(INDEX(B4:B404,(B3)+(1)))+(B112),IF(("equals")=(INDEX(B1:XFD1,((A2)+(1))+(0))),(INDEX(B4:B404,(B3)+(1)))=(B112),IF(("leq")=(INDEX(B1:XFD1,((A2)+(1))+(0))),(INDEX(B4:B404,(B3)+(1)))&lt;=(B112),IF(("greater")=(INDEX(B1:XFD1,((A2)+(1))+(0))),(INDEX(B4:B404,(B3)+(1)))&gt;(B112),IF(("mod")=(INDEX(B1:XFD1,((A2)+(1))+(0))),MOD(INDEX(B4:B404,(B3)+(1)),B112),B112))))))))),B112))</f>
        <v>#VALUE!</v>
      </c>
      <c r="C112" t="e">
        <f ca="1">IF((A1)=(2),1,IF(AND((INDEX(B1:XFD1,((A2)+(1))+(0)))=("writeheap"),(INDEX(B4:B404,(B3)+(1)))=(108)),INDEX(B4:B404,(B3)+(2)),IF((A1)=(2),"",IF((109)=(C3),C112,C112))))</f>
        <v>#VALUE!</v>
      </c>
      <c r="E112" t="e">
        <f ca="1">IF((A1)=(2),"",IF((109)=(E3),IF(("outputline")=(INDEX(B1:XFD1,((A2)+(1))+(0))),B2,E112),E112))</f>
        <v>#VALUE!</v>
      </c>
      <c r="F112" t="e">
        <f ca="1">IF((A1)=(2),"",IF((109)=(F3),IF(IF((INDEX(B1:XFD1,((A2)+(1))+(0)))=("store"),(INDEX(B1:XFD1,((A2)+(1))+(1)))=("F"),"false"),B2,F112),F112))</f>
        <v>#VALUE!</v>
      </c>
      <c r="G112" t="e">
        <f ca="1">IF((A1)=(2),"",IF((109)=(G3),IF(IF((INDEX(B1:XFD1,((A2)+(1))+(0)))=("store"),(INDEX(B1:XFD1,((A2)+(1))+(1)))=("G"),"false"),B2,G112),G112))</f>
        <v>#VALUE!</v>
      </c>
      <c r="H112" t="e">
        <f ca="1">IF((A1)=(2),"",IF((109)=(H3),IF(IF((INDEX(B1:XFD1,((A2)+(1))+(0)))=("store"),(INDEX(B1:XFD1,((A2)+(1))+(1)))=("H"),"false"),B2,H112),H112))</f>
        <v>#VALUE!</v>
      </c>
      <c r="I112" t="e">
        <f ca="1">IF((A1)=(2),"",IF((109)=(I3),IF(IF((INDEX(B1:XFD1,((A2)+(1))+(0)))=("store"),(INDEX(B1:XFD1,((A2)+(1))+(1)))=("I"),"false"),B2,I112),I112))</f>
        <v>#VALUE!</v>
      </c>
      <c r="J112" t="e">
        <f ca="1">IF((A1)=(2),"",IF((109)=(J3),IF(IF((INDEX(B1:XFD1,((A2)+(1))+(0)))=("store"),(INDEX(B1:XFD1,((A2)+(1))+(1)))=("J"),"false"),B2,J112),J112))</f>
        <v>#VALUE!</v>
      </c>
      <c r="K112" t="e">
        <f ca="1">IF((A1)=(2),"",IF((109)=(K3),IF(IF((INDEX(B1:XFD1,((A2)+(1))+(0)))=("store"),(INDEX(B1:XFD1,((A2)+(1))+(1)))=("K"),"false"),B2,K112),K112))</f>
        <v>#VALUE!</v>
      </c>
      <c r="L112" t="e">
        <f ca="1">IF((A1)=(2),"",IF((109)=(L3),IF(IF((INDEX(B1:XFD1,((A2)+(1))+(0)))=("store"),(INDEX(B1:XFD1,((A2)+(1))+(1)))=("L"),"false"),B2,L112),L112))</f>
        <v>#VALUE!</v>
      </c>
      <c r="M112" t="e">
        <f ca="1">IF((A1)=(2),"",IF((109)=(M3),IF(IF((INDEX(B1:XFD1,((A2)+(1))+(0)))=("store"),(INDEX(B1:XFD1,((A2)+(1))+(1)))=("M"),"false"),B2,M112),M112))</f>
        <v>#VALUE!</v>
      </c>
      <c r="N112" t="e">
        <f ca="1">IF((A1)=(2),"",IF((109)=(N3),IF(IF((INDEX(B1:XFD1,((A2)+(1))+(0)))=("store"),(INDEX(B1:XFD1,((A2)+(1))+(1)))=("N"),"false"),B2,N112),N112))</f>
        <v>#VALUE!</v>
      </c>
      <c r="O112" t="e">
        <f ca="1">IF((A1)=(2),"",IF((109)=(O3),IF(IF((INDEX(B1:XFD1,((A2)+(1))+(0)))=("store"),(INDEX(B1:XFD1,((A2)+(1))+(1)))=("O"),"false"),B2,O112),O112))</f>
        <v>#VALUE!</v>
      </c>
      <c r="P112" t="e">
        <f ca="1">IF((A1)=(2),"",IF((109)=(P3),IF(IF((INDEX(B1:XFD1,((A2)+(1))+(0)))=("store"),(INDEX(B1:XFD1,((A2)+(1))+(1)))=("P"),"false"),B2,P112),P112))</f>
        <v>#VALUE!</v>
      </c>
      <c r="Q112" t="e">
        <f ca="1">IF((A1)=(2),"",IF((109)=(Q3),IF(IF((INDEX(B1:XFD1,((A2)+(1))+(0)))=("store"),(INDEX(B1:XFD1,((A2)+(1))+(1)))=("Q"),"false"),B2,Q112),Q112))</f>
        <v>#VALUE!</v>
      </c>
      <c r="R112" t="e">
        <f ca="1">IF((A1)=(2),"",IF((109)=(R3),IF(IF((INDEX(B1:XFD1,((A2)+(1))+(0)))=("store"),(INDEX(B1:XFD1,((A2)+(1))+(1)))=("R"),"false"),B2,R112),R112))</f>
        <v>#VALUE!</v>
      </c>
      <c r="S112" t="e">
        <f ca="1">IF((A1)=(2),"",IF((109)=(S3),IF(IF((INDEX(B1:XFD1,((A2)+(1))+(0)))=("store"),(INDEX(B1:XFD1,((A2)+(1))+(1)))=("S"),"false"),B2,S112),S112))</f>
        <v>#VALUE!</v>
      </c>
      <c r="T112" t="e">
        <f ca="1">IF((A1)=(2),"",IF((109)=(T3),IF(IF((INDEX(B1:XFD1,((A2)+(1))+(0)))=("store"),(INDEX(B1:XFD1,((A2)+(1))+(1)))=("T"),"false"),B2,T112),T112))</f>
        <v>#VALUE!</v>
      </c>
      <c r="U112" t="e">
        <f ca="1">IF((A1)=(2),"",IF((109)=(U3),IF(IF((INDEX(B1:XFD1,((A2)+(1))+(0)))=("store"),(INDEX(B1:XFD1,((A2)+(1))+(1)))=("U"),"false"),B2,U112),U112))</f>
        <v>#VALUE!</v>
      </c>
      <c r="V112" t="e">
        <f ca="1">IF((A1)=(2),"",IF((109)=(V3),IF(IF((INDEX(B1:XFD1,((A2)+(1))+(0)))=("store"),(INDEX(B1:XFD1,((A2)+(1))+(1)))=("V"),"false"),B2,V112),V112))</f>
        <v>#VALUE!</v>
      </c>
      <c r="W112" t="e">
        <f ca="1">IF((A1)=(2),"",IF((109)=(W3),IF(IF((INDEX(B1:XFD1,((A2)+(1))+(0)))=("store"),(INDEX(B1:XFD1,((A2)+(1))+(1)))=("W"),"false"),B2,W112),W112))</f>
        <v>#VALUE!</v>
      </c>
      <c r="X112" t="e">
        <f ca="1">IF((A1)=(2),"",IF((109)=(X3),IF(IF((INDEX(B1:XFD1,((A2)+(1))+(0)))=("store"),(INDEX(B1:XFD1,((A2)+(1))+(1)))=("X"),"false"),B2,X112),X112))</f>
        <v>#VALUE!</v>
      </c>
      <c r="Y112" t="e">
        <f ca="1">IF((A1)=(2),"",IF((109)=(Y3),IF(IF((INDEX(B1:XFD1,((A2)+(1))+(0)))=("store"),(INDEX(B1:XFD1,((A2)+(1))+(1)))=("Y"),"false"),B2,Y112),Y112))</f>
        <v>#VALUE!</v>
      </c>
      <c r="Z112" t="e">
        <f ca="1">IF((A1)=(2),"",IF((109)=(Z3),IF(IF((INDEX(B1:XFD1,((A2)+(1))+(0)))=("store"),(INDEX(B1:XFD1,((A2)+(1))+(1)))=("Z"),"false"),B2,Z112),Z112))</f>
        <v>#VALUE!</v>
      </c>
      <c r="AA112" t="e">
        <f ca="1">IF((A1)=(2),"",IF((109)=(AA3),IF(IF((INDEX(B1:XFD1,((A2)+(1))+(0)))=("store"),(INDEX(B1:XFD1,((A2)+(1))+(1)))=("AA"),"false"),B2,AA112),AA112))</f>
        <v>#VALUE!</v>
      </c>
      <c r="AB112" t="e">
        <f ca="1">IF((A1)=(2),"",IF((109)=(AB3),IF(IF((INDEX(B1:XFD1,((A2)+(1))+(0)))=("store"),(INDEX(B1:XFD1,((A2)+(1))+(1)))=("AB"),"false"),B2,AB112),AB112))</f>
        <v>#VALUE!</v>
      </c>
      <c r="AC112" t="e">
        <f ca="1">IF((A1)=(2),"",IF((109)=(AC3),IF(IF((INDEX(B1:XFD1,((A2)+(1))+(0)))=("store"),(INDEX(B1:XFD1,((A2)+(1))+(1)))=("AC"),"false"),B2,AC112),AC112))</f>
        <v>#VALUE!</v>
      </c>
      <c r="AD112" t="e">
        <f ca="1">IF((A1)=(2),"",IF((109)=(AD3),IF(IF((INDEX(B1:XFD1,((A2)+(1))+(0)))=("store"),(INDEX(B1:XFD1,((A2)+(1))+(1)))=("AD"),"false"),B2,AD112),AD112))</f>
        <v>#VALUE!</v>
      </c>
    </row>
    <row r="113" spans="1:30" x14ac:dyDescent="0.25">
      <c r="A113" t="e">
        <f ca="1">IF((A1)=(2),"",IF((110)=(A3),IF(("call")=(INDEX(B1:XFD1,((A2)+(1))+(0))),(B2)*(2),IF(("goto")=(INDEX(B1:XFD1,((A2)+(1))+(0))),(INDEX(B1:XFD1,((A2)+(1))+(1)))*(2),IF(("gotoiftrue")=(INDEX(B1:XFD1,((A2)+(1))+(0))),IF(B2,(INDEX(B1:XFD1,((A2)+(1))+(1)))*(2),(A113)+(2)),(A113)+(2)))),A113))</f>
        <v>#VALUE!</v>
      </c>
      <c r="B113" t="e">
        <f ca="1">IF((A1)=(2),"",IF((110)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113)+(1)),IF(("add")=(INDEX(B1:XFD1,((A2)+(1))+(0))),(INDEX(B4:B404,(B3)+(1)))+(B113),IF(("equals")=(INDEX(B1:XFD1,((A2)+(1))+(0))),(INDEX(B4:B404,(B3)+(1)))=(B113),IF(("leq")=(INDEX(B1:XFD1,((A2)+(1))+(0))),(INDEX(B4:B404,(B3)+(1)))&lt;=(B113),IF(("greater")=(INDEX(B1:XFD1,((A2)+(1))+(0))),(INDEX(B4:B404,(B3)+(1)))&gt;(B113),IF(("mod")=(INDEX(B1:XFD1,((A2)+(1))+(0))),MOD(INDEX(B4:B404,(B3)+(1)),B113),B113))))))))),B113))</f>
        <v>#VALUE!</v>
      </c>
      <c r="C113" t="e">
        <f ca="1">IF((A1)=(2),1,IF(AND((INDEX(B1:XFD1,((A2)+(1))+(0)))=("writeheap"),(INDEX(B4:B404,(B3)+(1)))=(109)),INDEX(B4:B404,(B3)+(2)),IF((A1)=(2),"",IF((110)=(C3),C113,C113))))</f>
        <v>#VALUE!</v>
      </c>
      <c r="E113" t="e">
        <f ca="1">IF((A1)=(2),"",IF((110)=(E3),IF(("outputline")=(INDEX(B1:XFD1,((A2)+(1))+(0))),B2,E113),E113))</f>
        <v>#VALUE!</v>
      </c>
      <c r="F113" t="e">
        <f ca="1">IF((A1)=(2),"",IF((110)=(F3),IF(IF((INDEX(B1:XFD1,((A2)+(1))+(0)))=("store"),(INDEX(B1:XFD1,((A2)+(1))+(1)))=("F"),"false"),B2,F113),F113))</f>
        <v>#VALUE!</v>
      </c>
      <c r="G113" t="e">
        <f ca="1">IF((A1)=(2),"",IF((110)=(G3),IF(IF((INDEX(B1:XFD1,((A2)+(1))+(0)))=("store"),(INDEX(B1:XFD1,((A2)+(1))+(1)))=("G"),"false"),B2,G113),G113))</f>
        <v>#VALUE!</v>
      </c>
      <c r="H113" t="e">
        <f ca="1">IF((A1)=(2),"",IF((110)=(H3),IF(IF((INDEX(B1:XFD1,((A2)+(1))+(0)))=("store"),(INDEX(B1:XFD1,((A2)+(1))+(1)))=("H"),"false"),B2,H113),H113))</f>
        <v>#VALUE!</v>
      </c>
      <c r="I113" t="e">
        <f ca="1">IF((A1)=(2),"",IF((110)=(I3),IF(IF((INDEX(B1:XFD1,((A2)+(1))+(0)))=("store"),(INDEX(B1:XFD1,((A2)+(1))+(1)))=("I"),"false"),B2,I113),I113))</f>
        <v>#VALUE!</v>
      </c>
      <c r="J113" t="e">
        <f ca="1">IF((A1)=(2),"",IF((110)=(J3),IF(IF((INDEX(B1:XFD1,((A2)+(1))+(0)))=("store"),(INDEX(B1:XFD1,((A2)+(1))+(1)))=("J"),"false"),B2,J113),J113))</f>
        <v>#VALUE!</v>
      </c>
      <c r="K113" t="e">
        <f ca="1">IF((A1)=(2),"",IF((110)=(K3),IF(IF((INDEX(B1:XFD1,((A2)+(1))+(0)))=("store"),(INDEX(B1:XFD1,((A2)+(1))+(1)))=("K"),"false"),B2,K113),K113))</f>
        <v>#VALUE!</v>
      </c>
      <c r="L113" t="e">
        <f ca="1">IF((A1)=(2),"",IF((110)=(L3),IF(IF((INDEX(B1:XFD1,((A2)+(1))+(0)))=("store"),(INDEX(B1:XFD1,((A2)+(1))+(1)))=("L"),"false"),B2,L113),L113))</f>
        <v>#VALUE!</v>
      </c>
      <c r="M113" t="e">
        <f ca="1">IF((A1)=(2),"",IF((110)=(M3),IF(IF((INDEX(B1:XFD1,((A2)+(1))+(0)))=("store"),(INDEX(B1:XFD1,((A2)+(1))+(1)))=("M"),"false"),B2,M113),M113))</f>
        <v>#VALUE!</v>
      </c>
      <c r="N113" t="e">
        <f ca="1">IF((A1)=(2),"",IF((110)=(N3),IF(IF((INDEX(B1:XFD1,((A2)+(1))+(0)))=("store"),(INDEX(B1:XFD1,((A2)+(1))+(1)))=("N"),"false"),B2,N113),N113))</f>
        <v>#VALUE!</v>
      </c>
      <c r="O113" t="e">
        <f ca="1">IF((A1)=(2),"",IF((110)=(O3),IF(IF((INDEX(B1:XFD1,((A2)+(1))+(0)))=("store"),(INDEX(B1:XFD1,((A2)+(1))+(1)))=("O"),"false"),B2,O113),O113))</f>
        <v>#VALUE!</v>
      </c>
      <c r="P113" t="e">
        <f ca="1">IF((A1)=(2),"",IF((110)=(P3),IF(IF((INDEX(B1:XFD1,((A2)+(1))+(0)))=("store"),(INDEX(B1:XFD1,((A2)+(1))+(1)))=("P"),"false"),B2,P113),P113))</f>
        <v>#VALUE!</v>
      </c>
      <c r="Q113" t="e">
        <f ca="1">IF((A1)=(2),"",IF((110)=(Q3),IF(IF((INDEX(B1:XFD1,((A2)+(1))+(0)))=("store"),(INDEX(B1:XFD1,((A2)+(1))+(1)))=("Q"),"false"),B2,Q113),Q113))</f>
        <v>#VALUE!</v>
      </c>
      <c r="R113" t="e">
        <f ca="1">IF((A1)=(2),"",IF((110)=(R3),IF(IF((INDEX(B1:XFD1,((A2)+(1))+(0)))=("store"),(INDEX(B1:XFD1,((A2)+(1))+(1)))=("R"),"false"),B2,R113),R113))</f>
        <v>#VALUE!</v>
      </c>
      <c r="S113" t="e">
        <f ca="1">IF((A1)=(2),"",IF((110)=(S3),IF(IF((INDEX(B1:XFD1,((A2)+(1))+(0)))=("store"),(INDEX(B1:XFD1,((A2)+(1))+(1)))=("S"),"false"),B2,S113),S113))</f>
        <v>#VALUE!</v>
      </c>
      <c r="T113" t="e">
        <f ca="1">IF((A1)=(2),"",IF((110)=(T3),IF(IF((INDEX(B1:XFD1,((A2)+(1))+(0)))=("store"),(INDEX(B1:XFD1,((A2)+(1))+(1)))=("T"),"false"),B2,T113),T113))</f>
        <v>#VALUE!</v>
      </c>
      <c r="U113" t="e">
        <f ca="1">IF((A1)=(2),"",IF((110)=(U3),IF(IF((INDEX(B1:XFD1,((A2)+(1))+(0)))=("store"),(INDEX(B1:XFD1,((A2)+(1))+(1)))=("U"),"false"),B2,U113),U113))</f>
        <v>#VALUE!</v>
      </c>
      <c r="V113" t="e">
        <f ca="1">IF((A1)=(2),"",IF((110)=(V3),IF(IF((INDEX(B1:XFD1,((A2)+(1))+(0)))=("store"),(INDEX(B1:XFD1,((A2)+(1))+(1)))=("V"),"false"),B2,V113),V113))</f>
        <v>#VALUE!</v>
      </c>
      <c r="W113" t="e">
        <f ca="1">IF((A1)=(2),"",IF((110)=(W3),IF(IF((INDEX(B1:XFD1,((A2)+(1))+(0)))=("store"),(INDEX(B1:XFD1,((A2)+(1))+(1)))=("W"),"false"),B2,W113),W113))</f>
        <v>#VALUE!</v>
      </c>
      <c r="X113" t="e">
        <f ca="1">IF((A1)=(2),"",IF((110)=(X3),IF(IF((INDEX(B1:XFD1,((A2)+(1))+(0)))=("store"),(INDEX(B1:XFD1,((A2)+(1))+(1)))=("X"),"false"),B2,X113),X113))</f>
        <v>#VALUE!</v>
      </c>
      <c r="Y113" t="e">
        <f ca="1">IF((A1)=(2),"",IF((110)=(Y3),IF(IF((INDEX(B1:XFD1,((A2)+(1))+(0)))=("store"),(INDEX(B1:XFD1,((A2)+(1))+(1)))=("Y"),"false"),B2,Y113),Y113))</f>
        <v>#VALUE!</v>
      </c>
      <c r="Z113" t="e">
        <f ca="1">IF((A1)=(2),"",IF((110)=(Z3),IF(IF((INDEX(B1:XFD1,((A2)+(1))+(0)))=("store"),(INDEX(B1:XFD1,((A2)+(1))+(1)))=("Z"),"false"),B2,Z113),Z113))</f>
        <v>#VALUE!</v>
      </c>
      <c r="AA113" t="e">
        <f ca="1">IF((A1)=(2),"",IF((110)=(AA3),IF(IF((INDEX(B1:XFD1,((A2)+(1))+(0)))=("store"),(INDEX(B1:XFD1,((A2)+(1))+(1)))=("AA"),"false"),B2,AA113),AA113))</f>
        <v>#VALUE!</v>
      </c>
      <c r="AB113" t="e">
        <f ca="1">IF((A1)=(2),"",IF((110)=(AB3),IF(IF((INDEX(B1:XFD1,((A2)+(1))+(0)))=("store"),(INDEX(B1:XFD1,((A2)+(1))+(1)))=("AB"),"false"),B2,AB113),AB113))</f>
        <v>#VALUE!</v>
      </c>
      <c r="AC113" t="e">
        <f ca="1">IF((A1)=(2),"",IF((110)=(AC3),IF(IF((INDEX(B1:XFD1,((A2)+(1))+(0)))=("store"),(INDEX(B1:XFD1,((A2)+(1))+(1)))=("AC"),"false"),B2,AC113),AC113))</f>
        <v>#VALUE!</v>
      </c>
      <c r="AD113" t="e">
        <f ca="1">IF((A1)=(2),"",IF((110)=(AD3),IF(IF((INDEX(B1:XFD1,((A2)+(1))+(0)))=("store"),(INDEX(B1:XFD1,((A2)+(1))+(1)))=("AD"),"false"),B2,AD113),AD113))</f>
        <v>#VALUE!</v>
      </c>
    </row>
    <row r="114" spans="1:30" x14ac:dyDescent="0.25">
      <c r="A114" t="e">
        <f ca="1">IF((A1)=(2),"",IF((111)=(A3),IF(("call")=(INDEX(B1:XFD1,((A2)+(1))+(0))),(B2)*(2),IF(("goto")=(INDEX(B1:XFD1,((A2)+(1))+(0))),(INDEX(B1:XFD1,((A2)+(1))+(1)))*(2),IF(("gotoiftrue")=(INDEX(B1:XFD1,((A2)+(1))+(0))),IF(B2,(INDEX(B1:XFD1,((A2)+(1))+(1)))*(2),(A114)+(2)),(A114)+(2)))),A114))</f>
        <v>#VALUE!</v>
      </c>
      <c r="B114" t="e">
        <f ca="1">IF((A1)=(2),"",IF((111)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114)+(1)),IF(("add")=(INDEX(B1:XFD1,((A2)+(1))+(0))),(INDEX(B4:B404,(B3)+(1)))+(B114),IF(("equals")=(INDEX(B1:XFD1,((A2)+(1))+(0))),(INDEX(B4:B404,(B3)+(1)))=(B114),IF(("leq")=(INDEX(B1:XFD1,((A2)+(1))+(0))),(INDEX(B4:B404,(B3)+(1)))&lt;=(B114),IF(("greater")=(INDEX(B1:XFD1,((A2)+(1))+(0))),(INDEX(B4:B404,(B3)+(1)))&gt;(B114),IF(("mod")=(INDEX(B1:XFD1,((A2)+(1))+(0))),MOD(INDEX(B4:B404,(B3)+(1)),B114),B114))))))))),B114))</f>
        <v>#VALUE!</v>
      </c>
      <c r="C114" t="e">
        <f ca="1">IF((A1)=(2),1,IF(AND((INDEX(B1:XFD1,((A2)+(1))+(0)))=("writeheap"),(INDEX(B4:B404,(B3)+(1)))=(110)),INDEX(B4:B404,(B3)+(2)),IF((A1)=(2),"",IF((111)=(C3),C114,C114))))</f>
        <v>#VALUE!</v>
      </c>
      <c r="E114" t="e">
        <f ca="1">IF((A1)=(2),"",IF((111)=(E3),IF(("outputline")=(INDEX(B1:XFD1,((A2)+(1))+(0))),B2,E114),E114))</f>
        <v>#VALUE!</v>
      </c>
      <c r="F114" t="e">
        <f ca="1">IF((A1)=(2),"",IF((111)=(F3),IF(IF((INDEX(B1:XFD1,((A2)+(1))+(0)))=("store"),(INDEX(B1:XFD1,((A2)+(1))+(1)))=("F"),"false"),B2,F114),F114))</f>
        <v>#VALUE!</v>
      </c>
      <c r="G114" t="e">
        <f ca="1">IF((A1)=(2),"",IF((111)=(G3),IF(IF((INDEX(B1:XFD1,((A2)+(1))+(0)))=("store"),(INDEX(B1:XFD1,((A2)+(1))+(1)))=("G"),"false"),B2,G114),G114))</f>
        <v>#VALUE!</v>
      </c>
      <c r="H114" t="e">
        <f ca="1">IF((A1)=(2),"",IF((111)=(H3),IF(IF((INDEX(B1:XFD1,((A2)+(1))+(0)))=("store"),(INDEX(B1:XFD1,((A2)+(1))+(1)))=("H"),"false"),B2,H114),H114))</f>
        <v>#VALUE!</v>
      </c>
      <c r="I114" t="e">
        <f ca="1">IF((A1)=(2),"",IF((111)=(I3),IF(IF((INDEX(B1:XFD1,((A2)+(1))+(0)))=("store"),(INDEX(B1:XFD1,((A2)+(1))+(1)))=("I"),"false"),B2,I114),I114))</f>
        <v>#VALUE!</v>
      </c>
      <c r="J114" t="e">
        <f ca="1">IF((A1)=(2),"",IF((111)=(J3),IF(IF((INDEX(B1:XFD1,((A2)+(1))+(0)))=("store"),(INDEX(B1:XFD1,((A2)+(1))+(1)))=("J"),"false"),B2,J114),J114))</f>
        <v>#VALUE!</v>
      </c>
      <c r="K114" t="e">
        <f ca="1">IF((A1)=(2),"",IF((111)=(K3),IF(IF((INDEX(B1:XFD1,((A2)+(1))+(0)))=("store"),(INDEX(B1:XFD1,((A2)+(1))+(1)))=("K"),"false"),B2,K114),K114))</f>
        <v>#VALUE!</v>
      </c>
      <c r="L114" t="e">
        <f ca="1">IF((A1)=(2),"",IF((111)=(L3),IF(IF((INDEX(B1:XFD1,((A2)+(1))+(0)))=("store"),(INDEX(B1:XFD1,((A2)+(1))+(1)))=("L"),"false"),B2,L114),L114))</f>
        <v>#VALUE!</v>
      </c>
      <c r="M114" t="e">
        <f ca="1">IF((A1)=(2),"",IF((111)=(M3),IF(IF((INDEX(B1:XFD1,((A2)+(1))+(0)))=("store"),(INDEX(B1:XFD1,((A2)+(1))+(1)))=("M"),"false"),B2,M114),M114))</f>
        <v>#VALUE!</v>
      </c>
      <c r="N114" t="e">
        <f ca="1">IF((A1)=(2),"",IF((111)=(N3),IF(IF((INDEX(B1:XFD1,((A2)+(1))+(0)))=("store"),(INDEX(B1:XFD1,((A2)+(1))+(1)))=("N"),"false"),B2,N114),N114))</f>
        <v>#VALUE!</v>
      </c>
      <c r="O114" t="e">
        <f ca="1">IF((A1)=(2),"",IF((111)=(O3),IF(IF((INDEX(B1:XFD1,((A2)+(1))+(0)))=("store"),(INDEX(B1:XFD1,((A2)+(1))+(1)))=("O"),"false"),B2,O114),O114))</f>
        <v>#VALUE!</v>
      </c>
      <c r="P114" t="e">
        <f ca="1">IF((A1)=(2),"",IF((111)=(P3),IF(IF((INDEX(B1:XFD1,((A2)+(1))+(0)))=("store"),(INDEX(B1:XFD1,((A2)+(1))+(1)))=("P"),"false"),B2,P114),P114))</f>
        <v>#VALUE!</v>
      </c>
      <c r="Q114" t="e">
        <f ca="1">IF((A1)=(2),"",IF((111)=(Q3),IF(IF((INDEX(B1:XFD1,((A2)+(1))+(0)))=("store"),(INDEX(B1:XFD1,((A2)+(1))+(1)))=("Q"),"false"),B2,Q114),Q114))</f>
        <v>#VALUE!</v>
      </c>
      <c r="R114" t="e">
        <f ca="1">IF((A1)=(2),"",IF((111)=(R3),IF(IF((INDEX(B1:XFD1,((A2)+(1))+(0)))=("store"),(INDEX(B1:XFD1,((A2)+(1))+(1)))=("R"),"false"),B2,R114),R114))</f>
        <v>#VALUE!</v>
      </c>
      <c r="S114" t="e">
        <f ca="1">IF((A1)=(2),"",IF((111)=(S3),IF(IF((INDEX(B1:XFD1,((A2)+(1))+(0)))=("store"),(INDEX(B1:XFD1,((A2)+(1))+(1)))=("S"),"false"),B2,S114),S114))</f>
        <v>#VALUE!</v>
      </c>
      <c r="T114" t="e">
        <f ca="1">IF((A1)=(2),"",IF((111)=(T3),IF(IF((INDEX(B1:XFD1,((A2)+(1))+(0)))=("store"),(INDEX(B1:XFD1,((A2)+(1))+(1)))=("T"),"false"),B2,T114),T114))</f>
        <v>#VALUE!</v>
      </c>
      <c r="U114" t="e">
        <f ca="1">IF((A1)=(2),"",IF((111)=(U3),IF(IF((INDEX(B1:XFD1,((A2)+(1))+(0)))=("store"),(INDEX(B1:XFD1,((A2)+(1))+(1)))=("U"),"false"),B2,U114),U114))</f>
        <v>#VALUE!</v>
      </c>
      <c r="V114" t="e">
        <f ca="1">IF((A1)=(2),"",IF((111)=(V3),IF(IF((INDEX(B1:XFD1,((A2)+(1))+(0)))=("store"),(INDEX(B1:XFD1,((A2)+(1))+(1)))=("V"),"false"),B2,V114),V114))</f>
        <v>#VALUE!</v>
      </c>
      <c r="W114" t="e">
        <f ca="1">IF((A1)=(2),"",IF((111)=(W3),IF(IF((INDEX(B1:XFD1,((A2)+(1))+(0)))=("store"),(INDEX(B1:XFD1,((A2)+(1))+(1)))=("W"),"false"),B2,W114),W114))</f>
        <v>#VALUE!</v>
      </c>
      <c r="X114" t="e">
        <f ca="1">IF((A1)=(2),"",IF((111)=(X3),IF(IF((INDEX(B1:XFD1,((A2)+(1))+(0)))=("store"),(INDEX(B1:XFD1,((A2)+(1))+(1)))=("X"),"false"),B2,X114),X114))</f>
        <v>#VALUE!</v>
      </c>
      <c r="Y114" t="e">
        <f ca="1">IF((A1)=(2),"",IF((111)=(Y3),IF(IF((INDEX(B1:XFD1,((A2)+(1))+(0)))=("store"),(INDEX(B1:XFD1,((A2)+(1))+(1)))=("Y"),"false"),B2,Y114),Y114))</f>
        <v>#VALUE!</v>
      </c>
      <c r="Z114" t="e">
        <f ca="1">IF((A1)=(2),"",IF((111)=(Z3),IF(IF((INDEX(B1:XFD1,((A2)+(1))+(0)))=("store"),(INDEX(B1:XFD1,((A2)+(1))+(1)))=("Z"),"false"),B2,Z114),Z114))</f>
        <v>#VALUE!</v>
      </c>
      <c r="AA114" t="e">
        <f ca="1">IF((A1)=(2),"",IF((111)=(AA3),IF(IF((INDEX(B1:XFD1,((A2)+(1))+(0)))=("store"),(INDEX(B1:XFD1,((A2)+(1))+(1)))=("AA"),"false"),B2,AA114),AA114))</f>
        <v>#VALUE!</v>
      </c>
      <c r="AB114" t="e">
        <f ca="1">IF((A1)=(2),"",IF((111)=(AB3),IF(IF((INDEX(B1:XFD1,((A2)+(1))+(0)))=("store"),(INDEX(B1:XFD1,((A2)+(1))+(1)))=("AB"),"false"),B2,AB114),AB114))</f>
        <v>#VALUE!</v>
      </c>
      <c r="AC114" t="e">
        <f ca="1">IF((A1)=(2),"",IF((111)=(AC3),IF(IF((INDEX(B1:XFD1,((A2)+(1))+(0)))=("store"),(INDEX(B1:XFD1,((A2)+(1))+(1)))=("AC"),"false"),B2,AC114),AC114))</f>
        <v>#VALUE!</v>
      </c>
      <c r="AD114" t="e">
        <f ca="1">IF((A1)=(2),"",IF((111)=(AD3),IF(IF((INDEX(B1:XFD1,((A2)+(1))+(0)))=("store"),(INDEX(B1:XFD1,((A2)+(1))+(1)))=("AD"),"false"),B2,AD114),AD114))</f>
        <v>#VALUE!</v>
      </c>
    </row>
    <row r="115" spans="1:30" x14ac:dyDescent="0.25">
      <c r="A115" t="e">
        <f ca="1">IF((A1)=(2),"",IF((112)=(A3),IF(("call")=(INDEX(B1:XFD1,((A2)+(1))+(0))),(B2)*(2),IF(("goto")=(INDEX(B1:XFD1,((A2)+(1))+(0))),(INDEX(B1:XFD1,((A2)+(1))+(1)))*(2),IF(("gotoiftrue")=(INDEX(B1:XFD1,((A2)+(1))+(0))),IF(B2,(INDEX(B1:XFD1,((A2)+(1))+(1)))*(2),(A115)+(2)),(A115)+(2)))),A115))</f>
        <v>#VALUE!</v>
      </c>
      <c r="B115" t="e">
        <f ca="1">IF((A1)=(2),"",IF((112)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115)+(1)),IF(("add")=(INDEX(B1:XFD1,((A2)+(1))+(0))),(INDEX(B4:B404,(B3)+(1)))+(B115),IF(("equals")=(INDEX(B1:XFD1,((A2)+(1))+(0))),(INDEX(B4:B404,(B3)+(1)))=(B115),IF(("leq")=(INDEX(B1:XFD1,((A2)+(1))+(0))),(INDEX(B4:B404,(B3)+(1)))&lt;=(B115),IF(("greater")=(INDEX(B1:XFD1,((A2)+(1))+(0))),(INDEX(B4:B404,(B3)+(1)))&gt;(B115),IF(("mod")=(INDEX(B1:XFD1,((A2)+(1))+(0))),MOD(INDEX(B4:B404,(B3)+(1)),B115),B115))))))))),B115))</f>
        <v>#VALUE!</v>
      </c>
      <c r="C115" t="e">
        <f ca="1">IF((A1)=(2),1,IF(AND((INDEX(B1:XFD1,((A2)+(1))+(0)))=("writeheap"),(INDEX(B4:B404,(B3)+(1)))=(111)),INDEX(B4:B404,(B3)+(2)),IF((A1)=(2),"",IF((112)=(C3),C115,C115))))</f>
        <v>#VALUE!</v>
      </c>
      <c r="E115" t="e">
        <f ca="1">IF((A1)=(2),"",IF((112)=(E3),IF(("outputline")=(INDEX(B1:XFD1,((A2)+(1))+(0))),B2,E115),E115))</f>
        <v>#VALUE!</v>
      </c>
      <c r="F115" t="e">
        <f ca="1">IF((A1)=(2),"",IF((112)=(F3),IF(IF((INDEX(B1:XFD1,((A2)+(1))+(0)))=("store"),(INDEX(B1:XFD1,((A2)+(1))+(1)))=("F"),"false"),B2,F115),F115))</f>
        <v>#VALUE!</v>
      </c>
      <c r="G115" t="e">
        <f ca="1">IF((A1)=(2),"",IF((112)=(G3),IF(IF((INDEX(B1:XFD1,((A2)+(1))+(0)))=("store"),(INDEX(B1:XFD1,((A2)+(1))+(1)))=("G"),"false"),B2,G115),G115))</f>
        <v>#VALUE!</v>
      </c>
      <c r="H115" t="e">
        <f ca="1">IF((A1)=(2),"",IF((112)=(H3),IF(IF((INDEX(B1:XFD1,((A2)+(1))+(0)))=("store"),(INDEX(B1:XFD1,((A2)+(1))+(1)))=("H"),"false"),B2,H115),H115))</f>
        <v>#VALUE!</v>
      </c>
      <c r="I115" t="e">
        <f ca="1">IF((A1)=(2),"",IF((112)=(I3),IF(IF((INDEX(B1:XFD1,((A2)+(1))+(0)))=("store"),(INDEX(B1:XFD1,((A2)+(1))+(1)))=("I"),"false"),B2,I115),I115))</f>
        <v>#VALUE!</v>
      </c>
      <c r="J115" t="e">
        <f ca="1">IF((A1)=(2),"",IF((112)=(J3),IF(IF((INDEX(B1:XFD1,((A2)+(1))+(0)))=("store"),(INDEX(B1:XFD1,((A2)+(1))+(1)))=("J"),"false"),B2,J115),J115))</f>
        <v>#VALUE!</v>
      </c>
      <c r="K115" t="e">
        <f ca="1">IF((A1)=(2),"",IF((112)=(K3),IF(IF((INDEX(B1:XFD1,((A2)+(1))+(0)))=("store"),(INDEX(B1:XFD1,((A2)+(1))+(1)))=("K"),"false"),B2,K115),K115))</f>
        <v>#VALUE!</v>
      </c>
      <c r="L115" t="e">
        <f ca="1">IF((A1)=(2),"",IF((112)=(L3),IF(IF((INDEX(B1:XFD1,((A2)+(1))+(0)))=("store"),(INDEX(B1:XFD1,((A2)+(1))+(1)))=("L"),"false"),B2,L115),L115))</f>
        <v>#VALUE!</v>
      </c>
      <c r="M115" t="e">
        <f ca="1">IF((A1)=(2),"",IF((112)=(M3),IF(IF((INDEX(B1:XFD1,((A2)+(1))+(0)))=("store"),(INDEX(B1:XFD1,((A2)+(1))+(1)))=("M"),"false"),B2,M115),M115))</f>
        <v>#VALUE!</v>
      </c>
      <c r="N115" t="e">
        <f ca="1">IF((A1)=(2),"",IF((112)=(N3),IF(IF((INDEX(B1:XFD1,((A2)+(1))+(0)))=("store"),(INDEX(B1:XFD1,((A2)+(1))+(1)))=("N"),"false"),B2,N115),N115))</f>
        <v>#VALUE!</v>
      </c>
      <c r="O115" t="e">
        <f ca="1">IF((A1)=(2),"",IF((112)=(O3),IF(IF((INDEX(B1:XFD1,((A2)+(1))+(0)))=("store"),(INDEX(B1:XFD1,((A2)+(1))+(1)))=("O"),"false"),B2,O115),O115))</f>
        <v>#VALUE!</v>
      </c>
      <c r="P115" t="e">
        <f ca="1">IF((A1)=(2),"",IF((112)=(P3),IF(IF((INDEX(B1:XFD1,((A2)+(1))+(0)))=("store"),(INDEX(B1:XFD1,((A2)+(1))+(1)))=("P"),"false"),B2,P115),P115))</f>
        <v>#VALUE!</v>
      </c>
      <c r="Q115" t="e">
        <f ca="1">IF((A1)=(2),"",IF((112)=(Q3),IF(IF((INDEX(B1:XFD1,((A2)+(1))+(0)))=("store"),(INDEX(B1:XFD1,((A2)+(1))+(1)))=("Q"),"false"),B2,Q115),Q115))</f>
        <v>#VALUE!</v>
      </c>
      <c r="R115" t="e">
        <f ca="1">IF((A1)=(2),"",IF((112)=(R3),IF(IF((INDEX(B1:XFD1,((A2)+(1))+(0)))=("store"),(INDEX(B1:XFD1,((A2)+(1))+(1)))=("R"),"false"),B2,R115),R115))</f>
        <v>#VALUE!</v>
      </c>
      <c r="S115" t="e">
        <f ca="1">IF((A1)=(2),"",IF((112)=(S3),IF(IF((INDEX(B1:XFD1,((A2)+(1))+(0)))=("store"),(INDEX(B1:XFD1,((A2)+(1))+(1)))=("S"),"false"),B2,S115),S115))</f>
        <v>#VALUE!</v>
      </c>
      <c r="T115" t="e">
        <f ca="1">IF((A1)=(2),"",IF((112)=(T3),IF(IF((INDEX(B1:XFD1,((A2)+(1))+(0)))=("store"),(INDEX(B1:XFD1,((A2)+(1))+(1)))=("T"),"false"),B2,T115),T115))</f>
        <v>#VALUE!</v>
      </c>
      <c r="U115" t="e">
        <f ca="1">IF((A1)=(2),"",IF((112)=(U3),IF(IF((INDEX(B1:XFD1,((A2)+(1))+(0)))=("store"),(INDEX(B1:XFD1,((A2)+(1))+(1)))=("U"),"false"),B2,U115),U115))</f>
        <v>#VALUE!</v>
      </c>
      <c r="V115" t="e">
        <f ca="1">IF((A1)=(2),"",IF((112)=(V3),IF(IF((INDEX(B1:XFD1,((A2)+(1))+(0)))=("store"),(INDEX(B1:XFD1,((A2)+(1))+(1)))=("V"),"false"),B2,V115),V115))</f>
        <v>#VALUE!</v>
      </c>
      <c r="W115" t="e">
        <f ca="1">IF((A1)=(2),"",IF((112)=(W3),IF(IF((INDEX(B1:XFD1,((A2)+(1))+(0)))=("store"),(INDEX(B1:XFD1,((A2)+(1))+(1)))=("W"),"false"),B2,W115),W115))</f>
        <v>#VALUE!</v>
      </c>
      <c r="X115" t="e">
        <f ca="1">IF((A1)=(2),"",IF((112)=(X3),IF(IF((INDEX(B1:XFD1,((A2)+(1))+(0)))=("store"),(INDEX(B1:XFD1,((A2)+(1))+(1)))=("X"),"false"),B2,X115),X115))</f>
        <v>#VALUE!</v>
      </c>
      <c r="Y115" t="e">
        <f ca="1">IF((A1)=(2),"",IF((112)=(Y3),IF(IF((INDEX(B1:XFD1,((A2)+(1))+(0)))=("store"),(INDEX(B1:XFD1,((A2)+(1))+(1)))=("Y"),"false"),B2,Y115),Y115))</f>
        <v>#VALUE!</v>
      </c>
      <c r="Z115" t="e">
        <f ca="1">IF((A1)=(2),"",IF((112)=(Z3),IF(IF((INDEX(B1:XFD1,((A2)+(1))+(0)))=("store"),(INDEX(B1:XFD1,((A2)+(1))+(1)))=("Z"),"false"),B2,Z115),Z115))</f>
        <v>#VALUE!</v>
      </c>
      <c r="AA115" t="e">
        <f ca="1">IF((A1)=(2),"",IF((112)=(AA3),IF(IF((INDEX(B1:XFD1,((A2)+(1))+(0)))=("store"),(INDEX(B1:XFD1,((A2)+(1))+(1)))=("AA"),"false"),B2,AA115),AA115))</f>
        <v>#VALUE!</v>
      </c>
      <c r="AB115" t="e">
        <f ca="1">IF((A1)=(2),"",IF((112)=(AB3),IF(IF((INDEX(B1:XFD1,((A2)+(1))+(0)))=("store"),(INDEX(B1:XFD1,((A2)+(1))+(1)))=("AB"),"false"),B2,AB115),AB115))</f>
        <v>#VALUE!</v>
      </c>
      <c r="AC115" t="e">
        <f ca="1">IF((A1)=(2),"",IF((112)=(AC3),IF(IF((INDEX(B1:XFD1,((A2)+(1))+(0)))=("store"),(INDEX(B1:XFD1,((A2)+(1))+(1)))=("AC"),"false"),B2,AC115),AC115))</f>
        <v>#VALUE!</v>
      </c>
      <c r="AD115" t="e">
        <f ca="1">IF((A1)=(2),"",IF((112)=(AD3),IF(IF((INDEX(B1:XFD1,((A2)+(1))+(0)))=("store"),(INDEX(B1:XFD1,((A2)+(1))+(1)))=("AD"),"false"),B2,AD115),AD115))</f>
        <v>#VALUE!</v>
      </c>
    </row>
    <row r="116" spans="1:30" x14ac:dyDescent="0.25">
      <c r="A116" t="e">
        <f ca="1">IF((A1)=(2),"",IF((113)=(A3),IF(("call")=(INDEX(B1:XFD1,((A2)+(1))+(0))),(B2)*(2),IF(("goto")=(INDEX(B1:XFD1,((A2)+(1))+(0))),(INDEX(B1:XFD1,((A2)+(1))+(1)))*(2),IF(("gotoiftrue")=(INDEX(B1:XFD1,((A2)+(1))+(0))),IF(B2,(INDEX(B1:XFD1,((A2)+(1))+(1)))*(2),(A116)+(2)),(A116)+(2)))),A116))</f>
        <v>#VALUE!</v>
      </c>
      <c r="B116" t="e">
        <f ca="1">IF((A1)=(2),"",IF((113)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116)+(1)),IF(("add")=(INDEX(B1:XFD1,((A2)+(1))+(0))),(INDEX(B4:B404,(B3)+(1)))+(B116),IF(("equals")=(INDEX(B1:XFD1,((A2)+(1))+(0))),(INDEX(B4:B404,(B3)+(1)))=(B116),IF(("leq")=(INDEX(B1:XFD1,((A2)+(1))+(0))),(INDEX(B4:B404,(B3)+(1)))&lt;=(B116),IF(("greater")=(INDEX(B1:XFD1,((A2)+(1))+(0))),(INDEX(B4:B404,(B3)+(1)))&gt;(B116),IF(("mod")=(INDEX(B1:XFD1,((A2)+(1))+(0))),MOD(INDEX(B4:B404,(B3)+(1)),B116),B116))))))))),B116))</f>
        <v>#VALUE!</v>
      </c>
      <c r="C116" t="e">
        <f ca="1">IF((A1)=(2),1,IF(AND((INDEX(B1:XFD1,((A2)+(1))+(0)))=("writeheap"),(INDEX(B4:B404,(B3)+(1)))=(112)),INDEX(B4:B404,(B3)+(2)),IF((A1)=(2),"",IF((113)=(C3),C116,C116))))</f>
        <v>#VALUE!</v>
      </c>
      <c r="E116" t="e">
        <f ca="1">IF((A1)=(2),"",IF((113)=(E3),IF(("outputline")=(INDEX(B1:XFD1,((A2)+(1))+(0))),B2,E116),E116))</f>
        <v>#VALUE!</v>
      </c>
      <c r="F116" t="e">
        <f ca="1">IF((A1)=(2),"",IF((113)=(F3),IF(IF((INDEX(B1:XFD1,((A2)+(1))+(0)))=("store"),(INDEX(B1:XFD1,((A2)+(1))+(1)))=("F"),"false"),B2,F116),F116))</f>
        <v>#VALUE!</v>
      </c>
      <c r="G116" t="e">
        <f ca="1">IF((A1)=(2),"",IF((113)=(G3),IF(IF((INDEX(B1:XFD1,((A2)+(1))+(0)))=("store"),(INDEX(B1:XFD1,((A2)+(1))+(1)))=("G"),"false"),B2,G116),G116))</f>
        <v>#VALUE!</v>
      </c>
      <c r="H116" t="e">
        <f ca="1">IF((A1)=(2),"",IF((113)=(H3),IF(IF((INDEX(B1:XFD1,((A2)+(1))+(0)))=("store"),(INDEX(B1:XFD1,((A2)+(1))+(1)))=("H"),"false"),B2,H116),H116))</f>
        <v>#VALUE!</v>
      </c>
      <c r="I116" t="e">
        <f ca="1">IF((A1)=(2),"",IF((113)=(I3),IF(IF((INDEX(B1:XFD1,((A2)+(1))+(0)))=("store"),(INDEX(B1:XFD1,((A2)+(1))+(1)))=("I"),"false"),B2,I116),I116))</f>
        <v>#VALUE!</v>
      </c>
      <c r="J116" t="e">
        <f ca="1">IF((A1)=(2),"",IF((113)=(J3),IF(IF((INDEX(B1:XFD1,((A2)+(1))+(0)))=("store"),(INDEX(B1:XFD1,((A2)+(1))+(1)))=("J"),"false"),B2,J116),J116))</f>
        <v>#VALUE!</v>
      </c>
      <c r="K116" t="e">
        <f ca="1">IF((A1)=(2),"",IF((113)=(K3),IF(IF((INDEX(B1:XFD1,((A2)+(1))+(0)))=("store"),(INDEX(B1:XFD1,((A2)+(1))+(1)))=("K"),"false"),B2,K116),K116))</f>
        <v>#VALUE!</v>
      </c>
      <c r="L116" t="e">
        <f ca="1">IF((A1)=(2),"",IF((113)=(L3),IF(IF((INDEX(B1:XFD1,((A2)+(1))+(0)))=("store"),(INDEX(B1:XFD1,((A2)+(1))+(1)))=("L"),"false"),B2,L116),L116))</f>
        <v>#VALUE!</v>
      </c>
      <c r="M116" t="e">
        <f ca="1">IF((A1)=(2),"",IF((113)=(M3),IF(IF((INDEX(B1:XFD1,((A2)+(1))+(0)))=("store"),(INDEX(B1:XFD1,((A2)+(1))+(1)))=("M"),"false"),B2,M116),M116))</f>
        <v>#VALUE!</v>
      </c>
      <c r="N116" t="e">
        <f ca="1">IF((A1)=(2),"",IF((113)=(N3),IF(IF((INDEX(B1:XFD1,((A2)+(1))+(0)))=("store"),(INDEX(B1:XFD1,((A2)+(1))+(1)))=("N"),"false"),B2,N116),N116))</f>
        <v>#VALUE!</v>
      </c>
      <c r="O116" t="e">
        <f ca="1">IF((A1)=(2),"",IF((113)=(O3),IF(IF((INDEX(B1:XFD1,((A2)+(1))+(0)))=("store"),(INDEX(B1:XFD1,((A2)+(1))+(1)))=("O"),"false"),B2,O116),O116))</f>
        <v>#VALUE!</v>
      </c>
      <c r="P116" t="e">
        <f ca="1">IF((A1)=(2),"",IF((113)=(P3),IF(IF((INDEX(B1:XFD1,((A2)+(1))+(0)))=("store"),(INDEX(B1:XFD1,((A2)+(1))+(1)))=("P"),"false"),B2,P116),P116))</f>
        <v>#VALUE!</v>
      </c>
      <c r="Q116" t="e">
        <f ca="1">IF((A1)=(2),"",IF((113)=(Q3),IF(IF((INDEX(B1:XFD1,((A2)+(1))+(0)))=("store"),(INDEX(B1:XFD1,((A2)+(1))+(1)))=("Q"),"false"),B2,Q116),Q116))</f>
        <v>#VALUE!</v>
      </c>
      <c r="R116" t="e">
        <f ca="1">IF((A1)=(2),"",IF((113)=(R3),IF(IF((INDEX(B1:XFD1,((A2)+(1))+(0)))=("store"),(INDEX(B1:XFD1,((A2)+(1))+(1)))=("R"),"false"),B2,R116),R116))</f>
        <v>#VALUE!</v>
      </c>
      <c r="S116" t="e">
        <f ca="1">IF((A1)=(2),"",IF((113)=(S3),IF(IF((INDEX(B1:XFD1,((A2)+(1))+(0)))=("store"),(INDEX(B1:XFD1,((A2)+(1))+(1)))=("S"),"false"),B2,S116),S116))</f>
        <v>#VALUE!</v>
      </c>
      <c r="T116" t="e">
        <f ca="1">IF((A1)=(2),"",IF((113)=(T3),IF(IF((INDEX(B1:XFD1,((A2)+(1))+(0)))=("store"),(INDEX(B1:XFD1,((A2)+(1))+(1)))=("T"),"false"),B2,T116),T116))</f>
        <v>#VALUE!</v>
      </c>
      <c r="U116" t="e">
        <f ca="1">IF((A1)=(2),"",IF((113)=(U3),IF(IF((INDEX(B1:XFD1,((A2)+(1))+(0)))=("store"),(INDEX(B1:XFD1,((A2)+(1))+(1)))=("U"),"false"),B2,U116),U116))</f>
        <v>#VALUE!</v>
      </c>
      <c r="V116" t="e">
        <f ca="1">IF((A1)=(2),"",IF((113)=(V3),IF(IF((INDEX(B1:XFD1,((A2)+(1))+(0)))=("store"),(INDEX(B1:XFD1,((A2)+(1))+(1)))=("V"),"false"),B2,V116),V116))</f>
        <v>#VALUE!</v>
      </c>
      <c r="W116" t="e">
        <f ca="1">IF((A1)=(2),"",IF((113)=(W3),IF(IF((INDEX(B1:XFD1,((A2)+(1))+(0)))=("store"),(INDEX(B1:XFD1,((A2)+(1))+(1)))=("W"),"false"),B2,W116),W116))</f>
        <v>#VALUE!</v>
      </c>
      <c r="X116" t="e">
        <f ca="1">IF((A1)=(2),"",IF((113)=(X3),IF(IF((INDEX(B1:XFD1,((A2)+(1))+(0)))=("store"),(INDEX(B1:XFD1,((A2)+(1))+(1)))=("X"),"false"),B2,X116),X116))</f>
        <v>#VALUE!</v>
      </c>
      <c r="Y116" t="e">
        <f ca="1">IF((A1)=(2),"",IF((113)=(Y3),IF(IF((INDEX(B1:XFD1,((A2)+(1))+(0)))=("store"),(INDEX(B1:XFD1,((A2)+(1))+(1)))=("Y"),"false"),B2,Y116),Y116))</f>
        <v>#VALUE!</v>
      </c>
      <c r="Z116" t="e">
        <f ca="1">IF((A1)=(2),"",IF((113)=(Z3),IF(IF((INDEX(B1:XFD1,((A2)+(1))+(0)))=("store"),(INDEX(B1:XFD1,((A2)+(1))+(1)))=("Z"),"false"),B2,Z116),Z116))</f>
        <v>#VALUE!</v>
      </c>
      <c r="AA116" t="e">
        <f ca="1">IF((A1)=(2),"",IF((113)=(AA3),IF(IF((INDEX(B1:XFD1,((A2)+(1))+(0)))=("store"),(INDEX(B1:XFD1,((A2)+(1))+(1)))=("AA"),"false"),B2,AA116),AA116))</f>
        <v>#VALUE!</v>
      </c>
      <c r="AB116" t="e">
        <f ca="1">IF((A1)=(2),"",IF((113)=(AB3),IF(IF((INDEX(B1:XFD1,((A2)+(1))+(0)))=("store"),(INDEX(B1:XFD1,((A2)+(1))+(1)))=("AB"),"false"),B2,AB116),AB116))</f>
        <v>#VALUE!</v>
      </c>
      <c r="AC116" t="e">
        <f ca="1">IF((A1)=(2),"",IF((113)=(AC3),IF(IF((INDEX(B1:XFD1,((A2)+(1))+(0)))=("store"),(INDEX(B1:XFD1,((A2)+(1))+(1)))=("AC"),"false"),B2,AC116),AC116))</f>
        <v>#VALUE!</v>
      </c>
      <c r="AD116" t="e">
        <f ca="1">IF((A1)=(2),"",IF((113)=(AD3),IF(IF((INDEX(B1:XFD1,((A2)+(1))+(0)))=("store"),(INDEX(B1:XFD1,((A2)+(1))+(1)))=("AD"),"false"),B2,AD116),AD116))</f>
        <v>#VALUE!</v>
      </c>
    </row>
    <row r="117" spans="1:30" x14ac:dyDescent="0.25">
      <c r="A117" t="e">
        <f ca="1">IF((A1)=(2),"",IF((114)=(A3),IF(("call")=(INDEX(B1:XFD1,((A2)+(1))+(0))),(B2)*(2),IF(("goto")=(INDEX(B1:XFD1,((A2)+(1))+(0))),(INDEX(B1:XFD1,((A2)+(1))+(1)))*(2),IF(("gotoiftrue")=(INDEX(B1:XFD1,((A2)+(1))+(0))),IF(B2,(INDEX(B1:XFD1,((A2)+(1))+(1)))*(2),(A117)+(2)),(A117)+(2)))),A117))</f>
        <v>#VALUE!</v>
      </c>
      <c r="B117" t="e">
        <f ca="1">IF((A1)=(2),"",IF((114)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117)+(1)),IF(("add")=(INDEX(B1:XFD1,((A2)+(1))+(0))),(INDEX(B4:B404,(B3)+(1)))+(B117),IF(("equals")=(INDEX(B1:XFD1,((A2)+(1))+(0))),(INDEX(B4:B404,(B3)+(1)))=(B117),IF(("leq")=(INDEX(B1:XFD1,((A2)+(1))+(0))),(INDEX(B4:B404,(B3)+(1)))&lt;=(B117),IF(("greater")=(INDEX(B1:XFD1,((A2)+(1))+(0))),(INDEX(B4:B404,(B3)+(1)))&gt;(B117),IF(("mod")=(INDEX(B1:XFD1,((A2)+(1))+(0))),MOD(INDEX(B4:B404,(B3)+(1)),B117),B117))))))))),B117))</f>
        <v>#VALUE!</v>
      </c>
      <c r="C117" t="e">
        <f ca="1">IF((A1)=(2),1,IF(AND((INDEX(B1:XFD1,((A2)+(1))+(0)))=("writeheap"),(INDEX(B4:B404,(B3)+(1)))=(113)),INDEX(B4:B404,(B3)+(2)),IF((A1)=(2),"",IF((114)=(C3),C117,C117))))</f>
        <v>#VALUE!</v>
      </c>
      <c r="E117" t="e">
        <f ca="1">IF((A1)=(2),"",IF((114)=(E3),IF(("outputline")=(INDEX(B1:XFD1,((A2)+(1))+(0))),B2,E117),E117))</f>
        <v>#VALUE!</v>
      </c>
      <c r="F117" t="e">
        <f ca="1">IF((A1)=(2),"",IF((114)=(F3),IF(IF((INDEX(B1:XFD1,((A2)+(1))+(0)))=("store"),(INDEX(B1:XFD1,((A2)+(1))+(1)))=("F"),"false"),B2,F117),F117))</f>
        <v>#VALUE!</v>
      </c>
      <c r="G117" t="e">
        <f ca="1">IF((A1)=(2),"",IF((114)=(G3),IF(IF((INDEX(B1:XFD1,((A2)+(1))+(0)))=("store"),(INDEX(B1:XFD1,((A2)+(1))+(1)))=("G"),"false"),B2,G117),G117))</f>
        <v>#VALUE!</v>
      </c>
      <c r="H117" t="e">
        <f ca="1">IF((A1)=(2),"",IF((114)=(H3),IF(IF((INDEX(B1:XFD1,((A2)+(1))+(0)))=("store"),(INDEX(B1:XFD1,((A2)+(1))+(1)))=("H"),"false"),B2,H117),H117))</f>
        <v>#VALUE!</v>
      </c>
      <c r="I117" t="e">
        <f ca="1">IF((A1)=(2),"",IF((114)=(I3),IF(IF((INDEX(B1:XFD1,((A2)+(1))+(0)))=("store"),(INDEX(B1:XFD1,((A2)+(1))+(1)))=("I"),"false"),B2,I117),I117))</f>
        <v>#VALUE!</v>
      </c>
      <c r="J117" t="e">
        <f ca="1">IF((A1)=(2),"",IF((114)=(J3),IF(IF((INDEX(B1:XFD1,((A2)+(1))+(0)))=("store"),(INDEX(B1:XFD1,((A2)+(1))+(1)))=("J"),"false"),B2,J117),J117))</f>
        <v>#VALUE!</v>
      </c>
      <c r="K117" t="e">
        <f ca="1">IF((A1)=(2),"",IF((114)=(K3),IF(IF((INDEX(B1:XFD1,((A2)+(1))+(0)))=("store"),(INDEX(B1:XFD1,((A2)+(1))+(1)))=("K"),"false"),B2,K117),K117))</f>
        <v>#VALUE!</v>
      </c>
      <c r="L117" t="e">
        <f ca="1">IF((A1)=(2),"",IF((114)=(L3),IF(IF((INDEX(B1:XFD1,((A2)+(1))+(0)))=("store"),(INDEX(B1:XFD1,((A2)+(1))+(1)))=("L"),"false"),B2,L117),L117))</f>
        <v>#VALUE!</v>
      </c>
      <c r="M117" t="e">
        <f ca="1">IF((A1)=(2),"",IF((114)=(M3),IF(IF((INDEX(B1:XFD1,((A2)+(1))+(0)))=("store"),(INDEX(B1:XFD1,((A2)+(1))+(1)))=("M"),"false"),B2,M117),M117))</f>
        <v>#VALUE!</v>
      </c>
      <c r="N117" t="e">
        <f ca="1">IF((A1)=(2),"",IF((114)=(N3),IF(IF((INDEX(B1:XFD1,((A2)+(1))+(0)))=("store"),(INDEX(B1:XFD1,((A2)+(1))+(1)))=("N"),"false"),B2,N117),N117))</f>
        <v>#VALUE!</v>
      </c>
      <c r="O117" t="e">
        <f ca="1">IF((A1)=(2),"",IF((114)=(O3),IF(IF((INDEX(B1:XFD1,((A2)+(1))+(0)))=("store"),(INDEX(B1:XFD1,((A2)+(1))+(1)))=("O"),"false"),B2,O117),O117))</f>
        <v>#VALUE!</v>
      </c>
      <c r="P117" t="e">
        <f ca="1">IF((A1)=(2),"",IF((114)=(P3),IF(IF((INDEX(B1:XFD1,((A2)+(1))+(0)))=("store"),(INDEX(B1:XFD1,((A2)+(1))+(1)))=("P"),"false"),B2,P117),P117))</f>
        <v>#VALUE!</v>
      </c>
      <c r="Q117" t="e">
        <f ca="1">IF((A1)=(2),"",IF((114)=(Q3),IF(IF((INDEX(B1:XFD1,((A2)+(1))+(0)))=("store"),(INDEX(B1:XFD1,((A2)+(1))+(1)))=("Q"),"false"),B2,Q117),Q117))</f>
        <v>#VALUE!</v>
      </c>
      <c r="R117" t="e">
        <f ca="1">IF((A1)=(2),"",IF((114)=(R3),IF(IF((INDEX(B1:XFD1,((A2)+(1))+(0)))=("store"),(INDEX(B1:XFD1,((A2)+(1))+(1)))=("R"),"false"),B2,R117),R117))</f>
        <v>#VALUE!</v>
      </c>
      <c r="S117" t="e">
        <f ca="1">IF((A1)=(2),"",IF((114)=(S3),IF(IF((INDEX(B1:XFD1,((A2)+(1))+(0)))=("store"),(INDEX(B1:XFD1,((A2)+(1))+(1)))=("S"),"false"),B2,S117),S117))</f>
        <v>#VALUE!</v>
      </c>
      <c r="T117" t="e">
        <f ca="1">IF((A1)=(2),"",IF((114)=(T3),IF(IF((INDEX(B1:XFD1,((A2)+(1))+(0)))=("store"),(INDEX(B1:XFD1,((A2)+(1))+(1)))=("T"),"false"),B2,T117),T117))</f>
        <v>#VALUE!</v>
      </c>
      <c r="U117" t="e">
        <f ca="1">IF((A1)=(2),"",IF((114)=(U3),IF(IF((INDEX(B1:XFD1,((A2)+(1))+(0)))=("store"),(INDEX(B1:XFD1,((A2)+(1))+(1)))=("U"),"false"),B2,U117),U117))</f>
        <v>#VALUE!</v>
      </c>
      <c r="V117" t="e">
        <f ca="1">IF((A1)=(2),"",IF((114)=(V3),IF(IF((INDEX(B1:XFD1,((A2)+(1))+(0)))=("store"),(INDEX(B1:XFD1,((A2)+(1))+(1)))=("V"),"false"),B2,V117),V117))</f>
        <v>#VALUE!</v>
      </c>
      <c r="W117" t="e">
        <f ca="1">IF((A1)=(2),"",IF((114)=(W3),IF(IF((INDEX(B1:XFD1,((A2)+(1))+(0)))=("store"),(INDEX(B1:XFD1,((A2)+(1))+(1)))=("W"),"false"),B2,W117),W117))</f>
        <v>#VALUE!</v>
      </c>
      <c r="X117" t="e">
        <f ca="1">IF((A1)=(2),"",IF((114)=(X3),IF(IF((INDEX(B1:XFD1,((A2)+(1))+(0)))=("store"),(INDEX(B1:XFD1,((A2)+(1))+(1)))=("X"),"false"),B2,X117),X117))</f>
        <v>#VALUE!</v>
      </c>
      <c r="Y117" t="e">
        <f ca="1">IF((A1)=(2),"",IF((114)=(Y3),IF(IF((INDEX(B1:XFD1,((A2)+(1))+(0)))=("store"),(INDEX(B1:XFD1,((A2)+(1))+(1)))=("Y"),"false"),B2,Y117),Y117))</f>
        <v>#VALUE!</v>
      </c>
      <c r="Z117" t="e">
        <f ca="1">IF((A1)=(2),"",IF((114)=(Z3),IF(IF((INDEX(B1:XFD1,((A2)+(1))+(0)))=("store"),(INDEX(B1:XFD1,((A2)+(1))+(1)))=("Z"),"false"),B2,Z117),Z117))</f>
        <v>#VALUE!</v>
      </c>
      <c r="AA117" t="e">
        <f ca="1">IF((A1)=(2),"",IF((114)=(AA3),IF(IF((INDEX(B1:XFD1,((A2)+(1))+(0)))=("store"),(INDEX(B1:XFD1,((A2)+(1))+(1)))=("AA"),"false"),B2,AA117),AA117))</f>
        <v>#VALUE!</v>
      </c>
      <c r="AB117" t="e">
        <f ca="1">IF((A1)=(2),"",IF((114)=(AB3),IF(IF((INDEX(B1:XFD1,((A2)+(1))+(0)))=("store"),(INDEX(B1:XFD1,((A2)+(1))+(1)))=("AB"),"false"),B2,AB117),AB117))</f>
        <v>#VALUE!</v>
      </c>
      <c r="AC117" t="e">
        <f ca="1">IF((A1)=(2),"",IF((114)=(AC3),IF(IF((INDEX(B1:XFD1,((A2)+(1))+(0)))=("store"),(INDEX(B1:XFD1,((A2)+(1))+(1)))=("AC"),"false"),B2,AC117),AC117))</f>
        <v>#VALUE!</v>
      </c>
      <c r="AD117" t="e">
        <f ca="1">IF((A1)=(2),"",IF((114)=(AD3),IF(IF((INDEX(B1:XFD1,((A2)+(1))+(0)))=("store"),(INDEX(B1:XFD1,((A2)+(1))+(1)))=("AD"),"false"),B2,AD117),AD117))</f>
        <v>#VALUE!</v>
      </c>
    </row>
    <row r="118" spans="1:30" x14ac:dyDescent="0.25">
      <c r="A118" t="e">
        <f ca="1">IF((A1)=(2),"",IF((115)=(A3),IF(("call")=(INDEX(B1:XFD1,((A2)+(1))+(0))),(B2)*(2),IF(("goto")=(INDEX(B1:XFD1,((A2)+(1))+(0))),(INDEX(B1:XFD1,((A2)+(1))+(1)))*(2),IF(("gotoiftrue")=(INDEX(B1:XFD1,((A2)+(1))+(0))),IF(B2,(INDEX(B1:XFD1,((A2)+(1))+(1)))*(2),(A118)+(2)),(A118)+(2)))),A118))</f>
        <v>#VALUE!</v>
      </c>
      <c r="B118" t="e">
        <f ca="1">IF((A1)=(2),"",IF((115)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118)+(1)),IF(("add")=(INDEX(B1:XFD1,((A2)+(1))+(0))),(INDEX(B4:B404,(B3)+(1)))+(B118),IF(("equals")=(INDEX(B1:XFD1,((A2)+(1))+(0))),(INDEX(B4:B404,(B3)+(1)))=(B118),IF(("leq")=(INDEX(B1:XFD1,((A2)+(1))+(0))),(INDEX(B4:B404,(B3)+(1)))&lt;=(B118),IF(("greater")=(INDEX(B1:XFD1,((A2)+(1))+(0))),(INDEX(B4:B404,(B3)+(1)))&gt;(B118),IF(("mod")=(INDEX(B1:XFD1,((A2)+(1))+(0))),MOD(INDEX(B4:B404,(B3)+(1)),B118),B118))))))))),B118))</f>
        <v>#VALUE!</v>
      </c>
      <c r="C118" t="e">
        <f ca="1">IF((A1)=(2),1,IF(AND((INDEX(B1:XFD1,((A2)+(1))+(0)))=("writeheap"),(INDEX(B4:B404,(B3)+(1)))=(114)),INDEX(B4:B404,(B3)+(2)),IF((A1)=(2),"",IF((115)=(C3),C118,C118))))</f>
        <v>#VALUE!</v>
      </c>
      <c r="E118" t="e">
        <f ca="1">IF((A1)=(2),"",IF((115)=(E3),IF(("outputline")=(INDEX(B1:XFD1,((A2)+(1))+(0))),B2,E118),E118))</f>
        <v>#VALUE!</v>
      </c>
      <c r="F118" t="e">
        <f ca="1">IF((A1)=(2),"",IF((115)=(F3),IF(IF((INDEX(B1:XFD1,((A2)+(1))+(0)))=("store"),(INDEX(B1:XFD1,((A2)+(1))+(1)))=("F"),"false"),B2,F118),F118))</f>
        <v>#VALUE!</v>
      </c>
      <c r="G118" t="e">
        <f ca="1">IF((A1)=(2),"",IF((115)=(G3),IF(IF((INDEX(B1:XFD1,((A2)+(1))+(0)))=("store"),(INDEX(B1:XFD1,((A2)+(1))+(1)))=("G"),"false"),B2,G118),G118))</f>
        <v>#VALUE!</v>
      </c>
      <c r="H118" t="e">
        <f ca="1">IF((A1)=(2),"",IF((115)=(H3),IF(IF((INDEX(B1:XFD1,((A2)+(1))+(0)))=("store"),(INDEX(B1:XFD1,((A2)+(1))+(1)))=("H"),"false"),B2,H118),H118))</f>
        <v>#VALUE!</v>
      </c>
      <c r="I118" t="e">
        <f ca="1">IF((A1)=(2),"",IF((115)=(I3),IF(IF((INDEX(B1:XFD1,((A2)+(1))+(0)))=("store"),(INDEX(B1:XFD1,((A2)+(1))+(1)))=("I"),"false"),B2,I118),I118))</f>
        <v>#VALUE!</v>
      </c>
      <c r="J118" t="e">
        <f ca="1">IF((A1)=(2),"",IF((115)=(J3),IF(IF((INDEX(B1:XFD1,((A2)+(1))+(0)))=("store"),(INDEX(B1:XFD1,((A2)+(1))+(1)))=("J"),"false"),B2,J118),J118))</f>
        <v>#VALUE!</v>
      </c>
      <c r="K118" t="e">
        <f ca="1">IF((A1)=(2),"",IF((115)=(K3),IF(IF((INDEX(B1:XFD1,((A2)+(1))+(0)))=("store"),(INDEX(B1:XFD1,((A2)+(1))+(1)))=("K"),"false"),B2,K118),K118))</f>
        <v>#VALUE!</v>
      </c>
      <c r="L118" t="e">
        <f ca="1">IF((A1)=(2),"",IF((115)=(L3),IF(IF((INDEX(B1:XFD1,((A2)+(1))+(0)))=("store"),(INDEX(B1:XFD1,((A2)+(1))+(1)))=("L"),"false"),B2,L118),L118))</f>
        <v>#VALUE!</v>
      </c>
      <c r="M118" t="e">
        <f ca="1">IF((A1)=(2),"",IF((115)=(M3),IF(IF((INDEX(B1:XFD1,((A2)+(1))+(0)))=("store"),(INDEX(B1:XFD1,((A2)+(1))+(1)))=("M"),"false"),B2,M118),M118))</f>
        <v>#VALUE!</v>
      </c>
      <c r="N118" t="e">
        <f ca="1">IF((A1)=(2),"",IF((115)=(N3),IF(IF((INDEX(B1:XFD1,((A2)+(1))+(0)))=("store"),(INDEX(B1:XFD1,((A2)+(1))+(1)))=("N"),"false"),B2,N118),N118))</f>
        <v>#VALUE!</v>
      </c>
      <c r="O118" t="e">
        <f ca="1">IF((A1)=(2),"",IF((115)=(O3),IF(IF((INDEX(B1:XFD1,((A2)+(1))+(0)))=("store"),(INDEX(B1:XFD1,((A2)+(1))+(1)))=("O"),"false"),B2,O118),O118))</f>
        <v>#VALUE!</v>
      </c>
      <c r="P118" t="e">
        <f ca="1">IF((A1)=(2),"",IF((115)=(P3),IF(IF((INDEX(B1:XFD1,((A2)+(1))+(0)))=("store"),(INDEX(B1:XFD1,((A2)+(1))+(1)))=("P"),"false"),B2,P118),P118))</f>
        <v>#VALUE!</v>
      </c>
      <c r="Q118" t="e">
        <f ca="1">IF((A1)=(2),"",IF((115)=(Q3),IF(IF((INDEX(B1:XFD1,((A2)+(1))+(0)))=("store"),(INDEX(B1:XFD1,((A2)+(1))+(1)))=("Q"),"false"),B2,Q118),Q118))</f>
        <v>#VALUE!</v>
      </c>
      <c r="R118" t="e">
        <f ca="1">IF((A1)=(2),"",IF((115)=(R3),IF(IF((INDEX(B1:XFD1,((A2)+(1))+(0)))=("store"),(INDEX(B1:XFD1,((A2)+(1))+(1)))=("R"),"false"),B2,R118),R118))</f>
        <v>#VALUE!</v>
      </c>
      <c r="S118" t="e">
        <f ca="1">IF((A1)=(2),"",IF((115)=(S3),IF(IF((INDEX(B1:XFD1,((A2)+(1))+(0)))=("store"),(INDEX(B1:XFD1,((A2)+(1))+(1)))=("S"),"false"),B2,S118),S118))</f>
        <v>#VALUE!</v>
      </c>
      <c r="T118" t="e">
        <f ca="1">IF((A1)=(2),"",IF((115)=(T3),IF(IF((INDEX(B1:XFD1,((A2)+(1))+(0)))=("store"),(INDEX(B1:XFD1,((A2)+(1))+(1)))=("T"),"false"),B2,T118),T118))</f>
        <v>#VALUE!</v>
      </c>
      <c r="U118" t="e">
        <f ca="1">IF((A1)=(2),"",IF((115)=(U3),IF(IF((INDEX(B1:XFD1,((A2)+(1))+(0)))=("store"),(INDEX(B1:XFD1,((A2)+(1))+(1)))=("U"),"false"),B2,U118),U118))</f>
        <v>#VALUE!</v>
      </c>
      <c r="V118" t="e">
        <f ca="1">IF((A1)=(2),"",IF((115)=(V3),IF(IF((INDEX(B1:XFD1,((A2)+(1))+(0)))=("store"),(INDEX(B1:XFD1,((A2)+(1))+(1)))=("V"),"false"),B2,V118),V118))</f>
        <v>#VALUE!</v>
      </c>
      <c r="W118" t="e">
        <f ca="1">IF((A1)=(2),"",IF((115)=(W3),IF(IF((INDEX(B1:XFD1,((A2)+(1))+(0)))=("store"),(INDEX(B1:XFD1,((A2)+(1))+(1)))=("W"),"false"),B2,W118),W118))</f>
        <v>#VALUE!</v>
      </c>
      <c r="X118" t="e">
        <f ca="1">IF((A1)=(2),"",IF((115)=(X3),IF(IF((INDEX(B1:XFD1,((A2)+(1))+(0)))=("store"),(INDEX(B1:XFD1,((A2)+(1))+(1)))=("X"),"false"),B2,X118),X118))</f>
        <v>#VALUE!</v>
      </c>
      <c r="Y118" t="e">
        <f ca="1">IF((A1)=(2),"",IF((115)=(Y3),IF(IF((INDEX(B1:XFD1,((A2)+(1))+(0)))=("store"),(INDEX(B1:XFD1,((A2)+(1))+(1)))=("Y"),"false"),B2,Y118),Y118))</f>
        <v>#VALUE!</v>
      </c>
      <c r="Z118" t="e">
        <f ca="1">IF((A1)=(2),"",IF((115)=(Z3),IF(IF((INDEX(B1:XFD1,((A2)+(1))+(0)))=("store"),(INDEX(B1:XFD1,((A2)+(1))+(1)))=("Z"),"false"),B2,Z118),Z118))</f>
        <v>#VALUE!</v>
      </c>
      <c r="AA118" t="e">
        <f ca="1">IF((A1)=(2),"",IF((115)=(AA3),IF(IF((INDEX(B1:XFD1,((A2)+(1))+(0)))=("store"),(INDEX(B1:XFD1,((A2)+(1))+(1)))=("AA"),"false"),B2,AA118),AA118))</f>
        <v>#VALUE!</v>
      </c>
      <c r="AB118" t="e">
        <f ca="1">IF((A1)=(2),"",IF((115)=(AB3),IF(IF((INDEX(B1:XFD1,((A2)+(1))+(0)))=("store"),(INDEX(B1:XFD1,((A2)+(1))+(1)))=("AB"),"false"),B2,AB118),AB118))</f>
        <v>#VALUE!</v>
      </c>
      <c r="AC118" t="e">
        <f ca="1">IF((A1)=(2),"",IF((115)=(AC3),IF(IF((INDEX(B1:XFD1,((A2)+(1))+(0)))=("store"),(INDEX(B1:XFD1,((A2)+(1))+(1)))=("AC"),"false"),B2,AC118),AC118))</f>
        <v>#VALUE!</v>
      </c>
      <c r="AD118" t="e">
        <f ca="1">IF((A1)=(2),"",IF((115)=(AD3),IF(IF((INDEX(B1:XFD1,((A2)+(1))+(0)))=("store"),(INDEX(B1:XFD1,((A2)+(1))+(1)))=("AD"),"false"),B2,AD118),AD118))</f>
        <v>#VALUE!</v>
      </c>
    </row>
    <row r="119" spans="1:30" x14ac:dyDescent="0.25">
      <c r="A119" t="e">
        <f ca="1">IF((A1)=(2),"",IF((116)=(A3),IF(("call")=(INDEX(B1:XFD1,((A2)+(1))+(0))),(B2)*(2),IF(("goto")=(INDEX(B1:XFD1,((A2)+(1))+(0))),(INDEX(B1:XFD1,((A2)+(1))+(1)))*(2),IF(("gotoiftrue")=(INDEX(B1:XFD1,((A2)+(1))+(0))),IF(B2,(INDEX(B1:XFD1,((A2)+(1))+(1)))*(2),(A119)+(2)),(A119)+(2)))),A119))</f>
        <v>#VALUE!</v>
      </c>
      <c r="B119" t="e">
        <f ca="1">IF((A1)=(2),"",IF((116)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119)+(1)),IF(("add")=(INDEX(B1:XFD1,((A2)+(1))+(0))),(INDEX(B4:B404,(B3)+(1)))+(B119),IF(("equals")=(INDEX(B1:XFD1,((A2)+(1))+(0))),(INDEX(B4:B404,(B3)+(1)))=(B119),IF(("leq")=(INDEX(B1:XFD1,((A2)+(1))+(0))),(INDEX(B4:B404,(B3)+(1)))&lt;=(B119),IF(("greater")=(INDEX(B1:XFD1,((A2)+(1))+(0))),(INDEX(B4:B404,(B3)+(1)))&gt;(B119),IF(("mod")=(INDEX(B1:XFD1,((A2)+(1))+(0))),MOD(INDEX(B4:B404,(B3)+(1)),B119),B119))))))))),B119))</f>
        <v>#VALUE!</v>
      </c>
      <c r="C119" t="e">
        <f ca="1">IF((A1)=(2),1,IF(AND((INDEX(B1:XFD1,((A2)+(1))+(0)))=("writeheap"),(INDEX(B4:B404,(B3)+(1)))=(115)),INDEX(B4:B404,(B3)+(2)),IF((A1)=(2),"",IF((116)=(C3),C119,C119))))</f>
        <v>#VALUE!</v>
      </c>
      <c r="E119" t="e">
        <f ca="1">IF((A1)=(2),"",IF((116)=(E3),IF(("outputline")=(INDEX(B1:XFD1,((A2)+(1))+(0))),B2,E119),E119))</f>
        <v>#VALUE!</v>
      </c>
      <c r="F119" t="e">
        <f ca="1">IF((A1)=(2),"",IF((116)=(F3),IF(IF((INDEX(B1:XFD1,((A2)+(1))+(0)))=("store"),(INDEX(B1:XFD1,((A2)+(1))+(1)))=("F"),"false"),B2,F119),F119))</f>
        <v>#VALUE!</v>
      </c>
      <c r="G119" t="e">
        <f ca="1">IF((A1)=(2),"",IF((116)=(G3),IF(IF((INDEX(B1:XFD1,((A2)+(1))+(0)))=("store"),(INDEX(B1:XFD1,((A2)+(1))+(1)))=("G"),"false"),B2,G119),G119))</f>
        <v>#VALUE!</v>
      </c>
      <c r="H119" t="e">
        <f ca="1">IF((A1)=(2),"",IF((116)=(H3),IF(IF((INDEX(B1:XFD1,((A2)+(1))+(0)))=("store"),(INDEX(B1:XFD1,((A2)+(1))+(1)))=("H"),"false"),B2,H119),H119))</f>
        <v>#VALUE!</v>
      </c>
      <c r="I119" t="e">
        <f ca="1">IF((A1)=(2),"",IF((116)=(I3),IF(IF((INDEX(B1:XFD1,((A2)+(1))+(0)))=("store"),(INDEX(B1:XFD1,((A2)+(1))+(1)))=("I"),"false"),B2,I119),I119))</f>
        <v>#VALUE!</v>
      </c>
      <c r="J119" t="e">
        <f ca="1">IF((A1)=(2),"",IF((116)=(J3),IF(IF((INDEX(B1:XFD1,((A2)+(1))+(0)))=("store"),(INDEX(B1:XFD1,((A2)+(1))+(1)))=("J"),"false"),B2,J119),J119))</f>
        <v>#VALUE!</v>
      </c>
      <c r="K119" t="e">
        <f ca="1">IF((A1)=(2),"",IF((116)=(K3),IF(IF((INDEX(B1:XFD1,((A2)+(1))+(0)))=("store"),(INDEX(B1:XFD1,((A2)+(1))+(1)))=("K"),"false"),B2,K119),K119))</f>
        <v>#VALUE!</v>
      </c>
      <c r="L119" t="e">
        <f ca="1">IF((A1)=(2),"",IF((116)=(L3),IF(IF((INDEX(B1:XFD1,((A2)+(1))+(0)))=("store"),(INDEX(B1:XFD1,((A2)+(1))+(1)))=("L"),"false"),B2,L119),L119))</f>
        <v>#VALUE!</v>
      </c>
      <c r="M119" t="e">
        <f ca="1">IF((A1)=(2),"",IF((116)=(M3),IF(IF((INDEX(B1:XFD1,((A2)+(1))+(0)))=("store"),(INDEX(B1:XFD1,((A2)+(1))+(1)))=("M"),"false"),B2,M119),M119))</f>
        <v>#VALUE!</v>
      </c>
      <c r="N119" t="e">
        <f ca="1">IF((A1)=(2),"",IF((116)=(N3),IF(IF((INDEX(B1:XFD1,((A2)+(1))+(0)))=("store"),(INDEX(B1:XFD1,((A2)+(1))+(1)))=("N"),"false"),B2,N119),N119))</f>
        <v>#VALUE!</v>
      </c>
      <c r="O119" t="e">
        <f ca="1">IF((A1)=(2),"",IF((116)=(O3),IF(IF((INDEX(B1:XFD1,((A2)+(1))+(0)))=("store"),(INDEX(B1:XFD1,((A2)+(1))+(1)))=("O"),"false"),B2,O119),O119))</f>
        <v>#VALUE!</v>
      </c>
      <c r="P119" t="e">
        <f ca="1">IF((A1)=(2),"",IF((116)=(P3),IF(IF((INDEX(B1:XFD1,((A2)+(1))+(0)))=("store"),(INDEX(B1:XFD1,((A2)+(1))+(1)))=("P"),"false"),B2,P119),P119))</f>
        <v>#VALUE!</v>
      </c>
      <c r="Q119" t="e">
        <f ca="1">IF((A1)=(2),"",IF((116)=(Q3),IF(IF((INDEX(B1:XFD1,((A2)+(1))+(0)))=("store"),(INDEX(B1:XFD1,((A2)+(1))+(1)))=("Q"),"false"),B2,Q119),Q119))</f>
        <v>#VALUE!</v>
      </c>
      <c r="R119" t="e">
        <f ca="1">IF((A1)=(2),"",IF((116)=(R3),IF(IF((INDEX(B1:XFD1,((A2)+(1))+(0)))=("store"),(INDEX(B1:XFD1,((A2)+(1))+(1)))=("R"),"false"),B2,R119),R119))</f>
        <v>#VALUE!</v>
      </c>
      <c r="S119" t="e">
        <f ca="1">IF((A1)=(2),"",IF((116)=(S3),IF(IF((INDEX(B1:XFD1,((A2)+(1))+(0)))=("store"),(INDEX(B1:XFD1,((A2)+(1))+(1)))=("S"),"false"),B2,S119),S119))</f>
        <v>#VALUE!</v>
      </c>
      <c r="T119" t="e">
        <f ca="1">IF((A1)=(2),"",IF((116)=(T3),IF(IF((INDEX(B1:XFD1,((A2)+(1))+(0)))=("store"),(INDEX(B1:XFD1,((A2)+(1))+(1)))=("T"),"false"),B2,T119),T119))</f>
        <v>#VALUE!</v>
      </c>
      <c r="U119" t="e">
        <f ca="1">IF((A1)=(2),"",IF((116)=(U3),IF(IF((INDEX(B1:XFD1,((A2)+(1))+(0)))=("store"),(INDEX(B1:XFD1,((A2)+(1))+(1)))=("U"),"false"),B2,U119),U119))</f>
        <v>#VALUE!</v>
      </c>
      <c r="V119" t="e">
        <f ca="1">IF((A1)=(2),"",IF((116)=(V3),IF(IF((INDEX(B1:XFD1,((A2)+(1))+(0)))=("store"),(INDEX(B1:XFD1,((A2)+(1))+(1)))=("V"),"false"),B2,V119),V119))</f>
        <v>#VALUE!</v>
      </c>
      <c r="W119" t="e">
        <f ca="1">IF((A1)=(2),"",IF((116)=(W3),IF(IF((INDEX(B1:XFD1,((A2)+(1))+(0)))=("store"),(INDEX(B1:XFD1,((A2)+(1))+(1)))=("W"),"false"),B2,W119),W119))</f>
        <v>#VALUE!</v>
      </c>
      <c r="X119" t="e">
        <f ca="1">IF((A1)=(2),"",IF((116)=(X3),IF(IF((INDEX(B1:XFD1,((A2)+(1))+(0)))=("store"),(INDEX(B1:XFD1,((A2)+(1))+(1)))=("X"),"false"),B2,X119),X119))</f>
        <v>#VALUE!</v>
      </c>
      <c r="Y119" t="e">
        <f ca="1">IF((A1)=(2),"",IF((116)=(Y3),IF(IF((INDEX(B1:XFD1,((A2)+(1))+(0)))=("store"),(INDEX(B1:XFD1,((A2)+(1))+(1)))=("Y"),"false"),B2,Y119),Y119))</f>
        <v>#VALUE!</v>
      </c>
      <c r="Z119" t="e">
        <f ca="1">IF((A1)=(2),"",IF((116)=(Z3),IF(IF((INDEX(B1:XFD1,((A2)+(1))+(0)))=("store"),(INDEX(B1:XFD1,((A2)+(1))+(1)))=("Z"),"false"),B2,Z119),Z119))</f>
        <v>#VALUE!</v>
      </c>
      <c r="AA119" t="e">
        <f ca="1">IF((A1)=(2),"",IF((116)=(AA3),IF(IF((INDEX(B1:XFD1,((A2)+(1))+(0)))=("store"),(INDEX(B1:XFD1,((A2)+(1))+(1)))=("AA"),"false"),B2,AA119),AA119))</f>
        <v>#VALUE!</v>
      </c>
      <c r="AB119" t="e">
        <f ca="1">IF((A1)=(2),"",IF((116)=(AB3),IF(IF((INDEX(B1:XFD1,((A2)+(1))+(0)))=("store"),(INDEX(B1:XFD1,((A2)+(1))+(1)))=("AB"),"false"),B2,AB119),AB119))</f>
        <v>#VALUE!</v>
      </c>
      <c r="AC119" t="e">
        <f ca="1">IF((A1)=(2),"",IF((116)=(AC3),IF(IF((INDEX(B1:XFD1,((A2)+(1))+(0)))=("store"),(INDEX(B1:XFD1,((A2)+(1))+(1)))=("AC"),"false"),B2,AC119),AC119))</f>
        <v>#VALUE!</v>
      </c>
      <c r="AD119" t="e">
        <f ca="1">IF((A1)=(2),"",IF((116)=(AD3),IF(IF((INDEX(B1:XFD1,((A2)+(1))+(0)))=("store"),(INDEX(B1:XFD1,((A2)+(1))+(1)))=("AD"),"false"),B2,AD119),AD119))</f>
        <v>#VALUE!</v>
      </c>
    </row>
    <row r="120" spans="1:30" x14ac:dyDescent="0.25">
      <c r="A120" t="e">
        <f ca="1">IF((A1)=(2),"",IF((117)=(A3),IF(("call")=(INDEX(B1:XFD1,((A2)+(1))+(0))),(B2)*(2),IF(("goto")=(INDEX(B1:XFD1,((A2)+(1))+(0))),(INDEX(B1:XFD1,((A2)+(1))+(1)))*(2),IF(("gotoiftrue")=(INDEX(B1:XFD1,((A2)+(1))+(0))),IF(B2,(INDEX(B1:XFD1,((A2)+(1))+(1)))*(2),(A120)+(2)),(A120)+(2)))),A120))</f>
        <v>#VALUE!</v>
      </c>
      <c r="B120" t="e">
        <f ca="1">IF((A1)=(2),"",IF((117)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120)+(1)),IF(("add")=(INDEX(B1:XFD1,((A2)+(1))+(0))),(INDEX(B4:B404,(B3)+(1)))+(B120),IF(("equals")=(INDEX(B1:XFD1,((A2)+(1))+(0))),(INDEX(B4:B404,(B3)+(1)))=(B120),IF(("leq")=(INDEX(B1:XFD1,((A2)+(1))+(0))),(INDEX(B4:B404,(B3)+(1)))&lt;=(B120),IF(("greater")=(INDEX(B1:XFD1,((A2)+(1))+(0))),(INDEX(B4:B404,(B3)+(1)))&gt;(B120),IF(("mod")=(INDEX(B1:XFD1,((A2)+(1))+(0))),MOD(INDEX(B4:B404,(B3)+(1)),B120),B120))))))))),B120))</f>
        <v>#VALUE!</v>
      </c>
      <c r="C120" t="e">
        <f ca="1">IF((A1)=(2),1,IF(AND((INDEX(B1:XFD1,((A2)+(1))+(0)))=("writeheap"),(INDEX(B4:B404,(B3)+(1)))=(116)),INDEX(B4:B404,(B3)+(2)),IF((A1)=(2),"",IF((117)=(C3),C120,C120))))</f>
        <v>#VALUE!</v>
      </c>
      <c r="E120" t="e">
        <f ca="1">IF((A1)=(2),"",IF((117)=(E3),IF(("outputline")=(INDEX(B1:XFD1,((A2)+(1))+(0))),B2,E120),E120))</f>
        <v>#VALUE!</v>
      </c>
      <c r="F120" t="e">
        <f ca="1">IF((A1)=(2),"",IF((117)=(F3),IF(IF((INDEX(B1:XFD1,((A2)+(1))+(0)))=("store"),(INDEX(B1:XFD1,((A2)+(1))+(1)))=("F"),"false"),B2,F120),F120))</f>
        <v>#VALUE!</v>
      </c>
      <c r="G120" t="e">
        <f ca="1">IF((A1)=(2),"",IF((117)=(G3),IF(IF((INDEX(B1:XFD1,((A2)+(1))+(0)))=("store"),(INDEX(B1:XFD1,((A2)+(1))+(1)))=("G"),"false"),B2,G120),G120))</f>
        <v>#VALUE!</v>
      </c>
      <c r="H120" t="e">
        <f ca="1">IF((A1)=(2),"",IF((117)=(H3),IF(IF((INDEX(B1:XFD1,((A2)+(1))+(0)))=("store"),(INDEX(B1:XFD1,((A2)+(1))+(1)))=("H"),"false"),B2,H120),H120))</f>
        <v>#VALUE!</v>
      </c>
      <c r="I120" t="e">
        <f ca="1">IF((A1)=(2),"",IF((117)=(I3),IF(IF((INDEX(B1:XFD1,((A2)+(1))+(0)))=("store"),(INDEX(B1:XFD1,((A2)+(1))+(1)))=("I"),"false"),B2,I120),I120))</f>
        <v>#VALUE!</v>
      </c>
      <c r="J120" t="e">
        <f ca="1">IF((A1)=(2),"",IF((117)=(J3),IF(IF((INDEX(B1:XFD1,((A2)+(1))+(0)))=("store"),(INDEX(B1:XFD1,((A2)+(1))+(1)))=("J"),"false"),B2,J120),J120))</f>
        <v>#VALUE!</v>
      </c>
      <c r="K120" t="e">
        <f ca="1">IF((A1)=(2),"",IF((117)=(K3),IF(IF((INDEX(B1:XFD1,((A2)+(1))+(0)))=("store"),(INDEX(B1:XFD1,((A2)+(1))+(1)))=("K"),"false"),B2,K120),K120))</f>
        <v>#VALUE!</v>
      </c>
      <c r="L120" t="e">
        <f ca="1">IF((A1)=(2),"",IF((117)=(L3),IF(IF((INDEX(B1:XFD1,((A2)+(1))+(0)))=("store"),(INDEX(B1:XFD1,((A2)+(1))+(1)))=("L"),"false"),B2,L120),L120))</f>
        <v>#VALUE!</v>
      </c>
      <c r="M120" t="e">
        <f ca="1">IF((A1)=(2),"",IF((117)=(M3),IF(IF((INDEX(B1:XFD1,((A2)+(1))+(0)))=("store"),(INDEX(B1:XFD1,((A2)+(1))+(1)))=("M"),"false"),B2,M120),M120))</f>
        <v>#VALUE!</v>
      </c>
      <c r="N120" t="e">
        <f ca="1">IF((A1)=(2),"",IF((117)=(N3),IF(IF((INDEX(B1:XFD1,((A2)+(1))+(0)))=("store"),(INDEX(B1:XFD1,((A2)+(1))+(1)))=("N"),"false"),B2,N120),N120))</f>
        <v>#VALUE!</v>
      </c>
      <c r="O120" t="e">
        <f ca="1">IF((A1)=(2),"",IF((117)=(O3),IF(IF((INDEX(B1:XFD1,((A2)+(1))+(0)))=("store"),(INDEX(B1:XFD1,((A2)+(1))+(1)))=("O"),"false"),B2,O120),O120))</f>
        <v>#VALUE!</v>
      </c>
      <c r="P120" t="e">
        <f ca="1">IF((A1)=(2),"",IF((117)=(P3),IF(IF((INDEX(B1:XFD1,((A2)+(1))+(0)))=("store"),(INDEX(B1:XFD1,((A2)+(1))+(1)))=("P"),"false"),B2,P120),P120))</f>
        <v>#VALUE!</v>
      </c>
      <c r="Q120" t="e">
        <f ca="1">IF((A1)=(2),"",IF((117)=(Q3),IF(IF((INDEX(B1:XFD1,((A2)+(1))+(0)))=("store"),(INDEX(B1:XFD1,((A2)+(1))+(1)))=("Q"),"false"),B2,Q120),Q120))</f>
        <v>#VALUE!</v>
      </c>
      <c r="R120" t="e">
        <f ca="1">IF((A1)=(2),"",IF((117)=(R3),IF(IF((INDEX(B1:XFD1,((A2)+(1))+(0)))=("store"),(INDEX(B1:XFD1,((A2)+(1))+(1)))=("R"),"false"),B2,R120),R120))</f>
        <v>#VALUE!</v>
      </c>
      <c r="S120" t="e">
        <f ca="1">IF((A1)=(2),"",IF((117)=(S3),IF(IF((INDEX(B1:XFD1,((A2)+(1))+(0)))=("store"),(INDEX(B1:XFD1,((A2)+(1))+(1)))=("S"),"false"),B2,S120),S120))</f>
        <v>#VALUE!</v>
      </c>
      <c r="T120" t="e">
        <f ca="1">IF((A1)=(2),"",IF((117)=(T3),IF(IF((INDEX(B1:XFD1,((A2)+(1))+(0)))=("store"),(INDEX(B1:XFD1,((A2)+(1))+(1)))=("T"),"false"),B2,T120),T120))</f>
        <v>#VALUE!</v>
      </c>
      <c r="U120" t="e">
        <f ca="1">IF((A1)=(2),"",IF((117)=(U3),IF(IF((INDEX(B1:XFD1,((A2)+(1))+(0)))=("store"),(INDEX(B1:XFD1,((A2)+(1))+(1)))=("U"),"false"),B2,U120),U120))</f>
        <v>#VALUE!</v>
      </c>
      <c r="V120" t="e">
        <f ca="1">IF((A1)=(2),"",IF((117)=(V3),IF(IF((INDEX(B1:XFD1,((A2)+(1))+(0)))=("store"),(INDEX(B1:XFD1,((A2)+(1))+(1)))=("V"),"false"),B2,V120),V120))</f>
        <v>#VALUE!</v>
      </c>
      <c r="W120" t="e">
        <f ca="1">IF((A1)=(2),"",IF((117)=(W3),IF(IF((INDEX(B1:XFD1,((A2)+(1))+(0)))=("store"),(INDEX(B1:XFD1,((A2)+(1))+(1)))=("W"),"false"),B2,W120),W120))</f>
        <v>#VALUE!</v>
      </c>
      <c r="X120" t="e">
        <f ca="1">IF((A1)=(2),"",IF((117)=(X3),IF(IF((INDEX(B1:XFD1,((A2)+(1))+(0)))=("store"),(INDEX(B1:XFD1,((A2)+(1))+(1)))=("X"),"false"),B2,X120),X120))</f>
        <v>#VALUE!</v>
      </c>
      <c r="Y120" t="e">
        <f ca="1">IF((A1)=(2),"",IF((117)=(Y3),IF(IF((INDEX(B1:XFD1,((A2)+(1))+(0)))=("store"),(INDEX(B1:XFD1,((A2)+(1))+(1)))=("Y"),"false"),B2,Y120),Y120))</f>
        <v>#VALUE!</v>
      </c>
      <c r="Z120" t="e">
        <f ca="1">IF((A1)=(2),"",IF((117)=(Z3),IF(IF((INDEX(B1:XFD1,((A2)+(1))+(0)))=("store"),(INDEX(B1:XFD1,((A2)+(1))+(1)))=("Z"),"false"),B2,Z120),Z120))</f>
        <v>#VALUE!</v>
      </c>
      <c r="AA120" t="e">
        <f ca="1">IF((A1)=(2),"",IF((117)=(AA3),IF(IF((INDEX(B1:XFD1,((A2)+(1))+(0)))=("store"),(INDEX(B1:XFD1,((A2)+(1))+(1)))=("AA"),"false"),B2,AA120),AA120))</f>
        <v>#VALUE!</v>
      </c>
      <c r="AB120" t="e">
        <f ca="1">IF((A1)=(2),"",IF((117)=(AB3),IF(IF((INDEX(B1:XFD1,((A2)+(1))+(0)))=("store"),(INDEX(B1:XFD1,((A2)+(1))+(1)))=("AB"),"false"),B2,AB120),AB120))</f>
        <v>#VALUE!</v>
      </c>
      <c r="AC120" t="e">
        <f ca="1">IF((A1)=(2),"",IF((117)=(AC3),IF(IF((INDEX(B1:XFD1,((A2)+(1))+(0)))=("store"),(INDEX(B1:XFD1,((A2)+(1))+(1)))=("AC"),"false"),B2,AC120),AC120))</f>
        <v>#VALUE!</v>
      </c>
      <c r="AD120" t="e">
        <f ca="1">IF((A1)=(2),"",IF((117)=(AD3),IF(IF((INDEX(B1:XFD1,((A2)+(1))+(0)))=("store"),(INDEX(B1:XFD1,((A2)+(1))+(1)))=("AD"),"false"),B2,AD120),AD120))</f>
        <v>#VALUE!</v>
      </c>
    </row>
    <row r="121" spans="1:30" x14ac:dyDescent="0.25">
      <c r="A121" t="e">
        <f ca="1">IF((A1)=(2),"",IF((118)=(A3),IF(("call")=(INDEX(B1:XFD1,((A2)+(1))+(0))),(B2)*(2),IF(("goto")=(INDEX(B1:XFD1,((A2)+(1))+(0))),(INDEX(B1:XFD1,((A2)+(1))+(1)))*(2),IF(("gotoiftrue")=(INDEX(B1:XFD1,((A2)+(1))+(0))),IF(B2,(INDEX(B1:XFD1,((A2)+(1))+(1)))*(2),(A121)+(2)),(A121)+(2)))),A121))</f>
        <v>#VALUE!</v>
      </c>
      <c r="B121" t="e">
        <f ca="1">IF((A1)=(2),"",IF((118)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121)+(1)),IF(("add")=(INDEX(B1:XFD1,((A2)+(1))+(0))),(INDEX(B4:B404,(B3)+(1)))+(B121),IF(("equals")=(INDEX(B1:XFD1,((A2)+(1))+(0))),(INDEX(B4:B404,(B3)+(1)))=(B121),IF(("leq")=(INDEX(B1:XFD1,((A2)+(1))+(0))),(INDEX(B4:B404,(B3)+(1)))&lt;=(B121),IF(("greater")=(INDEX(B1:XFD1,((A2)+(1))+(0))),(INDEX(B4:B404,(B3)+(1)))&gt;(B121),IF(("mod")=(INDEX(B1:XFD1,((A2)+(1))+(0))),MOD(INDEX(B4:B404,(B3)+(1)),B121),B121))))))))),B121))</f>
        <v>#VALUE!</v>
      </c>
      <c r="C121" t="e">
        <f ca="1">IF((A1)=(2),1,IF(AND((INDEX(B1:XFD1,((A2)+(1))+(0)))=("writeheap"),(INDEX(B4:B404,(B3)+(1)))=(117)),INDEX(B4:B404,(B3)+(2)),IF((A1)=(2),"",IF((118)=(C3),C121,C121))))</f>
        <v>#VALUE!</v>
      </c>
      <c r="E121" t="e">
        <f ca="1">IF((A1)=(2),"",IF((118)=(E3),IF(("outputline")=(INDEX(B1:XFD1,((A2)+(1))+(0))),B2,E121),E121))</f>
        <v>#VALUE!</v>
      </c>
      <c r="F121" t="e">
        <f ca="1">IF((A1)=(2),"",IF((118)=(F3),IF(IF((INDEX(B1:XFD1,((A2)+(1))+(0)))=("store"),(INDEX(B1:XFD1,((A2)+(1))+(1)))=("F"),"false"),B2,F121),F121))</f>
        <v>#VALUE!</v>
      </c>
      <c r="G121" t="e">
        <f ca="1">IF((A1)=(2),"",IF((118)=(G3),IF(IF((INDEX(B1:XFD1,((A2)+(1))+(0)))=("store"),(INDEX(B1:XFD1,((A2)+(1))+(1)))=("G"),"false"),B2,G121),G121))</f>
        <v>#VALUE!</v>
      </c>
      <c r="H121" t="e">
        <f ca="1">IF((A1)=(2),"",IF((118)=(H3),IF(IF((INDEX(B1:XFD1,((A2)+(1))+(0)))=("store"),(INDEX(B1:XFD1,((A2)+(1))+(1)))=("H"),"false"),B2,H121),H121))</f>
        <v>#VALUE!</v>
      </c>
      <c r="I121" t="e">
        <f ca="1">IF((A1)=(2),"",IF((118)=(I3),IF(IF((INDEX(B1:XFD1,((A2)+(1))+(0)))=("store"),(INDEX(B1:XFD1,((A2)+(1))+(1)))=("I"),"false"),B2,I121),I121))</f>
        <v>#VALUE!</v>
      </c>
      <c r="J121" t="e">
        <f ca="1">IF((A1)=(2),"",IF((118)=(J3),IF(IF((INDEX(B1:XFD1,((A2)+(1))+(0)))=("store"),(INDEX(B1:XFD1,((A2)+(1))+(1)))=("J"),"false"),B2,J121),J121))</f>
        <v>#VALUE!</v>
      </c>
      <c r="K121" t="e">
        <f ca="1">IF((A1)=(2),"",IF((118)=(K3),IF(IF((INDEX(B1:XFD1,((A2)+(1))+(0)))=("store"),(INDEX(B1:XFD1,((A2)+(1))+(1)))=("K"),"false"),B2,K121),K121))</f>
        <v>#VALUE!</v>
      </c>
      <c r="L121" t="e">
        <f ca="1">IF((A1)=(2),"",IF((118)=(L3),IF(IF((INDEX(B1:XFD1,((A2)+(1))+(0)))=("store"),(INDEX(B1:XFD1,((A2)+(1))+(1)))=("L"),"false"),B2,L121),L121))</f>
        <v>#VALUE!</v>
      </c>
      <c r="M121" t="e">
        <f ca="1">IF((A1)=(2),"",IF((118)=(M3),IF(IF((INDEX(B1:XFD1,((A2)+(1))+(0)))=("store"),(INDEX(B1:XFD1,((A2)+(1))+(1)))=("M"),"false"),B2,M121),M121))</f>
        <v>#VALUE!</v>
      </c>
      <c r="N121" t="e">
        <f ca="1">IF((A1)=(2),"",IF((118)=(N3),IF(IF((INDEX(B1:XFD1,((A2)+(1))+(0)))=("store"),(INDEX(B1:XFD1,((A2)+(1))+(1)))=("N"),"false"),B2,N121),N121))</f>
        <v>#VALUE!</v>
      </c>
      <c r="O121" t="e">
        <f ca="1">IF((A1)=(2),"",IF((118)=(O3),IF(IF((INDEX(B1:XFD1,((A2)+(1))+(0)))=("store"),(INDEX(B1:XFD1,((A2)+(1))+(1)))=("O"),"false"),B2,O121),O121))</f>
        <v>#VALUE!</v>
      </c>
      <c r="P121" t="e">
        <f ca="1">IF((A1)=(2),"",IF((118)=(P3),IF(IF((INDEX(B1:XFD1,((A2)+(1))+(0)))=("store"),(INDEX(B1:XFD1,((A2)+(1))+(1)))=("P"),"false"),B2,P121),P121))</f>
        <v>#VALUE!</v>
      </c>
      <c r="Q121" t="e">
        <f ca="1">IF((A1)=(2),"",IF((118)=(Q3),IF(IF((INDEX(B1:XFD1,((A2)+(1))+(0)))=("store"),(INDEX(B1:XFD1,((A2)+(1))+(1)))=("Q"),"false"),B2,Q121),Q121))</f>
        <v>#VALUE!</v>
      </c>
      <c r="R121" t="e">
        <f ca="1">IF((A1)=(2),"",IF((118)=(R3),IF(IF((INDEX(B1:XFD1,((A2)+(1))+(0)))=("store"),(INDEX(B1:XFD1,((A2)+(1))+(1)))=("R"),"false"),B2,R121),R121))</f>
        <v>#VALUE!</v>
      </c>
      <c r="S121" t="e">
        <f ca="1">IF((A1)=(2),"",IF((118)=(S3),IF(IF((INDEX(B1:XFD1,((A2)+(1))+(0)))=("store"),(INDEX(B1:XFD1,((A2)+(1))+(1)))=("S"),"false"),B2,S121),S121))</f>
        <v>#VALUE!</v>
      </c>
      <c r="T121" t="e">
        <f ca="1">IF((A1)=(2),"",IF((118)=(T3),IF(IF((INDEX(B1:XFD1,((A2)+(1))+(0)))=("store"),(INDEX(B1:XFD1,((A2)+(1))+(1)))=("T"),"false"),B2,T121),T121))</f>
        <v>#VALUE!</v>
      </c>
      <c r="U121" t="e">
        <f ca="1">IF((A1)=(2),"",IF((118)=(U3),IF(IF((INDEX(B1:XFD1,((A2)+(1))+(0)))=("store"),(INDEX(B1:XFD1,((A2)+(1))+(1)))=("U"),"false"),B2,U121),U121))</f>
        <v>#VALUE!</v>
      </c>
      <c r="V121" t="e">
        <f ca="1">IF((A1)=(2),"",IF((118)=(V3),IF(IF((INDEX(B1:XFD1,((A2)+(1))+(0)))=("store"),(INDEX(B1:XFD1,((A2)+(1))+(1)))=("V"),"false"),B2,V121),V121))</f>
        <v>#VALUE!</v>
      </c>
      <c r="W121" t="e">
        <f ca="1">IF((A1)=(2),"",IF((118)=(W3),IF(IF((INDEX(B1:XFD1,((A2)+(1))+(0)))=("store"),(INDEX(B1:XFD1,((A2)+(1))+(1)))=("W"),"false"),B2,W121),W121))</f>
        <v>#VALUE!</v>
      </c>
      <c r="X121" t="e">
        <f ca="1">IF((A1)=(2),"",IF((118)=(X3),IF(IF((INDEX(B1:XFD1,((A2)+(1))+(0)))=("store"),(INDEX(B1:XFD1,((A2)+(1))+(1)))=("X"),"false"),B2,X121),X121))</f>
        <v>#VALUE!</v>
      </c>
      <c r="Y121" t="e">
        <f ca="1">IF((A1)=(2),"",IF((118)=(Y3),IF(IF((INDEX(B1:XFD1,((A2)+(1))+(0)))=("store"),(INDEX(B1:XFD1,((A2)+(1))+(1)))=("Y"),"false"),B2,Y121),Y121))</f>
        <v>#VALUE!</v>
      </c>
      <c r="Z121" t="e">
        <f ca="1">IF((A1)=(2),"",IF((118)=(Z3),IF(IF((INDEX(B1:XFD1,((A2)+(1))+(0)))=("store"),(INDEX(B1:XFD1,((A2)+(1))+(1)))=("Z"),"false"),B2,Z121),Z121))</f>
        <v>#VALUE!</v>
      </c>
      <c r="AA121" t="e">
        <f ca="1">IF((A1)=(2),"",IF((118)=(AA3),IF(IF((INDEX(B1:XFD1,((A2)+(1))+(0)))=("store"),(INDEX(B1:XFD1,((A2)+(1))+(1)))=("AA"),"false"),B2,AA121),AA121))</f>
        <v>#VALUE!</v>
      </c>
      <c r="AB121" t="e">
        <f ca="1">IF((A1)=(2),"",IF((118)=(AB3),IF(IF((INDEX(B1:XFD1,((A2)+(1))+(0)))=("store"),(INDEX(B1:XFD1,((A2)+(1))+(1)))=("AB"),"false"),B2,AB121),AB121))</f>
        <v>#VALUE!</v>
      </c>
      <c r="AC121" t="e">
        <f ca="1">IF((A1)=(2),"",IF((118)=(AC3),IF(IF((INDEX(B1:XFD1,((A2)+(1))+(0)))=("store"),(INDEX(B1:XFD1,((A2)+(1))+(1)))=("AC"),"false"),B2,AC121),AC121))</f>
        <v>#VALUE!</v>
      </c>
      <c r="AD121" t="e">
        <f ca="1">IF((A1)=(2),"",IF((118)=(AD3),IF(IF((INDEX(B1:XFD1,((A2)+(1))+(0)))=("store"),(INDEX(B1:XFD1,((A2)+(1))+(1)))=("AD"),"false"),B2,AD121),AD121))</f>
        <v>#VALUE!</v>
      </c>
    </row>
    <row r="122" spans="1:30" x14ac:dyDescent="0.25">
      <c r="A122" t="e">
        <f ca="1">IF((A1)=(2),"",IF((119)=(A3),IF(("call")=(INDEX(B1:XFD1,((A2)+(1))+(0))),(B2)*(2),IF(("goto")=(INDEX(B1:XFD1,((A2)+(1))+(0))),(INDEX(B1:XFD1,((A2)+(1))+(1)))*(2),IF(("gotoiftrue")=(INDEX(B1:XFD1,((A2)+(1))+(0))),IF(B2,(INDEX(B1:XFD1,((A2)+(1))+(1)))*(2),(A122)+(2)),(A122)+(2)))),A122))</f>
        <v>#VALUE!</v>
      </c>
      <c r="B122" t="e">
        <f ca="1">IF((A1)=(2),"",IF((119)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122)+(1)),IF(("add")=(INDEX(B1:XFD1,((A2)+(1))+(0))),(INDEX(B4:B404,(B3)+(1)))+(B122),IF(("equals")=(INDEX(B1:XFD1,((A2)+(1))+(0))),(INDEX(B4:B404,(B3)+(1)))=(B122),IF(("leq")=(INDEX(B1:XFD1,((A2)+(1))+(0))),(INDEX(B4:B404,(B3)+(1)))&lt;=(B122),IF(("greater")=(INDEX(B1:XFD1,((A2)+(1))+(0))),(INDEX(B4:B404,(B3)+(1)))&gt;(B122),IF(("mod")=(INDEX(B1:XFD1,((A2)+(1))+(0))),MOD(INDEX(B4:B404,(B3)+(1)),B122),B122))))))))),B122))</f>
        <v>#VALUE!</v>
      </c>
      <c r="C122" t="e">
        <f ca="1">IF((A1)=(2),1,IF(AND((INDEX(B1:XFD1,((A2)+(1))+(0)))=("writeheap"),(INDEX(B4:B404,(B3)+(1)))=(118)),INDEX(B4:B404,(B3)+(2)),IF((A1)=(2),"",IF((119)=(C3),C122,C122))))</f>
        <v>#VALUE!</v>
      </c>
      <c r="E122" t="e">
        <f ca="1">IF((A1)=(2),"",IF((119)=(E3),IF(("outputline")=(INDEX(B1:XFD1,((A2)+(1))+(0))),B2,E122),E122))</f>
        <v>#VALUE!</v>
      </c>
      <c r="F122" t="e">
        <f ca="1">IF((A1)=(2),"",IF((119)=(F3),IF(IF((INDEX(B1:XFD1,((A2)+(1))+(0)))=("store"),(INDEX(B1:XFD1,((A2)+(1))+(1)))=("F"),"false"),B2,F122),F122))</f>
        <v>#VALUE!</v>
      </c>
      <c r="G122" t="e">
        <f ca="1">IF((A1)=(2),"",IF((119)=(G3),IF(IF((INDEX(B1:XFD1,((A2)+(1))+(0)))=("store"),(INDEX(B1:XFD1,((A2)+(1))+(1)))=("G"),"false"),B2,G122),G122))</f>
        <v>#VALUE!</v>
      </c>
      <c r="H122" t="e">
        <f ca="1">IF((A1)=(2),"",IF((119)=(H3),IF(IF((INDEX(B1:XFD1,((A2)+(1))+(0)))=("store"),(INDEX(B1:XFD1,((A2)+(1))+(1)))=("H"),"false"),B2,H122),H122))</f>
        <v>#VALUE!</v>
      </c>
      <c r="I122" t="e">
        <f ca="1">IF((A1)=(2),"",IF((119)=(I3),IF(IF((INDEX(B1:XFD1,((A2)+(1))+(0)))=("store"),(INDEX(B1:XFD1,((A2)+(1))+(1)))=("I"),"false"),B2,I122),I122))</f>
        <v>#VALUE!</v>
      </c>
      <c r="J122" t="e">
        <f ca="1">IF((A1)=(2),"",IF((119)=(J3),IF(IF((INDEX(B1:XFD1,((A2)+(1))+(0)))=("store"),(INDEX(B1:XFD1,((A2)+(1))+(1)))=("J"),"false"),B2,J122),J122))</f>
        <v>#VALUE!</v>
      </c>
      <c r="K122" t="e">
        <f ca="1">IF((A1)=(2),"",IF((119)=(K3),IF(IF((INDEX(B1:XFD1,((A2)+(1))+(0)))=("store"),(INDEX(B1:XFD1,((A2)+(1))+(1)))=("K"),"false"),B2,K122),K122))</f>
        <v>#VALUE!</v>
      </c>
      <c r="L122" t="e">
        <f ca="1">IF((A1)=(2),"",IF((119)=(L3),IF(IF((INDEX(B1:XFD1,((A2)+(1))+(0)))=("store"),(INDEX(B1:XFD1,((A2)+(1))+(1)))=("L"),"false"),B2,L122),L122))</f>
        <v>#VALUE!</v>
      </c>
      <c r="M122" t="e">
        <f ca="1">IF((A1)=(2),"",IF((119)=(M3),IF(IF((INDEX(B1:XFD1,((A2)+(1))+(0)))=("store"),(INDEX(B1:XFD1,((A2)+(1))+(1)))=("M"),"false"),B2,M122),M122))</f>
        <v>#VALUE!</v>
      </c>
      <c r="N122" t="e">
        <f ca="1">IF((A1)=(2),"",IF((119)=(N3),IF(IF((INDEX(B1:XFD1,((A2)+(1))+(0)))=("store"),(INDEX(B1:XFD1,((A2)+(1))+(1)))=("N"),"false"),B2,N122),N122))</f>
        <v>#VALUE!</v>
      </c>
      <c r="O122" t="e">
        <f ca="1">IF((A1)=(2),"",IF((119)=(O3),IF(IF((INDEX(B1:XFD1,((A2)+(1))+(0)))=("store"),(INDEX(B1:XFD1,((A2)+(1))+(1)))=("O"),"false"),B2,O122),O122))</f>
        <v>#VALUE!</v>
      </c>
      <c r="P122" t="e">
        <f ca="1">IF((A1)=(2),"",IF((119)=(P3),IF(IF((INDEX(B1:XFD1,((A2)+(1))+(0)))=("store"),(INDEX(B1:XFD1,((A2)+(1))+(1)))=("P"),"false"),B2,P122),P122))</f>
        <v>#VALUE!</v>
      </c>
      <c r="Q122" t="e">
        <f ca="1">IF((A1)=(2),"",IF((119)=(Q3),IF(IF((INDEX(B1:XFD1,((A2)+(1))+(0)))=("store"),(INDEX(B1:XFD1,((A2)+(1))+(1)))=("Q"),"false"),B2,Q122),Q122))</f>
        <v>#VALUE!</v>
      </c>
      <c r="R122" t="e">
        <f ca="1">IF((A1)=(2),"",IF((119)=(R3),IF(IF((INDEX(B1:XFD1,((A2)+(1))+(0)))=("store"),(INDEX(B1:XFD1,((A2)+(1))+(1)))=("R"),"false"),B2,R122),R122))</f>
        <v>#VALUE!</v>
      </c>
      <c r="S122" t="e">
        <f ca="1">IF((A1)=(2),"",IF((119)=(S3),IF(IF((INDEX(B1:XFD1,((A2)+(1))+(0)))=("store"),(INDEX(B1:XFD1,((A2)+(1))+(1)))=("S"),"false"),B2,S122),S122))</f>
        <v>#VALUE!</v>
      </c>
      <c r="T122" t="e">
        <f ca="1">IF((A1)=(2),"",IF((119)=(T3),IF(IF((INDEX(B1:XFD1,((A2)+(1))+(0)))=("store"),(INDEX(B1:XFD1,((A2)+(1))+(1)))=("T"),"false"),B2,T122),T122))</f>
        <v>#VALUE!</v>
      </c>
      <c r="U122" t="e">
        <f ca="1">IF((A1)=(2),"",IF((119)=(U3),IF(IF((INDEX(B1:XFD1,((A2)+(1))+(0)))=("store"),(INDEX(B1:XFD1,((A2)+(1))+(1)))=("U"),"false"),B2,U122),U122))</f>
        <v>#VALUE!</v>
      </c>
      <c r="V122" t="e">
        <f ca="1">IF((A1)=(2),"",IF((119)=(V3),IF(IF((INDEX(B1:XFD1,((A2)+(1))+(0)))=("store"),(INDEX(B1:XFD1,((A2)+(1))+(1)))=("V"),"false"),B2,V122),V122))</f>
        <v>#VALUE!</v>
      </c>
      <c r="W122" t="e">
        <f ca="1">IF((A1)=(2),"",IF((119)=(W3),IF(IF((INDEX(B1:XFD1,((A2)+(1))+(0)))=("store"),(INDEX(B1:XFD1,((A2)+(1))+(1)))=("W"),"false"),B2,W122),W122))</f>
        <v>#VALUE!</v>
      </c>
      <c r="X122" t="e">
        <f ca="1">IF((A1)=(2),"",IF((119)=(X3),IF(IF((INDEX(B1:XFD1,((A2)+(1))+(0)))=("store"),(INDEX(B1:XFD1,((A2)+(1))+(1)))=("X"),"false"),B2,X122),X122))</f>
        <v>#VALUE!</v>
      </c>
      <c r="Y122" t="e">
        <f ca="1">IF((A1)=(2),"",IF((119)=(Y3),IF(IF((INDEX(B1:XFD1,((A2)+(1))+(0)))=("store"),(INDEX(B1:XFD1,((A2)+(1))+(1)))=("Y"),"false"),B2,Y122),Y122))</f>
        <v>#VALUE!</v>
      </c>
      <c r="Z122" t="e">
        <f ca="1">IF((A1)=(2),"",IF((119)=(Z3),IF(IF((INDEX(B1:XFD1,((A2)+(1))+(0)))=("store"),(INDEX(B1:XFD1,((A2)+(1))+(1)))=("Z"),"false"),B2,Z122),Z122))</f>
        <v>#VALUE!</v>
      </c>
      <c r="AA122" t="e">
        <f ca="1">IF((A1)=(2),"",IF((119)=(AA3),IF(IF((INDEX(B1:XFD1,((A2)+(1))+(0)))=("store"),(INDEX(B1:XFD1,((A2)+(1))+(1)))=("AA"),"false"),B2,AA122),AA122))</f>
        <v>#VALUE!</v>
      </c>
      <c r="AB122" t="e">
        <f ca="1">IF((A1)=(2),"",IF((119)=(AB3),IF(IF((INDEX(B1:XFD1,((A2)+(1))+(0)))=("store"),(INDEX(B1:XFD1,((A2)+(1))+(1)))=("AB"),"false"),B2,AB122),AB122))</f>
        <v>#VALUE!</v>
      </c>
      <c r="AC122" t="e">
        <f ca="1">IF((A1)=(2),"",IF((119)=(AC3),IF(IF((INDEX(B1:XFD1,((A2)+(1))+(0)))=("store"),(INDEX(B1:XFD1,((A2)+(1))+(1)))=("AC"),"false"),B2,AC122),AC122))</f>
        <v>#VALUE!</v>
      </c>
      <c r="AD122" t="e">
        <f ca="1">IF((A1)=(2),"",IF((119)=(AD3),IF(IF((INDEX(B1:XFD1,((A2)+(1))+(0)))=("store"),(INDEX(B1:XFD1,((A2)+(1))+(1)))=("AD"),"false"),B2,AD122),AD122))</f>
        <v>#VALUE!</v>
      </c>
    </row>
    <row r="123" spans="1:30" x14ac:dyDescent="0.25">
      <c r="A123" t="e">
        <f ca="1">IF((A1)=(2),"",IF((120)=(A3),IF(("call")=(INDEX(B1:XFD1,((A2)+(1))+(0))),(B2)*(2),IF(("goto")=(INDEX(B1:XFD1,((A2)+(1))+(0))),(INDEX(B1:XFD1,((A2)+(1))+(1)))*(2),IF(("gotoiftrue")=(INDEX(B1:XFD1,((A2)+(1))+(0))),IF(B2,(INDEX(B1:XFD1,((A2)+(1))+(1)))*(2),(A123)+(2)),(A123)+(2)))),A123))</f>
        <v>#VALUE!</v>
      </c>
      <c r="B123" t="e">
        <f ca="1">IF((A1)=(2),"",IF((120)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123)+(1)),IF(("add")=(INDEX(B1:XFD1,((A2)+(1))+(0))),(INDEX(B4:B404,(B3)+(1)))+(B123),IF(("equals")=(INDEX(B1:XFD1,((A2)+(1))+(0))),(INDEX(B4:B404,(B3)+(1)))=(B123),IF(("leq")=(INDEX(B1:XFD1,((A2)+(1))+(0))),(INDEX(B4:B404,(B3)+(1)))&lt;=(B123),IF(("greater")=(INDEX(B1:XFD1,((A2)+(1))+(0))),(INDEX(B4:B404,(B3)+(1)))&gt;(B123),IF(("mod")=(INDEX(B1:XFD1,((A2)+(1))+(0))),MOD(INDEX(B4:B404,(B3)+(1)),B123),B123))))))))),B123))</f>
        <v>#VALUE!</v>
      </c>
      <c r="C123" t="e">
        <f ca="1">IF((A1)=(2),1,IF(AND((INDEX(B1:XFD1,((A2)+(1))+(0)))=("writeheap"),(INDEX(B4:B404,(B3)+(1)))=(119)),INDEX(B4:B404,(B3)+(2)),IF((A1)=(2),"",IF((120)=(C3),C123,C123))))</f>
        <v>#VALUE!</v>
      </c>
      <c r="E123" t="e">
        <f ca="1">IF((A1)=(2),"",IF((120)=(E3),IF(("outputline")=(INDEX(B1:XFD1,((A2)+(1))+(0))),B2,E123),E123))</f>
        <v>#VALUE!</v>
      </c>
      <c r="F123" t="e">
        <f ca="1">IF((A1)=(2),"",IF((120)=(F3),IF(IF((INDEX(B1:XFD1,((A2)+(1))+(0)))=("store"),(INDEX(B1:XFD1,((A2)+(1))+(1)))=("F"),"false"),B2,F123),F123))</f>
        <v>#VALUE!</v>
      </c>
      <c r="G123" t="e">
        <f ca="1">IF((A1)=(2),"",IF((120)=(G3),IF(IF((INDEX(B1:XFD1,((A2)+(1))+(0)))=("store"),(INDEX(B1:XFD1,((A2)+(1))+(1)))=("G"),"false"),B2,G123),G123))</f>
        <v>#VALUE!</v>
      </c>
      <c r="H123" t="e">
        <f ca="1">IF((A1)=(2),"",IF((120)=(H3),IF(IF((INDEX(B1:XFD1,((A2)+(1))+(0)))=("store"),(INDEX(B1:XFD1,((A2)+(1))+(1)))=("H"),"false"),B2,H123),H123))</f>
        <v>#VALUE!</v>
      </c>
      <c r="I123" t="e">
        <f ca="1">IF((A1)=(2),"",IF((120)=(I3),IF(IF((INDEX(B1:XFD1,((A2)+(1))+(0)))=("store"),(INDEX(B1:XFD1,((A2)+(1))+(1)))=("I"),"false"),B2,I123),I123))</f>
        <v>#VALUE!</v>
      </c>
      <c r="J123" t="e">
        <f ca="1">IF((A1)=(2),"",IF((120)=(J3),IF(IF((INDEX(B1:XFD1,((A2)+(1))+(0)))=("store"),(INDEX(B1:XFD1,((A2)+(1))+(1)))=("J"),"false"),B2,J123),J123))</f>
        <v>#VALUE!</v>
      </c>
      <c r="K123" t="e">
        <f ca="1">IF((A1)=(2),"",IF((120)=(K3),IF(IF((INDEX(B1:XFD1,((A2)+(1))+(0)))=("store"),(INDEX(B1:XFD1,((A2)+(1))+(1)))=("K"),"false"),B2,K123),K123))</f>
        <v>#VALUE!</v>
      </c>
      <c r="L123" t="e">
        <f ca="1">IF((A1)=(2),"",IF((120)=(L3),IF(IF((INDEX(B1:XFD1,((A2)+(1))+(0)))=("store"),(INDEX(B1:XFD1,((A2)+(1))+(1)))=("L"),"false"),B2,L123),L123))</f>
        <v>#VALUE!</v>
      </c>
      <c r="M123" t="e">
        <f ca="1">IF((A1)=(2),"",IF((120)=(M3),IF(IF((INDEX(B1:XFD1,((A2)+(1))+(0)))=("store"),(INDEX(B1:XFD1,((A2)+(1))+(1)))=("M"),"false"),B2,M123),M123))</f>
        <v>#VALUE!</v>
      </c>
      <c r="N123" t="e">
        <f ca="1">IF((A1)=(2),"",IF((120)=(N3),IF(IF((INDEX(B1:XFD1,((A2)+(1))+(0)))=("store"),(INDEX(B1:XFD1,((A2)+(1))+(1)))=("N"),"false"),B2,N123),N123))</f>
        <v>#VALUE!</v>
      </c>
      <c r="O123" t="e">
        <f ca="1">IF((A1)=(2),"",IF((120)=(O3),IF(IF((INDEX(B1:XFD1,((A2)+(1))+(0)))=("store"),(INDEX(B1:XFD1,((A2)+(1))+(1)))=("O"),"false"),B2,O123),O123))</f>
        <v>#VALUE!</v>
      </c>
      <c r="P123" t="e">
        <f ca="1">IF((A1)=(2),"",IF((120)=(P3),IF(IF((INDEX(B1:XFD1,((A2)+(1))+(0)))=("store"),(INDEX(B1:XFD1,((A2)+(1))+(1)))=("P"),"false"),B2,P123),P123))</f>
        <v>#VALUE!</v>
      </c>
      <c r="Q123" t="e">
        <f ca="1">IF((A1)=(2),"",IF((120)=(Q3),IF(IF((INDEX(B1:XFD1,((A2)+(1))+(0)))=("store"),(INDEX(B1:XFD1,((A2)+(1))+(1)))=("Q"),"false"),B2,Q123),Q123))</f>
        <v>#VALUE!</v>
      </c>
      <c r="R123" t="e">
        <f ca="1">IF((A1)=(2),"",IF((120)=(R3),IF(IF((INDEX(B1:XFD1,((A2)+(1))+(0)))=("store"),(INDEX(B1:XFD1,((A2)+(1))+(1)))=("R"),"false"),B2,R123),R123))</f>
        <v>#VALUE!</v>
      </c>
      <c r="S123" t="e">
        <f ca="1">IF((A1)=(2),"",IF((120)=(S3),IF(IF((INDEX(B1:XFD1,((A2)+(1))+(0)))=("store"),(INDEX(B1:XFD1,((A2)+(1))+(1)))=("S"),"false"),B2,S123),S123))</f>
        <v>#VALUE!</v>
      </c>
      <c r="T123" t="e">
        <f ca="1">IF((A1)=(2),"",IF((120)=(T3),IF(IF((INDEX(B1:XFD1,((A2)+(1))+(0)))=("store"),(INDEX(B1:XFD1,((A2)+(1))+(1)))=("T"),"false"),B2,T123),T123))</f>
        <v>#VALUE!</v>
      </c>
      <c r="U123" t="e">
        <f ca="1">IF((A1)=(2),"",IF((120)=(U3),IF(IF((INDEX(B1:XFD1,((A2)+(1))+(0)))=("store"),(INDEX(B1:XFD1,((A2)+(1))+(1)))=("U"),"false"),B2,U123),U123))</f>
        <v>#VALUE!</v>
      </c>
      <c r="V123" t="e">
        <f ca="1">IF((A1)=(2),"",IF((120)=(V3),IF(IF((INDEX(B1:XFD1,((A2)+(1))+(0)))=("store"),(INDEX(B1:XFD1,((A2)+(1))+(1)))=("V"),"false"),B2,V123),V123))</f>
        <v>#VALUE!</v>
      </c>
      <c r="W123" t="e">
        <f ca="1">IF((A1)=(2),"",IF((120)=(W3),IF(IF((INDEX(B1:XFD1,((A2)+(1))+(0)))=("store"),(INDEX(B1:XFD1,((A2)+(1))+(1)))=("W"),"false"),B2,W123),W123))</f>
        <v>#VALUE!</v>
      </c>
      <c r="X123" t="e">
        <f ca="1">IF((A1)=(2),"",IF((120)=(X3),IF(IF((INDEX(B1:XFD1,((A2)+(1))+(0)))=("store"),(INDEX(B1:XFD1,((A2)+(1))+(1)))=("X"),"false"),B2,X123),X123))</f>
        <v>#VALUE!</v>
      </c>
      <c r="Y123" t="e">
        <f ca="1">IF((A1)=(2),"",IF((120)=(Y3),IF(IF((INDEX(B1:XFD1,((A2)+(1))+(0)))=("store"),(INDEX(B1:XFD1,((A2)+(1))+(1)))=("Y"),"false"),B2,Y123),Y123))</f>
        <v>#VALUE!</v>
      </c>
      <c r="Z123" t="e">
        <f ca="1">IF((A1)=(2),"",IF((120)=(Z3),IF(IF((INDEX(B1:XFD1,((A2)+(1))+(0)))=("store"),(INDEX(B1:XFD1,((A2)+(1))+(1)))=("Z"),"false"),B2,Z123),Z123))</f>
        <v>#VALUE!</v>
      </c>
      <c r="AA123" t="e">
        <f ca="1">IF((A1)=(2),"",IF((120)=(AA3),IF(IF((INDEX(B1:XFD1,((A2)+(1))+(0)))=("store"),(INDEX(B1:XFD1,((A2)+(1))+(1)))=("AA"),"false"),B2,AA123),AA123))</f>
        <v>#VALUE!</v>
      </c>
      <c r="AB123" t="e">
        <f ca="1">IF((A1)=(2),"",IF((120)=(AB3),IF(IF((INDEX(B1:XFD1,((A2)+(1))+(0)))=("store"),(INDEX(B1:XFD1,((A2)+(1))+(1)))=("AB"),"false"),B2,AB123),AB123))</f>
        <v>#VALUE!</v>
      </c>
      <c r="AC123" t="e">
        <f ca="1">IF((A1)=(2),"",IF((120)=(AC3),IF(IF((INDEX(B1:XFD1,((A2)+(1))+(0)))=("store"),(INDEX(B1:XFD1,((A2)+(1))+(1)))=("AC"),"false"),B2,AC123),AC123))</f>
        <v>#VALUE!</v>
      </c>
      <c r="AD123" t="e">
        <f ca="1">IF((A1)=(2),"",IF((120)=(AD3),IF(IF((INDEX(B1:XFD1,((A2)+(1))+(0)))=("store"),(INDEX(B1:XFD1,((A2)+(1))+(1)))=("AD"),"false"),B2,AD123),AD123))</f>
        <v>#VALUE!</v>
      </c>
    </row>
    <row r="124" spans="1:30" x14ac:dyDescent="0.25">
      <c r="A124" t="e">
        <f ca="1">IF((A1)=(2),"",IF((121)=(A3),IF(("call")=(INDEX(B1:XFD1,((A2)+(1))+(0))),(B2)*(2),IF(("goto")=(INDEX(B1:XFD1,((A2)+(1))+(0))),(INDEX(B1:XFD1,((A2)+(1))+(1)))*(2),IF(("gotoiftrue")=(INDEX(B1:XFD1,((A2)+(1))+(0))),IF(B2,(INDEX(B1:XFD1,((A2)+(1))+(1)))*(2),(A124)+(2)),(A124)+(2)))),A124))</f>
        <v>#VALUE!</v>
      </c>
      <c r="B124" t="e">
        <f ca="1">IF((A1)=(2),"",IF((121)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124)+(1)),IF(("add")=(INDEX(B1:XFD1,((A2)+(1))+(0))),(INDEX(B4:B404,(B3)+(1)))+(B124),IF(("equals")=(INDEX(B1:XFD1,((A2)+(1))+(0))),(INDEX(B4:B404,(B3)+(1)))=(B124),IF(("leq")=(INDEX(B1:XFD1,((A2)+(1))+(0))),(INDEX(B4:B404,(B3)+(1)))&lt;=(B124),IF(("greater")=(INDEX(B1:XFD1,((A2)+(1))+(0))),(INDEX(B4:B404,(B3)+(1)))&gt;(B124),IF(("mod")=(INDEX(B1:XFD1,((A2)+(1))+(0))),MOD(INDEX(B4:B404,(B3)+(1)),B124),B124))))))))),B124))</f>
        <v>#VALUE!</v>
      </c>
      <c r="C124" t="e">
        <f ca="1">IF((A1)=(2),1,IF(AND((INDEX(B1:XFD1,((A2)+(1))+(0)))=("writeheap"),(INDEX(B4:B404,(B3)+(1)))=(120)),INDEX(B4:B404,(B3)+(2)),IF((A1)=(2),"",IF((121)=(C3),C124,C124))))</f>
        <v>#VALUE!</v>
      </c>
      <c r="E124" t="e">
        <f ca="1">IF((A1)=(2),"",IF((121)=(E3),IF(("outputline")=(INDEX(B1:XFD1,((A2)+(1))+(0))),B2,E124),E124))</f>
        <v>#VALUE!</v>
      </c>
      <c r="F124" t="e">
        <f ca="1">IF((A1)=(2),"",IF((121)=(F3),IF(IF((INDEX(B1:XFD1,((A2)+(1))+(0)))=("store"),(INDEX(B1:XFD1,((A2)+(1))+(1)))=("F"),"false"),B2,F124),F124))</f>
        <v>#VALUE!</v>
      </c>
      <c r="G124" t="e">
        <f ca="1">IF((A1)=(2),"",IF((121)=(G3),IF(IF((INDEX(B1:XFD1,((A2)+(1))+(0)))=("store"),(INDEX(B1:XFD1,((A2)+(1))+(1)))=("G"),"false"),B2,G124),G124))</f>
        <v>#VALUE!</v>
      </c>
      <c r="H124" t="e">
        <f ca="1">IF((A1)=(2),"",IF((121)=(H3),IF(IF((INDEX(B1:XFD1,((A2)+(1))+(0)))=("store"),(INDEX(B1:XFD1,((A2)+(1))+(1)))=("H"),"false"),B2,H124),H124))</f>
        <v>#VALUE!</v>
      </c>
      <c r="I124" t="e">
        <f ca="1">IF((A1)=(2),"",IF((121)=(I3),IF(IF((INDEX(B1:XFD1,((A2)+(1))+(0)))=("store"),(INDEX(B1:XFD1,((A2)+(1))+(1)))=("I"),"false"),B2,I124),I124))</f>
        <v>#VALUE!</v>
      </c>
      <c r="J124" t="e">
        <f ca="1">IF((A1)=(2),"",IF((121)=(J3),IF(IF((INDEX(B1:XFD1,((A2)+(1))+(0)))=("store"),(INDEX(B1:XFD1,((A2)+(1))+(1)))=("J"),"false"),B2,J124),J124))</f>
        <v>#VALUE!</v>
      </c>
      <c r="K124" t="e">
        <f ca="1">IF((A1)=(2),"",IF((121)=(K3),IF(IF((INDEX(B1:XFD1,((A2)+(1))+(0)))=("store"),(INDEX(B1:XFD1,((A2)+(1))+(1)))=("K"),"false"),B2,K124),K124))</f>
        <v>#VALUE!</v>
      </c>
      <c r="L124" t="e">
        <f ca="1">IF((A1)=(2),"",IF((121)=(L3),IF(IF((INDEX(B1:XFD1,((A2)+(1))+(0)))=("store"),(INDEX(B1:XFD1,((A2)+(1))+(1)))=("L"),"false"),B2,L124),L124))</f>
        <v>#VALUE!</v>
      </c>
      <c r="M124" t="e">
        <f ca="1">IF((A1)=(2),"",IF((121)=(M3),IF(IF((INDEX(B1:XFD1,((A2)+(1))+(0)))=("store"),(INDEX(B1:XFD1,((A2)+(1))+(1)))=("M"),"false"),B2,M124),M124))</f>
        <v>#VALUE!</v>
      </c>
      <c r="N124" t="e">
        <f ca="1">IF((A1)=(2),"",IF((121)=(N3),IF(IF((INDEX(B1:XFD1,((A2)+(1))+(0)))=("store"),(INDEX(B1:XFD1,((A2)+(1))+(1)))=("N"),"false"),B2,N124),N124))</f>
        <v>#VALUE!</v>
      </c>
      <c r="O124" t="e">
        <f ca="1">IF((A1)=(2),"",IF((121)=(O3),IF(IF((INDEX(B1:XFD1,((A2)+(1))+(0)))=("store"),(INDEX(B1:XFD1,((A2)+(1))+(1)))=("O"),"false"),B2,O124),O124))</f>
        <v>#VALUE!</v>
      </c>
      <c r="P124" t="e">
        <f ca="1">IF((A1)=(2),"",IF((121)=(P3),IF(IF((INDEX(B1:XFD1,((A2)+(1))+(0)))=("store"),(INDEX(B1:XFD1,((A2)+(1))+(1)))=("P"),"false"),B2,P124),P124))</f>
        <v>#VALUE!</v>
      </c>
      <c r="Q124" t="e">
        <f ca="1">IF((A1)=(2),"",IF((121)=(Q3),IF(IF((INDEX(B1:XFD1,((A2)+(1))+(0)))=("store"),(INDEX(B1:XFD1,((A2)+(1))+(1)))=("Q"),"false"),B2,Q124),Q124))</f>
        <v>#VALUE!</v>
      </c>
      <c r="R124" t="e">
        <f ca="1">IF((A1)=(2),"",IF((121)=(R3),IF(IF((INDEX(B1:XFD1,((A2)+(1))+(0)))=("store"),(INDEX(B1:XFD1,((A2)+(1))+(1)))=("R"),"false"),B2,R124),R124))</f>
        <v>#VALUE!</v>
      </c>
      <c r="S124" t="e">
        <f ca="1">IF((A1)=(2),"",IF((121)=(S3),IF(IF((INDEX(B1:XFD1,((A2)+(1))+(0)))=("store"),(INDEX(B1:XFD1,((A2)+(1))+(1)))=("S"),"false"),B2,S124),S124))</f>
        <v>#VALUE!</v>
      </c>
      <c r="T124" t="e">
        <f ca="1">IF((A1)=(2),"",IF((121)=(T3),IF(IF((INDEX(B1:XFD1,((A2)+(1))+(0)))=("store"),(INDEX(B1:XFD1,((A2)+(1))+(1)))=("T"),"false"),B2,T124),T124))</f>
        <v>#VALUE!</v>
      </c>
      <c r="U124" t="e">
        <f ca="1">IF((A1)=(2),"",IF((121)=(U3),IF(IF((INDEX(B1:XFD1,((A2)+(1))+(0)))=("store"),(INDEX(B1:XFD1,((A2)+(1))+(1)))=("U"),"false"),B2,U124),U124))</f>
        <v>#VALUE!</v>
      </c>
      <c r="V124" t="e">
        <f ca="1">IF((A1)=(2),"",IF((121)=(V3),IF(IF((INDEX(B1:XFD1,((A2)+(1))+(0)))=("store"),(INDEX(B1:XFD1,((A2)+(1))+(1)))=("V"),"false"),B2,V124),V124))</f>
        <v>#VALUE!</v>
      </c>
      <c r="W124" t="e">
        <f ca="1">IF((A1)=(2),"",IF((121)=(W3),IF(IF((INDEX(B1:XFD1,((A2)+(1))+(0)))=("store"),(INDEX(B1:XFD1,((A2)+(1))+(1)))=("W"),"false"),B2,W124),W124))</f>
        <v>#VALUE!</v>
      </c>
      <c r="X124" t="e">
        <f ca="1">IF((A1)=(2),"",IF((121)=(X3),IF(IF((INDEX(B1:XFD1,((A2)+(1))+(0)))=("store"),(INDEX(B1:XFD1,((A2)+(1))+(1)))=("X"),"false"),B2,X124),X124))</f>
        <v>#VALUE!</v>
      </c>
      <c r="Y124" t="e">
        <f ca="1">IF((A1)=(2),"",IF((121)=(Y3),IF(IF((INDEX(B1:XFD1,((A2)+(1))+(0)))=("store"),(INDEX(B1:XFD1,((A2)+(1))+(1)))=("Y"),"false"),B2,Y124),Y124))</f>
        <v>#VALUE!</v>
      </c>
      <c r="Z124" t="e">
        <f ca="1">IF((A1)=(2),"",IF((121)=(Z3),IF(IF((INDEX(B1:XFD1,((A2)+(1))+(0)))=("store"),(INDEX(B1:XFD1,((A2)+(1))+(1)))=("Z"),"false"),B2,Z124),Z124))</f>
        <v>#VALUE!</v>
      </c>
      <c r="AA124" t="e">
        <f ca="1">IF((A1)=(2),"",IF((121)=(AA3),IF(IF((INDEX(B1:XFD1,((A2)+(1))+(0)))=("store"),(INDEX(B1:XFD1,((A2)+(1))+(1)))=("AA"),"false"),B2,AA124),AA124))</f>
        <v>#VALUE!</v>
      </c>
      <c r="AB124" t="e">
        <f ca="1">IF((A1)=(2),"",IF((121)=(AB3),IF(IF((INDEX(B1:XFD1,((A2)+(1))+(0)))=("store"),(INDEX(B1:XFD1,((A2)+(1))+(1)))=("AB"),"false"),B2,AB124),AB124))</f>
        <v>#VALUE!</v>
      </c>
      <c r="AC124" t="e">
        <f ca="1">IF((A1)=(2),"",IF((121)=(AC3),IF(IF((INDEX(B1:XFD1,((A2)+(1))+(0)))=("store"),(INDEX(B1:XFD1,((A2)+(1))+(1)))=("AC"),"false"),B2,AC124),AC124))</f>
        <v>#VALUE!</v>
      </c>
      <c r="AD124" t="e">
        <f ca="1">IF((A1)=(2),"",IF((121)=(AD3),IF(IF((INDEX(B1:XFD1,((A2)+(1))+(0)))=("store"),(INDEX(B1:XFD1,((A2)+(1))+(1)))=("AD"),"false"),B2,AD124),AD124))</f>
        <v>#VALUE!</v>
      </c>
    </row>
    <row r="125" spans="1:30" x14ac:dyDescent="0.25">
      <c r="A125" t="e">
        <f ca="1">IF((A1)=(2),"",IF((122)=(A3),IF(("call")=(INDEX(B1:XFD1,((A2)+(1))+(0))),(B2)*(2),IF(("goto")=(INDEX(B1:XFD1,((A2)+(1))+(0))),(INDEX(B1:XFD1,((A2)+(1))+(1)))*(2),IF(("gotoiftrue")=(INDEX(B1:XFD1,((A2)+(1))+(0))),IF(B2,(INDEX(B1:XFD1,((A2)+(1))+(1)))*(2),(A125)+(2)),(A125)+(2)))),A125))</f>
        <v>#VALUE!</v>
      </c>
      <c r="B125" t="e">
        <f ca="1">IF((A1)=(2),"",IF((122)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125)+(1)),IF(("add")=(INDEX(B1:XFD1,((A2)+(1))+(0))),(INDEX(B4:B404,(B3)+(1)))+(B125),IF(("equals")=(INDEX(B1:XFD1,((A2)+(1))+(0))),(INDEX(B4:B404,(B3)+(1)))=(B125),IF(("leq")=(INDEX(B1:XFD1,((A2)+(1))+(0))),(INDEX(B4:B404,(B3)+(1)))&lt;=(B125),IF(("greater")=(INDEX(B1:XFD1,((A2)+(1))+(0))),(INDEX(B4:B404,(B3)+(1)))&gt;(B125),IF(("mod")=(INDEX(B1:XFD1,((A2)+(1))+(0))),MOD(INDEX(B4:B404,(B3)+(1)),B125),B125))))))))),B125))</f>
        <v>#VALUE!</v>
      </c>
      <c r="C125" t="e">
        <f ca="1">IF((A1)=(2),1,IF(AND((INDEX(B1:XFD1,((A2)+(1))+(0)))=("writeheap"),(INDEX(B4:B404,(B3)+(1)))=(121)),INDEX(B4:B404,(B3)+(2)),IF((A1)=(2),"",IF((122)=(C3),C125,C125))))</f>
        <v>#VALUE!</v>
      </c>
      <c r="E125" t="e">
        <f ca="1">IF((A1)=(2),"",IF((122)=(E3),IF(("outputline")=(INDEX(B1:XFD1,((A2)+(1))+(0))),B2,E125),E125))</f>
        <v>#VALUE!</v>
      </c>
      <c r="F125" t="e">
        <f ca="1">IF((A1)=(2),"",IF((122)=(F3),IF(IF((INDEX(B1:XFD1,((A2)+(1))+(0)))=("store"),(INDEX(B1:XFD1,((A2)+(1))+(1)))=("F"),"false"),B2,F125),F125))</f>
        <v>#VALUE!</v>
      </c>
      <c r="G125" t="e">
        <f ca="1">IF((A1)=(2),"",IF((122)=(G3),IF(IF((INDEX(B1:XFD1,((A2)+(1))+(0)))=("store"),(INDEX(B1:XFD1,((A2)+(1))+(1)))=("G"),"false"),B2,G125),G125))</f>
        <v>#VALUE!</v>
      </c>
      <c r="H125" t="e">
        <f ca="1">IF((A1)=(2),"",IF((122)=(H3),IF(IF((INDEX(B1:XFD1,((A2)+(1))+(0)))=("store"),(INDEX(B1:XFD1,((A2)+(1))+(1)))=("H"),"false"),B2,H125),H125))</f>
        <v>#VALUE!</v>
      </c>
      <c r="I125" t="e">
        <f ca="1">IF((A1)=(2),"",IF((122)=(I3),IF(IF((INDEX(B1:XFD1,((A2)+(1))+(0)))=("store"),(INDEX(B1:XFD1,((A2)+(1))+(1)))=("I"),"false"),B2,I125),I125))</f>
        <v>#VALUE!</v>
      </c>
      <c r="J125" t="e">
        <f ca="1">IF((A1)=(2),"",IF((122)=(J3),IF(IF((INDEX(B1:XFD1,((A2)+(1))+(0)))=("store"),(INDEX(B1:XFD1,((A2)+(1))+(1)))=("J"),"false"),B2,J125),J125))</f>
        <v>#VALUE!</v>
      </c>
      <c r="K125" t="e">
        <f ca="1">IF((A1)=(2),"",IF((122)=(K3),IF(IF((INDEX(B1:XFD1,((A2)+(1))+(0)))=("store"),(INDEX(B1:XFD1,((A2)+(1))+(1)))=("K"),"false"),B2,K125),K125))</f>
        <v>#VALUE!</v>
      </c>
      <c r="L125" t="e">
        <f ca="1">IF((A1)=(2),"",IF((122)=(L3),IF(IF((INDEX(B1:XFD1,((A2)+(1))+(0)))=("store"),(INDEX(B1:XFD1,((A2)+(1))+(1)))=("L"),"false"),B2,L125),L125))</f>
        <v>#VALUE!</v>
      </c>
      <c r="M125" t="e">
        <f ca="1">IF((A1)=(2),"",IF((122)=(M3),IF(IF((INDEX(B1:XFD1,((A2)+(1))+(0)))=("store"),(INDEX(B1:XFD1,((A2)+(1))+(1)))=("M"),"false"),B2,M125),M125))</f>
        <v>#VALUE!</v>
      </c>
      <c r="N125" t="e">
        <f ca="1">IF((A1)=(2),"",IF((122)=(N3),IF(IF((INDEX(B1:XFD1,((A2)+(1))+(0)))=("store"),(INDEX(B1:XFD1,((A2)+(1))+(1)))=("N"),"false"),B2,N125),N125))</f>
        <v>#VALUE!</v>
      </c>
      <c r="O125" t="e">
        <f ca="1">IF((A1)=(2),"",IF((122)=(O3),IF(IF((INDEX(B1:XFD1,((A2)+(1))+(0)))=("store"),(INDEX(B1:XFD1,((A2)+(1))+(1)))=("O"),"false"),B2,O125),O125))</f>
        <v>#VALUE!</v>
      </c>
      <c r="P125" t="e">
        <f ca="1">IF((A1)=(2),"",IF((122)=(P3),IF(IF((INDEX(B1:XFD1,((A2)+(1))+(0)))=("store"),(INDEX(B1:XFD1,((A2)+(1))+(1)))=("P"),"false"),B2,P125),P125))</f>
        <v>#VALUE!</v>
      </c>
      <c r="Q125" t="e">
        <f ca="1">IF((A1)=(2),"",IF((122)=(Q3),IF(IF((INDEX(B1:XFD1,((A2)+(1))+(0)))=("store"),(INDEX(B1:XFD1,((A2)+(1))+(1)))=("Q"),"false"),B2,Q125),Q125))</f>
        <v>#VALUE!</v>
      </c>
      <c r="R125" t="e">
        <f ca="1">IF((A1)=(2),"",IF((122)=(R3),IF(IF((INDEX(B1:XFD1,((A2)+(1))+(0)))=("store"),(INDEX(B1:XFD1,((A2)+(1))+(1)))=("R"),"false"),B2,R125),R125))</f>
        <v>#VALUE!</v>
      </c>
      <c r="S125" t="e">
        <f ca="1">IF((A1)=(2),"",IF((122)=(S3),IF(IF((INDEX(B1:XFD1,((A2)+(1))+(0)))=("store"),(INDEX(B1:XFD1,((A2)+(1))+(1)))=("S"),"false"),B2,S125),S125))</f>
        <v>#VALUE!</v>
      </c>
      <c r="T125" t="e">
        <f ca="1">IF((A1)=(2),"",IF((122)=(T3),IF(IF((INDEX(B1:XFD1,((A2)+(1))+(0)))=("store"),(INDEX(B1:XFD1,((A2)+(1))+(1)))=("T"),"false"),B2,T125),T125))</f>
        <v>#VALUE!</v>
      </c>
      <c r="U125" t="e">
        <f ca="1">IF((A1)=(2),"",IF((122)=(U3),IF(IF((INDEX(B1:XFD1,((A2)+(1))+(0)))=("store"),(INDEX(B1:XFD1,((A2)+(1))+(1)))=("U"),"false"),B2,U125),U125))</f>
        <v>#VALUE!</v>
      </c>
      <c r="V125" t="e">
        <f ca="1">IF((A1)=(2),"",IF((122)=(V3),IF(IF((INDEX(B1:XFD1,((A2)+(1))+(0)))=("store"),(INDEX(B1:XFD1,((A2)+(1))+(1)))=("V"),"false"),B2,V125),V125))</f>
        <v>#VALUE!</v>
      </c>
      <c r="W125" t="e">
        <f ca="1">IF((A1)=(2),"",IF((122)=(W3),IF(IF((INDEX(B1:XFD1,((A2)+(1))+(0)))=("store"),(INDEX(B1:XFD1,((A2)+(1))+(1)))=("W"),"false"),B2,W125),W125))</f>
        <v>#VALUE!</v>
      </c>
      <c r="X125" t="e">
        <f ca="1">IF((A1)=(2),"",IF((122)=(X3),IF(IF((INDEX(B1:XFD1,((A2)+(1))+(0)))=("store"),(INDEX(B1:XFD1,((A2)+(1))+(1)))=("X"),"false"),B2,X125),X125))</f>
        <v>#VALUE!</v>
      </c>
      <c r="Y125" t="e">
        <f ca="1">IF((A1)=(2),"",IF((122)=(Y3),IF(IF((INDEX(B1:XFD1,((A2)+(1))+(0)))=("store"),(INDEX(B1:XFD1,((A2)+(1))+(1)))=("Y"),"false"),B2,Y125),Y125))</f>
        <v>#VALUE!</v>
      </c>
      <c r="Z125" t="e">
        <f ca="1">IF((A1)=(2),"",IF((122)=(Z3),IF(IF((INDEX(B1:XFD1,((A2)+(1))+(0)))=("store"),(INDEX(B1:XFD1,((A2)+(1))+(1)))=("Z"),"false"),B2,Z125),Z125))</f>
        <v>#VALUE!</v>
      </c>
      <c r="AA125" t="e">
        <f ca="1">IF((A1)=(2),"",IF((122)=(AA3),IF(IF((INDEX(B1:XFD1,((A2)+(1))+(0)))=("store"),(INDEX(B1:XFD1,((A2)+(1))+(1)))=("AA"),"false"),B2,AA125),AA125))</f>
        <v>#VALUE!</v>
      </c>
      <c r="AB125" t="e">
        <f ca="1">IF((A1)=(2),"",IF((122)=(AB3),IF(IF((INDEX(B1:XFD1,((A2)+(1))+(0)))=("store"),(INDEX(B1:XFD1,((A2)+(1))+(1)))=("AB"),"false"),B2,AB125),AB125))</f>
        <v>#VALUE!</v>
      </c>
      <c r="AC125" t="e">
        <f ca="1">IF((A1)=(2),"",IF((122)=(AC3),IF(IF((INDEX(B1:XFD1,((A2)+(1))+(0)))=("store"),(INDEX(B1:XFD1,((A2)+(1))+(1)))=("AC"),"false"),B2,AC125),AC125))</f>
        <v>#VALUE!</v>
      </c>
      <c r="AD125" t="e">
        <f ca="1">IF((A1)=(2),"",IF((122)=(AD3),IF(IF((INDEX(B1:XFD1,((A2)+(1))+(0)))=("store"),(INDEX(B1:XFD1,((A2)+(1))+(1)))=("AD"),"false"),B2,AD125),AD125))</f>
        <v>#VALUE!</v>
      </c>
    </row>
    <row r="126" spans="1:30" x14ac:dyDescent="0.25">
      <c r="A126" t="e">
        <f ca="1">IF((A1)=(2),"",IF((123)=(A3),IF(("call")=(INDEX(B1:XFD1,((A2)+(1))+(0))),(B2)*(2),IF(("goto")=(INDEX(B1:XFD1,((A2)+(1))+(0))),(INDEX(B1:XFD1,((A2)+(1))+(1)))*(2),IF(("gotoiftrue")=(INDEX(B1:XFD1,((A2)+(1))+(0))),IF(B2,(INDEX(B1:XFD1,((A2)+(1))+(1)))*(2),(A126)+(2)),(A126)+(2)))),A126))</f>
        <v>#VALUE!</v>
      </c>
      <c r="B126" t="e">
        <f ca="1">IF((A1)=(2),"",IF((123)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126)+(1)),IF(("add")=(INDEX(B1:XFD1,((A2)+(1))+(0))),(INDEX(B4:B404,(B3)+(1)))+(B126),IF(("equals")=(INDEX(B1:XFD1,((A2)+(1))+(0))),(INDEX(B4:B404,(B3)+(1)))=(B126),IF(("leq")=(INDEX(B1:XFD1,((A2)+(1))+(0))),(INDEX(B4:B404,(B3)+(1)))&lt;=(B126),IF(("greater")=(INDEX(B1:XFD1,((A2)+(1))+(0))),(INDEX(B4:B404,(B3)+(1)))&gt;(B126),IF(("mod")=(INDEX(B1:XFD1,((A2)+(1))+(0))),MOD(INDEX(B4:B404,(B3)+(1)),B126),B126))))))))),B126))</f>
        <v>#VALUE!</v>
      </c>
      <c r="C126" t="e">
        <f ca="1">IF((A1)=(2),1,IF(AND((INDEX(B1:XFD1,((A2)+(1))+(0)))=("writeheap"),(INDEX(B4:B404,(B3)+(1)))=(122)),INDEX(B4:B404,(B3)+(2)),IF((A1)=(2),"",IF((123)=(C3),C126,C126))))</f>
        <v>#VALUE!</v>
      </c>
      <c r="E126" t="e">
        <f ca="1">IF((A1)=(2),"",IF((123)=(E3),IF(("outputline")=(INDEX(B1:XFD1,((A2)+(1))+(0))),B2,E126),E126))</f>
        <v>#VALUE!</v>
      </c>
      <c r="F126" t="e">
        <f ca="1">IF((A1)=(2),"",IF((123)=(F3),IF(IF((INDEX(B1:XFD1,((A2)+(1))+(0)))=("store"),(INDEX(B1:XFD1,((A2)+(1))+(1)))=("F"),"false"),B2,F126),F126))</f>
        <v>#VALUE!</v>
      </c>
      <c r="G126" t="e">
        <f ca="1">IF((A1)=(2),"",IF((123)=(G3),IF(IF((INDEX(B1:XFD1,((A2)+(1))+(0)))=("store"),(INDEX(B1:XFD1,((A2)+(1))+(1)))=("G"),"false"),B2,G126),G126))</f>
        <v>#VALUE!</v>
      </c>
      <c r="H126" t="e">
        <f ca="1">IF((A1)=(2),"",IF((123)=(H3),IF(IF((INDEX(B1:XFD1,((A2)+(1))+(0)))=("store"),(INDEX(B1:XFD1,((A2)+(1))+(1)))=("H"),"false"),B2,H126),H126))</f>
        <v>#VALUE!</v>
      </c>
      <c r="I126" t="e">
        <f ca="1">IF((A1)=(2),"",IF((123)=(I3),IF(IF((INDEX(B1:XFD1,((A2)+(1))+(0)))=("store"),(INDEX(B1:XFD1,((A2)+(1))+(1)))=("I"),"false"),B2,I126),I126))</f>
        <v>#VALUE!</v>
      </c>
      <c r="J126" t="e">
        <f ca="1">IF((A1)=(2),"",IF((123)=(J3),IF(IF((INDEX(B1:XFD1,((A2)+(1))+(0)))=("store"),(INDEX(B1:XFD1,((A2)+(1))+(1)))=("J"),"false"),B2,J126),J126))</f>
        <v>#VALUE!</v>
      </c>
      <c r="K126" t="e">
        <f ca="1">IF((A1)=(2),"",IF((123)=(K3),IF(IF((INDEX(B1:XFD1,((A2)+(1))+(0)))=("store"),(INDEX(B1:XFD1,((A2)+(1))+(1)))=("K"),"false"),B2,K126),K126))</f>
        <v>#VALUE!</v>
      </c>
      <c r="L126" t="e">
        <f ca="1">IF((A1)=(2),"",IF((123)=(L3),IF(IF((INDEX(B1:XFD1,((A2)+(1))+(0)))=("store"),(INDEX(B1:XFD1,((A2)+(1))+(1)))=("L"),"false"),B2,L126),L126))</f>
        <v>#VALUE!</v>
      </c>
      <c r="M126" t="e">
        <f ca="1">IF((A1)=(2),"",IF((123)=(M3),IF(IF((INDEX(B1:XFD1,((A2)+(1))+(0)))=("store"),(INDEX(B1:XFD1,((A2)+(1))+(1)))=("M"),"false"),B2,M126),M126))</f>
        <v>#VALUE!</v>
      </c>
      <c r="N126" t="e">
        <f ca="1">IF((A1)=(2),"",IF((123)=(N3),IF(IF((INDEX(B1:XFD1,((A2)+(1))+(0)))=("store"),(INDEX(B1:XFD1,((A2)+(1))+(1)))=("N"),"false"),B2,N126),N126))</f>
        <v>#VALUE!</v>
      </c>
      <c r="O126" t="e">
        <f ca="1">IF((A1)=(2),"",IF((123)=(O3),IF(IF((INDEX(B1:XFD1,((A2)+(1))+(0)))=("store"),(INDEX(B1:XFD1,((A2)+(1))+(1)))=("O"),"false"),B2,O126),O126))</f>
        <v>#VALUE!</v>
      </c>
      <c r="P126" t="e">
        <f ca="1">IF((A1)=(2),"",IF((123)=(P3),IF(IF((INDEX(B1:XFD1,((A2)+(1))+(0)))=("store"),(INDEX(B1:XFD1,((A2)+(1))+(1)))=("P"),"false"),B2,P126),P126))</f>
        <v>#VALUE!</v>
      </c>
      <c r="Q126" t="e">
        <f ca="1">IF((A1)=(2),"",IF((123)=(Q3),IF(IF((INDEX(B1:XFD1,((A2)+(1))+(0)))=("store"),(INDEX(B1:XFD1,((A2)+(1))+(1)))=("Q"),"false"),B2,Q126),Q126))</f>
        <v>#VALUE!</v>
      </c>
      <c r="R126" t="e">
        <f ca="1">IF((A1)=(2),"",IF((123)=(R3),IF(IF((INDEX(B1:XFD1,((A2)+(1))+(0)))=("store"),(INDEX(B1:XFD1,((A2)+(1))+(1)))=("R"),"false"),B2,R126),R126))</f>
        <v>#VALUE!</v>
      </c>
      <c r="S126" t="e">
        <f ca="1">IF((A1)=(2),"",IF((123)=(S3),IF(IF((INDEX(B1:XFD1,((A2)+(1))+(0)))=("store"),(INDEX(B1:XFD1,((A2)+(1))+(1)))=("S"),"false"),B2,S126),S126))</f>
        <v>#VALUE!</v>
      </c>
      <c r="T126" t="e">
        <f ca="1">IF((A1)=(2),"",IF((123)=(T3),IF(IF((INDEX(B1:XFD1,((A2)+(1))+(0)))=("store"),(INDEX(B1:XFD1,((A2)+(1))+(1)))=("T"),"false"),B2,T126),T126))</f>
        <v>#VALUE!</v>
      </c>
      <c r="U126" t="e">
        <f ca="1">IF((A1)=(2),"",IF((123)=(U3),IF(IF((INDEX(B1:XFD1,((A2)+(1))+(0)))=("store"),(INDEX(B1:XFD1,((A2)+(1))+(1)))=("U"),"false"),B2,U126),U126))</f>
        <v>#VALUE!</v>
      </c>
      <c r="V126" t="e">
        <f ca="1">IF((A1)=(2),"",IF((123)=(V3),IF(IF((INDEX(B1:XFD1,((A2)+(1))+(0)))=("store"),(INDEX(B1:XFD1,((A2)+(1))+(1)))=("V"),"false"),B2,V126),V126))</f>
        <v>#VALUE!</v>
      </c>
      <c r="W126" t="e">
        <f ca="1">IF((A1)=(2),"",IF((123)=(W3),IF(IF((INDEX(B1:XFD1,((A2)+(1))+(0)))=("store"),(INDEX(B1:XFD1,((A2)+(1))+(1)))=("W"),"false"),B2,W126),W126))</f>
        <v>#VALUE!</v>
      </c>
      <c r="X126" t="e">
        <f ca="1">IF((A1)=(2),"",IF((123)=(X3),IF(IF((INDEX(B1:XFD1,((A2)+(1))+(0)))=("store"),(INDEX(B1:XFD1,((A2)+(1))+(1)))=("X"),"false"),B2,X126),X126))</f>
        <v>#VALUE!</v>
      </c>
      <c r="Y126" t="e">
        <f ca="1">IF((A1)=(2),"",IF((123)=(Y3),IF(IF((INDEX(B1:XFD1,((A2)+(1))+(0)))=("store"),(INDEX(B1:XFD1,((A2)+(1))+(1)))=("Y"),"false"),B2,Y126),Y126))</f>
        <v>#VALUE!</v>
      </c>
      <c r="Z126" t="e">
        <f ca="1">IF((A1)=(2),"",IF((123)=(Z3),IF(IF((INDEX(B1:XFD1,((A2)+(1))+(0)))=("store"),(INDEX(B1:XFD1,((A2)+(1))+(1)))=("Z"),"false"),B2,Z126),Z126))</f>
        <v>#VALUE!</v>
      </c>
      <c r="AA126" t="e">
        <f ca="1">IF((A1)=(2),"",IF((123)=(AA3),IF(IF((INDEX(B1:XFD1,((A2)+(1))+(0)))=("store"),(INDEX(B1:XFD1,((A2)+(1))+(1)))=("AA"),"false"),B2,AA126),AA126))</f>
        <v>#VALUE!</v>
      </c>
      <c r="AB126" t="e">
        <f ca="1">IF((A1)=(2),"",IF((123)=(AB3),IF(IF((INDEX(B1:XFD1,((A2)+(1))+(0)))=("store"),(INDEX(B1:XFD1,((A2)+(1))+(1)))=("AB"),"false"),B2,AB126),AB126))</f>
        <v>#VALUE!</v>
      </c>
      <c r="AC126" t="e">
        <f ca="1">IF((A1)=(2),"",IF((123)=(AC3),IF(IF((INDEX(B1:XFD1,((A2)+(1))+(0)))=("store"),(INDEX(B1:XFD1,((A2)+(1))+(1)))=("AC"),"false"),B2,AC126),AC126))</f>
        <v>#VALUE!</v>
      </c>
      <c r="AD126" t="e">
        <f ca="1">IF((A1)=(2),"",IF((123)=(AD3),IF(IF((INDEX(B1:XFD1,((A2)+(1))+(0)))=("store"),(INDEX(B1:XFD1,((A2)+(1))+(1)))=("AD"),"false"),B2,AD126),AD126))</f>
        <v>#VALUE!</v>
      </c>
    </row>
    <row r="127" spans="1:30" x14ac:dyDescent="0.25">
      <c r="A127" t="e">
        <f ca="1">IF((A1)=(2),"",IF((124)=(A3),IF(("call")=(INDEX(B1:XFD1,((A2)+(1))+(0))),(B2)*(2),IF(("goto")=(INDEX(B1:XFD1,((A2)+(1))+(0))),(INDEX(B1:XFD1,((A2)+(1))+(1)))*(2),IF(("gotoiftrue")=(INDEX(B1:XFD1,((A2)+(1))+(0))),IF(B2,(INDEX(B1:XFD1,((A2)+(1))+(1)))*(2),(A127)+(2)),(A127)+(2)))),A127))</f>
        <v>#VALUE!</v>
      </c>
      <c r="B127" t="e">
        <f ca="1">IF((A1)=(2),"",IF((124)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127)+(1)),IF(("add")=(INDEX(B1:XFD1,((A2)+(1))+(0))),(INDEX(B4:B404,(B3)+(1)))+(B127),IF(("equals")=(INDEX(B1:XFD1,((A2)+(1))+(0))),(INDEX(B4:B404,(B3)+(1)))=(B127),IF(("leq")=(INDEX(B1:XFD1,((A2)+(1))+(0))),(INDEX(B4:B404,(B3)+(1)))&lt;=(B127),IF(("greater")=(INDEX(B1:XFD1,((A2)+(1))+(0))),(INDEX(B4:B404,(B3)+(1)))&gt;(B127),IF(("mod")=(INDEX(B1:XFD1,((A2)+(1))+(0))),MOD(INDEX(B4:B404,(B3)+(1)),B127),B127))))))))),B127))</f>
        <v>#VALUE!</v>
      </c>
      <c r="C127" t="e">
        <f ca="1">IF((A1)=(2),1,IF(AND((INDEX(B1:XFD1,((A2)+(1))+(0)))=("writeheap"),(INDEX(B4:B404,(B3)+(1)))=(123)),INDEX(B4:B404,(B3)+(2)),IF((A1)=(2),"",IF((124)=(C3),C127,C127))))</f>
        <v>#VALUE!</v>
      </c>
      <c r="E127" t="e">
        <f ca="1">IF((A1)=(2),"",IF((124)=(E3),IF(("outputline")=(INDEX(B1:XFD1,((A2)+(1))+(0))),B2,E127),E127))</f>
        <v>#VALUE!</v>
      </c>
      <c r="F127" t="e">
        <f ca="1">IF((A1)=(2),"",IF((124)=(F3),IF(IF((INDEX(B1:XFD1,((A2)+(1))+(0)))=("store"),(INDEX(B1:XFD1,((A2)+(1))+(1)))=("F"),"false"),B2,F127),F127))</f>
        <v>#VALUE!</v>
      </c>
      <c r="G127" t="e">
        <f ca="1">IF((A1)=(2),"",IF((124)=(G3),IF(IF((INDEX(B1:XFD1,((A2)+(1))+(0)))=("store"),(INDEX(B1:XFD1,((A2)+(1))+(1)))=("G"),"false"),B2,G127),G127))</f>
        <v>#VALUE!</v>
      </c>
      <c r="H127" t="e">
        <f ca="1">IF((A1)=(2),"",IF((124)=(H3),IF(IF((INDEX(B1:XFD1,((A2)+(1))+(0)))=("store"),(INDEX(B1:XFD1,((A2)+(1))+(1)))=("H"),"false"),B2,H127),H127))</f>
        <v>#VALUE!</v>
      </c>
      <c r="I127" t="e">
        <f ca="1">IF((A1)=(2),"",IF((124)=(I3),IF(IF((INDEX(B1:XFD1,((A2)+(1))+(0)))=("store"),(INDEX(B1:XFD1,((A2)+(1))+(1)))=("I"),"false"),B2,I127),I127))</f>
        <v>#VALUE!</v>
      </c>
      <c r="J127" t="e">
        <f ca="1">IF((A1)=(2),"",IF((124)=(J3),IF(IF((INDEX(B1:XFD1,((A2)+(1))+(0)))=("store"),(INDEX(B1:XFD1,((A2)+(1))+(1)))=("J"),"false"),B2,J127),J127))</f>
        <v>#VALUE!</v>
      </c>
      <c r="K127" t="e">
        <f ca="1">IF((A1)=(2),"",IF((124)=(K3),IF(IF((INDEX(B1:XFD1,((A2)+(1))+(0)))=("store"),(INDEX(B1:XFD1,((A2)+(1))+(1)))=("K"),"false"),B2,K127),K127))</f>
        <v>#VALUE!</v>
      </c>
      <c r="L127" t="e">
        <f ca="1">IF((A1)=(2),"",IF((124)=(L3),IF(IF((INDEX(B1:XFD1,((A2)+(1))+(0)))=("store"),(INDEX(B1:XFD1,((A2)+(1))+(1)))=("L"),"false"),B2,L127),L127))</f>
        <v>#VALUE!</v>
      </c>
      <c r="M127" t="e">
        <f ca="1">IF((A1)=(2),"",IF((124)=(M3),IF(IF((INDEX(B1:XFD1,((A2)+(1))+(0)))=("store"),(INDEX(B1:XFD1,((A2)+(1))+(1)))=("M"),"false"),B2,M127),M127))</f>
        <v>#VALUE!</v>
      </c>
      <c r="N127" t="e">
        <f ca="1">IF((A1)=(2),"",IF((124)=(N3),IF(IF((INDEX(B1:XFD1,((A2)+(1))+(0)))=("store"),(INDEX(B1:XFD1,((A2)+(1))+(1)))=("N"),"false"),B2,N127),N127))</f>
        <v>#VALUE!</v>
      </c>
      <c r="O127" t="e">
        <f ca="1">IF((A1)=(2),"",IF((124)=(O3),IF(IF((INDEX(B1:XFD1,((A2)+(1))+(0)))=("store"),(INDEX(B1:XFD1,((A2)+(1))+(1)))=("O"),"false"),B2,O127),O127))</f>
        <v>#VALUE!</v>
      </c>
      <c r="P127" t="e">
        <f ca="1">IF((A1)=(2),"",IF((124)=(P3),IF(IF((INDEX(B1:XFD1,((A2)+(1))+(0)))=("store"),(INDEX(B1:XFD1,((A2)+(1))+(1)))=("P"),"false"),B2,P127),P127))</f>
        <v>#VALUE!</v>
      </c>
      <c r="Q127" t="e">
        <f ca="1">IF((A1)=(2),"",IF((124)=(Q3),IF(IF((INDEX(B1:XFD1,((A2)+(1))+(0)))=("store"),(INDEX(B1:XFD1,((A2)+(1))+(1)))=("Q"),"false"),B2,Q127),Q127))</f>
        <v>#VALUE!</v>
      </c>
      <c r="R127" t="e">
        <f ca="1">IF((A1)=(2),"",IF((124)=(R3),IF(IF((INDEX(B1:XFD1,((A2)+(1))+(0)))=("store"),(INDEX(B1:XFD1,((A2)+(1))+(1)))=("R"),"false"),B2,R127),R127))</f>
        <v>#VALUE!</v>
      </c>
      <c r="S127" t="e">
        <f ca="1">IF((A1)=(2),"",IF((124)=(S3),IF(IF((INDEX(B1:XFD1,((A2)+(1))+(0)))=("store"),(INDEX(B1:XFD1,((A2)+(1))+(1)))=("S"),"false"),B2,S127),S127))</f>
        <v>#VALUE!</v>
      </c>
      <c r="T127" t="e">
        <f ca="1">IF((A1)=(2),"",IF((124)=(T3),IF(IF((INDEX(B1:XFD1,((A2)+(1))+(0)))=("store"),(INDEX(B1:XFD1,((A2)+(1))+(1)))=("T"),"false"),B2,T127),T127))</f>
        <v>#VALUE!</v>
      </c>
      <c r="U127" t="e">
        <f ca="1">IF((A1)=(2),"",IF((124)=(U3),IF(IF((INDEX(B1:XFD1,((A2)+(1))+(0)))=("store"),(INDEX(B1:XFD1,((A2)+(1))+(1)))=("U"),"false"),B2,U127),U127))</f>
        <v>#VALUE!</v>
      </c>
      <c r="V127" t="e">
        <f ca="1">IF((A1)=(2),"",IF((124)=(V3),IF(IF((INDEX(B1:XFD1,((A2)+(1))+(0)))=("store"),(INDEX(B1:XFD1,((A2)+(1))+(1)))=("V"),"false"),B2,V127),V127))</f>
        <v>#VALUE!</v>
      </c>
      <c r="W127" t="e">
        <f ca="1">IF((A1)=(2),"",IF((124)=(W3),IF(IF((INDEX(B1:XFD1,((A2)+(1))+(0)))=("store"),(INDEX(B1:XFD1,((A2)+(1))+(1)))=("W"),"false"),B2,W127),W127))</f>
        <v>#VALUE!</v>
      </c>
      <c r="X127" t="e">
        <f ca="1">IF((A1)=(2),"",IF((124)=(X3),IF(IF((INDEX(B1:XFD1,((A2)+(1))+(0)))=("store"),(INDEX(B1:XFD1,((A2)+(1))+(1)))=("X"),"false"),B2,X127),X127))</f>
        <v>#VALUE!</v>
      </c>
      <c r="Y127" t="e">
        <f ca="1">IF((A1)=(2),"",IF((124)=(Y3),IF(IF((INDEX(B1:XFD1,((A2)+(1))+(0)))=("store"),(INDEX(B1:XFD1,((A2)+(1))+(1)))=("Y"),"false"),B2,Y127),Y127))</f>
        <v>#VALUE!</v>
      </c>
      <c r="Z127" t="e">
        <f ca="1">IF((A1)=(2),"",IF((124)=(Z3),IF(IF((INDEX(B1:XFD1,((A2)+(1))+(0)))=("store"),(INDEX(B1:XFD1,((A2)+(1))+(1)))=("Z"),"false"),B2,Z127),Z127))</f>
        <v>#VALUE!</v>
      </c>
      <c r="AA127" t="e">
        <f ca="1">IF((A1)=(2),"",IF((124)=(AA3),IF(IF((INDEX(B1:XFD1,((A2)+(1))+(0)))=("store"),(INDEX(B1:XFD1,((A2)+(1))+(1)))=("AA"),"false"),B2,AA127),AA127))</f>
        <v>#VALUE!</v>
      </c>
      <c r="AB127" t="e">
        <f ca="1">IF((A1)=(2),"",IF((124)=(AB3),IF(IF((INDEX(B1:XFD1,((A2)+(1))+(0)))=("store"),(INDEX(B1:XFD1,((A2)+(1))+(1)))=("AB"),"false"),B2,AB127),AB127))</f>
        <v>#VALUE!</v>
      </c>
      <c r="AC127" t="e">
        <f ca="1">IF((A1)=(2),"",IF((124)=(AC3),IF(IF((INDEX(B1:XFD1,((A2)+(1))+(0)))=("store"),(INDEX(B1:XFD1,((A2)+(1))+(1)))=("AC"),"false"),B2,AC127),AC127))</f>
        <v>#VALUE!</v>
      </c>
      <c r="AD127" t="e">
        <f ca="1">IF((A1)=(2),"",IF((124)=(AD3),IF(IF((INDEX(B1:XFD1,((A2)+(1))+(0)))=("store"),(INDEX(B1:XFD1,((A2)+(1))+(1)))=("AD"),"false"),B2,AD127),AD127))</f>
        <v>#VALUE!</v>
      </c>
    </row>
    <row r="128" spans="1:30" x14ac:dyDescent="0.25">
      <c r="A128" t="e">
        <f ca="1">IF((A1)=(2),"",IF((125)=(A3),IF(("call")=(INDEX(B1:XFD1,((A2)+(1))+(0))),(B2)*(2),IF(("goto")=(INDEX(B1:XFD1,((A2)+(1))+(0))),(INDEX(B1:XFD1,((A2)+(1))+(1)))*(2),IF(("gotoiftrue")=(INDEX(B1:XFD1,((A2)+(1))+(0))),IF(B2,(INDEX(B1:XFD1,((A2)+(1))+(1)))*(2),(A128)+(2)),(A128)+(2)))),A128))</f>
        <v>#VALUE!</v>
      </c>
      <c r="B128" t="e">
        <f ca="1">IF((A1)=(2),"",IF((125)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128)+(1)),IF(("add")=(INDEX(B1:XFD1,((A2)+(1))+(0))),(INDEX(B4:B404,(B3)+(1)))+(B128),IF(("equals")=(INDEX(B1:XFD1,((A2)+(1))+(0))),(INDEX(B4:B404,(B3)+(1)))=(B128),IF(("leq")=(INDEX(B1:XFD1,((A2)+(1))+(0))),(INDEX(B4:B404,(B3)+(1)))&lt;=(B128),IF(("greater")=(INDEX(B1:XFD1,((A2)+(1))+(0))),(INDEX(B4:B404,(B3)+(1)))&gt;(B128),IF(("mod")=(INDEX(B1:XFD1,((A2)+(1))+(0))),MOD(INDEX(B4:B404,(B3)+(1)),B128),B128))))))))),B128))</f>
        <v>#VALUE!</v>
      </c>
      <c r="C128" t="e">
        <f ca="1">IF((A1)=(2),1,IF(AND((INDEX(B1:XFD1,((A2)+(1))+(0)))=("writeheap"),(INDEX(B4:B404,(B3)+(1)))=(124)),INDEX(B4:B404,(B3)+(2)),IF((A1)=(2),"",IF((125)=(C3),C128,C128))))</f>
        <v>#VALUE!</v>
      </c>
      <c r="E128" t="e">
        <f ca="1">IF((A1)=(2),"",IF((125)=(E3),IF(("outputline")=(INDEX(B1:XFD1,((A2)+(1))+(0))),B2,E128),E128))</f>
        <v>#VALUE!</v>
      </c>
      <c r="F128" t="e">
        <f ca="1">IF((A1)=(2),"",IF((125)=(F3),IF(IF((INDEX(B1:XFD1,((A2)+(1))+(0)))=("store"),(INDEX(B1:XFD1,((A2)+(1))+(1)))=("F"),"false"),B2,F128),F128))</f>
        <v>#VALUE!</v>
      </c>
      <c r="G128" t="e">
        <f ca="1">IF((A1)=(2),"",IF((125)=(G3),IF(IF((INDEX(B1:XFD1,((A2)+(1))+(0)))=("store"),(INDEX(B1:XFD1,((A2)+(1))+(1)))=("G"),"false"),B2,G128),G128))</f>
        <v>#VALUE!</v>
      </c>
      <c r="H128" t="e">
        <f ca="1">IF((A1)=(2),"",IF((125)=(H3),IF(IF((INDEX(B1:XFD1,((A2)+(1))+(0)))=("store"),(INDEX(B1:XFD1,((A2)+(1))+(1)))=("H"),"false"),B2,H128),H128))</f>
        <v>#VALUE!</v>
      </c>
      <c r="I128" t="e">
        <f ca="1">IF((A1)=(2),"",IF((125)=(I3),IF(IF((INDEX(B1:XFD1,((A2)+(1))+(0)))=("store"),(INDEX(B1:XFD1,((A2)+(1))+(1)))=("I"),"false"),B2,I128),I128))</f>
        <v>#VALUE!</v>
      </c>
      <c r="J128" t="e">
        <f ca="1">IF((A1)=(2),"",IF((125)=(J3),IF(IF((INDEX(B1:XFD1,((A2)+(1))+(0)))=("store"),(INDEX(B1:XFD1,((A2)+(1))+(1)))=("J"),"false"),B2,J128),J128))</f>
        <v>#VALUE!</v>
      </c>
      <c r="K128" t="e">
        <f ca="1">IF((A1)=(2),"",IF((125)=(K3),IF(IF((INDEX(B1:XFD1,((A2)+(1))+(0)))=("store"),(INDEX(B1:XFD1,((A2)+(1))+(1)))=("K"),"false"),B2,K128),K128))</f>
        <v>#VALUE!</v>
      </c>
      <c r="L128" t="e">
        <f ca="1">IF((A1)=(2),"",IF((125)=(L3),IF(IF((INDEX(B1:XFD1,((A2)+(1))+(0)))=("store"),(INDEX(B1:XFD1,((A2)+(1))+(1)))=("L"),"false"),B2,L128),L128))</f>
        <v>#VALUE!</v>
      </c>
      <c r="M128" t="e">
        <f ca="1">IF((A1)=(2),"",IF((125)=(M3),IF(IF((INDEX(B1:XFD1,((A2)+(1))+(0)))=("store"),(INDEX(B1:XFD1,((A2)+(1))+(1)))=("M"),"false"),B2,M128),M128))</f>
        <v>#VALUE!</v>
      </c>
      <c r="N128" t="e">
        <f ca="1">IF((A1)=(2),"",IF((125)=(N3),IF(IF((INDEX(B1:XFD1,((A2)+(1))+(0)))=("store"),(INDEX(B1:XFD1,((A2)+(1))+(1)))=("N"),"false"),B2,N128),N128))</f>
        <v>#VALUE!</v>
      </c>
      <c r="O128" t="e">
        <f ca="1">IF((A1)=(2),"",IF((125)=(O3),IF(IF((INDEX(B1:XFD1,((A2)+(1))+(0)))=("store"),(INDEX(B1:XFD1,((A2)+(1))+(1)))=("O"),"false"),B2,O128),O128))</f>
        <v>#VALUE!</v>
      </c>
      <c r="P128" t="e">
        <f ca="1">IF((A1)=(2),"",IF((125)=(P3),IF(IF((INDEX(B1:XFD1,((A2)+(1))+(0)))=("store"),(INDEX(B1:XFD1,((A2)+(1))+(1)))=("P"),"false"),B2,P128),P128))</f>
        <v>#VALUE!</v>
      </c>
      <c r="Q128" t="e">
        <f ca="1">IF((A1)=(2),"",IF((125)=(Q3),IF(IF((INDEX(B1:XFD1,((A2)+(1))+(0)))=("store"),(INDEX(B1:XFD1,((A2)+(1))+(1)))=("Q"),"false"),B2,Q128),Q128))</f>
        <v>#VALUE!</v>
      </c>
      <c r="R128" t="e">
        <f ca="1">IF((A1)=(2),"",IF((125)=(R3),IF(IF((INDEX(B1:XFD1,((A2)+(1))+(0)))=("store"),(INDEX(B1:XFD1,((A2)+(1))+(1)))=("R"),"false"),B2,R128),R128))</f>
        <v>#VALUE!</v>
      </c>
      <c r="S128" t="e">
        <f ca="1">IF((A1)=(2),"",IF((125)=(S3),IF(IF((INDEX(B1:XFD1,((A2)+(1))+(0)))=("store"),(INDEX(B1:XFD1,((A2)+(1))+(1)))=("S"),"false"),B2,S128),S128))</f>
        <v>#VALUE!</v>
      </c>
      <c r="T128" t="e">
        <f ca="1">IF((A1)=(2),"",IF((125)=(T3),IF(IF((INDEX(B1:XFD1,((A2)+(1))+(0)))=("store"),(INDEX(B1:XFD1,((A2)+(1))+(1)))=("T"),"false"),B2,T128),T128))</f>
        <v>#VALUE!</v>
      </c>
      <c r="U128" t="e">
        <f ca="1">IF((A1)=(2),"",IF((125)=(U3),IF(IF((INDEX(B1:XFD1,((A2)+(1))+(0)))=("store"),(INDEX(B1:XFD1,((A2)+(1))+(1)))=("U"),"false"),B2,U128),U128))</f>
        <v>#VALUE!</v>
      </c>
      <c r="V128" t="e">
        <f ca="1">IF((A1)=(2),"",IF((125)=(V3),IF(IF((INDEX(B1:XFD1,((A2)+(1))+(0)))=("store"),(INDEX(B1:XFD1,((A2)+(1))+(1)))=("V"),"false"),B2,V128),V128))</f>
        <v>#VALUE!</v>
      </c>
      <c r="W128" t="e">
        <f ca="1">IF((A1)=(2),"",IF((125)=(W3),IF(IF((INDEX(B1:XFD1,((A2)+(1))+(0)))=("store"),(INDEX(B1:XFD1,((A2)+(1))+(1)))=("W"),"false"),B2,W128),W128))</f>
        <v>#VALUE!</v>
      </c>
      <c r="X128" t="e">
        <f ca="1">IF((A1)=(2),"",IF((125)=(X3),IF(IF((INDEX(B1:XFD1,((A2)+(1))+(0)))=("store"),(INDEX(B1:XFD1,((A2)+(1))+(1)))=("X"),"false"),B2,X128),X128))</f>
        <v>#VALUE!</v>
      </c>
      <c r="Y128" t="e">
        <f ca="1">IF((A1)=(2),"",IF((125)=(Y3),IF(IF((INDEX(B1:XFD1,((A2)+(1))+(0)))=("store"),(INDEX(B1:XFD1,((A2)+(1))+(1)))=("Y"),"false"),B2,Y128),Y128))</f>
        <v>#VALUE!</v>
      </c>
      <c r="Z128" t="e">
        <f ca="1">IF((A1)=(2),"",IF((125)=(Z3),IF(IF((INDEX(B1:XFD1,((A2)+(1))+(0)))=("store"),(INDEX(B1:XFD1,((A2)+(1))+(1)))=("Z"),"false"),B2,Z128),Z128))</f>
        <v>#VALUE!</v>
      </c>
      <c r="AA128" t="e">
        <f ca="1">IF((A1)=(2),"",IF((125)=(AA3),IF(IF((INDEX(B1:XFD1,((A2)+(1))+(0)))=("store"),(INDEX(B1:XFD1,((A2)+(1))+(1)))=("AA"),"false"),B2,AA128),AA128))</f>
        <v>#VALUE!</v>
      </c>
      <c r="AB128" t="e">
        <f ca="1">IF((A1)=(2),"",IF((125)=(AB3),IF(IF((INDEX(B1:XFD1,((A2)+(1))+(0)))=("store"),(INDEX(B1:XFD1,((A2)+(1))+(1)))=("AB"),"false"),B2,AB128),AB128))</f>
        <v>#VALUE!</v>
      </c>
      <c r="AC128" t="e">
        <f ca="1">IF((A1)=(2),"",IF((125)=(AC3),IF(IF((INDEX(B1:XFD1,((A2)+(1))+(0)))=("store"),(INDEX(B1:XFD1,((A2)+(1))+(1)))=("AC"),"false"),B2,AC128),AC128))</f>
        <v>#VALUE!</v>
      </c>
      <c r="AD128" t="e">
        <f ca="1">IF((A1)=(2),"",IF((125)=(AD3),IF(IF((INDEX(B1:XFD1,((A2)+(1))+(0)))=("store"),(INDEX(B1:XFD1,((A2)+(1))+(1)))=("AD"),"false"),B2,AD128),AD128))</f>
        <v>#VALUE!</v>
      </c>
    </row>
    <row r="129" spans="1:30" x14ac:dyDescent="0.25">
      <c r="A129" t="e">
        <f ca="1">IF((A1)=(2),"",IF((126)=(A3),IF(("call")=(INDEX(B1:XFD1,((A2)+(1))+(0))),(B2)*(2),IF(("goto")=(INDEX(B1:XFD1,((A2)+(1))+(0))),(INDEX(B1:XFD1,((A2)+(1))+(1)))*(2),IF(("gotoiftrue")=(INDEX(B1:XFD1,((A2)+(1))+(0))),IF(B2,(INDEX(B1:XFD1,((A2)+(1))+(1)))*(2),(A129)+(2)),(A129)+(2)))),A129))</f>
        <v>#VALUE!</v>
      </c>
      <c r="B129" t="e">
        <f ca="1">IF((A1)=(2),"",IF((126)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129)+(1)),IF(("add")=(INDEX(B1:XFD1,((A2)+(1))+(0))),(INDEX(B4:B404,(B3)+(1)))+(B129),IF(("equals")=(INDEX(B1:XFD1,((A2)+(1))+(0))),(INDEX(B4:B404,(B3)+(1)))=(B129),IF(("leq")=(INDEX(B1:XFD1,((A2)+(1))+(0))),(INDEX(B4:B404,(B3)+(1)))&lt;=(B129),IF(("greater")=(INDEX(B1:XFD1,((A2)+(1))+(0))),(INDEX(B4:B404,(B3)+(1)))&gt;(B129),IF(("mod")=(INDEX(B1:XFD1,((A2)+(1))+(0))),MOD(INDEX(B4:B404,(B3)+(1)),B129),B129))))))))),B129))</f>
        <v>#VALUE!</v>
      </c>
      <c r="C129" t="e">
        <f ca="1">IF((A1)=(2),1,IF(AND((INDEX(B1:XFD1,((A2)+(1))+(0)))=("writeheap"),(INDEX(B4:B404,(B3)+(1)))=(125)),INDEX(B4:B404,(B3)+(2)),IF((A1)=(2),"",IF((126)=(C3),C129,C129))))</f>
        <v>#VALUE!</v>
      </c>
      <c r="E129" t="e">
        <f ca="1">IF((A1)=(2),"",IF((126)=(E3),IF(("outputline")=(INDEX(B1:XFD1,((A2)+(1))+(0))),B2,E129),E129))</f>
        <v>#VALUE!</v>
      </c>
      <c r="F129" t="e">
        <f ca="1">IF((A1)=(2),"",IF((126)=(F3),IF(IF((INDEX(B1:XFD1,((A2)+(1))+(0)))=("store"),(INDEX(B1:XFD1,((A2)+(1))+(1)))=("F"),"false"),B2,F129),F129))</f>
        <v>#VALUE!</v>
      </c>
      <c r="G129" t="e">
        <f ca="1">IF((A1)=(2),"",IF((126)=(G3),IF(IF((INDEX(B1:XFD1,((A2)+(1))+(0)))=("store"),(INDEX(B1:XFD1,((A2)+(1))+(1)))=("G"),"false"),B2,G129),G129))</f>
        <v>#VALUE!</v>
      </c>
      <c r="H129" t="e">
        <f ca="1">IF((A1)=(2),"",IF((126)=(H3),IF(IF((INDEX(B1:XFD1,((A2)+(1))+(0)))=("store"),(INDEX(B1:XFD1,((A2)+(1))+(1)))=("H"),"false"),B2,H129),H129))</f>
        <v>#VALUE!</v>
      </c>
      <c r="I129" t="e">
        <f ca="1">IF((A1)=(2),"",IF((126)=(I3),IF(IF((INDEX(B1:XFD1,((A2)+(1))+(0)))=("store"),(INDEX(B1:XFD1,((A2)+(1))+(1)))=("I"),"false"),B2,I129),I129))</f>
        <v>#VALUE!</v>
      </c>
      <c r="J129" t="e">
        <f ca="1">IF((A1)=(2),"",IF((126)=(J3),IF(IF((INDEX(B1:XFD1,((A2)+(1))+(0)))=("store"),(INDEX(B1:XFD1,((A2)+(1))+(1)))=("J"),"false"),B2,J129),J129))</f>
        <v>#VALUE!</v>
      </c>
      <c r="K129" t="e">
        <f ca="1">IF((A1)=(2),"",IF((126)=(K3),IF(IF((INDEX(B1:XFD1,((A2)+(1))+(0)))=("store"),(INDEX(B1:XFD1,((A2)+(1))+(1)))=("K"),"false"),B2,K129),K129))</f>
        <v>#VALUE!</v>
      </c>
      <c r="L129" t="e">
        <f ca="1">IF((A1)=(2),"",IF((126)=(L3),IF(IF((INDEX(B1:XFD1,((A2)+(1))+(0)))=("store"),(INDEX(B1:XFD1,((A2)+(1))+(1)))=("L"),"false"),B2,L129),L129))</f>
        <v>#VALUE!</v>
      </c>
      <c r="M129" t="e">
        <f ca="1">IF((A1)=(2),"",IF((126)=(M3),IF(IF((INDEX(B1:XFD1,((A2)+(1))+(0)))=("store"),(INDEX(B1:XFD1,((A2)+(1))+(1)))=("M"),"false"),B2,M129),M129))</f>
        <v>#VALUE!</v>
      </c>
      <c r="N129" t="e">
        <f ca="1">IF((A1)=(2),"",IF((126)=(N3),IF(IF((INDEX(B1:XFD1,((A2)+(1))+(0)))=("store"),(INDEX(B1:XFD1,((A2)+(1))+(1)))=("N"),"false"),B2,N129),N129))</f>
        <v>#VALUE!</v>
      </c>
      <c r="O129" t="e">
        <f ca="1">IF((A1)=(2),"",IF((126)=(O3),IF(IF((INDEX(B1:XFD1,((A2)+(1))+(0)))=("store"),(INDEX(B1:XFD1,((A2)+(1))+(1)))=("O"),"false"),B2,O129),O129))</f>
        <v>#VALUE!</v>
      </c>
      <c r="P129" t="e">
        <f ca="1">IF((A1)=(2),"",IF((126)=(P3),IF(IF((INDEX(B1:XFD1,((A2)+(1))+(0)))=("store"),(INDEX(B1:XFD1,((A2)+(1))+(1)))=("P"),"false"),B2,P129),P129))</f>
        <v>#VALUE!</v>
      </c>
      <c r="Q129" t="e">
        <f ca="1">IF((A1)=(2),"",IF((126)=(Q3),IF(IF((INDEX(B1:XFD1,((A2)+(1))+(0)))=("store"),(INDEX(B1:XFD1,((A2)+(1))+(1)))=("Q"),"false"),B2,Q129),Q129))</f>
        <v>#VALUE!</v>
      </c>
      <c r="R129" t="e">
        <f ca="1">IF((A1)=(2),"",IF((126)=(R3),IF(IF((INDEX(B1:XFD1,((A2)+(1))+(0)))=("store"),(INDEX(B1:XFD1,((A2)+(1))+(1)))=("R"),"false"),B2,R129),R129))</f>
        <v>#VALUE!</v>
      </c>
      <c r="S129" t="e">
        <f ca="1">IF((A1)=(2),"",IF((126)=(S3),IF(IF((INDEX(B1:XFD1,((A2)+(1))+(0)))=("store"),(INDEX(B1:XFD1,((A2)+(1))+(1)))=("S"),"false"),B2,S129),S129))</f>
        <v>#VALUE!</v>
      </c>
      <c r="T129" t="e">
        <f ca="1">IF((A1)=(2),"",IF((126)=(T3),IF(IF((INDEX(B1:XFD1,((A2)+(1))+(0)))=("store"),(INDEX(B1:XFD1,((A2)+(1))+(1)))=("T"),"false"),B2,T129),T129))</f>
        <v>#VALUE!</v>
      </c>
      <c r="U129" t="e">
        <f ca="1">IF((A1)=(2),"",IF((126)=(U3),IF(IF((INDEX(B1:XFD1,((A2)+(1))+(0)))=("store"),(INDEX(B1:XFD1,((A2)+(1))+(1)))=("U"),"false"),B2,U129),U129))</f>
        <v>#VALUE!</v>
      </c>
      <c r="V129" t="e">
        <f ca="1">IF((A1)=(2),"",IF((126)=(V3),IF(IF((INDEX(B1:XFD1,((A2)+(1))+(0)))=("store"),(INDEX(B1:XFD1,((A2)+(1))+(1)))=("V"),"false"),B2,V129),V129))</f>
        <v>#VALUE!</v>
      </c>
      <c r="W129" t="e">
        <f ca="1">IF((A1)=(2),"",IF((126)=(W3),IF(IF((INDEX(B1:XFD1,((A2)+(1))+(0)))=("store"),(INDEX(B1:XFD1,((A2)+(1))+(1)))=("W"),"false"),B2,W129),W129))</f>
        <v>#VALUE!</v>
      </c>
      <c r="X129" t="e">
        <f ca="1">IF((A1)=(2),"",IF((126)=(X3),IF(IF((INDEX(B1:XFD1,((A2)+(1))+(0)))=("store"),(INDEX(B1:XFD1,((A2)+(1))+(1)))=("X"),"false"),B2,X129),X129))</f>
        <v>#VALUE!</v>
      </c>
      <c r="Y129" t="e">
        <f ca="1">IF((A1)=(2),"",IF((126)=(Y3),IF(IF((INDEX(B1:XFD1,((A2)+(1))+(0)))=("store"),(INDEX(B1:XFD1,((A2)+(1))+(1)))=("Y"),"false"),B2,Y129),Y129))</f>
        <v>#VALUE!</v>
      </c>
      <c r="Z129" t="e">
        <f ca="1">IF((A1)=(2),"",IF((126)=(Z3),IF(IF((INDEX(B1:XFD1,((A2)+(1))+(0)))=("store"),(INDEX(B1:XFD1,((A2)+(1))+(1)))=("Z"),"false"),B2,Z129),Z129))</f>
        <v>#VALUE!</v>
      </c>
      <c r="AA129" t="e">
        <f ca="1">IF((A1)=(2),"",IF((126)=(AA3),IF(IF((INDEX(B1:XFD1,((A2)+(1))+(0)))=("store"),(INDEX(B1:XFD1,((A2)+(1))+(1)))=("AA"),"false"),B2,AA129),AA129))</f>
        <v>#VALUE!</v>
      </c>
      <c r="AB129" t="e">
        <f ca="1">IF((A1)=(2),"",IF((126)=(AB3),IF(IF((INDEX(B1:XFD1,((A2)+(1))+(0)))=("store"),(INDEX(B1:XFD1,((A2)+(1))+(1)))=("AB"),"false"),B2,AB129),AB129))</f>
        <v>#VALUE!</v>
      </c>
      <c r="AC129" t="e">
        <f ca="1">IF((A1)=(2),"",IF((126)=(AC3),IF(IF((INDEX(B1:XFD1,((A2)+(1))+(0)))=("store"),(INDEX(B1:XFD1,((A2)+(1))+(1)))=("AC"),"false"),B2,AC129),AC129))</f>
        <v>#VALUE!</v>
      </c>
      <c r="AD129" t="e">
        <f ca="1">IF((A1)=(2),"",IF((126)=(AD3),IF(IF((INDEX(B1:XFD1,((A2)+(1))+(0)))=("store"),(INDEX(B1:XFD1,((A2)+(1))+(1)))=("AD"),"false"),B2,AD129),AD129))</f>
        <v>#VALUE!</v>
      </c>
    </row>
    <row r="130" spans="1:30" x14ac:dyDescent="0.25">
      <c r="A130" t="e">
        <f ca="1">IF((A1)=(2),"",IF((127)=(A3),IF(("call")=(INDEX(B1:XFD1,((A2)+(1))+(0))),(B2)*(2),IF(("goto")=(INDEX(B1:XFD1,((A2)+(1))+(0))),(INDEX(B1:XFD1,((A2)+(1))+(1)))*(2),IF(("gotoiftrue")=(INDEX(B1:XFD1,((A2)+(1))+(0))),IF(B2,(INDEX(B1:XFD1,((A2)+(1))+(1)))*(2),(A130)+(2)),(A130)+(2)))),A130))</f>
        <v>#VALUE!</v>
      </c>
      <c r="B130" t="e">
        <f ca="1">IF((A1)=(2),"",IF((127)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130)+(1)),IF(("add")=(INDEX(B1:XFD1,((A2)+(1))+(0))),(INDEX(B4:B404,(B3)+(1)))+(B130),IF(("equals")=(INDEX(B1:XFD1,((A2)+(1))+(0))),(INDEX(B4:B404,(B3)+(1)))=(B130),IF(("leq")=(INDEX(B1:XFD1,((A2)+(1))+(0))),(INDEX(B4:B404,(B3)+(1)))&lt;=(B130),IF(("greater")=(INDEX(B1:XFD1,((A2)+(1))+(0))),(INDEX(B4:B404,(B3)+(1)))&gt;(B130),IF(("mod")=(INDEX(B1:XFD1,((A2)+(1))+(0))),MOD(INDEX(B4:B404,(B3)+(1)),B130),B130))))))))),B130))</f>
        <v>#VALUE!</v>
      </c>
      <c r="C130" t="e">
        <f ca="1">IF((A1)=(2),1,IF(AND((INDEX(B1:XFD1,((A2)+(1))+(0)))=("writeheap"),(INDEX(B4:B404,(B3)+(1)))=(126)),INDEX(B4:B404,(B3)+(2)),IF((A1)=(2),"",IF((127)=(C3),C130,C130))))</f>
        <v>#VALUE!</v>
      </c>
      <c r="E130" t="e">
        <f ca="1">IF((A1)=(2),"",IF((127)=(E3),IF(("outputline")=(INDEX(B1:XFD1,((A2)+(1))+(0))),B2,E130),E130))</f>
        <v>#VALUE!</v>
      </c>
      <c r="F130" t="e">
        <f ca="1">IF((A1)=(2),"",IF((127)=(F3),IF(IF((INDEX(B1:XFD1,((A2)+(1))+(0)))=("store"),(INDEX(B1:XFD1,((A2)+(1))+(1)))=("F"),"false"),B2,F130),F130))</f>
        <v>#VALUE!</v>
      </c>
      <c r="G130" t="e">
        <f ca="1">IF((A1)=(2),"",IF((127)=(G3),IF(IF((INDEX(B1:XFD1,((A2)+(1))+(0)))=("store"),(INDEX(B1:XFD1,((A2)+(1))+(1)))=("G"),"false"),B2,G130),G130))</f>
        <v>#VALUE!</v>
      </c>
      <c r="H130" t="e">
        <f ca="1">IF((A1)=(2),"",IF((127)=(H3),IF(IF((INDEX(B1:XFD1,((A2)+(1))+(0)))=("store"),(INDEX(B1:XFD1,((A2)+(1))+(1)))=("H"),"false"),B2,H130),H130))</f>
        <v>#VALUE!</v>
      </c>
      <c r="I130" t="e">
        <f ca="1">IF((A1)=(2),"",IF((127)=(I3),IF(IF((INDEX(B1:XFD1,((A2)+(1))+(0)))=("store"),(INDEX(B1:XFD1,((A2)+(1))+(1)))=("I"),"false"),B2,I130),I130))</f>
        <v>#VALUE!</v>
      </c>
      <c r="J130" t="e">
        <f ca="1">IF((A1)=(2),"",IF((127)=(J3),IF(IF((INDEX(B1:XFD1,((A2)+(1))+(0)))=("store"),(INDEX(B1:XFD1,((A2)+(1))+(1)))=("J"),"false"),B2,J130),J130))</f>
        <v>#VALUE!</v>
      </c>
      <c r="K130" t="e">
        <f ca="1">IF((A1)=(2),"",IF((127)=(K3),IF(IF((INDEX(B1:XFD1,((A2)+(1))+(0)))=("store"),(INDEX(B1:XFD1,((A2)+(1))+(1)))=("K"),"false"),B2,K130),K130))</f>
        <v>#VALUE!</v>
      </c>
      <c r="L130" t="e">
        <f ca="1">IF((A1)=(2),"",IF((127)=(L3),IF(IF((INDEX(B1:XFD1,((A2)+(1))+(0)))=("store"),(INDEX(B1:XFD1,((A2)+(1))+(1)))=("L"),"false"),B2,L130),L130))</f>
        <v>#VALUE!</v>
      </c>
      <c r="M130" t="e">
        <f ca="1">IF((A1)=(2),"",IF((127)=(M3),IF(IF((INDEX(B1:XFD1,((A2)+(1))+(0)))=("store"),(INDEX(B1:XFD1,((A2)+(1))+(1)))=("M"),"false"),B2,M130),M130))</f>
        <v>#VALUE!</v>
      </c>
      <c r="N130" t="e">
        <f ca="1">IF((A1)=(2),"",IF((127)=(N3),IF(IF((INDEX(B1:XFD1,((A2)+(1))+(0)))=("store"),(INDEX(B1:XFD1,((A2)+(1))+(1)))=("N"),"false"),B2,N130),N130))</f>
        <v>#VALUE!</v>
      </c>
      <c r="O130" t="e">
        <f ca="1">IF((A1)=(2),"",IF((127)=(O3),IF(IF((INDEX(B1:XFD1,((A2)+(1))+(0)))=("store"),(INDEX(B1:XFD1,((A2)+(1))+(1)))=("O"),"false"),B2,O130),O130))</f>
        <v>#VALUE!</v>
      </c>
      <c r="P130" t="e">
        <f ca="1">IF((A1)=(2),"",IF((127)=(P3),IF(IF((INDEX(B1:XFD1,((A2)+(1))+(0)))=("store"),(INDEX(B1:XFD1,((A2)+(1))+(1)))=("P"),"false"),B2,P130),P130))</f>
        <v>#VALUE!</v>
      </c>
      <c r="Q130" t="e">
        <f ca="1">IF((A1)=(2),"",IF((127)=(Q3),IF(IF((INDEX(B1:XFD1,((A2)+(1))+(0)))=("store"),(INDEX(B1:XFD1,((A2)+(1))+(1)))=("Q"),"false"),B2,Q130),Q130))</f>
        <v>#VALUE!</v>
      </c>
      <c r="R130" t="e">
        <f ca="1">IF((A1)=(2),"",IF((127)=(R3),IF(IF((INDEX(B1:XFD1,((A2)+(1))+(0)))=("store"),(INDEX(B1:XFD1,((A2)+(1))+(1)))=("R"),"false"),B2,R130),R130))</f>
        <v>#VALUE!</v>
      </c>
      <c r="S130" t="e">
        <f ca="1">IF((A1)=(2),"",IF((127)=(S3),IF(IF((INDEX(B1:XFD1,((A2)+(1))+(0)))=("store"),(INDEX(B1:XFD1,((A2)+(1))+(1)))=("S"),"false"),B2,S130),S130))</f>
        <v>#VALUE!</v>
      </c>
      <c r="T130" t="e">
        <f ca="1">IF((A1)=(2),"",IF((127)=(T3),IF(IF((INDEX(B1:XFD1,((A2)+(1))+(0)))=("store"),(INDEX(B1:XFD1,((A2)+(1))+(1)))=("T"),"false"),B2,T130),T130))</f>
        <v>#VALUE!</v>
      </c>
      <c r="U130" t="e">
        <f ca="1">IF((A1)=(2),"",IF((127)=(U3),IF(IF((INDEX(B1:XFD1,((A2)+(1))+(0)))=("store"),(INDEX(B1:XFD1,((A2)+(1))+(1)))=("U"),"false"),B2,U130),U130))</f>
        <v>#VALUE!</v>
      </c>
      <c r="V130" t="e">
        <f ca="1">IF((A1)=(2),"",IF((127)=(V3),IF(IF((INDEX(B1:XFD1,((A2)+(1))+(0)))=("store"),(INDEX(B1:XFD1,((A2)+(1))+(1)))=("V"),"false"),B2,V130),V130))</f>
        <v>#VALUE!</v>
      </c>
      <c r="W130" t="e">
        <f ca="1">IF((A1)=(2),"",IF((127)=(W3),IF(IF((INDEX(B1:XFD1,((A2)+(1))+(0)))=("store"),(INDEX(B1:XFD1,((A2)+(1))+(1)))=("W"),"false"),B2,W130),W130))</f>
        <v>#VALUE!</v>
      </c>
      <c r="X130" t="e">
        <f ca="1">IF((A1)=(2),"",IF((127)=(X3),IF(IF((INDEX(B1:XFD1,((A2)+(1))+(0)))=("store"),(INDEX(B1:XFD1,((A2)+(1))+(1)))=("X"),"false"),B2,X130),X130))</f>
        <v>#VALUE!</v>
      </c>
      <c r="Y130" t="e">
        <f ca="1">IF((A1)=(2),"",IF((127)=(Y3),IF(IF((INDEX(B1:XFD1,((A2)+(1))+(0)))=("store"),(INDEX(B1:XFD1,((A2)+(1))+(1)))=("Y"),"false"),B2,Y130),Y130))</f>
        <v>#VALUE!</v>
      </c>
      <c r="Z130" t="e">
        <f ca="1">IF((A1)=(2),"",IF((127)=(Z3),IF(IF((INDEX(B1:XFD1,((A2)+(1))+(0)))=("store"),(INDEX(B1:XFD1,((A2)+(1))+(1)))=("Z"),"false"),B2,Z130),Z130))</f>
        <v>#VALUE!</v>
      </c>
      <c r="AA130" t="e">
        <f ca="1">IF((A1)=(2),"",IF((127)=(AA3),IF(IF((INDEX(B1:XFD1,((A2)+(1))+(0)))=("store"),(INDEX(B1:XFD1,((A2)+(1))+(1)))=("AA"),"false"),B2,AA130),AA130))</f>
        <v>#VALUE!</v>
      </c>
      <c r="AB130" t="e">
        <f ca="1">IF((A1)=(2),"",IF((127)=(AB3),IF(IF((INDEX(B1:XFD1,((A2)+(1))+(0)))=("store"),(INDEX(B1:XFD1,((A2)+(1))+(1)))=("AB"),"false"),B2,AB130),AB130))</f>
        <v>#VALUE!</v>
      </c>
      <c r="AC130" t="e">
        <f ca="1">IF((A1)=(2),"",IF((127)=(AC3),IF(IF((INDEX(B1:XFD1,((A2)+(1))+(0)))=("store"),(INDEX(B1:XFD1,((A2)+(1))+(1)))=("AC"),"false"),B2,AC130),AC130))</f>
        <v>#VALUE!</v>
      </c>
      <c r="AD130" t="e">
        <f ca="1">IF((A1)=(2),"",IF((127)=(AD3),IF(IF((INDEX(B1:XFD1,((A2)+(1))+(0)))=("store"),(INDEX(B1:XFD1,((A2)+(1))+(1)))=("AD"),"false"),B2,AD130),AD130))</f>
        <v>#VALUE!</v>
      </c>
    </row>
    <row r="131" spans="1:30" x14ac:dyDescent="0.25">
      <c r="A131" t="e">
        <f ca="1">IF((A1)=(2),"",IF((128)=(A3),IF(("call")=(INDEX(B1:XFD1,((A2)+(1))+(0))),(B2)*(2),IF(("goto")=(INDEX(B1:XFD1,((A2)+(1))+(0))),(INDEX(B1:XFD1,((A2)+(1))+(1)))*(2),IF(("gotoiftrue")=(INDEX(B1:XFD1,((A2)+(1))+(0))),IF(B2,(INDEX(B1:XFD1,((A2)+(1))+(1)))*(2),(A131)+(2)),(A131)+(2)))),A131))</f>
        <v>#VALUE!</v>
      </c>
      <c r="B131" t="e">
        <f ca="1">IF((A1)=(2),"",IF((128)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131)+(1)),IF(("add")=(INDEX(B1:XFD1,((A2)+(1))+(0))),(INDEX(B4:B404,(B3)+(1)))+(B131),IF(("equals")=(INDEX(B1:XFD1,((A2)+(1))+(0))),(INDEX(B4:B404,(B3)+(1)))=(B131),IF(("leq")=(INDEX(B1:XFD1,((A2)+(1))+(0))),(INDEX(B4:B404,(B3)+(1)))&lt;=(B131),IF(("greater")=(INDEX(B1:XFD1,((A2)+(1))+(0))),(INDEX(B4:B404,(B3)+(1)))&gt;(B131),IF(("mod")=(INDEX(B1:XFD1,((A2)+(1))+(0))),MOD(INDEX(B4:B404,(B3)+(1)),B131),B131))))))))),B131))</f>
        <v>#VALUE!</v>
      </c>
      <c r="C131" t="e">
        <f ca="1">IF((A1)=(2),1,IF(AND((INDEX(B1:XFD1,((A2)+(1))+(0)))=("writeheap"),(INDEX(B4:B404,(B3)+(1)))=(127)),INDEX(B4:B404,(B3)+(2)),IF((A1)=(2),"",IF((128)=(C3),C131,C131))))</f>
        <v>#VALUE!</v>
      </c>
      <c r="E131" t="e">
        <f ca="1">IF((A1)=(2),"",IF((128)=(E3),IF(("outputline")=(INDEX(B1:XFD1,((A2)+(1))+(0))),B2,E131),E131))</f>
        <v>#VALUE!</v>
      </c>
      <c r="F131" t="e">
        <f ca="1">IF((A1)=(2),"",IF((128)=(F3),IF(IF((INDEX(B1:XFD1,((A2)+(1))+(0)))=("store"),(INDEX(B1:XFD1,((A2)+(1))+(1)))=("F"),"false"),B2,F131),F131))</f>
        <v>#VALUE!</v>
      </c>
      <c r="G131" t="e">
        <f ca="1">IF((A1)=(2),"",IF((128)=(G3),IF(IF((INDEX(B1:XFD1,((A2)+(1))+(0)))=("store"),(INDEX(B1:XFD1,((A2)+(1))+(1)))=("G"),"false"),B2,G131),G131))</f>
        <v>#VALUE!</v>
      </c>
      <c r="H131" t="e">
        <f ca="1">IF((A1)=(2),"",IF((128)=(H3),IF(IF((INDEX(B1:XFD1,((A2)+(1))+(0)))=("store"),(INDEX(B1:XFD1,((A2)+(1))+(1)))=("H"),"false"),B2,H131),H131))</f>
        <v>#VALUE!</v>
      </c>
      <c r="I131" t="e">
        <f ca="1">IF((A1)=(2),"",IF((128)=(I3),IF(IF((INDEX(B1:XFD1,((A2)+(1))+(0)))=("store"),(INDEX(B1:XFD1,((A2)+(1))+(1)))=("I"),"false"),B2,I131),I131))</f>
        <v>#VALUE!</v>
      </c>
      <c r="J131" t="e">
        <f ca="1">IF((A1)=(2),"",IF((128)=(J3),IF(IF((INDEX(B1:XFD1,((A2)+(1))+(0)))=("store"),(INDEX(B1:XFD1,((A2)+(1))+(1)))=("J"),"false"),B2,J131),J131))</f>
        <v>#VALUE!</v>
      </c>
      <c r="K131" t="e">
        <f ca="1">IF((A1)=(2),"",IF((128)=(K3),IF(IF((INDEX(B1:XFD1,((A2)+(1))+(0)))=("store"),(INDEX(B1:XFD1,((A2)+(1))+(1)))=("K"),"false"),B2,K131),K131))</f>
        <v>#VALUE!</v>
      </c>
      <c r="L131" t="e">
        <f ca="1">IF((A1)=(2),"",IF((128)=(L3),IF(IF((INDEX(B1:XFD1,((A2)+(1))+(0)))=("store"),(INDEX(B1:XFD1,((A2)+(1))+(1)))=("L"),"false"),B2,L131),L131))</f>
        <v>#VALUE!</v>
      </c>
      <c r="M131" t="e">
        <f ca="1">IF((A1)=(2),"",IF((128)=(M3),IF(IF((INDEX(B1:XFD1,((A2)+(1))+(0)))=("store"),(INDEX(B1:XFD1,((A2)+(1))+(1)))=("M"),"false"),B2,M131),M131))</f>
        <v>#VALUE!</v>
      </c>
      <c r="N131" t="e">
        <f ca="1">IF((A1)=(2),"",IF((128)=(N3),IF(IF((INDEX(B1:XFD1,((A2)+(1))+(0)))=("store"),(INDEX(B1:XFD1,((A2)+(1))+(1)))=("N"),"false"),B2,N131),N131))</f>
        <v>#VALUE!</v>
      </c>
      <c r="O131" t="e">
        <f ca="1">IF((A1)=(2),"",IF((128)=(O3),IF(IF((INDEX(B1:XFD1,((A2)+(1))+(0)))=("store"),(INDEX(B1:XFD1,((A2)+(1))+(1)))=("O"),"false"),B2,O131),O131))</f>
        <v>#VALUE!</v>
      </c>
      <c r="P131" t="e">
        <f ca="1">IF((A1)=(2),"",IF((128)=(P3),IF(IF((INDEX(B1:XFD1,((A2)+(1))+(0)))=("store"),(INDEX(B1:XFD1,((A2)+(1))+(1)))=("P"),"false"),B2,P131),P131))</f>
        <v>#VALUE!</v>
      </c>
      <c r="Q131" t="e">
        <f ca="1">IF((A1)=(2),"",IF((128)=(Q3),IF(IF((INDEX(B1:XFD1,((A2)+(1))+(0)))=("store"),(INDEX(B1:XFD1,((A2)+(1))+(1)))=("Q"),"false"),B2,Q131),Q131))</f>
        <v>#VALUE!</v>
      </c>
      <c r="R131" t="e">
        <f ca="1">IF((A1)=(2),"",IF((128)=(R3),IF(IF((INDEX(B1:XFD1,((A2)+(1))+(0)))=("store"),(INDEX(B1:XFD1,((A2)+(1))+(1)))=("R"),"false"),B2,R131),R131))</f>
        <v>#VALUE!</v>
      </c>
      <c r="S131" t="e">
        <f ca="1">IF((A1)=(2),"",IF((128)=(S3),IF(IF((INDEX(B1:XFD1,((A2)+(1))+(0)))=("store"),(INDEX(B1:XFD1,((A2)+(1))+(1)))=("S"),"false"),B2,S131),S131))</f>
        <v>#VALUE!</v>
      </c>
      <c r="T131" t="e">
        <f ca="1">IF((A1)=(2),"",IF((128)=(T3),IF(IF((INDEX(B1:XFD1,((A2)+(1))+(0)))=("store"),(INDEX(B1:XFD1,((A2)+(1))+(1)))=("T"),"false"),B2,T131),T131))</f>
        <v>#VALUE!</v>
      </c>
      <c r="U131" t="e">
        <f ca="1">IF((A1)=(2),"",IF((128)=(U3),IF(IF((INDEX(B1:XFD1,((A2)+(1))+(0)))=("store"),(INDEX(B1:XFD1,((A2)+(1))+(1)))=("U"),"false"),B2,U131),U131))</f>
        <v>#VALUE!</v>
      </c>
      <c r="V131" t="e">
        <f ca="1">IF((A1)=(2),"",IF((128)=(V3),IF(IF((INDEX(B1:XFD1,((A2)+(1))+(0)))=("store"),(INDEX(B1:XFD1,((A2)+(1))+(1)))=("V"),"false"),B2,V131),V131))</f>
        <v>#VALUE!</v>
      </c>
      <c r="W131" t="e">
        <f ca="1">IF((A1)=(2),"",IF((128)=(W3),IF(IF((INDEX(B1:XFD1,((A2)+(1))+(0)))=("store"),(INDEX(B1:XFD1,((A2)+(1))+(1)))=("W"),"false"),B2,W131),W131))</f>
        <v>#VALUE!</v>
      </c>
      <c r="X131" t="e">
        <f ca="1">IF((A1)=(2),"",IF((128)=(X3),IF(IF((INDEX(B1:XFD1,((A2)+(1))+(0)))=("store"),(INDEX(B1:XFD1,((A2)+(1))+(1)))=("X"),"false"),B2,X131),X131))</f>
        <v>#VALUE!</v>
      </c>
      <c r="Y131" t="e">
        <f ca="1">IF((A1)=(2),"",IF((128)=(Y3),IF(IF((INDEX(B1:XFD1,((A2)+(1))+(0)))=("store"),(INDEX(B1:XFD1,((A2)+(1))+(1)))=("Y"),"false"),B2,Y131),Y131))</f>
        <v>#VALUE!</v>
      </c>
      <c r="Z131" t="e">
        <f ca="1">IF((A1)=(2),"",IF((128)=(Z3),IF(IF((INDEX(B1:XFD1,((A2)+(1))+(0)))=("store"),(INDEX(B1:XFD1,((A2)+(1))+(1)))=("Z"),"false"),B2,Z131),Z131))</f>
        <v>#VALUE!</v>
      </c>
      <c r="AA131" t="e">
        <f ca="1">IF((A1)=(2),"",IF((128)=(AA3),IF(IF((INDEX(B1:XFD1,((A2)+(1))+(0)))=("store"),(INDEX(B1:XFD1,((A2)+(1))+(1)))=("AA"),"false"),B2,AA131),AA131))</f>
        <v>#VALUE!</v>
      </c>
      <c r="AB131" t="e">
        <f ca="1">IF((A1)=(2),"",IF((128)=(AB3),IF(IF((INDEX(B1:XFD1,((A2)+(1))+(0)))=("store"),(INDEX(B1:XFD1,((A2)+(1))+(1)))=("AB"),"false"),B2,AB131),AB131))</f>
        <v>#VALUE!</v>
      </c>
      <c r="AC131" t="e">
        <f ca="1">IF((A1)=(2),"",IF((128)=(AC3),IF(IF((INDEX(B1:XFD1,((A2)+(1))+(0)))=("store"),(INDEX(B1:XFD1,((A2)+(1))+(1)))=("AC"),"false"),B2,AC131),AC131))</f>
        <v>#VALUE!</v>
      </c>
      <c r="AD131" t="e">
        <f ca="1">IF((A1)=(2),"",IF((128)=(AD3),IF(IF((INDEX(B1:XFD1,((A2)+(1))+(0)))=("store"),(INDEX(B1:XFD1,((A2)+(1))+(1)))=("AD"),"false"),B2,AD131),AD131))</f>
        <v>#VALUE!</v>
      </c>
    </row>
    <row r="132" spans="1:30" x14ac:dyDescent="0.25">
      <c r="A132" t="e">
        <f ca="1">IF((A1)=(2),"",IF((129)=(A3),IF(("call")=(INDEX(B1:XFD1,((A2)+(1))+(0))),(B2)*(2),IF(("goto")=(INDEX(B1:XFD1,((A2)+(1))+(0))),(INDEX(B1:XFD1,((A2)+(1))+(1)))*(2),IF(("gotoiftrue")=(INDEX(B1:XFD1,((A2)+(1))+(0))),IF(B2,(INDEX(B1:XFD1,((A2)+(1))+(1)))*(2),(A132)+(2)),(A132)+(2)))),A132))</f>
        <v>#VALUE!</v>
      </c>
      <c r="B132" t="e">
        <f ca="1">IF((A1)=(2),"",IF((129)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132)+(1)),IF(("add")=(INDEX(B1:XFD1,((A2)+(1))+(0))),(INDEX(B4:B404,(B3)+(1)))+(B132),IF(("equals")=(INDEX(B1:XFD1,((A2)+(1))+(0))),(INDEX(B4:B404,(B3)+(1)))=(B132),IF(("leq")=(INDEX(B1:XFD1,((A2)+(1))+(0))),(INDEX(B4:B404,(B3)+(1)))&lt;=(B132),IF(("greater")=(INDEX(B1:XFD1,((A2)+(1))+(0))),(INDEX(B4:B404,(B3)+(1)))&gt;(B132),IF(("mod")=(INDEX(B1:XFD1,((A2)+(1))+(0))),MOD(INDEX(B4:B404,(B3)+(1)),B132),B132))))))))),B132))</f>
        <v>#VALUE!</v>
      </c>
      <c r="C132" t="e">
        <f ca="1">IF((A1)=(2),1,IF(AND((INDEX(B1:XFD1,((A2)+(1))+(0)))=("writeheap"),(INDEX(B4:B404,(B3)+(1)))=(128)),INDEX(B4:B404,(B3)+(2)),IF((A1)=(2),"",IF((129)=(C3),C132,C132))))</f>
        <v>#VALUE!</v>
      </c>
      <c r="E132" t="e">
        <f ca="1">IF((A1)=(2),"",IF((129)=(E3),IF(("outputline")=(INDEX(B1:XFD1,((A2)+(1))+(0))),B2,E132),E132))</f>
        <v>#VALUE!</v>
      </c>
      <c r="F132" t="e">
        <f ca="1">IF((A1)=(2),"",IF((129)=(F3),IF(IF((INDEX(B1:XFD1,((A2)+(1))+(0)))=("store"),(INDEX(B1:XFD1,((A2)+(1))+(1)))=("F"),"false"),B2,F132),F132))</f>
        <v>#VALUE!</v>
      </c>
      <c r="G132" t="e">
        <f ca="1">IF((A1)=(2),"",IF((129)=(G3),IF(IF((INDEX(B1:XFD1,((A2)+(1))+(0)))=("store"),(INDEX(B1:XFD1,((A2)+(1))+(1)))=("G"),"false"),B2,G132),G132))</f>
        <v>#VALUE!</v>
      </c>
      <c r="H132" t="e">
        <f ca="1">IF((A1)=(2),"",IF((129)=(H3),IF(IF((INDEX(B1:XFD1,((A2)+(1))+(0)))=("store"),(INDEX(B1:XFD1,((A2)+(1))+(1)))=("H"),"false"),B2,H132),H132))</f>
        <v>#VALUE!</v>
      </c>
      <c r="I132" t="e">
        <f ca="1">IF((A1)=(2),"",IF((129)=(I3),IF(IF((INDEX(B1:XFD1,((A2)+(1))+(0)))=("store"),(INDEX(B1:XFD1,((A2)+(1))+(1)))=("I"),"false"),B2,I132),I132))</f>
        <v>#VALUE!</v>
      </c>
      <c r="J132" t="e">
        <f ca="1">IF((A1)=(2),"",IF((129)=(J3),IF(IF((INDEX(B1:XFD1,((A2)+(1))+(0)))=("store"),(INDEX(B1:XFD1,((A2)+(1))+(1)))=("J"),"false"),B2,J132),J132))</f>
        <v>#VALUE!</v>
      </c>
      <c r="K132" t="e">
        <f ca="1">IF((A1)=(2),"",IF((129)=(K3),IF(IF((INDEX(B1:XFD1,((A2)+(1))+(0)))=("store"),(INDEX(B1:XFD1,((A2)+(1))+(1)))=("K"),"false"),B2,K132),K132))</f>
        <v>#VALUE!</v>
      </c>
      <c r="L132" t="e">
        <f ca="1">IF((A1)=(2),"",IF((129)=(L3),IF(IF((INDEX(B1:XFD1,((A2)+(1))+(0)))=("store"),(INDEX(B1:XFD1,((A2)+(1))+(1)))=("L"),"false"),B2,L132),L132))</f>
        <v>#VALUE!</v>
      </c>
      <c r="M132" t="e">
        <f ca="1">IF((A1)=(2),"",IF((129)=(M3),IF(IF((INDEX(B1:XFD1,((A2)+(1))+(0)))=("store"),(INDEX(B1:XFD1,((A2)+(1))+(1)))=("M"),"false"),B2,M132),M132))</f>
        <v>#VALUE!</v>
      </c>
      <c r="N132" t="e">
        <f ca="1">IF((A1)=(2),"",IF((129)=(N3),IF(IF((INDEX(B1:XFD1,((A2)+(1))+(0)))=("store"),(INDEX(B1:XFD1,((A2)+(1))+(1)))=("N"),"false"),B2,N132),N132))</f>
        <v>#VALUE!</v>
      </c>
      <c r="O132" t="e">
        <f ca="1">IF((A1)=(2),"",IF((129)=(O3),IF(IF((INDEX(B1:XFD1,((A2)+(1))+(0)))=("store"),(INDEX(B1:XFD1,((A2)+(1))+(1)))=("O"),"false"),B2,O132),O132))</f>
        <v>#VALUE!</v>
      </c>
      <c r="P132" t="e">
        <f ca="1">IF((A1)=(2),"",IF((129)=(P3),IF(IF((INDEX(B1:XFD1,((A2)+(1))+(0)))=("store"),(INDEX(B1:XFD1,((A2)+(1))+(1)))=("P"),"false"),B2,P132),P132))</f>
        <v>#VALUE!</v>
      </c>
      <c r="Q132" t="e">
        <f ca="1">IF((A1)=(2),"",IF((129)=(Q3),IF(IF((INDEX(B1:XFD1,((A2)+(1))+(0)))=("store"),(INDEX(B1:XFD1,((A2)+(1))+(1)))=("Q"),"false"),B2,Q132),Q132))</f>
        <v>#VALUE!</v>
      </c>
      <c r="R132" t="e">
        <f ca="1">IF((A1)=(2),"",IF((129)=(R3),IF(IF((INDEX(B1:XFD1,((A2)+(1))+(0)))=("store"),(INDEX(B1:XFD1,((A2)+(1))+(1)))=("R"),"false"),B2,R132),R132))</f>
        <v>#VALUE!</v>
      </c>
      <c r="S132" t="e">
        <f ca="1">IF((A1)=(2),"",IF((129)=(S3),IF(IF((INDEX(B1:XFD1,((A2)+(1))+(0)))=("store"),(INDEX(B1:XFD1,((A2)+(1))+(1)))=("S"),"false"),B2,S132),S132))</f>
        <v>#VALUE!</v>
      </c>
      <c r="T132" t="e">
        <f ca="1">IF((A1)=(2),"",IF((129)=(T3),IF(IF((INDEX(B1:XFD1,((A2)+(1))+(0)))=("store"),(INDEX(B1:XFD1,((A2)+(1))+(1)))=("T"),"false"),B2,T132),T132))</f>
        <v>#VALUE!</v>
      </c>
      <c r="U132" t="e">
        <f ca="1">IF((A1)=(2),"",IF((129)=(U3),IF(IF((INDEX(B1:XFD1,((A2)+(1))+(0)))=("store"),(INDEX(B1:XFD1,((A2)+(1))+(1)))=("U"),"false"),B2,U132),U132))</f>
        <v>#VALUE!</v>
      </c>
      <c r="V132" t="e">
        <f ca="1">IF((A1)=(2),"",IF((129)=(V3),IF(IF((INDEX(B1:XFD1,((A2)+(1))+(0)))=("store"),(INDEX(B1:XFD1,((A2)+(1))+(1)))=("V"),"false"),B2,V132),V132))</f>
        <v>#VALUE!</v>
      </c>
      <c r="W132" t="e">
        <f ca="1">IF((A1)=(2),"",IF((129)=(W3),IF(IF((INDEX(B1:XFD1,((A2)+(1))+(0)))=("store"),(INDEX(B1:XFD1,((A2)+(1))+(1)))=("W"),"false"),B2,W132),W132))</f>
        <v>#VALUE!</v>
      </c>
      <c r="X132" t="e">
        <f ca="1">IF((A1)=(2),"",IF((129)=(X3),IF(IF((INDEX(B1:XFD1,((A2)+(1))+(0)))=("store"),(INDEX(B1:XFD1,((A2)+(1))+(1)))=("X"),"false"),B2,X132),X132))</f>
        <v>#VALUE!</v>
      </c>
      <c r="Y132" t="e">
        <f ca="1">IF((A1)=(2),"",IF((129)=(Y3),IF(IF((INDEX(B1:XFD1,((A2)+(1))+(0)))=("store"),(INDEX(B1:XFD1,((A2)+(1))+(1)))=("Y"),"false"),B2,Y132),Y132))</f>
        <v>#VALUE!</v>
      </c>
      <c r="Z132" t="e">
        <f ca="1">IF((A1)=(2),"",IF((129)=(Z3),IF(IF((INDEX(B1:XFD1,((A2)+(1))+(0)))=("store"),(INDEX(B1:XFD1,((A2)+(1))+(1)))=("Z"),"false"),B2,Z132),Z132))</f>
        <v>#VALUE!</v>
      </c>
      <c r="AA132" t="e">
        <f ca="1">IF((A1)=(2),"",IF((129)=(AA3),IF(IF((INDEX(B1:XFD1,((A2)+(1))+(0)))=("store"),(INDEX(B1:XFD1,((A2)+(1))+(1)))=("AA"),"false"),B2,AA132),AA132))</f>
        <v>#VALUE!</v>
      </c>
      <c r="AB132" t="e">
        <f ca="1">IF((A1)=(2),"",IF((129)=(AB3),IF(IF((INDEX(B1:XFD1,((A2)+(1))+(0)))=("store"),(INDEX(B1:XFD1,((A2)+(1))+(1)))=("AB"),"false"),B2,AB132),AB132))</f>
        <v>#VALUE!</v>
      </c>
      <c r="AC132" t="e">
        <f ca="1">IF((A1)=(2),"",IF((129)=(AC3),IF(IF((INDEX(B1:XFD1,((A2)+(1))+(0)))=("store"),(INDEX(B1:XFD1,((A2)+(1))+(1)))=("AC"),"false"),B2,AC132),AC132))</f>
        <v>#VALUE!</v>
      </c>
      <c r="AD132" t="e">
        <f ca="1">IF((A1)=(2),"",IF((129)=(AD3),IF(IF((INDEX(B1:XFD1,((A2)+(1))+(0)))=("store"),(INDEX(B1:XFD1,((A2)+(1))+(1)))=("AD"),"false"),B2,AD132),AD132))</f>
        <v>#VALUE!</v>
      </c>
    </row>
    <row r="133" spans="1:30" x14ac:dyDescent="0.25">
      <c r="A133" t="e">
        <f ca="1">IF((A1)=(2),"",IF((130)=(A3),IF(("call")=(INDEX(B1:XFD1,((A2)+(1))+(0))),(B2)*(2),IF(("goto")=(INDEX(B1:XFD1,((A2)+(1))+(0))),(INDEX(B1:XFD1,((A2)+(1))+(1)))*(2),IF(("gotoiftrue")=(INDEX(B1:XFD1,((A2)+(1))+(0))),IF(B2,(INDEX(B1:XFD1,((A2)+(1))+(1)))*(2),(A133)+(2)),(A133)+(2)))),A133))</f>
        <v>#VALUE!</v>
      </c>
      <c r="B133" t="e">
        <f ca="1">IF((A1)=(2),"",IF((130)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133)+(1)),IF(("add")=(INDEX(B1:XFD1,((A2)+(1))+(0))),(INDEX(B4:B404,(B3)+(1)))+(B133),IF(("equals")=(INDEX(B1:XFD1,((A2)+(1))+(0))),(INDEX(B4:B404,(B3)+(1)))=(B133),IF(("leq")=(INDEX(B1:XFD1,((A2)+(1))+(0))),(INDEX(B4:B404,(B3)+(1)))&lt;=(B133),IF(("greater")=(INDEX(B1:XFD1,((A2)+(1))+(0))),(INDEX(B4:B404,(B3)+(1)))&gt;(B133),IF(("mod")=(INDEX(B1:XFD1,((A2)+(1))+(0))),MOD(INDEX(B4:B404,(B3)+(1)),B133),B133))))))))),B133))</f>
        <v>#VALUE!</v>
      </c>
      <c r="C133" t="e">
        <f ca="1">IF((A1)=(2),1,IF(AND((INDEX(B1:XFD1,((A2)+(1))+(0)))=("writeheap"),(INDEX(B4:B404,(B3)+(1)))=(129)),INDEX(B4:B404,(B3)+(2)),IF((A1)=(2),"",IF((130)=(C3),C133,C133))))</f>
        <v>#VALUE!</v>
      </c>
      <c r="E133" t="e">
        <f ca="1">IF((A1)=(2),"",IF((130)=(E3),IF(("outputline")=(INDEX(B1:XFD1,((A2)+(1))+(0))),B2,E133),E133))</f>
        <v>#VALUE!</v>
      </c>
      <c r="F133" t="e">
        <f ca="1">IF((A1)=(2),"",IF((130)=(F3),IF(IF((INDEX(B1:XFD1,((A2)+(1))+(0)))=("store"),(INDEX(B1:XFD1,((A2)+(1))+(1)))=("F"),"false"),B2,F133),F133))</f>
        <v>#VALUE!</v>
      </c>
      <c r="G133" t="e">
        <f ca="1">IF((A1)=(2),"",IF((130)=(G3),IF(IF((INDEX(B1:XFD1,((A2)+(1))+(0)))=("store"),(INDEX(B1:XFD1,((A2)+(1))+(1)))=("G"),"false"),B2,G133),G133))</f>
        <v>#VALUE!</v>
      </c>
      <c r="H133" t="e">
        <f ca="1">IF((A1)=(2),"",IF((130)=(H3),IF(IF((INDEX(B1:XFD1,((A2)+(1))+(0)))=("store"),(INDEX(B1:XFD1,((A2)+(1))+(1)))=("H"),"false"),B2,H133),H133))</f>
        <v>#VALUE!</v>
      </c>
      <c r="I133" t="e">
        <f ca="1">IF((A1)=(2),"",IF((130)=(I3),IF(IF((INDEX(B1:XFD1,((A2)+(1))+(0)))=("store"),(INDEX(B1:XFD1,((A2)+(1))+(1)))=("I"),"false"),B2,I133),I133))</f>
        <v>#VALUE!</v>
      </c>
      <c r="J133" t="e">
        <f ca="1">IF((A1)=(2),"",IF((130)=(J3),IF(IF((INDEX(B1:XFD1,((A2)+(1))+(0)))=("store"),(INDEX(B1:XFD1,((A2)+(1))+(1)))=("J"),"false"),B2,J133),J133))</f>
        <v>#VALUE!</v>
      </c>
      <c r="K133" t="e">
        <f ca="1">IF((A1)=(2),"",IF((130)=(K3),IF(IF((INDEX(B1:XFD1,((A2)+(1))+(0)))=("store"),(INDEX(B1:XFD1,((A2)+(1))+(1)))=("K"),"false"),B2,K133),K133))</f>
        <v>#VALUE!</v>
      </c>
      <c r="L133" t="e">
        <f ca="1">IF((A1)=(2),"",IF((130)=(L3),IF(IF((INDEX(B1:XFD1,((A2)+(1))+(0)))=("store"),(INDEX(B1:XFD1,((A2)+(1))+(1)))=("L"),"false"),B2,L133),L133))</f>
        <v>#VALUE!</v>
      </c>
      <c r="M133" t="e">
        <f ca="1">IF((A1)=(2),"",IF((130)=(M3),IF(IF((INDEX(B1:XFD1,((A2)+(1))+(0)))=("store"),(INDEX(B1:XFD1,((A2)+(1))+(1)))=("M"),"false"),B2,M133),M133))</f>
        <v>#VALUE!</v>
      </c>
      <c r="N133" t="e">
        <f ca="1">IF((A1)=(2),"",IF((130)=(N3),IF(IF((INDEX(B1:XFD1,((A2)+(1))+(0)))=("store"),(INDEX(B1:XFD1,((A2)+(1))+(1)))=("N"),"false"),B2,N133),N133))</f>
        <v>#VALUE!</v>
      </c>
      <c r="O133" t="e">
        <f ca="1">IF((A1)=(2),"",IF((130)=(O3),IF(IF((INDEX(B1:XFD1,((A2)+(1))+(0)))=("store"),(INDEX(B1:XFD1,((A2)+(1))+(1)))=("O"),"false"),B2,O133),O133))</f>
        <v>#VALUE!</v>
      </c>
      <c r="P133" t="e">
        <f ca="1">IF((A1)=(2),"",IF((130)=(P3),IF(IF((INDEX(B1:XFD1,((A2)+(1))+(0)))=("store"),(INDEX(B1:XFD1,((A2)+(1))+(1)))=("P"),"false"),B2,P133),P133))</f>
        <v>#VALUE!</v>
      </c>
      <c r="Q133" t="e">
        <f ca="1">IF((A1)=(2),"",IF((130)=(Q3),IF(IF((INDEX(B1:XFD1,((A2)+(1))+(0)))=("store"),(INDEX(B1:XFD1,((A2)+(1))+(1)))=("Q"),"false"),B2,Q133),Q133))</f>
        <v>#VALUE!</v>
      </c>
      <c r="R133" t="e">
        <f ca="1">IF((A1)=(2),"",IF((130)=(R3),IF(IF((INDEX(B1:XFD1,((A2)+(1))+(0)))=("store"),(INDEX(B1:XFD1,((A2)+(1))+(1)))=("R"),"false"),B2,R133),R133))</f>
        <v>#VALUE!</v>
      </c>
      <c r="S133" t="e">
        <f ca="1">IF((A1)=(2),"",IF((130)=(S3),IF(IF((INDEX(B1:XFD1,((A2)+(1))+(0)))=("store"),(INDEX(B1:XFD1,((A2)+(1))+(1)))=("S"),"false"),B2,S133),S133))</f>
        <v>#VALUE!</v>
      </c>
      <c r="T133" t="e">
        <f ca="1">IF((A1)=(2),"",IF((130)=(T3),IF(IF((INDEX(B1:XFD1,((A2)+(1))+(0)))=("store"),(INDEX(B1:XFD1,((A2)+(1))+(1)))=("T"),"false"),B2,T133),T133))</f>
        <v>#VALUE!</v>
      </c>
      <c r="U133" t="e">
        <f ca="1">IF((A1)=(2),"",IF((130)=(U3),IF(IF((INDEX(B1:XFD1,((A2)+(1))+(0)))=("store"),(INDEX(B1:XFD1,((A2)+(1))+(1)))=("U"),"false"),B2,U133),U133))</f>
        <v>#VALUE!</v>
      </c>
      <c r="V133" t="e">
        <f ca="1">IF((A1)=(2),"",IF((130)=(V3),IF(IF((INDEX(B1:XFD1,((A2)+(1))+(0)))=("store"),(INDEX(B1:XFD1,((A2)+(1))+(1)))=("V"),"false"),B2,V133),V133))</f>
        <v>#VALUE!</v>
      </c>
      <c r="W133" t="e">
        <f ca="1">IF((A1)=(2),"",IF((130)=(W3),IF(IF((INDEX(B1:XFD1,((A2)+(1))+(0)))=("store"),(INDEX(B1:XFD1,((A2)+(1))+(1)))=("W"),"false"),B2,W133),W133))</f>
        <v>#VALUE!</v>
      </c>
      <c r="X133" t="e">
        <f ca="1">IF((A1)=(2),"",IF((130)=(X3),IF(IF((INDEX(B1:XFD1,((A2)+(1))+(0)))=("store"),(INDEX(B1:XFD1,((A2)+(1))+(1)))=("X"),"false"),B2,X133),X133))</f>
        <v>#VALUE!</v>
      </c>
      <c r="Y133" t="e">
        <f ca="1">IF((A1)=(2),"",IF((130)=(Y3),IF(IF((INDEX(B1:XFD1,((A2)+(1))+(0)))=("store"),(INDEX(B1:XFD1,((A2)+(1))+(1)))=("Y"),"false"),B2,Y133),Y133))</f>
        <v>#VALUE!</v>
      </c>
      <c r="Z133" t="e">
        <f ca="1">IF((A1)=(2),"",IF((130)=(Z3),IF(IF((INDEX(B1:XFD1,((A2)+(1))+(0)))=("store"),(INDEX(B1:XFD1,((A2)+(1))+(1)))=("Z"),"false"),B2,Z133),Z133))</f>
        <v>#VALUE!</v>
      </c>
      <c r="AA133" t="e">
        <f ca="1">IF((A1)=(2),"",IF((130)=(AA3),IF(IF((INDEX(B1:XFD1,((A2)+(1))+(0)))=("store"),(INDEX(B1:XFD1,((A2)+(1))+(1)))=("AA"),"false"),B2,AA133),AA133))</f>
        <v>#VALUE!</v>
      </c>
      <c r="AB133" t="e">
        <f ca="1">IF((A1)=(2),"",IF((130)=(AB3),IF(IF((INDEX(B1:XFD1,((A2)+(1))+(0)))=("store"),(INDEX(B1:XFD1,((A2)+(1))+(1)))=("AB"),"false"),B2,AB133),AB133))</f>
        <v>#VALUE!</v>
      </c>
      <c r="AC133" t="e">
        <f ca="1">IF((A1)=(2),"",IF((130)=(AC3),IF(IF((INDEX(B1:XFD1,((A2)+(1))+(0)))=("store"),(INDEX(B1:XFD1,((A2)+(1))+(1)))=("AC"),"false"),B2,AC133),AC133))</f>
        <v>#VALUE!</v>
      </c>
      <c r="AD133" t="e">
        <f ca="1">IF((A1)=(2),"",IF((130)=(AD3),IF(IF((INDEX(B1:XFD1,((A2)+(1))+(0)))=("store"),(INDEX(B1:XFD1,((A2)+(1))+(1)))=("AD"),"false"),B2,AD133),AD133))</f>
        <v>#VALUE!</v>
      </c>
    </row>
    <row r="134" spans="1:30" x14ac:dyDescent="0.25">
      <c r="A134" t="e">
        <f ca="1">IF((A1)=(2),"",IF((131)=(A3),IF(("call")=(INDEX(B1:XFD1,((A2)+(1))+(0))),(B2)*(2),IF(("goto")=(INDEX(B1:XFD1,((A2)+(1))+(0))),(INDEX(B1:XFD1,((A2)+(1))+(1)))*(2),IF(("gotoiftrue")=(INDEX(B1:XFD1,((A2)+(1))+(0))),IF(B2,(INDEX(B1:XFD1,((A2)+(1))+(1)))*(2),(A134)+(2)),(A134)+(2)))),A134))</f>
        <v>#VALUE!</v>
      </c>
      <c r="B134" t="e">
        <f ca="1">IF((A1)=(2),"",IF((131)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134)+(1)),IF(("add")=(INDEX(B1:XFD1,((A2)+(1))+(0))),(INDEX(B4:B404,(B3)+(1)))+(B134),IF(("equals")=(INDEX(B1:XFD1,((A2)+(1))+(0))),(INDEX(B4:B404,(B3)+(1)))=(B134),IF(("leq")=(INDEX(B1:XFD1,((A2)+(1))+(0))),(INDEX(B4:B404,(B3)+(1)))&lt;=(B134),IF(("greater")=(INDEX(B1:XFD1,((A2)+(1))+(0))),(INDEX(B4:B404,(B3)+(1)))&gt;(B134),IF(("mod")=(INDEX(B1:XFD1,((A2)+(1))+(0))),MOD(INDEX(B4:B404,(B3)+(1)),B134),B134))))))))),B134))</f>
        <v>#VALUE!</v>
      </c>
      <c r="C134" t="e">
        <f ca="1">IF((A1)=(2),1,IF(AND((INDEX(B1:XFD1,((A2)+(1))+(0)))=("writeheap"),(INDEX(B4:B404,(B3)+(1)))=(130)),INDEX(B4:B404,(B3)+(2)),IF((A1)=(2),"",IF((131)=(C3),C134,C134))))</f>
        <v>#VALUE!</v>
      </c>
      <c r="E134" t="e">
        <f ca="1">IF((A1)=(2),"",IF((131)=(E3),IF(("outputline")=(INDEX(B1:XFD1,((A2)+(1))+(0))),B2,E134),E134))</f>
        <v>#VALUE!</v>
      </c>
      <c r="F134" t="e">
        <f ca="1">IF((A1)=(2),"",IF((131)=(F3),IF(IF((INDEX(B1:XFD1,((A2)+(1))+(0)))=("store"),(INDEX(B1:XFD1,((A2)+(1))+(1)))=("F"),"false"),B2,F134),F134))</f>
        <v>#VALUE!</v>
      </c>
      <c r="G134" t="e">
        <f ca="1">IF((A1)=(2),"",IF((131)=(G3),IF(IF((INDEX(B1:XFD1,((A2)+(1))+(0)))=("store"),(INDEX(B1:XFD1,((A2)+(1))+(1)))=("G"),"false"),B2,G134),G134))</f>
        <v>#VALUE!</v>
      </c>
      <c r="H134" t="e">
        <f ca="1">IF((A1)=(2),"",IF((131)=(H3),IF(IF((INDEX(B1:XFD1,((A2)+(1))+(0)))=("store"),(INDEX(B1:XFD1,((A2)+(1))+(1)))=("H"),"false"),B2,H134),H134))</f>
        <v>#VALUE!</v>
      </c>
      <c r="I134" t="e">
        <f ca="1">IF((A1)=(2),"",IF((131)=(I3),IF(IF((INDEX(B1:XFD1,((A2)+(1))+(0)))=("store"),(INDEX(B1:XFD1,((A2)+(1))+(1)))=("I"),"false"),B2,I134),I134))</f>
        <v>#VALUE!</v>
      </c>
      <c r="J134" t="e">
        <f ca="1">IF((A1)=(2),"",IF((131)=(J3),IF(IF((INDEX(B1:XFD1,((A2)+(1))+(0)))=("store"),(INDEX(B1:XFD1,((A2)+(1))+(1)))=("J"),"false"),B2,J134),J134))</f>
        <v>#VALUE!</v>
      </c>
      <c r="K134" t="e">
        <f ca="1">IF((A1)=(2),"",IF((131)=(K3),IF(IF((INDEX(B1:XFD1,((A2)+(1))+(0)))=("store"),(INDEX(B1:XFD1,((A2)+(1))+(1)))=("K"),"false"),B2,K134),K134))</f>
        <v>#VALUE!</v>
      </c>
      <c r="L134" t="e">
        <f ca="1">IF((A1)=(2),"",IF((131)=(L3),IF(IF((INDEX(B1:XFD1,((A2)+(1))+(0)))=("store"),(INDEX(B1:XFD1,((A2)+(1))+(1)))=("L"),"false"),B2,L134),L134))</f>
        <v>#VALUE!</v>
      </c>
      <c r="M134" t="e">
        <f ca="1">IF((A1)=(2),"",IF((131)=(M3),IF(IF((INDEX(B1:XFD1,((A2)+(1))+(0)))=("store"),(INDEX(B1:XFD1,((A2)+(1))+(1)))=("M"),"false"),B2,M134),M134))</f>
        <v>#VALUE!</v>
      </c>
      <c r="N134" t="e">
        <f ca="1">IF((A1)=(2),"",IF((131)=(N3),IF(IF((INDEX(B1:XFD1,((A2)+(1))+(0)))=("store"),(INDEX(B1:XFD1,((A2)+(1))+(1)))=("N"),"false"),B2,N134),N134))</f>
        <v>#VALUE!</v>
      </c>
      <c r="O134" t="e">
        <f ca="1">IF((A1)=(2),"",IF((131)=(O3),IF(IF((INDEX(B1:XFD1,((A2)+(1))+(0)))=("store"),(INDEX(B1:XFD1,((A2)+(1))+(1)))=("O"),"false"),B2,O134),O134))</f>
        <v>#VALUE!</v>
      </c>
      <c r="P134" t="e">
        <f ca="1">IF((A1)=(2),"",IF((131)=(P3),IF(IF((INDEX(B1:XFD1,((A2)+(1))+(0)))=("store"),(INDEX(B1:XFD1,((A2)+(1))+(1)))=("P"),"false"),B2,P134),P134))</f>
        <v>#VALUE!</v>
      </c>
      <c r="Q134" t="e">
        <f ca="1">IF((A1)=(2),"",IF((131)=(Q3),IF(IF((INDEX(B1:XFD1,((A2)+(1))+(0)))=("store"),(INDEX(B1:XFD1,((A2)+(1))+(1)))=("Q"),"false"),B2,Q134),Q134))</f>
        <v>#VALUE!</v>
      </c>
      <c r="R134" t="e">
        <f ca="1">IF((A1)=(2),"",IF((131)=(R3),IF(IF((INDEX(B1:XFD1,((A2)+(1))+(0)))=("store"),(INDEX(B1:XFD1,((A2)+(1))+(1)))=("R"),"false"),B2,R134),R134))</f>
        <v>#VALUE!</v>
      </c>
      <c r="S134" t="e">
        <f ca="1">IF((A1)=(2),"",IF((131)=(S3),IF(IF((INDEX(B1:XFD1,((A2)+(1))+(0)))=("store"),(INDEX(B1:XFD1,((A2)+(1))+(1)))=("S"),"false"),B2,S134),S134))</f>
        <v>#VALUE!</v>
      </c>
      <c r="T134" t="e">
        <f ca="1">IF((A1)=(2),"",IF((131)=(T3),IF(IF((INDEX(B1:XFD1,((A2)+(1))+(0)))=("store"),(INDEX(B1:XFD1,((A2)+(1))+(1)))=("T"),"false"),B2,T134),T134))</f>
        <v>#VALUE!</v>
      </c>
      <c r="U134" t="e">
        <f ca="1">IF((A1)=(2),"",IF((131)=(U3),IF(IF((INDEX(B1:XFD1,((A2)+(1))+(0)))=("store"),(INDEX(B1:XFD1,((A2)+(1))+(1)))=("U"),"false"),B2,U134),U134))</f>
        <v>#VALUE!</v>
      </c>
      <c r="V134" t="e">
        <f ca="1">IF((A1)=(2),"",IF((131)=(V3),IF(IF((INDEX(B1:XFD1,((A2)+(1))+(0)))=("store"),(INDEX(B1:XFD1,((A2)+(1))+(1)))=("V"),"false"),B2,V134),V134))</f>
        <v>#VALUE!</v>
      </c>
      <c r="W134" t="e">
        <f ca="1">IF((A1)=(2),"",IF((131)=(W3),IF(IF((INDEX(B1:XFD1,((A2)+(1))+(0)))=("store"),(INDEX(B1:XFD1,((A2)+(1))+(1)))=("W"),"false"),B2,W134),W134))</f>
        <v>#VALUE!</v>
      </c>
      <c r="X134" t="e">
        <f ca="1">IF((A1)=(2),"",IF((131)=(X3),IF(IF((INDEX(B1:XFD1,((A2)+(1))+(0)))=("store"),(INDEX(B1:XFD1,((A2)+(1))+(1)))=("X"),"false"),B2,X134),X134))</f>
        <v>#VALUE!</v>
      </c>
      <c r="Y134" t="e">
        <f ca="1">IF((A1)=(2),"",IF((131)=(Y3),IF(IF((INDEX(B1:XFD1,((A2)+(1))+(0)))=("store"),(INDEX(B1:XFD1,((A2)+(1))+(1)))=("Y"),"false"),B2,Y134),Y134))</f>
        <v>#VALUE!</v>
      </c>
      <c r="Z134" t="e">
        <f ca="1">IF((A1)=(2),"",IF((131)=(Z3),IF(IF((INDEX(B1:XFD1,((A2)+(1))+(0)))=("store"),(INDEX(B1:XFD1,((A2)+(1))+(1)))=("Z"),"false"),B2,Z134),Z134))</f>
        <v>#VALUE!</v>
      </c>
      <c r="AA134" t="e">
        <f ca="1">IF((A1)=(2),"",IF((131)=(AA3),IF(IF((INDEX(B1:XFD1,((A2)+(1))+(0)))=("store"),(INDEX(B1:XFD1,((A2)+(1))+(1)))=("AA"),"false"),B2,AA134),AA134))</f>
        <v>#VALUE!</v>
      </c>
      <c r="AB134" t="e">
        <f ca="1">IF((A1)=(2),"",IF((131)=(AB3),IF(IF((INDEX(B1:XFD1,((A2)+(1))+(0)))=("store"),(INDEX(B1:XFD1,((A2)+(1))+(1)))=("AB"),"false"),B2,AB134),AB134))</f>
        <v>#VALUE!</v>
      </c>
      <c r="AC134" t="e">
        <f ca="1">IF((A1)=(2),"",IF((131)=(AC3),IF(IF((INDEX(B1:XFD1,((A2)+(1))+(0)))=("store"),(INDEX(B1:XFD1,((A2)+(1))+(1)))=("AC"),"false"),B2,AC134),AC134))</f>
        <v>#VALUE!</v>
      </c>
      <c r="AD134" t="e">
        <f ca="1">IF((A1)=(2),"",IF((131)=(AD3),IF(IF((INDEX(B1:XFD1,((A2)+(1))+(0)))=("store"),(INDEX(B1:XFD1,((A2)+(1))+(1)))=("AD"),"false"),B2,AD134),AD134))</f>
        <v>#VALUE!</v>
      </c>
    </row>
    <row r="135" spans="1:30" x14ac:dyDescent="0.25">
      <c r="A135" t="e">
        <f ca="1">IF((A1)=(2),"",IF((132)=(A3),IF(("call")=(INDEX(B1:XFD1,((A2)+(1))+(0))),(B2)*(2),IF(("goto")=(INDEX(B1:XFD1,((A2)+(1))+(0))),(INDEX(B1:XFD1,((A2)+(1))+(1)))*(2),IF(("gotoiftrue")=(INDEX(B1:XFD1,((A2)+(1))+(0))),IF(B2,(INDEX(B1:XFD1,((A2)+(1))+(1)))*(2),(A135)+(2)),(A135)+(2)))),A135))</f>
        <v>#VALUE!</v>
      </c>
      <c r="B135" t="e">
        <f ca="1">IF((A1)=(2),"",IF((132)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135)+(1)),IF(("add")=(INDEX(B1:XFD1,((A2)+(1))+(0))),(INDEX(B4:B404,(B3)+(1)))+(B135),IF(("equals")=(INDEX(B1:XFD1,((A2)+(1))+(0))),(INDEX(B4:B404,(B3)+(1)))=(B135),IF(("leq")=(INDEX(B1:XFD1,((A2)+(1))+(0))),(INDEX(B4:B404,(B3)+(1)))&lt;=(B135),IF(("greater")=(INDEX(B1:XFD1,((A2)+(1))+(0))),(INDEX(B4:B404,(B3)+(1)))&gt;(B135),IF(("mod")=(INDEX(B1:XFD1,((A2)+(1))+(0))),MOD(INDEX(B4:B404,(B3)+(1)),B135),B135))))))))),B135))</f>
        <v>#VALUE!</v>
      </c>
      <c r="C135" t="e">
        <f ca="1">IF((A1)=(2),1,IF(AND((INDEX(B1:XFD1,((A2)+(1))+(0)))=("writeheap"),(INDEX(B4:B404,(B3)+(1)))=(131)),INDEX(B4:B404,(B3)+(2)),IF((A1)=(2),"",IF((132)=(C3),C135,C135))))</f>
        <v>#VALUE!</v>
      </c>
      <c r="E135" t="e">
        <f ca="1">IF((A1)=(2),"",IF((132)=(E3),IF(("outputline")=(INDEX(B1:XFD1,((A2)+(1))+(0))),B2,E135),E135))</f>
        <v>#VALUE!</v>
      </c>
      <c r="F135" t="e">
        <f ca="1">IF((A1)=(2),"",IF((132)=(F3),IF(IF((INDEX(B1:XFD1,((A2)+(1))+(0)))=("store"),(INDEX(B1:XFD1,((A2)+(1))+(1)))=("F"),"false"),B2,F135),F135))</f>
        <v>#VALUE!</v>
      </c>
      <c r="G135" t="e">
        <f ca="1">IF((A1)=(2),"",IF((132)=(G3),IF(IF((INDEX(B1:XFD1,((A2)+(1))+(0)))=("store"),(INDEX(B1:XFD1,((A2)+(1))+(1)))=("G"),"false"),B2,G135),G135))</f>
        <v>#VALUE!</v>
      </c>
      <c r="H135" t="e">
        <f ca="1">IF((A1)=(2),"",IF((132)=(H3),IF(IF((INDEX(B1:XFD1,((A2)+(1))+(0)))=("store"),(INDEX(B1:XFD1,((A2)+(1))+(1)))=("H"),"false"),B2,H135),H135))</f>
        <v>#VALUE!</v>
      </c>
      <c r="I135" t="e">
        <f ca="1">IF((A1)=(2),"",IF((132)=(I3),IF(IF((INDEX(B1:XFD1,((A2)+(1))+(0)))=("store"),(INDEX(B1:XFD1,((A2)+(1))+(1)))=("I"),"false"),B2,I135),I135))</f>
        <v>#VALUE!</v>
      </c>
      <c r="J135" t="e">
        <f ca="1">IF((A1)=(2),"",IF((132)=(J3),IF(IF((INDEX(B1:XFD1,((A2)+(1))+(0)))=("store"),(INDEX(B1:XFD1,((A2)+(1))+(1)))=("J"),"false"),B2,J135),J135))</f>
        <v>#VALUE!</v>
      </c>
      <c r="K135" t="e">
        <f ca="1">IF((A1)=(2),"",IF((132)=(K3),IF(IF((INDEX(B1:XFD1,((A2)+(1))+(0)))=("store"),(INDEX(B1:XFD1,((A2)+(1))+(1)))=("K"),"false"),B2,K135),K135))</f>
        <v>#VALUE!</v>
      </c>
      <c r="L135" t="e">
        <f ca="1">IF((A1)=(2),"",IF((132)=(L3),IF(IF((INDEX(B1:XFD1,((A2)+(1))+(0)))=("store"),(INDEX(B1:XFD1,((A2)+(1))+(1)))=("L"),"false"),B2,L135),L135))</f>
        <v>#VALUE!</v>
      </c>
      <c r="M135" t="e">
        <f ca="1">IF((A1)=(2),"",IF((132)=(M3),IF(IF((INDEX(B1:XFD1,((A2)+(1))+(0)))=("store"),(INDEX(B1:XFD1,((A2)+(1))+(1)))=("M"),"false"),B2,M135),M135))</f>
        <v>#VALUE!</v>
      </c>
      <c r="N135" t="e">
        <f ca="1">IF((A1)=(2),"",IF((132)=(N3),IF(IF((INDEX(B1:XFD1,((A2)+(1))+(0)))=("store"),(INDEX(B1:XFD1,((A2)+(1))+(1)))=("N"),"false"),B2,N135),N135))</f>
        <v>#VALUE!</v>
      </c>
      <c r="O135" t="e">
        <f ca="1">IF((A1)=(2),"",IF((132)=(O3),IF(IF((INDEX(B1:XFD1,((A2)+(1))+(0)))=("store"),(INDEX(B1:XFD1,((A2)+(1))+(1)))=("O"),"false"),B2,O135),O135))</f>
        <v>#VALUE!</v>
      </c>
      <c r="P135" t="e">
        <f ca="1">IF((A1)=(2),"",IF((132)=(P3),IF(IF((INDEX(B1:XFD1,((A2)+(1))+(0)))=("store"),(INDEX(B1:XFD1,((A2)+(1))+(1)))=("P"),"false"),B2,P135),P135))</f>
        <v>#VALUE!</v>
      </c>
      <c r="Q135" t="e">
        <f ca="1">IF((A1)=(2),"",IF((132)=(Q3),IF(IF((INDEX(B1:XFD1,((A2)+(1))+(0)))=("store"),(INDEX(B1:XFD1,((A2)+(1))+(1)))=("Q"),"false"),B2,Q135),Q135))</f>
        <v>#VALUE!</v>
      </c>
      <c r="R135" t="e">
        <f ca="1">IF((A1)=(2),"",IF((132)=(R3),IF(IF((INDEX(B1:XFD1,((A2)+(1))+(0)))=("store"),(INDEX(B1:XFD1,((A2)+(1))+(1)))=("R"),"false"),B2,R135),R135))</f>
        <v>#VALUE!</v>
      </c>
      <c r="S135" t="e">
        <f ca="1">IF((A1)=(2),"",IF((132)=(S3),IF(IF((INDEX(B1:XFD1,((A2)+(1))+(0)))=("store"),(INDEX(B1:XFD1,((A2)+(1))+(1)))=("S"),"false"),B2,S135),S135))</f>
        <v>#VALUE!</v>
      </c>
      <c r="T135" t="e">
        <f ca="1">IF((A1)=(2),"",IF((132)=(T3),IF(IF((INDEX(B1:XFD1,((A2)+(1))+(0)))=("store"),(INDEX(B1:XFD1,((A2)+(1))+(1)))=("T"),"false"),B2,T135),T135))</f>
        <v>#VALUE!</v>
      </c>
      <c r="U135" t="e">
        <f ca="1">IF((A1)=(2),"",IF((132)=(U3),IF(IF((INDEX(B1:XFD1,((A2)+(1))+(0)))=("store"),(INDEX(B1:XFD1,((A2)+(1))+(1)))=("U"),"false"),B2,U135),U135))</f>
        <v>#VALUE!</v>
      </c>
      <c r="V135" t="e">
        <f ca="1">IF((A1)=(2),"",IF((132)=(V3),IF(IF((INDEX(B1:XFD1,((A2)+(1))+(0)))=("store"),(INDEX(B1:XFD1,((A2)+(1))+(1)))=("V"),"false"),B2,V135),V135))</f>
        <v>#VALUE!</v>
      </c>
      <c r="W135" t="e">
        <f ca="1">IF((A1)=(2),"",IF((132)=(W3),IF(IF((INDEX(B1:XFD1,((A2)+(1))+(0)))=("store"),(INDEX(B1:XFD1,((A2)+(1))+(1)))=("W"),"false"),B2,W135),W135))</f>
        <v>#VALUE!</v>
      </c>
      <c r="X135" t="e">
        <f ca="1">IF((A1)=(2),"",IF((132)=(X3),IF(IF((INDEX(B1:XFD1,((A2)+(1))+(0)))=("store"),(INDEX(B1:XFD1,((A2)+(1))+(1)))=("X"),"false"),B2,X135),X135))</f>
        <v>#VALUE!</v>
      </c>
      <c r="Y135" t="e">
        <f ca="1">IF((A1)=(2),"",IF((132)=(Y3),IF(IF((INDEX(B1:XFD1,((A2)+(1))+(0)))=("store"),(INDEX(B1:XFD1,((A2)+(1))+(1)))=("Y"),"false"),B2,Y135),Y135))</f>
        <v>#VALUE!</v>
      </c>
      <c r="Z135" t="e">
        <f ca="1">IF((A1)=(2),"",IF((132)=(Z3),IF(IF((INDEX(B1:XFD1,((A2)+(1))+(0)))=("store"),(INDEX(B1:XFD1,((A2)+(1))+(1)))=("Z"),"false"),B2,Z135),Z135))</f>
        <v>#VALUE!</v>
      </c>
      <c r="AA135" t="e">
        <f ca="1">IF((A1)=(2),"",IF((132)=(AA3),IF(IF((INDEX(B1:XFD1,((A2)+(1))+(0)))=("store"),(INDEX(B1:XFD1,((A2)+(1))+(1)))=("AA"),"false"),B2,AA135),AA135))</f>
        <v>#VALUE!</v>
      </c>
      <c r="AB135" t="e">
        <f ca="1">IF((A1)=(2),"",IF((132)=(AB3),IF(IF((INDEX(B1:XFD1,((A2)+(1))+(0)))=("store"),(INDEX(B1:XFD1,((A2)+(1))+(1)))=("AB"),"false"),B2,AB135),AB135))</f>
        <v>#VALUE!</v>
      </c>
      <c r="AC135" t="e">
        <f ca="1">IF((A1)=(2),"",IF((132)=(AC3),IF(IF((INDEX(B1:XFD1,((A2)+(1))+(0)))=("store"),(INDEX(B1:XFD1,((A2)+(1))+(1)))=("AC"),"false"),B2,AC135),AC135))</f>
        <v>#VALUE!</v>
      </c>
      <c r="AD135" t="e">
        <f ca="1">IF((A1)=(2),"",IF((132)=(AD3),IF(IF((INDEX(B1:XFD1,((A2)+(1))+(0)))=("store"),(INDEX(B1:XFD1,((A2)+(1))+(1)))=("AD"),"false"),B2,AD135),AD135))</f>
        <v>#VALUE!</v>
      </c>
    </row>
    <row r="136" spans="1:30" x14ac:dyDescent="0.25">
      <c r="A136" t="e">
        <f ca="1">IF((A1)=(2),"",IF((133)=(A3),IF(("call")=(INDEX(B1:XFD1,((A2)+(1))+(0))),(B2)*(2),IF(("goto")=(INDEX(B1:XFD1,((A2)+(1))+(0))),(INDEX(B1:XFD1,((A2)+(1))+(1)))*(2),IF(("gotoiftrue")=(INDEX(B1:XFD1,((A2)+(1))+(0))),IF(B2,(INDEX(B1:XFD1,((A2)+(1))+(1)))*(2),(A136)+(2)),(A136)+(2)))),A136))</f>
        <v>#VALUE!</v>
      </c>
      <c r="B136" t="e">
        <f ca="1">IF((A1)=(2),"",IF((133)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136)+(1)),IF(("add")=(INDEX(B1:XFD1,((A2)+(1))+(0))),(INDEX(B4:B404,(B3)+(1)))+(B136),IF(("equals")=(INDEX(B1:XFD1,((A2)+(1))+(0))),(INDEX(B4:B404,(B3)+(1)))=(B136),IF(("leq")=(INDEX(B1:XFD1,((A2)+(1))+(0))),(INDEX(B4:B404,(B3)+(1)))&lt;=(B136),IF(("greater")=(INDEX(B1:XFD1,((A2)+(1))+(0))),(INDEX(B4:B404,(B3)+(1)))&gt;(B136),IF(("mod")=(INDEX(B1:XFD1,((A2)+(1))+(0))),MOD(INDEX(B4:B404,(B3)+(1)),B136),B136))))))))),B136))</f>
        <v>#VALUE!</v>
      </c>
      <c r="C136" t="e">
        <f ca="1">IF((A1)=(2),1,IF(AND((INDEX(B1:XFD1,((A2)+(1))+(0)))=("writeheap"),(INDEX(B4:B404,(B3)+(1)))=(132)),INDEX(B4:B404,(B3)+(2)),IF((A1)=(2),"",IF((133)=(C3),C136,C136))))</f>
        <v>#VALUE!</v>
      </c>
      <c r="E136" t="e">
        <f ca="1">IF((A1)=(2),"",IF((133)=(E3),IF(("outputline")=(INDEX(B1:XFD1,((A2)+(1))+(0))),B2,E136),E136))</f>
        <v>#VALUE!</v>
      </c>
      <c r="F136" t="e">
        <f ca="1">IF((A1)=(2),"",IF((133)=(F3),IF(IF((INDEX(B1:XFD1,((A2)+(1))+(0)))=("store"),(INDEX(B1:XFD1,((A2)+(1))+(1)))=("F"),"false"),B2,F136),F136))</f>
        <v>#VALUE!</v>
      </c>
      <c r="G136" t="e">
        <f ca="1">IF((A1)=(2),"",IF((133)=(G3),IF(IF((INDEX(B1:XFD1,((A2)+(1))+(0)))=("store"),(INDEX(B1:XFD1,((A2)+(1))+(1)))=("G"),"false"),B2,G136),G136))</f>
        <v>#VALUE!</v>
      </c>
      <c r="H136" t="e">
        <f ca="1">IF((A1)=(2),"",IF((133)=(H3),IF(IF((INDEX(B1:XFD1,((A2)+(1))+(0)))=("store"),(INDEX(B1:XFD1,((A2)+(1))+(1)))=("H"),"false"),B2,H136),H136))</f>
        <v>#VALUE!</v>
      </c>
      <c r="I136" t="e">
        <f ca="1">IF((A1)=(2),"",IF((133)=(I3),IF(IF((INDEX(B1:XFD1,((A2)+(1))+(0)))=("store"),(INDEX(B1:XFD1,((A2)+(1))+(1)))=("I"),"false"),B2,I136),I136))</f>
        <v>#VALUE!</v>
      </c>
      <c r="J136" t="e">
        <f ca="1">IF((A1)=(2),"",IF((133)=(J3),IF(IF((INDEX(B1:XFD1,((A2)+(1))+(0)))=("store"),(INDEX(B1:XFD1,((A2)+(1))+(1)))=("J"),"false"),B2,J136),J136))</f>
        <v>#VALUE!</v>
      </c>
      <c r="K136" t="e">
        <f ca="1">IF((A1)=(2),"",IF((133)=(K3),IF(IF((INDEX(B1:XFD1,((A2)+(1))+(0)))=("store"),(INDEX(B1:XFD1,((A2)+(1))+(1)))=("K"),"false"),B2,K136),K136))</f>
        <v>#VALUE!</v>
      </c>
      <c r="L136" t="e">
        <f ca="1">IF((A1)=(2),"",IF((133)=(L3),IF(IF((INDEX(B1:XFD1,((A2)+(1))+(0)))=("store"),(INDEX(B1:XFD1,((A2)+(1))+(1)))=("L"),"false"),B2,L136),L136))</f>
        <v>#VALUE!</v>
      </c>
      <c r="M136" t="e">
        <f ca="1">IF((A1)=(2),"",IF((133)=(M3),IF(IF((INDEX(B1:XFD1,((A2)+(1))+(0)))=("store"),(INDEX(B1:XFD1,((A2)+(1))+(1)))=("M"),"false"),B2,M136),M136))</f>
        <v>#VALUE!</v>
      </c>
      <c r="N136" t="e">
        <f ca="1">IF((A1)=(2),"",IF((133)=(N3),IF(IF((INDEX(B1:XFD1,((A2)+(1))+(0)))=("store"),(INDEX(B1:XFD1,((A2)+(1))+(1)))=("N"),"false"),B2,N136),N136))</f>
        <v>#VALUE!</v>
      </c>
      <c r="O136" t="e">
        <f ca="1">IF((A1)=(2),"",IF((133)=(O3),IF(IF((INDEX(B1:XFD1,((A2)+(1))+(0)))=("store"),(INDEX(B1:XFD1,((A2)+(1))+(1)))=("O"),"false"),B2,O136),O136))</f>
        <v>#VALUE!</v>
      </c>
      <c r="P136" t="e">
        <f ca="1">IF((A1)=(2),"",IF((133)=(P3),IF(IF((INDEX(B1:XFD1,((A2)+(1))+(0)))=("store"),(INDEX(B1:XFD1,((A2)+(1))+(1)))=("P"),"false"),B2,P136),P136))</f>
        <v>#VALUE!</v>
      </c>
      <c r="Q136" t="e">
        <f ca="1">IF((A1)=(2),"",IF((133)=(Q3),IF(IF((INDEX(B1:XFD1,((A2)+(1))+(0)))=("store"),(INDEX(B1:XFD1,((A2)+(1))+(1)))=("Q"),"false"),B2,Q136),Q136))</f>
        <v>#VALUE!</v>
      </c>
      <c r="R136" t="e">
        <f ca="1">IF((A1)=(2),"",IF((133)=(R3),IF(IF((INDEX(B1:XFD1,((A2)+(1))+(0)))=("store"),(INDEX(B1:XFD1,((A2)+(1))+(1)))=("R"),"false"),B2,R136),R136))</f>
        <v>#VALUE!</v>
      </c>
      <c r="S136" t="e">
        <f ca="1">IF((A1)=(2),"",IF((133)=(S3),IF(IF((INDEX(B1:XFD1,((A2)+(1))+(0)))=("store"),(INDEX(B1:XFD1,((A2)+(1))+(1)))=("S"),"false"),B2,S136),S136))</f>
        <v>#VALUE!</v>
      </c>
      <c r="T136" t="e">
        <f ca="1">IF((A1)=(2),"",IF((133)=(T3),IF(IF((INDEX(B1:XFD1,((A2)+(1))+(0)))=("store"),(INDEX(B1:XFD1,((A2)+(1))+(1)))=("T"),"false"),B2,T136),T136))</f>
        <v>#VALUE!</v>
      </c>
      <c r="U136" t="e">
        <f ca="1">IF((A1)=(2),"",IF((133)=(U3),IF(IF((INDEX(B1:XFD1,((A2)+(1))+(0)))=("store"),(INDEX(B1:XFD1,((A2)+(1))+(1)))=("U"),"false"),B2,U136),U136))</f>
        <v>#VALUE!</v>
      </c>
      <c r="V136" t="e">
        <f ca="1">IF((A1)=(2),"",IF((133)=(V3),IF(IF((INDEX(B1:XFD1,((A2)+(1))+(0)))=("store"),(INDEX(B1:XFD1,((A2)+(1))+(1)))=("V"),"false"),B2,V136),V136))</f>
        <v>#VALUE!</v>
      </c>
      <c r="W136" t="e">
        <f ca="1">IF((A1)=(2),"",IF((133)=(W3),IF(IF((INDEX(B1:XFD1,((A2)+(1))+(0)))=("store"),(INDEX(B1:XFD1,((A2)+(1))+(1)))=("W"),"false"),B2,W136),W136))</f>
        <v>#VALUE!</v>
      </c>
      <c r="X136" t="e">
        <f ca="1">IF((A1)=(2),"",IF((133)=(X3),IF(IF((INDEX(B1:XFD1,((A2)+(1))+(0)))=("store"),(INDEX(B1:XFD1,((A2)+(1))+(1)))=("X"),"false"),B2,X136),X136))</f>
        <v>#VALUE!</v>
      </c>
      <c r="Y136" t="e">
        <f ca="1">IF((A1)=(2),"",IF((133)=(Y3),IF(IF((INDEX(B1:XFD1,((A2)+(1))+(0)))=("store"),(INDEX(B1:XFD1,((A2)+(1))+(1)))=("Y"),"false"),B2,Y136),Y136))</f>
        <v>#VALUE!</v>
      </c>
      <c r="Z136" t="e">
        <f ca="1">IF((A1)=(2),"",IF((133)=(Z3),IF(IF((INDEX(B1:XFD1,((A2)+(1))+(0)))=("store"),(INDEX(B1:XFD1,((A2)+(1))+(1)))=("Z"),"false"),B2,Z136),Z136))</f>
        <v>#VALUE!</v>
      </c>
      <c r="AA136" t="e">
        <f ca="1">IF((A1)=(2),"",IF((133)=(AA3),IF(IF((INDEX(B1:XFD1,((A2)+(1))+(0)))=("store"),(INDEX(B1:XFD1,((A2)+(1))+(1)))=("AA"),"false"),B2,AA136),AA136))</f>
        <v>#VALUE!</v>
      </c>
      <c r="AB136" t="e">
        <f ca="1">IF((A1)=(2),"",IF((133)=(AB3),IF(IF((INDEX(B1:XFD1,((A2)+(1))+(0)))=("store"),(INDEX(B1:XFD1,((A2)+(1))+(1)))=("AB"),"false"),B2,AB136),AB136))</f>
        <v>#VALUE!</v>
      </c>
      <c r="AC136" t="e">
        <f ca="1">IF((A1)=(2),"",IF((133)=(AC3),IF(IF((INDEX(B1:XFD1,((A2)+(1))+(0)))=("store"),(INDEX(B1:XFD1,((A2)+(1))+(1)))=("AC"),"false"),B2,AC136),AC136))</f>
        <v>#VALUE!</v>
      </c>
      <c r="AD136" t="e">
        <f ca="1">IF((A1)=(2),"",IF((133)=(AD3),IF(IF((INDEX(B1:XFD1,((A2)+(1))+(0)))=("store"),(INDEX(B1:XFD1,((A2)+(1))+(1)))=("AD"),"false"),B2,AD136),AD136))</f>
        <v>#VALUE!</v>
      </c>
    </row>
    <row r="137" spans="1:30" x14ac:dyDescent="0.25">
      <c r="A137" t="e">
        <f ca="1">IF((A1)=(2),"",IF((134)=(A3),IF(("call")=(INDEX(B1:XFD1,((A2)+(1))+(0))),(B2)*(2),IF(("goto")=(INDEX(B1:XFD1,((A2)+(1))+(0))),(INDEX(B1:XFD1,((A2)+(1))+(1)))*(2),IF(("gotoiftrue")=(INDEX(B1:XFD1,((A2)+(1))+(0))),IF(B2,(INDEX(B1:XFD1,((A2)+(1))+(1)))*(2),(A137)+(2)),(A137)+(2)))),A137))</f>
        <v>#VALUE!</v>
      </c>
      <c r="B137" t="e">
        <f ca="1">IF((A1)=(2),"",IF((134)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137)+(1)),IF(("add")=(INDEX(B1:XFD1,((A2)+(1))+(0))),(INDEX(B4:B404,(B3)+(1)))+(B137),IF(("equals")=(INDEX(B1:XFD1,((A2)+(1))+(0))),(INDEX(B4:B404,(B3)+(1)))=(B137),IF(("leq")=(INDEX(B1:XFD1,((A2)+(1))+(0))),(INDEX(B4:B404,(B3)+(1)))&lt;=(B137),IF(("greater")=(INDEX(B1:XFD1,((A2)+(1))+(0))),(INDEX(B4:B404,(B3)+(1)))&gt;(B137),IF(("mod")=(INDEX(B1:XFD1,((A2)+(1))+(0))),MOD(INDEX(B4:B404,(B3)+(1)),B137),B137))))))))),B137))</f>
        <v>#VALUE!</v>
      </c>
      <c r="C137" t="e">
        <f ca="1">IF((A1)=(2),1,IF(AND((INDEX(B1:XFD1,((A2)+(1))+(0)))=("writeheap"),(INDEX(B4:B404,(B3)+(1)))=(133)),INDEX(B4:B404,(B3)+(2)),IF((A1)=(2),"",IF((134)=(C3),C137,C137))))</f>
        <v>#VALUE!</v>
      </c>
      <c r="E137" t="e">
        <f ca="1">IF((A1)=(2),"",IF((134)=(E3),IF(("outputline")=(INDEX(B1:XFD1,((A2)+(1))+(0))),B2,E137),E137))</f>
        <v>#VALUE!</v>
      </c>
      <c r="F137" t="e">
        <f ca="1">IF((A1)=(2),"",IF((134)=(F3),IF(IF((INDEX(B1:XFD1,((A2)+(1))+(0)))=("store"),(INDEX(B1:XFD1,((A2)+(1))+(1)))=("F"),"false"),B2,F137),F137))</f>
        <v>#VALUE!</v>
      </c>
      <c r="G137" t="e">
        <f ca="1">IF((A1)=(2),"",IF((134)=(G3),IF(IF((INDEX(B1:XFD1,((A2)+(1))+(0)))=("store"),(INDEX(B1:XFD1,((A2)+(1))+(1)))=("G"),"false"),B2,G137),G137))</f>
        <v>#VALUE!</v>
      </c>
      <c r="H137" t="e">
        <f ca="1">IF((A1)=(2),"",IF((134)=(H3),IF(IF((INDEX(B1:XFD1,((A2)+(1))+(0)))=("store"),(INDEX(B1:XFD1,((A2)+(1))+(1)))=("H"),"false"),B2,H137),H137))</f>
        <v>#VALUE!</v>
      </c>
      <c r="I137" t="e">
        <f ca="1">IF((A1)=(2),"",IF((134)=(I3),IF(IF((INDEX(B1:XFD1,((A2)+(1))+(0)))=("store"),(INDEX(B1:XFD1,((A2)+(1))+(1)))=("I"),"false"),B2,I137),I137))</f>
        <v>#VALUE!</v>
      </c>
      <c r="J137" t="e">
        <f ca="1">IF((A1)=(2),"",IF((134)=(J3),IF(IF((INDEX(B1:XFD1,((A2)+(1))+(0)))=("store"),(INDEX(B1:XFD1,((A2)+(1))+(1)))=("J"),"false"),B2,J137),J137))</f>
        <v>#VALUE!</v>
      </c>
      <c r="K137" t="e">
        <f ca="1">IF((A1)=(2),"",IF((134)=(K3),IF(IF((INDEX(B1:XFD1,((A2)+(1))+(0)))=("store"),(INDEX(B1:XFD1,((A2)+(1))+(1)))=("K"),"false"),B2,K137),K137))</f>
        <v>#VALUE!</v>
      </c>
      <c r="L137" t="e">
        <f ca="1">IF((A1)=(2),"",IF((134)=(L3),IF(IF((INDEX(B1:XFD1,((A2)+(1))+(0)))=("store"),(INDEX(B1:XFD1,((A2)+(1))+(1)))=("L"),"false"),B2,L137),L137))</f>
        <v>#VALUE!</v>
      </c>
      <c r="M137" t="e">
        <f ca="1">IF((A1)=(2),"",IF((134)=(M3),IF(IF((INDEX(B1:XFD1,((A2)+(1))+(0)))=("store"),(INDEX(B1:XFD1,((A2)+(1))+(1)))=("M"),"false"),B2,M137),M137))</f>
        <v>#VALUE!</v>
      </c>
      <c r="N137" t="e">
        <f ca="1">IF((A1)=(2),"",IF((134)=(N3),IF(IF((INDEX(B1:XFD1,((A2)+(1))+(0)))=("store"),(INDEX(B1:XFD1,((A2)+(1))+(1)))=("N"),"false"),B2,N137),N137))</f>
        <v>#VALUE!</v>
      </c>
      <c r="O137" t="e">
        <f ca="1">IF((A1)=(2),"",IF((134)=(O3),IF(IF((INDEX(B1:XFD1,((A2)+(1))+(0)))=("store"),(INDEX(B1:XFD1,((A2)+(1))+(1)))=("O"),"false"),B2,O137),O137))</f>
        <v>#VALUE!</v>
      </c>
      <c r="P137" t="e">
        <f ca="1">IF((A1)=(2),"",IF((134)=(P3),IF(IF((INDEX(B1:XFD1,((A2)+(1))+(0)))=("store"),(INDEX(B1:XFD1,((A2)+(1))+(1)))=("P"),"false"),B2,P137),P137))</f>
        <v>#VALUE!</v>
      </c>
      <c r="Q137" t="e">
        <f ca="1">IF((A1)=(2),"",IF((134)=(Q3),IF(IF((INDEX(B1:XFD1,((A2)+(1))+(0)))=("store"),(INDEX(B1:XFD1,((A2)+(1))+(1)))=("Q"),"false"),B2,Q137),Q137))</f>
        <v>#VALUE!</v>
      </c>
      <c r="R137" t="e">
        <f ca="1">IF((A1)=(2),"",IF((134)=(R3),IF(IF((INDEX(B1:XFD1,((A2)+(1))+(0)))=("store"),(INDEX(B1:XFD1,((A2)+(1))+(1)))=("R"),"false"),B2,R137),R137))</f>
        <v>#VALUE!</v>
      </c>
      <c r="S137" t="e">
        <f ca="1">IF((A1)=(2),"",IF((134)=(S3),IF(IF((INDEX(B1:XFD1,((A2)+(1))+(0)))=("store"),(INDEX(B1:XFD1,((A2)+(1))+(1)))=("S"),"false"),B2,S137),S137))</f>
        <v>#VALUE!</v>
      </c>
      <c r="T137" t="e">
        <f ca="1">IF((A1)=(2),"",IF((134)=(T3),IF(IF((INDEX(B1:XFD1,((A2)+(1))+(0)))=("store"),(INDEX(B1:XFD1,((A2)+(1))+(1)))=("T"),"false"),B2,T137),T137))</f>
        <v>#VALUE!</v>
      </c>
      <c r="U137" t="e">
        <f ca="1">IF((A1)=(2),"",IF((134)=(U3),IF(IF((INDEX(B1:XFD1,((A2)+(1))+(0)))=("store"),(INDEX(B1:XFD1,((A2)+(1))+(1)))=("U"),"false"),B2,U137),U137))</f>
        <v>#VALUE!</v>
      </c>
      <c r="V137" t="e">
        <f ca="1">IF((A1)=(2),"",IF((134)=(V3),IF(IF((INDEX(B1:XFD1,((A2)+(1))+(0)))=("store"),(INDEX(B1:XFD1,((A2)+(1))+(1)))=("V"),"false"),B2,V137),V137))</f>
        <v>#VALUE!</v>
      </c>
      <c r="W137" t="e">
        <f ca="1">IF((A1)=(2),"",IF((134)=(W3),IF(IF((INDEX(B1:XFD1,((A2)+(1))+(0)))=("store"),(INDEX(B1:XFD1,((A2)+(1))+(1)))=("W"),"false"),B2,W137),W137))</f>
        <v>#VALUE!</v>
      </c>
      <c r="X137" t="e">
        <f ca="1">IF((A1)=(2),"",IF((134)=(X3),IF(IF((INDEX(B1:XFD1,((A2)+(1))+(0)))=("store"),(INDEX(B1:XFD1,((A2)+(1))+(1)))=("X"),"false"),B2,X137),X137))</f>
        <v>#VALUE!</v>
      </c>
      <c r="Y137" t="e">
        <f ca="1">IF((A1)=(2),"",IF((134)=(Y3),IF(IF((INDEX(B1:XFD1,((A2)+(1))+(0)))=("store"),(INDEX(B1:XFD1,((A2)+(1))+(1)))=("Y"),"false"),B2,Y137),Y137))</f>
        <v>#VALUE!</v>
      </c>
      <c r="Z137" t="e">
        <f ca="1">IF((A1)=(2),"",IF((134)=(Z3),IF(IF((INDEX(B1:XFD1,((A2)+(1))+(0)))=("store"),(INDEX(B1:XFD1,((A2)+(1))+(1)))=("Z"),"false"),B2,Z137),Z137))</f>
        <v>#VALUE!</v>
      </c>
      <c r="AA137" t="e">
        <f ca="1">IF((A1)=(2),"",IF((134)=(AA3),IF(IF((INDEX(B1:XFD1,((A2)+(1))+(0)))=("store"),(INDEX(B1:XFD1,((A2)+(1))+(1)))=("AA"),"false"),B2,AA137),AA137))</f>
        <v>#VALUE!</v>
      </c>
      <c r="AB137" t="e">
        <f ca="1">IF((A1)=(2),"",IF((134)=(AB3),IF(IF((INDEX(B1:XFD1,((A2)+(1))+(0)))=("store"),(INDEX(B1:XFD1,((A2)+(1))+(1)))=("AB"),"false"),B2,AB137),AB137))</f>
        <v>#VALUE!</v>
      </c>
      <c r="AC137" t="e">
        <f ca="1">IF((A1)=(2),"",IF((134)=(AC3),IF(IF((INDEX(B1:XFD1,((A2)+(1))+(0)))=("store"),(INDEX(B1:XFD1,((A2)+(1))+(1)))=("AC"),"false"),B2,AC137),AC137))</f>
        <v>#VALUE!</v>
      </c>
      <c r="AD137" t="e">
        <f ca="1">IF((A1)=(2),"",IF((134)=(AD3),IF(IF((INDEX(B1:XFD1,((A2)+(1))+(0)))=("store"),(INDEX(B1:XFD1,((A2)+(1))+(1)))=("AD"),"false"),B2,AD137),AD137))</f>
        <v>#VALUE!</v>
      </c>
    </row>
    <row r="138" spans="1:30" x14ac:dyDescent="0.25">
      <c r="A138" t="e">
        <f ca="1">IF((A1)=(2),"",IF((135)=(A3),IF(("call")=(INDEX(B1:XFD1,((A2)+(1))+(0))),(B2)*(2),IF(("goto")=(INDEX(B1:XFD1,((A2)+(1))+(0))),(INDEX(B1:XFD1,((A2)+(1))+(1)))*(2),IF(("gotoiftrue")=(INDEX(B1:XFD1,((A2)+(1))+(0))),IF(B2,(INDEX(B1:XFD1,((A2)+(1))+(1)))*(2),(A138)+(2)),(A138)+(2)))),A138))</f>
        <v>#VALUE!</v>
      </c>
      <c r="B138" t="e">
        <f ca="1">IF((A1)=(2),"",IF((135)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138)+(1)),IF(("add")=(INDEX(B1:XFD1,((A2)+(1))+(0))),(INDEX(B4:B404,(B3)+(1)))+(B138),IF(("equals")=(INDEX(B1:XFD1,((A2)+(1))+(0))),(INDEX(B4:B404,(B3)+(1)))=(B138),IF(("leq")=(INDEX(B1:XFD1,((A2)+(1))+(0))),(INDEX(B4:B404,(B3)+(1)))&lt;=(B138),IF(("greater")=(INDEX(B1:XFD1,((A2)+(1))+(0))),(INDEX(B4:B404,(B3)+(1)))&gt;(B138),IF(("mod")=(INDEX(B1:XFD1,((A2)+(1))+(0))),MOD(INDEX(B4:B404,(B3)+(1)),B138),B138))))))))),B138))</f>
        <v>#VALUE!</v>
      </c>
      <c r="C138" t="e">
        <f ca="1">IF((A1)=(2),1,IF(AND((INDEX(B1:XFD1,((A2)+(1))+(0)))=("writeheap"),(INDEX(B4:B404,(B3)+(1)))=(134)),INDEX(B4:B404,(B3)+(2)),IF((A1)=(2),"",IF((135)=(C3),C138,C138))))</f>
        <v>#VALUE!</v>
      </c>
      <c r="E138" t="e">
        <f ca="1">IF((A1)=(2),"",IF((135)=(E3),IF(("outputline")=(INDEX(B1:XFD1,((A2)+(1))+(0))),B2,E138),E138))</f>
        <v>#VALUE!</v>
      </c>
      <c r="F138" t="e">
        <f ca="1">IF((A1)=(2),"",IF((135)=(F3),IF(IF((INDEX(B1:XFD1,((A2)+(1))+(0)))=("store"),(INDEX(B1:XFD1,((A2)+(1))+(1)))=("F"),"false"),B2,F138),F138))</f>
        <v>#VALUE!</v>
      </c>
      <c r="G138" t="e">
        <f ca="1">IF((A1)=(2),"",IF((135)=(G3),IF(IF((INDEX(B1:XFD1,((A2)+(1))+(0)))=("store"),(INDEX(B1:XFD1,((A2)+(1))+(1)))=("G"),"false"),B2,G138),G138))</f>
        <v>#VALUE!</v>
      </c>
      <c r="H138" t="e">
        <f ca="1">IF((A1)=(2),"",IF((135)=(H3),IF(IF((INDEX(B1:XFD1,((A2)+(1))+(0)))=("store"),(INDEX(B1:XFD1,((A2)+(1))+(1)))=("H"),"false"),B2,H138),H138))</f>
        <v>#VALUE!</v>
      </c>
      <c r="I138" t="e">
        <f ca="1">IF((A1)=(2),"",IF((135)=(I3),IF(IF((INDEX(B1:XFD1,((A2)+(1))+(0)))=("store"),(INDEX(B1:XFD1,((A2)+(1))+(1)))=("I"),"false"),B2,I138),I138))</f>
        <v>#VALUE!</v>
      </c>
      <c r="J138" t="e">
        <f ca="1">IF((A1)=(2),"",IF((135)=(J3),IF(IF((INDEX(B1:XFD1,((A2)+(1))+(0)))=("store"),(INDEX(B1:XFD1,((A2)+(1))+(1)))=("J"),"false"),B2,J138),J138))</f>
        <v>#VALUE!</v>
      </c>
      <c r="K138" t="e">
        <f ca="1">IF((A1)=(2),"",IF((135)=(K3),IF(IF((INDEX(B1:XFD1,((A2)+(1))+(0)))=("store"),(INDEX(B1:XFD1,((A2)+(1))+(1)))=("K"),"false"),B2,K138),K138))</f>
        <v>#VALUE!</v>
      </c>
      <c r="L138" t="e">
        <f ca="1">IF((A1)=(2),"",IF((135)=(L3),IF(IF((INDEX(B1:XFD1,((A2)+(1))+(0)))=("store"),(INDEX(B1:XFD1,((A2)+(1))+(1)))=("L"),"false"),B2,L138),L138))</f>
        <v>#VALUE!</v>
      </c>
      <c r="M138" t="e">
        <f ca="1">IF((A1)=(2),"",IF((135)=(M3),IF(IF((INDEX(B1:XFD1,((A2)+(1))+(0)))=("store"),(INDEX(B1:XFD1,((A2)+(1))+(1)))=("M"),"false"),B2,M138),M138))</f>
        <v>#VALUE!</v>
      </c>
      <c r="N138" t="e">
        <f ca="1">IF((A1)=(2),"",IF((135)=(N3),IF(IF((INDEX(B1:XFD1,((A2)+(1))+(0)))=("store"),(INDEX(B1:XFD1,((A2)+(1))+(1)))=("N"),"false"),B2,N138),N138))</f>
        <v>#VALUE!</v>
      </c>
      <c r="O138" t="e">
        <f ca="1">IF((A1)=(2),"",IF((135)=(O3),IF(IF((INDEX(B1:XFD1,((A2)+(1))+(0)))=("store"),(INDEX(B1:XFD1,((A2)+(1))+(1)))=("O"),"false"),B2,O138),O138))</f>
        <v>#VALUE!</v>
      </c>
      <c r="P138" t="e">
        <f ca="1">IF((A1)=(2),"",IF((135)=(P3),IF(IF((INDEX(B1:XFD1,((A2)+(1))+(0)))=("store"),(INDEX(B1:XFD1,((A2)+(1))+(1)))=("P"),"false"),B2,P138),P138))</f>
        <v>#VALUE!</v>
      </c>
      <c r="Q138" t="e">
        <f ca="1">IF((A1)=(2),"",IF((135)=(Q3),IF(IF((INDEX(B1:XFD1,((A2)+(1))+(0)))=("store"),(INDEX(B1:XFD1,((A2)+(1))+(1)))=("Q"),"false"),B2,Q138),Q138))</f>
        <v>#VALUE!</v>
      </c>
      <c r="R138" t="e">
        <f ca="1">IF((A1)=(2),"",IF((135)=(R3),IF(IF((INDEX(B1:XFD1,((A2)+(1))+(0)))=("store"),(INDEX(B1:XFD1,((A2)+(1))+(1)))=("R"),"false"),B2,R138),R138))</f>
        <v>#VALUE!</v>
      </c>
      <c r="S138" t="e">
        <f ca="1">IF((A1)=(2),"",IF((135)=(S3),IF(IF((INDEX(B1:XFD1,((A2)+(1))+(0)))=("store"),(INDEX(B1:XFD1,((A2)+(1))+(1)))=("S"),"false"),B2,S138),S138))</f>
        <v>#VALUE!</v>
      </c>
      <c r="T138" t="e">
        <f ca="1">IF((A1)=(2),"",IF((135)=(T3),IF(IF((INDEX(B1:XFD1,((A2)+(1))+(0)))=("store"),(INDEX(B1:XFD1,((A2)+(1))+(1)))=("T"),"false"),B2,T138),T138))</f>
        <v>#VALUE!</v>
      </c>
      <c r="U138" t="e">
        <f ca="1">IF((A1)=(2),"",IF((135)=(U3),IF(IF((INDEX(B1:XFD1,((A2)+(1))+(0)))=("store"),(INDEX(B1:XFD1,((A2)+(1))+(1)))=("U"),"false"),B2,U138),U138))</f>
        <v>#VALUE!</v>
      </c>
      <c r="V138" t="e">
        <f ca="1">IF((A1)=(2),"",IF((135)=(V3),IF(IF((INDEX(B1:XFD1,((A2)+(1))+(0)))=("store"),(INDEX(B1:XFD1,((A2)+(1))+(1)))=("V"),"false"),B2,V138),V138))</f>
        <v>#VALUE!</v>
      </c>
      <c r="W138" t="e">
        <f ca="1">IF((A1)=(2),"",IF((135)=(W3),IF(IF((INDEX(B1:XFD1,((A2)+(1))+(0)))=("store"),(INDEX(B1:XFD1,((A2)+(1))+(1)))=("W"),"false"),B2,W138),W138))</f>
        <v>#VALUE!</v>
      </c>
      <c r="X138" t="e">
        <f ca="1">IF((A1)=(2),"",IF((135)=(X3),IF(IF((INDEX(B1:XFD1,((A2)+(1))+(0)))=("store"),(INDEX(B1:XFD1,((A2)+(1))+(1)))=("X"),"false"),B2,X138),X138))</f>
        <v>#VALUE!</v>
      </c>
      <c r="Y138" t="e">
        <f ca="1">IF((A1)=(2),"",IF((135)=(Y3),IF(IF((INDEX(B1:XFD1,((A2)+(1))+(0)))=("store"),(INDEX(B1:XFD1,((A2)+(1))+(1)))=("Y"),"false"),B2,Y138),Y138))</f>
        <v>#VALUE!</v>
      </c>
      <c r="Z138" t="e">
        <f ca="1">IF((A1)=(2),"",IF((135)=(Z3),IF(IF((INDEX(B1:XFD1,((A2)+(1))+(0)))=("store"),(INDEX(B1:XFD1,((A2)+(1))+(1)))=("Z"),"false"),B2,Z138),Z138))</f>
        <v>#VALUE!</v>
      </c>
      <c r="AA138" t="e">
        <f ca="1">IF((A1)=(2),"",IF((135)=(AA3),IF(IF((INDEX(B1:XFD1,((A2)+(1))+(0)))=("store"),(INDEX(B1:XFD1,((A2)+(1))+(1)))=("AA"),"false"),B2,AA138),AA138))</f>
        <v>#VALUE!</v>
      </c>
      <c r="AB138" t="e">
        <f ca="1">IF((A1)=(2),"",IF((135)=(AB3),IF(IF((INDEX(B1:XFD1,((A2)+(1))+(0)))=("store"),(INDEX(B1:XFD1,((A2)+(1))+(1)))=("AB"),"false"),B2,AB138),AB138))</f>
        <v>#VALUE!</v>
      </c>
      <c r="AC138" t="e">
        <f ca="1">IF((A1)=(2),"",IF((135)=(AC3),IF(IF((INDEX(B1:XFD1,((A2)+(1))+(0)))=("store"),(INDEX(B1:XFD1,((A2)+(1))+(1)))=("AC"),"false"),B2,AC138),AC138))</f>
        <v>#VALUE!</v>
      </c>
      <c r="AD138" t="e">
        <f ca="1">IF((A1)=(2),"",IF((135)=(AD3),IF(IF((INDEX(B1:XFD1,((A2)+(1))+(0)))=("store"),(INDEX(B1:XFD1,((A2)+(1))+(1)))=("AD"),"false"),B2,AD138),AD138))</f>
        <v>#VALUE!</v>
      </c>
    </row>
    <row r="139" spans="1:30" x14ac:dyDescent="0.25">
      <c r="A139" t="e">
        <f ca="1">IF((A1)=(2),"",IF((136)=(A3),IF(("call")=(INDEX(B1:XFD1,((A2)+(1))+(0))),(B2)*(2),IF(("goto")=(INDEX(B1:XFD1,((A2)+(1))+(0))),(INDEX(B1:XFD1,((A2)+(1))+(1)))*(2),IF(("gotoiftrue")=(INDEX(B1:XFD1,((A2)+(1))+(0))),IF(B2,(INDEX(B1:XFD1,((A2)+(1))+(1)))*(2),(A139)+(2)),(A139)+(2)))),A139))</f>
        <v>#VALUE!</v>
      </c>
      <c r="B139" t="e">
        <f ca="1">IF((A1)=(2),"",IF((136)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139)+(1)),IF(("add")=(INDEX(B1:XFD1,((A2)+(1))+(0))),(INDEX(B4:B404,(B3)+(1)))+(B139),IF(("equals")=(INDEX(B1:XFD1,((A2)+(1))+(0))),(INDEX(B4:B404,(B3)+(1)))=(B139),IF(("leq")=(INDEX(B1:XFD1,((A2)+(1))+(0))),(INDEX(B4:B404,(B3)+(1)))&lt;=(B139),IF(("greater")=(INDEX(B1:XFD1,((A2)+(1))+(0))),(INDEX(B4:B404,(B3)+(1)))&gt;(B139),IF(("mod")=(INDEX(B1:XFD1,((A2)+(1))+(0))),MOD(INDEX(B4:B404,(B3)+(1)),B139),B139))))))))),B139))</f>
        <v>#VALUE!</v>
      </c>
      <c r="C139" t="e">
        <f ca="1">IF((A1)=(2),1,IF(AND((INDEX(B1:XFD1,((A2)+(1))+(0)))=("writeheap"),(INDEX(B4:B404,(B3)+(1)))=(135)),INDEX(B4:B404,(B3)+(2)),IF((A1)=(2),"",IF((136)=(C3),C139,C139))))</f>
        <v>#VALUE!</v>
      </c>
      <c r="E139" t="e">
        <f ca="1">IF((A1)=(2),"",IF((136)=(E3),IF(("outputline")=(INDEX(B1:XFD1,((A2)+(1))+(0))),B2,E139),E139))</f>
        <v>#VALUE!</v>
      </c>
      <c r="F139" t="e">
        <f ca="1">IF((A1)=(2),"",IF((136)=(F3),IF(IF((INDEX(B1:XFD1,((A2)+(1))+(0)))=("store"),(INDEX(B1:XFD1,((A2)+(1))+(1)))=("F"),"false"),B2,F139),F139))</f>
        <v>#VALUE!</v>
      </c>
      <c r="G139" t="e">
        <f ca="1">IF((A1)=(2),"",IF((136)=(G3),IF(IF((INDEX(B1:XFD1,((A2)+(1))+(0)))=("store"),(INDEX(B1:XFD1,((A2)+(1))+(1)))=("G"),"false"),B2,G139),G139))</f>
        <v>#VALUE!</v>
      </c>
      <c r="H139" t="e">
        <f ca="1">IF((A1)=(2),"",IF((136)=(H3),IF(IF((INDEX(B1:XFD1,((A2)+(1))+(0)))=("store"),(INDEX(B1:XFD1,((A2)+(1))+(1)))=("H"),"false"),B2,H139),H139))</f>
        <v>#VALUE!</v>
      </c>
      <c r="I139" t="e">
        <f ca="1">IF((A1)=(2),"",IF((136)=(I3),IF(IF((INDEX(B1:XFD1,((A2)+(1))+(0)))=("store"),(INDEX(B1:XFD1,((A2)+(1))+(1)))=("I"),"false"),B2,I139),I139))</f>
        <v>#VALUE!</v>
      </c>
      <c r="J139" t="e">
        <f ca="1">IF((A1)=(2),"",IF((136)=(J3),IF(IF((INDEX(B1:XFD1,((A2)+(1))+(0)))=("store"),(INDEX(B1:XFD1,((A2)+(1))+(1)))=("J"),"false"),B2,J139),J139))</f>
        <v>#VALUE!</v>
      </c>
      <c r="K139" t="e">
        <f ca="1">IF((A1)=(2),"",IF((136)=(K3),IF(IF((INDEX(B1:XFD1,((A2)+(1))+(0)))=("store"),(INDEX(B1:XFD1,((A2)+(1))+(1)))=("K"),"false"),B2,K139),K139))</f>
        <v>#VALUE!</v>
      </c>
      <c r="L139" t="e">
        <f ca="1">IF((A1)=(2),"",IF((136)=(L3),IF(IF((INDEX(B1:XFD1,((A2)+(1))+(0)))=("store"),(INDEX(B1:XFD1,((A2)+(1))+(1)))=("L"),"false"),B2,L139),L139))</f>
        <v>#VALUE!</v>
      </c>
      <c r="M139" t="e">
        <f ca="1">IF((A1)=(2),"",IF((136)=(M3),IF(IF((INDEX(B1:XFD1,((A2)+(1))+(0)))=("store"),(INDEX(B1:XFD1,((A2)+(1))+(1)))=("M"),"false"),B2,M139),M139))</f>
        <v>#VALUE!</v>
      </c>
      <c r="N139" t="e">
        <f ca="1">IF((A1)=(2),"",IF((136)=(N3),IF(IF((INDEX(B1:XFD1,((A2)+(1))+(0)))=("store"),(INDEX(B1:XFD1,((A2)+(1))+(1)))=("N"),"false"),B2,N139),N139))</f>
        <v>#VALUE!</v>
      </c>
      <c r="O139" t="e">
        <f ca="1">IF((A1)=(2),"",IF((136)=(O3),IF(IF((INDEX(B1:XFD1,((A2)+(1))+(0)))=("store"),(INDEX(B1:XFD1,((A2)+(1))+(1)))=("O"),"false"),B2,O139),O139))</f>
        <v>#VALUE!</v>
      </c>
      <c r="P139" t="e">
        <f ca="1">IF((A1)=(2),"",IF((136)=(P3),IF(IF((INDEX(B1:XFD1,((A2)+(1))+(0)))=("store"),(INDEX(B1:XFD1,((A2)+(1))+(1)))=("P"),"false"),B2,P139),P139))</f>
        <v>#VALUE!</v>
      </c>
      <c r="Q139" t="e">
        <f ca="1">IF((A1)=(2),"",IF((136)=(Q3),IF(IF((INDEX(B1:XFD1,((A2)+(1))+(0)))=("store"),(INDEX(B1:XFD1,((A2)+(1))+(1)))=("Q"),"false"),B2,Q139),Q139))</f>
        <v>#VALUE!</v>
      </c>
      <c r="R139" t="e">
        <f ca="1">IF((A1)=(2),"",IF((136)=(R3),IF(IF((INDEX(B1:XFD1,((A2)+(1))+(0)))=("store"),(INDEX(B1:XFD1,((A2)+(1))+(1)))=("R"),"false"),B2,R139),R139))</f>
        <v>#VALUE!</v>
      </c>
      <c r="S139" t="e">
        <f ca="1">IF((A1)=(2),"",IF((136)=(S3),IF(IF((INDEX(B1:XFD1,((A2)+(1))+(0)))=("store"),(INDEX(B1:XFD1,((A2)+(1))+(1)))=("S"),"false"),B2,S139),S139))</f>
        <v>#VALUE!</v>
      </c>
      <c r="T139" t="e">
        <f ca="1">IF((A1)=(2),"",IF((136)=(T3),IF(IF((INDEX(B1:XFD1,((A2)+(1))+(0)))=("store"),(INDEX(B1:XFD1,((A2)+(1))+(1)))=("T"),"false"),B2,T139),T139))</f>
        <v>#VALUE!</v>
      </c>
      <c r="U139" t="e">
        <f ca="1">IF((A1)=(2),"",IF((136)=(U3),IF(IF((INDEX(B1:XFD1,((A2)+(1))+(0)))=("store"),(INDEX(B1:XFD1,((A2)+(1))+(1)))=("U"),"false"),B2,U139),U139))</f>
        <v>#VALUE!</v>
      </c>
      <c r="V139" t="e">
        <f ca="1">IF((A1)=(2),"",IF((136)=(V3),IF(IF((INDEX(B1:XFD1,((A2)+(1))+(0)))=("store"),(INDEX(B1:XFD1,((A2)+(1))+(1)))=("V"),"false"),B2,V139),V139))</f>
        <v>#VALUE!</v>
      </c>
      <c r="W139" t="e">
        <f ca="1">IF((A1)=(2),"",IF((136)=(W3),IF(IF((INDEX(B1:XFD1,((A2)+(1))+(0)))=("store"),(INDEX(B1:XFD1,((A2)+(1))+(1)))=("W"),"false"),B2,W139),W139))</f>
        <v>#VALUE!</v>
      </c>
      <c r="X139" t="e">
        <f ca="1">IF((A1)=(2),"",IF((136)=(X3),IF(IF((INDEX(B1:XFD1,((A2)+(1))+(0)))=("store"),(INDEX(B1:XFD1,((A2)+(1))+(1)))=("X"),"false"),B2,X139),X139))</f>
        <v>#VALUE!</v>
      </c>
      <c r="Y139" t="e">
        <f ca="1">IF((A1)=(2),"",IF((136)=(Y3),IF(IF((INDEX(B1:XFD1,((A2)+(1))+(0)))=("store"),(INDEX(B1:XFD1,((A2)+(1))+(1)))=("Y"),"false"),B2,Y139),Y139))</f>
        <v>#VALUE!</v>
      </c>
      <c r="Z139" t="e">
        <f ca="1">IF((A1)=(2),"",IF((136)=(Z3),IF(IF((INDEX(B1:XFD1,((A2)+(1))+(0)))=("store"),(INDEX(B1:XFD1,((A2)+(1))+(1)))=("Z"),"false"),B2,Z139),Z139))</f>
        <v>#VALUE!</v>
      </c>
      <c r="AA139" t="e">
        <f ca="1">IF((A1)=(2),"",IF((136)=(AA3),IF(IF((INDEX(B1:XFD1,((A2)+(1))+(0)))=("store"),(INDEX(B1:XFD1,((A2)+(1))+(1)))=("AA"),"false"),B2,AA139),AA139))</f>
        <v>#VALUE!</v>
      </c>
      <c r="AB139" t="e">
        <f ca="1">IF((A1)=(2),"",IF((136)=(AB3),IF(IF((INDEX(B1:XFD1,((A2)+(1))+(0)))=("store"),(INDEX(B1:XFD1,((A2)+(1))+(1)))=("AB"),"false"),B2,AB139),AB139))</f>
        <v>#VALUE!</v>
      </c>
      <c r="AC139" t="e">
        <f ca="1">IF((A1)=(2),"",IF((136)=(AC3),IF(IF((INDEX(B1:XFD1,((A2)+(1))+(0)))=("store"),(INDEX(B1:XFD1,((A2)+(1))+(1)))=("AC"),"false"),B2,AC139),AC139))</f>
        <v>#VALUE!</v>
      </c>
      <c r="AD139" t="e">
        <f ca="1">IF((A1)=(2),"",IF((136)=(AD3),IF(IF((INDEX(B1:XFD1,((A2)+(1))+(0)))=("store"),(INDEX(B1:XFD1,((A2)+(1))+(1)))=("AD"),"false"),B2,AD139),AD139))</f>
        <v>#VALUE!</v>
      </c>
    </row>
    <row r="140" spans="1:30" x14ac:dyDescent="0.25">
      <c r="A140" t="e">
        <f ca="1">IF((A1)=(2),"",IF((137)=(A3),IF(("call")=(INDEX(B1:XFD1,((A2)+(1))+(0))),(B2)*(2),IF(("goto")=(INDEX(B1:XFD1,((A2)+(1))+(0))),(INDEX(B1:XFD1,((A2)+(1))+(1)))*(2),IF(("gotoiftrue")=(INDEX(B1:XFD1,((A2)+(1))+(0))),IF(B2,(INDEX(B1:XFD1,((A2)+(1))+(1)))*(2),(A140)+(2)),(A140)+(2)))),A140))</f>
        <v>#VALUE!</v>
      </c>
      <c r="B140" t="e">
        <f ca="1">IF((A1)=(2),"",IF((137)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140)+(1)),IF(("add")=(INDEX(B1:XFD1,((A2)+(1))+(0))),(INDEX(B4:B404,(B3)+(1)))+(B140),IF(("equals")=(INDEX(B1:XFD1,((A2)+(1))+(0))),(INDEX(B4:B404,(B3)+(1)))=(B140),IF(("leq")=(INDEX(B1:XFD1,((A2)+(1))+(0))),(INDEX(B4:B404,(B3)+(1)))&lt;=(B140),IF(("greater")=(INDEX(B1:XFD1,((A2)+(1))+(0))),(INDEX(B4:B404,(B3)+(1)))&gt;(B140),IF(("mod")=(INDEX(B1:XFD1,((A2)+(1))+(0))),MOD(INDEX(B4:B404,(B3)+(1)),B140),B140))))))))),B140))</f>
        <v>#VALUE!</v>
      </c>
      <c r="C140" t="e">
        <f ca="1">IF((A1)=(2),1,IF(AND((INDEX(B1:XFD1,((A2)+(1))+(0)))=("writeheap"),(INDEX(B4:B404,(B3)+(1)))=(136)),INDEX(B4:B404,(B3)+(2)),IF((A1)=(2),"",IF((137)=(C3),C140,C140))))</f>
        <v>#VALUE!</v>
      </c>
      <c r="E140" t="e">
        <f ca="1">IF((A1)=(2),"",IF((137)=(E3),IF(("outputline")=(INDEX(B1:XFD1,((A2)+(1))+(0))),B2,E140),E140))</f>
        <v>#VALUE!</v>
      </c>
      <c r="F140" t="e">
        <f ca="1">IF((A1)=(2),"",IF((137)=(F3),IF(IF((INDEX(B1:XFD1,((A2)+(1))+(0)))=("store"),(INDEX(B1:XFD1,((A2)+(1))+(1)))=("F"),"false"),B2,F140),F140))</f>
        <v>#VALUE!</v>
      </c>
      <c r="G140" t="e">
        <f ca="1">IF((A1)=(2),"",IF((137)=(G3),IF(IF((INDEX(B1:XFD1,((A2)+(1))+(0)))=("store"),(INDEX(B1:XFD1,((A2)+(1))+(1)))=("G"),"false"),B2,G140),G140))</f>
        <v>#VALUE!</v>
      </c>
      <c r="H140" t="e">
        <f ca="1">IF((A1)=(2),"",IF((137)=(H3),IF(IF((INDEX(B1:XFD1,((A2)+(1))+(0)))=("store"),(INDEX(B1:XFD1,((A2)+(1))+(1)))=("H"),"false"),B2,H140),H140))</f>
        <v>#VALUE!</v>
      </c>
      <c r="I140" t="e">
        <f ca="1">IF((A1)=(2),"",IF((137)=(I3),IF(IF((INDEX(B1:XFD1,((A2)+(1))+(0)))=("store"),(INDEX(B1:XFD1,((A2)+(1))+(1)))=("I"),"false"),B2,I140),I140))</f>
        <v>#VALUE!</v>
      </c>
      <c r="J140" t="e">
        <f ca="1">IF((A1)=(2),"",IF((137)=(J3),IF(IF((INDEX(B1:XFD1,((A2)+(1))+(0)))=("store"),(INDEX(B1:XFD1,((A2)+(1))+(1)))=("J"),"false"),B2,J140),J140))</f>
        <v>#VALUE!</v>
      </c>
      <c r="K140" t="e">
        <f ca="1">IF((A1)=(2),"",IF((137)=(K3),IF(IF((INDEX(B1:XFD1,((A2)+(1))+(0)))=("store"),(INDEX(B1:XFD1,((A2)+(1))+(1)))=("K"),"false"),B2,K140),K140))</f>
        <v>#VALUE!</v>
      </c>
      <c r="L140" t="e">
        <f ca="1">IF((A1)=(2),"",IF((137)=(L3),IF(IF((INDEX(B1:XFD1,((A2)+(1))+(0)))=("store"),(INDEX(B1:XFD1,((A2)+(1))+(1)))=("L"),"false"),B2,L140),L140))</f>
        <v>#VALUE!</v>
      </c>
      <c r="M140" t="e">
        <f ca="1">IF((A1)=(2),"",IF((137)=(M3),IF(IF((INDEX(B1:XFD1,((A2)+(1))+(0)))=("store"),(INDEX(B1:XFD1,((A2)+(1))+(1)))=("M"),"false"),B2,M140),M140))</f>
        <v>#VALUE!</v>
      </c>
      <c r="N140" t="e">
        <f ca="1">IF((A1)=(2),"",IF((137)=(N3),IF(IF((INDEX(B1:XFD1,((A2)+(1))+(0)))=("store"),(INDEX(B1:XFD1,((A2)+(1))+(1)))=("N"),"false"),B2,N140),N140))</f>
        <v>#VALUE!</v>
      </c>
      <c r="O140" t="e">
        <f ca="1">IF((A1)=(2),"",IF((137)=(O3),IF(IF((INDEX(B1:XFD1,((A2)+(1))+(0)))=("store"),(INDEX(B1:XFD1,((A2)+(1))+(1)))=("O"),"false"),B2,O140),O140))</f>
        <v>#VALUE!</v>
      </c>
      <c r="P140" t="e">
        <f ca="1">IF((A1)=(2),"",IF((137)=(P3),IF(IF((INDEX(B1:XFD1,((A2)+(1))+(0)))=("store"),(INDEX(B1:XFD1,((A2)+(1))+(1)))=("P"),"false"),B2,P140),P140))</f>
        <v>#VALUE!</v>
      </c>
      <c r="Q140" t="e">
        <f ca="1">IF((A1)=(2),"",IF((137)=(Q3),IF(IF((INDEX(B1:XFD1,((A2)+(1))+(0)))=("store"),(INDEX(B1:XFD1,((A2)+(1))+(1)))=("Q"),"false"),B2,Q140),Q140))</f>
        <v>#VALUE!</v>
      </c>
      <c r="R140" t="e">
        <f ca="1">IF((A1)=(2),"",IF((137)=(R3),IF(IF((INDEX(B1:XFD1,((A2)+(1))+(0)))=("store"),(INDEX(B1:XFD1,((A2)+(1))+(1)))=("R"),"false"),B2,R140),R140))</f>
        <v>#VALUE!</v>
      </c>
      <c r="S140" t="e">
        <f ca="1">IF((A1)=(2),"",IF((137)=(S3),IF(IF((INDEX(B1:XFD1,((A2)+(1))+(0)))=("store"),(INDEX(B1:XFD1,((A2)+(1))+(1)))=("S"),"false"),B2,S140),S140))</f>
        <v>#VALUE!</v>
      </c>
      <c r="T140" t="e">
        <f ca="1">IF((A1)=(2),"",IF((137)=(T3),IF(IF((INDEX(B1:XFD1,((A2)+(1))+(0)))=("store"),(INDEX(B1:XFD1,((A2)+(1))+(1)))=("T"),"false"),B2,T140),T140))</f>
        <v>#VALUE!</v>
      </c>
      <c r="U140" t="e">
        <f ca="1">IF((A1)=(2),"",IF((137)=(U3),IF(IF((INDEX(B1:XFD1,((A2)+(1))+(0)))=("store"),(INDEX(B1:XFD1,((A2)+(1))+(1)))=("U"),"false"),B2,U140),U140))</f>
        <v>#VALUE!</v>
      </c>
      <c r="V140" t="e">
        <f ca="1">IF((A1)=(2),"",IF((137)=(V3),IF(IF((INDEX(B1:XFD1,((A2)+(1))+(0)))=("store"),(INDEX(B1:XFD1,((A2)+(1))+(1)))=("V"),"false"),B2,V140),V140))</f>
        <v>#VALUE!</v>
      </c>
      <c r="W140" t="e">
        <f ca="1">IF((A1)=(2),"",IF((137)=(W3),IF(IF((INDEX(B1:XFD1,((A2)+(1))+(0)))=("store"),(INDEX(B1:XFD1,((A2)+(1))+(1)))=("W"),"false"),B2,W140),W140))</f>
        <v>#VALUE!</v>
      </c>
      <c r="X140" t="e">
        <f ca="1">IF((A1)=(2),"",IF((137)=(X3),IF(IF((INDEX(B1:XFD1,((A2)+(1))+(0)))=("store"),(INDEX(B1:XFD1,((A2)+(1))+(1)))=("X"),"false"),B2,X140),X140))</f>
        <v>#VALUE!</v>
      </c>
      <c r="Y140" t="e">
        <f ca="1">IF((A1)=(2),"",IF((137)=(Y3),IF(IF((INDEX(B1:XFD1,((A2)+(1))+(0)))=("store"),(INDEX(B1:XFD1,((A2)+(1))+(1)))=("Y"),"false"),B2,Y140),Y140))</f>
        <v>#VALUE!</v>
      </c>
      <c r="Z140" t="e">
        <f ca="1">IF((A1)=(2),"",IF((137)=(Z3),IF(IF((INDEX(B1:XFD1,((A2)+(1))+(0)))=("store"),(INDEX(B1:XFD1,((A2)+(1))+(1)))=("Z"),"false"),B2,Z140),Z140))</f>
        <v>#VALUE!</v>
      </c>
      <c r="AA140" t="e">
        <f ca="1">IF((A1)=(2),"",IF((137)=(AA3),IF(IF((INDEX(B1:XFD1,((A2)+(1))+(0)))=("store"),(INDEX(B1:XFD1,((A2)+(1))+(1)))=("AA"),"false"),B2,AA140),AA140))</f>
        <v>#VALUE!</v>
      </c>
      <c r="AB140" t="e">
        <f ca="1">IF((A1)=(2),"",IF((137)=(AB3),IF(IF((INDEX(B1:XFD1,((A2)+(1))+(0)))=("store"),(INDEX(B1:XFD1,((A2)+(1))+(1)))=("AB"),"false"),B2,AB140),AB140))</f>
        <v>#VALUE!</v>
      </c>
      <c r="AC140" t="e">
        <f ca="1">IF((A1)=(2),"",IF((137)=(AC3),IF(IF((INDEX(B1:XFD1,((A2)+(1))+(0)))=("store"),(INDEX(B1:XFD1,((A2)+(1))+(1)))=("AC"),"false"),B2,AC140),AC140))</f>
        <v>#VALUE!</v>
      </c>
      <c r="AD140" t="e">
        <f ca="1">IF((A1)=(2),"",IF((137)=(AD3),IF(IF((INDEX(B1:XFD1,((A2)+(1))+(0)))=("store"),(INDEX(B1:XFD1,((A2)+(1))+(1)))=("AD"),"false"),B2,AD140),AD140))</f>
        <v>#VALUE!</v>
      </c>
    </row>
    <row r="141" spans="1:30" x14ac:dyDescent="0.25">
      <c r="A141" t="e">
        <f ca="1">IF((A1)=(2),"",IF((138)=(A3),IF(("call")=(INDEX(B1:XFD1,((A2)+(1))+(0))),(B2)*(2),IF(("goto")=(INDEX(B1:XFD1,((A2)+(1))+(0))),(INDEX(B1:XFD1,((A2)+(1))+(1)))*(2),IF(("gotoiftrue")=(INDEX(B1:XFD1,((A2)+(1))+(0))),IF(B2,(INDEX(B1:XFD1,((A2)+(1))+(1)))*(2),(A141)+(2)),(A141)+(2)))),A141))</f>
        <v>#VALUE!</v>
      </c>
      <c r="B141" t="e">
        <f ca="1">IF((A1)=(2),"",IF((138)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141)+(1)),IF(("add")=(INDEX(B1:XFD1,((A2)+(1))+(0))),(INDEX(B4:B404,(B3)+(1)))+(B141),IF(("equals")=(INDEX(B1:XFD1,((A2)+(1))+(0))),(INDEX(B4:B404,(B3)+(1)))=(B141),IF(("leq")=(INDEX(B1:XFD1,((A2)+(1))+(0))),(INDEX(B4:B404,(B3)+(1)))&lt;=(B141),IF(("greater")=(INDEX(B1:XFD1,((A2)+(1))+(0))),(INDEX(B4:B404,(B3)+(1)))&gt;(B141),IF(("mod")=(INDEX(B1:XFD1,((A2)+(1))+(0))),MOD(INDEX(B4:B404,(B3)+(1)),B141),B141))))))))),B141))</f>
        <v>#VALUE!</v>
      </c>
      <c r="C141" t="e">
        <f ca="1">IF((A1)=(2),1,IF(AND((INDEX(B1:XFD1,((A2)+(1))+(0)))=("writeheap"),(INDEX(B4:B404,(B3)+(1)))=(137)),INDEX(B4:B404,(B3)+(2)),IF((A1)=(2),"",IF((138)=(C3),C141,C141))))</f>
        <v>#VALUE!</v>
      </c>
      <c r="E141" t="e">
        <f ca="1">IF((A1)=(2),"",IF((138)=(E3),IF(("outputline")=(INDEX(B1:XFD1,((A2)+(1))+(0))),B2,E141),E141))</f>
        <v>#VALUE!</v>
      </c>
      <c r="F141" t="e">
        <f ca="1">IF((A1)=(2),"",IF((138)=(F3),IF(IF((INDEX(B1:XFD1,((A2)+(1))+(0)))=("store"),(INDEX(B1:XFD1,((A2)+(1))+(1)))=("F"),"false"),B2,F141),F141))</f>
        <v>#VALUE!</v>
      </c>
      <c r="G141" t="e">
        <f ca="1">IF((A1)=(2),"",IF((138)=(G3),IF(IF((INDEX(B1:XFD1,((A2)+(1))+(0)))=("store"),(INDEX(B1:XFD1,((A2)+(1))+(1)))=("G"),"false"),B2,G141),G141))</f>
        <v>#VALUE!</v>
      </c>
      <c r="H141" t="e">
        <f ca="1">IF((A1)=(2),"",IF((138)=(H3),IF(IF((INDEX(B1:XFD1,((A2)+(1))+(0)))=("store"),(INDEX(B1:XFD1,((A2)+(1))+(1)))=("H"),"false"),B2,H141),H141))</f>
        <v>#VALUE!</v>
      </c>
      <c r="I141" t="e">
        <f ca="1">IF((A1)=(2),"",IF((138)=(I3),IF(IF((INDEX(B1:XFD1,((A2)+(1))+(0)))=("store"),(INDEX(B1:XFD1,((A2)+(1))+(1)))=("I"),"false"),B2,I141),I141))</f>
        <v>#VALUE!</v>
      </c>
      <c r="J141" t="e">
        <f ca="1">IF((A1)=(2),"",IF((138)=(J3),IF(IF((INDEX(B1:XFD1,((A2)+(1))+(0)))=("store"),(INDEX(B1:XFD1,((A2)+(1))+(1)))=("J"),"false"),B2,J141),J141))</f>
        <v>#VALUE!</v>
      </c>
      <c r="K141" t="e">
        <f ca="1">IF((A1)=(2),"",IF((138)=(K3),IF(IF((INDEX(B1:XFD1,((A2)+(1))+(0)))=("store"),(INDEX(B1:XFD1,((A2)+(1))+(1)))=("K"),"false"),B2,K141),K141))</f>
        <v>#VALUE!</v>
      </c>
      <c r="L141" t="e">
        <f ca="1">IF((A1)=(2),"",IF((138)=(L3),IF(IF((INDEX(B1:XFD1,((A2)+(1))+(0)))=("store"),(INDEX(B1:XFD1,((A2)+(1))+(1)))=("L"),"false"),B2,L141),L141))</f>
        <v>#VALUE!</v>
      </c>
      <c r="M141" t="e">
        <f ca="1">IF((A1)=(2),"",IF((138)=(M3),IF(IF((INDEX(B1:XFD1,((A2)+(1))+(0)))=("store"),(INDEX(B1:XFD1,((A2)+(1))+(1)))=("M"),"false"),B2,M141),M141))</f>
        <v>#VALUE!</v>
      </c>
      <c r="N141" t="e">
        <f ca="1">IF((A1)=(2),"",IF((138)=(N3),IF(IF((INDEX(B1:XFD1,((A2)+(1))+(0)))=("store"),(INDEX(B1:XFD1,((A2)+(1))+(1)))=("N"),"false"),B2,N141),N141))</f>
        <v>#VALUE!</v>
      </c>
      <c r="O141" t="e">
        <f ca="1">IF((A1)=(2),"",IF((138)=(O3),IF(IF((INDEX(B1:XFD1,((A2)+(1))+(0)))=("store"),(INDEX(B1:XFD1,((A2)+(1))+(1)))=("O"),"false"),B2,O141),O141))</f>
        <v>#VALUE!</v>
      </c>
      <c r="P141" t="e">
        <f ca="1">IF((A1)=(2),"",IF((138)=(P3),IF(IF((INDEX(B1:XFD1,((A2)+(1))+(0)))=("store"),(INDEX(B1:XFD1,((A2)+(1))+(1)))=("P"),"false"),B2,P141),P141))</f>
        <v>#VALUE!</v>
      </c>
      <c r="Q141" t="e">
        <f ca="1">IF((A1)=(2),"",IF((138)=(Q3),IF(IF((INDEX(B1:XFD1,((A2)+(1))+(0)))=("store"),(INDEX(B1:XFD1,((A2)+(1))+(1)))=("Q"),"false"),B2,Q141),Q141))</f>
        <v>#VALUE!</v>
      </c>
      <c r="R141" t="e">
        <f ca="1">IF((A1)=(2),"",IF((138)=(R3),IF(IF((INDEX(B1:XFD1,((A2)+(1))+(0)))=("store"),(INDEX(B1:XFD1,((A2)+(1))+(1)))=("R"),"false"),B2,R141),R141))</f>
        <v>#VALUE!</v>
      </c>
      <c r="S141" t="e">
        <f ca="1">IF((A1)=(2),"",IF((138)=(S3),IF(IF((INDEX(B1:XFD1,((A2)+(1))+(0)))=("store"),(INDEX(B1:XFD1,((A2)+(1))+(1)))=("S"),"false"),B2,S141),S141))</f>
        <v>#VALUE!</v>
      </c>
      <c r="T141" t="e">
        <f ca="1">IF((A1)=(2),"",IF((138)=(T3),IF(IF((INDEX(B1:XFD1,((A2)+(1))+(0)))=("store"),(INDEX(B1:XFD1,((A2)+(1))+(1)))=("T"),"false"),B2,T141),T141))</f>
        <v>#VALUE!</v>
      </c>
      <c r="U141" t="e">
        <f ca="1">IF((A1)=(2),"",IF((138)=(U3),IF(IF((INDEX(B1:XFD1,((A2)+(1))+(0)))=("store"),(INDEX(B1:XFD1,((A2)+(1))+(1)))=("U"),"false"),B2,U141),U141))</f>
        <v>#VALUE!</v>
      </c>
      <c r="V141" t="e">
        <f ca="1">IF((A1)=(2),"",IF((138)=(V3),IF(IF((INDEX(B1:XFD1,((A2)+(1))+(0)))=("store"),(INDEX(B1:XFD1,((A2)+(1))+(1)))=("V"),"false"),B2,V141),V141))</f>
        <v>#VALUE!</v>
      </c>
      <c r="W141" t="e">
        <f ca="1">IF((A1)=(2),"",IF((138)=(W3),IF(IF((INDEX(B1:XFD1,((A2)+(1))+(0)))=("store"),(INDEX(B1:XFD1,((A2)+(1))+(1)))=("W"),"false"),B2,W141),W141))</f>
        <v>#VALUE!</v>
      </c>
      <c r="X141" t="e">
        <f ca="1">IF((A1)=(2),"",IF((138)=(X3),IF(IF((INDEX(B1:XFD1,((A2)+(1))+(0)))=("store"),(INDEX(B1:XFD1,((A2)+(1))+(1)))=("X"),"false"),B2,X141),X141))</f>
        <v>#VALUE!</v>
      </c>
      <c r="Y141" t="e">
        <f ca="1">IF((A1)=(2),"",IF((138)=(Y3),IF(IF((INDEX(B1:XFD1,((A2)+(1))+(0)))=("store"),(INDEX(B1:XFD1,((A2)+(1))+(1)))=("Y"),"false"),B2,Y141),Y141))</f>
        <v>#VALUE!</v>
      </c>
      <c r="Z141" t="e">
        <f ca="1">IF((A1)=(2),"",IF((138)=(Z3),IF(IF((INDEX(B1:XFD1,((A2)+(1))+(0)))=("store"),(INDEX(B1:XFD1,((A2)+(1))+(1)))=("Z"),"false"),B2,Z141),Z141))</f>
        <v>#VALUE!</v>
      </c>
      <c r="AA141" t="e">
        <f ca="1">IF((A1)=(2),"",IF((138)=(AA3),IF(IF((INDEX(B1:XFD1,((A2)+(1))+(0)))=("store"),(INDEX(B1:XFD1,((A2)+(1))+(1)))=("AA"),"false"),B2,AA141),AA141))</f>
        <v>#VALUE!</v>
      </c>
      <c r="AB141" t="e">
        <f ca="1">IF((A1)=(2),"",IF((138)=(AB3),IF(IF((INDEX(B1:XFD1,((A2)+(1))+(0)))=("store"),(INDEX(B1:XFD1,((A2)+(1))+(1)))=("AB"),"false"),B2,AB141),AB141))</f>
        <v>#VALUE!</v>
      </c>
      <c r="AC141" t="e">
        <f ca="1">IF((A1)=(2),"",IF((138)=(AC3),IF(IF((INDEX(B1:XFD1,((A2)+(1))+(0)))=("store"),(INDEX(B1:XFD1,((A2)+(1))+(1)))=("AC"),"false"),B2,AC141),AC141))</f>
        <v>#VALUE!</v>
      </c>
      <c r="AD141" t="e">
        <f ca="1">IF((A1)=(2),"",IF((138)=(AD3),IF(IF((INDEX(B1:XFD1,((A2)+(1))+(0)))=("store"),(INDEX(B1:XFD1,((A2)+(1))+(1)))=("AD"),"false"),B2,AD141),AD141))</f>
        <v>#VALUE!</v>
      </c>
    </row>
    <row r="142" spans="1:30" x14ac:dyDescent="0.25">
      <c r="A142" t="e">
        <f ca="1">IF((A1)=(2),"",IF((139)=(A3),IF(("call")=(INDEX(B1:XFD1,((A2)+(1))+(0))),(B2)*(2),IF(("goto")=(INDEX(B1:XFD1,((A2)+(1))+(0))),(INDEX(B1:XFD1,((A2)+(1))+(1)))*(2),IF(("gotoiftrue")=(INDEX(B1:XFD1,((A2)+(1))+(0))),IF(B2,(INDEX(B1:XFD1,((A2)+(1))+(1)))*(2),(A142)+(2)),(A142)+(2)))),A142))</f>
        <v>#VALUE!</v>
      </c>
      <c r="B142" t="e">
        <f ca="1">IF((A1)=(2),"",IF((139)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142)+(1)),IF(("add")=(INDEX(B1:XFD1,((A2)+(1))+(0))),(INDEX(B4:B404,(B3)+(1)))+(B142),IF(("equals")=(INDEX(B1:XFD1,((A2)+(1))+(0))),(INDEX(B4:B404,(B3)+(1)))=(B142),IF(("leq")=(INDEX(B1:XFD1,((A2)+(1))+(0))),(INDEX(B4:B404,(B3)+(1)))&lt;=(B142),IF(("greater")=(INDEX(B1:XFD1,((A2)+(1))+(0))),(INDEX(B4:B404,(B3)+(1)))&gt;(B142),IF(("mod")=(INDEX(B1:XFD1,((A2)+(1))+(0))),MOD(INDEX(B4:B404,(B3)+(1)),B142),B142))))))))),B142))</f>
        <v>#VALUE!</v>
      </c>
      <c r="C142" t="e">
        <f ca="1">IF((A1)=(2),1,IF(AND((INDEX(B1:XFD1,((A2)+(1))+(0)))=("writeheap"),(INDEX(B4:B404,(B3)+(1)))=(138)),INDEX(B4:B404,(B3)+(2)),IF((A1)=(2),"",IF((139)=(C3),C142,C142))))</f>
        <v>#VALUE!</v>
      </c>
      <c r="E142" t="e">
        <f ca="1">IF((A1)=(2),"",IF((139)=(E3),IF(("outputline")=(INDEX(B1:XFD1,((A2)+(1))+(0))),B2,E142),E142))</f>
        <v>#VALUE!</v>
      </c>
      <c r="F142" t="e">
        <f ca="1">IF((A1)=(2),"",IF((139)=(F3),IF(IF((INDEX(B1:XFD1,((A2)+(1))+(0)))=("store"),(INDEX(B1:XFD1,((A2)+(1))+(1)))=("F"),"false"),B2,F142),F142))</f>
        <v>#VALUE!</v>
      </c>
      <c r="G142" t="e">
        <f ca="1">IF((A1)=(2),"",IF((139)=(G3),IF(IF((INDEX(B1:XFD1,((A2)+(1))+(0)))=("store"),(INDEX(B1:XFD1,((A2)+(1))+(1)))=("G"),"false"),B2,G142),G142))</f>
        <v>#VALUE!</v>
      </c>
      <c r="H142" t="e">
        <f ca="1">IF((A1)=(2),"",IF((139)=(H3),IF(IF((INDEX(B1:XFD1,((A2)+(1))+(0)))=("store"),(INDEX(B1:XFD1,((A2)+(1))+(1)))=("H"),"false"),B2,H142),H142))</f>
        <v>#VALUE!</v>
      </c>
      <c r="I142" t="e">
        <f ca="1">IF((A1)=(2),"",IF((139)=(I3),IF(IF((INDEX(B1:XFD1,((A2)+(1))+(0)))=("store"),(INDEX(B1:XFD1,((A2)+(1))+(1)))=("I"),"false"),B2,I142),I142))</f>
        <v>#VALUE!</v>
      </c>
      <c r="J142" t="e">
        <f ca="1">IF((A1)=(2),"",IF((139)=(J3),IF(IF((INDEX(B1:XFD1,((A2)+(1))+(0)))=("store"),(INDEX(B1:XFD1,((A2)+(1))+(1)))=("J"),"false"),B2,J142),J142))</f>
        <v>#VALUE!</v>
      </c>
      <c r="K142" t="e">
        <f ca="1">IF((A1)=(2),"",IF((139)=(K3),IF(IF((INDEX(B1:XFD1,((A2)+(1))+(0)))=("store"),(INDEX(B1:XFD1,((A2)+(1))+(1)))=("K"),"false"),B2,K142),K142))</f>
        <v>#VALUE!</v>
      </c>
      <c r="L142" t="e">
        <f ca="1">IF((A1)=(2),"",IF((139)=(L3),IF(IF((INDEX(B1:XFD1,((A2)+(1))+(0)))=("store"),(INDEX(B1:XFD1,((A2)+(1))+(1)))=("L"),"false"),B2,L142),L142))</f>
        <v>#VALUE!</v>
      </c>
      <c r="M142" t="e">
        <f ca="1">IF((A1)=(2),"",IF((139)=(M3),IF(IF((INDEX(B1:XFD1,((A2)+(1))+(0)))=("store"),(INDEX(B1:XFD1,((A2)+(1))+(1)))=("M"),"false"),B2,M142),M142))</f>
        <v>#VALUE!</v>
      </c>
      <c r="N142" t="e">
        <f ca="1">IF((A1)=(2),"",IF((139)=(N3),IF(IF((INDEX(B1:XFD1,((A2)+(1))+(0)))=("store"),(INDEX(B1:XFD1,((A2)+(1))+(1)))=("N"),"false"),B2,N142),N142))</f>
        <v>#VALUE!</v>
      </c>
      <c r="O142" t="e">
        <f ca="1">IF((A1)=(2),"",IF((139)=(O3),IF(IF((INDEX(B1:XFD1,((A2)+(1))+(0)))=("store"),(INDEX(B1:XFD1,((A2)+(1))+(1)))=("O"),"false"),B2,O142),O142))</f>
        <v>#VALUE!</v>
      </c>
      <c r="P142" t="e">
        <f ca="1">IF((A1)=(2),"",IF((139)=(P3),IF(IF((INDEX(B1:XFD1,((A2)+(1))+(0)))=("store"),(INDEX(B1:XFD1,((A2)+(1))+(1)))=("P"),"false"),B2,P142),P142))</f>
        <v>#VALUE!</v>
      </c>
      <c r="Q142" t="e">
        <f ca="1">IF((A1)=(2),"",IF((139)=(Q3),IF(IF((INDEX(B1:XFD1,((A2)+(1))+(0)))=("store"),(INDEX(B1:XFD1,((A2)+(1))+(1)))=("Q"),"false"),B2,Q142),Q142))</f>
        <v>#VALUE!</v>
      </c>
      <c r="R142" t="e">
        <f ca="1">IF((A1)=(2),"",IF((139)=(R3),IF(IF((INDEX(B1:XFD1,((A2)+(1))+(0)))=("store"),(INDEX(B1:XFD1,((A2)+(1))+(1)))=("R"),"false"),B2,R142),R142))</f>
        <v>#VALUE!</v>
      </c>
      <c r="S142" t="e">
        <f ca="1">IF((A1)=(2),"",IF((139)=(S3),IF(IF((INDEX(B1:XFD1,((A2)+(1))+(0)))=("store"),(INDEX(B1:XFD1,((A2)+(1))+(1)))=("S"),"false"),B2,S142),S142))</f>
        <v>#VALUE!</v>
      </c>
      <c r="T142" t="e">
        <f ca="1">IF((A1)=(2),"",IF((139)=(T3),IF(IF((INDEX(B1:XFD1,((A2)+(1))+(0)))=("store"),(INDEX(B1:XFD1,((A2)+(1))+(1)))=("T"),"false"),B2,T142),T142))</f>
        <v>#VALUE!</v>
      </c>
      <c r="U142" t="e">
        <f ca="1">IF((A1)=(2),"",IF((139)=(U3),IF(IF((INDEX(B1:XFD1,((A2)+(1))+(0)))=("store"),(INDEX(B1:XFD1,((A2)+(1))+(1)))=("U"),"false"),B2,U142),U142))</f>
        <v>#VALUE!</v>
      </c>
      <c r="V142" t="e">
        <f ca="1">IF((A1)=(2),"",IF((139)=(V3),IF(IF((INDEX(B1:XFD1,((A2)+(1))+(0)))=("store"),(INDEX(B1:XFD1,((A2)+(1))+(1)))=("V"),"false"),B2,V142),V142))</f>
        <v>#VALUE!</v>
      </c>
      <c r="W142" t="e">
        <f ca="1">IF((A1)=(2),"",IF((139)=(W3),IF(IF((INDEX(B1:XFD1,((A2)+(1))+(0)))=("store"),(INDEX(B1:XFD1,((A2)+(1))+(1)))=("W"),"false"),B2,W142),W142))</f>
        <v>#VALUE!</v>
      </c>
      <c r="X142" t="e">
        <f ca="1">IF((A1)=(2),"",IF((139)=(X3),IF(IF((INDEX(B1:XFD1,((A2)+(1))+(0)))=("store"),(INDEX(B1:XFD1,((A2)+(1))+(1)))=("X"),"false"),B2,X142),X142))</f>
        <v>#VALUE!</v>
      </c>
      <c r="Y142" t="e">
        <f ca="1">IF((A1)=(2),"",IF((139)=(Y3),IF(IF((INDEX(B1:XFD1,((A2)+(1))+(0)))=("store"),(INDEX(B1:XFD1,((A2)+(1))+(1)))=("Y"),"false"),B2,Y142),Y142))</f>
        <v>#VALUE!</v>
      </c>
      <c r="Z142" t="e">
        <f ca="1">IF((A1)=(2),"",IF((139)=(Z3),IF(IF((INDEX(B1:XFD1,((A2)+(1))+(0)))=("store"),(INDEX(B1:XFD1,((A2)+(1))+(1)))=("Z"),"false"),B2,Z142),Z142))</f>
        <v>#VALUE!</v>
      </c>
      <c r="AA142" t="e">
        <f ca="1">IF((A1)=(2),"",IF((139)=(AA3),IF(IF((INDEX(B1:XFD1,((A2)+(1))+(0)))=("store"),(INDEX(B1:XFD1,((A2)+(1))+(1)))=("AA"),"false"),B2,AA142),AA142))</f>
        <v>#VALUE!</v>
      </c>
      <c r="AB142" t="e">
        <f ca="1">IF((A1)=(2),"",IF((139)=(AB3),IF(IF((INDEX(B1:XFD1,((A2)+(1))+(0)))=("store"),(INDEX(B1:XFD1,((A2)+(1))+(1)))=("AB"),"false"),B2,AB142),AB142))</f>
        <v>#VALUE!</v>
      </c>
      <c r="AC142" t="e">
        <f ca="1">IF((A1)=(2),"",IF((139)=(AC3),IF(IF((INDEX(B1:XFD1,((A2)+(1))+(0)))=("store"),(INDEX(B1:XFD1,((A2)+(1))+(1)))=("AC"),"false"),B2,AC142),AC142))</f>
        <v>#VALUE!</v>
      </c>
      <c r="AD142" t="e">
        <f ca="1">IF((A1)=(2),"",IF((139)=(AD3),IF(IF((INDEX(B1:XFD1,((A2)+(1))+(0)))=("store"),(INDEX(B1:XFD1,((A2)+(1))+(1)))=("AD"),"false"),B2,AD142),AD142))</f>
        <v>#VALUE!</v>
      </c>
    </row>
    <row r="143" spans="1:30" x14ac:dyDescent="0.25">
      <c r="A143" t="e">
        <f ca="1">IF((A1)=(2),"",IF((140)=(A3),IF(("call")=(INDEX(B1:XFD1,((A2)+(1))+(0))),(B2)*(2),IF(("goto")=(INDEX(B1:XFD1,((A2)+(1))+(0))),(INDEX(B1:XFD1,((A2)+(1))+(1)))*(2),IF(("gotoiftrue")=(INDEX(B1:XFD1,((A2)+(1))+(0))),IF(B2,(INDEX(B1:XFD1,((A2)+(1))+(1)))*(2),(A143)+(2)),(A143)+(2)))),A143))</f>
        <v>#VALUE!</v>
      </c>
      <c r="B143" t="e">
        <f ca="1">IF((A1)=(2),"",IF((140)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143)+(1)),IF(("add")=(INDEX(B1:XFD1,((A2)+(1))+(0))),(INDEX(B4:B404,(B3)+(1)))+(B143),IF(("equals")=(INDEX(B1:XFD1,((A2)+(1))+(0))),(INDEX(B4:B404,(B3)+(1)))=(B143),IF(("leq")=(INDEX(B1:XFD1,((A2)+(1))+(0))),(INDEX(B4:B404,(B3)+(1)))&lt;=(B143),IF(("greater")=(INDEX(B1:XFD1,((A2)+(1))+(0))),(INDEX(B4:B404,(B3)+(1)))&gt;(B143),IF(("mod")=(INDEX(B1:XFD1,((A2)+(1))+(0))),MOD(INDEX(B4:B404,(B3)+(1)),B143),B143))))))))),B143))</f>
        <v>#VALUE!</v>
      </c>
      <c r="C143" t="e">
        <f ca="1">IF((A1)=(2),1,IF(AND((INDEX(B1:XFD1,((A2)+(1))+(0)))=("writeheap"),(INDEX(B4:B404,(B3)+(1)))=(139)),INDEX(B4:B404,(B3)+(2)),IF((A1)=(2),"",IF((140)=(C3),C143,C143))))</f>
        <v>#VALUE!</v>
      </c>
      <c r="E143" t="e">
        <f ca="1">IF((A1)=(2),"",IF((140)=(E3),IF(("outputline")=(INDEX(B1:XFD1,((A2)+(1))+(0))),B2,E143),E143))</f>
        <v>#VALUE!</v>
      </c>
      <c r="F143" t="e">
        <f ca="1">IF((A1)=(2),"",IF((140)=(F3),IF(IF((INDEX(B1:XFD1,((A2)+(1))+(0)))=("store"),(INDEX(B1:XFD1,((A2)+(1))+(1)))=("F"),"false"),B2,F143),F143))</f>
        <v>#VALUE!</v>
      </c>
      <c r="G143" t="e">
        <f ca="1">IF((A1)=(2),"",IF((140)=(G3),IF(IF((INDEX(B1:XFD1,((A2)+(1))+(0)))=("store"),(INDEX(B1:XFD1,((A2)+(1))+(1)))=("G"),"false"),B2,G143),G143))</f>
        <v>#VALUE!</v>
      </c>
      <c r="H143" t="e">
        <f ca="1">IF((A1)=(2),"",IF((140)=(H3),IF(IF((INDEX(B1:XFD1,((A2)+(1))+(0)))=("store"),(INDEX(B1:XFD1,((A2)+(1))+(1)))=("H"),"false"),B2,H143),H143))</f>
        <v>#VALUE!</v>
      </c>
      <c r="I143" t="e">
        <f ca="1">IF((A1)=(2),"",IF((140)=(I3),IF(IF((INDEX(B1:XFD1,((A2)+(1))+(0)))=("store"),(INDEX(B1:XFD1,((A2)+(1))+(1)))=("I"),"false"),B2,I143),I143))</f>
        <v>#VALUE!</v>
      </c>
      <c r="J143" t="e">
        <f ca="1">IF((A1)=(2),"",IF((140)=(J3),IF(IF((INDEX(B1:XFD1,((A2)+(1))+(0)))=("store"),(INDEX(B1:XFD1,((A2)+(1))+(1)))=("J"),"false"),B2,J143),J143))</f>
        <v>#VALUE!</v>
      </c>
      <c r="K143" t="e">
        <f ca="1">IF((A1)=(2),"",IF((140)=(K3),IF(IF((INDEX(B1:XFD1,((A2)+(1))+(0)))=("store"),(INDEX(B1:XFD1,((A2)+(1))+(1)))=("K"),"false"),B2,K143),K143))</f>
        <v>#VALUE!</v>
      </c>
      <c r="L143" t="e">
        <f ca="1">IF((A1)=(2),"",IF((140)=(L3),IF(IF((INDEX(B1:XFD1,((A2)+(1))+(0)))=("store"),(INDEX(B1:XFD1,((A2)+(1))+(1)))=("L"),"false"),B2,L143),L143))</f>
        <v>#VALUE!</v>
      </c>
      <c r="M143" t="e">
        <f ca="1">IF((A1)=(2),"",IF((140)=(M3),IF(IF((INDEX(B1:XFD1,((A2)+(1))+(0)))=("store"),(INDEX(B1:XFD1,((A2)+(1))+(1)))=("M"),"false"),B2,M143),M143))</f>
        <v>#VALUE!</v>
      </c>
      <c r="N143" t="e">
        <f ca="1">IF((A1)=(2),"",IF((140)=(N3),IF(IF((INDEX(B1:XFD1,((A2)+(1))+(0)))=("store"),(INDEX(B1:XFD1,((A2)+(1))+(1)))=("N"),"false"),B2,N143),N143))</f>
        <v>#VALUE!</v>
      </c>
      <c r="O143" t="e">
        <f ca="1">IF((A1)=(2),"",IF((140)=(O3),IF(IF((INDEX(B1:XFD1,((A2)+(1))+(0)))=("store"),(INDEX(B1:XFD1,((A2)+(1))+(1)))=("O"),"false"),B2,O143),O143))</f>
        <v>#VALUE!</v>
      </c>
      <c r="P143" t="e">
        <f ca="1">IF((A1)=(2),"",IF((140)=(P3),IF(IF((INDEX(B1:XFD1,((A2)+(1))+(0)))=("store"),(INDEX(B1:XFD1,((A2)+(1))+(1)))=("P"),"false"),B2,P143),P143))</f>
        <v>#VALUE!</v>
      </c>
      <c r="Q143" t="e">
        <f ca="1">IF((A1)=(2),"",IF((140)=(Q3),IF(IF((INDEX(B1:XFD1,((A2)+(1))+(0)))=("store"),(INDEX(B1:XFD1,((A2)+(1))+(1)))=("Q"),"false"),B2,Q143),Q143))</f>
        <v>#VALUE!</v>
      </c>
      <c r="R143" t="e">
        <f ca="1">IF((A1)=(2),"",IF((140)=(R3),IF(IF((INDEX(B1:XFD1,((A2)+(1))+(0)))=("store"),(INDEX(B1:XFD1,((A2)+(1))+(1)))=("R"),"false"),B2,R143),R143))</f>
        <v>#VALUE!</v>
      </c>
      <c r="S143" t="e">
        <f ca="1">IF((A1)=(2),"",IF((140)=(S3),IF(IF((INDEX(B1:XFD1,((A2)+(1))+(0)))=("store"),(INDEX(B1:XFD1,((A2)+(1))+(1)))=("S"),"false"),B2,S143),S143))</f>
        <v>#VALUE!</v>
      </c>
      <c r="T143" t="e">
        <f ca="1">IF((A1)=(2),"",IF((140)=(T3),IF(IF((INDEX(B1:XFD1,((A2)+(1))+(0)))=("store"),(INDEX(B1:XFD1,((A2)+(1))+(1)))=("T"),"false"),B2,T143),T143))</f>
        <v>#VALUE!</v>
      </c>
      <c r="U143" t="e">
        <f ca="1">IF((A1)=(2),"",IF((140)=(U3),IF(IF((INDEX(B1:XFD1,((A2)+(1))+(0)))=("store"),(INDEX(B1:XFD1,((A2)+(1))+(1)))=("U"),"false"),B2,U143),U143))</f>
        <v>#VALUE!</v>
      </c>
      <c r="V143" t="e">
        <f ca="1">IF((A1)=(2),"",IF((140)=(V3),IF(IF((INDEX(B1:XFD1,((A2)+(1))+(0)))=("store"),(INDEX(B1:XFD1,((A2)+(1))+(1)))=("V"),"false"),B2,V143),V143))</f>
        <v>#VALUE!</v>
      </c>
      <c r="W143" t="e">
        <f ca="1">IF((A1)=(2),"",IF((140)=(W3),IF(IF((INDEX(B1:XFD1,((A2)+(1))+(0)))=("store"),(INDEX(B1:XFD1,((A2)+(1))+(1)))=("W"),"false"),B2,W143),W143))</f>
        <v>#VALUE!</v>
      </c>
      <c r="X143" t="e">
        <f ca="1">IF((A1)=(2),"",IF((140)=(X3),IF(IF((INDEX(B1:XFD1,((A2)+(1))+(0)))=("store"),(INDEX(B1:XFD1,((A2)+(1))+(1)))=("X"),"false"),B2,X143),X143))</f>
        <v>#VALUE!</v>
      </c>
      <c r="Y143" t="e">
        <f ca="1">IF((A1)=(2),"",IF((140)=(Y3),IF(IF((INDEX(B1:XFD1,((A2)+(1))+(0)))=("store"),(INDEX(B1:XFD1,((A2)+(1))+(1)))=("Y"),"false"),B2,Y143),Y143))</f>
        <v>#VALUE!</v>
      </c>
      <c r="Z143" t="e">
        <f ca="1">IF((A1)=(2),"",IF((140)=(Z3),IF(IF((INDEX(B1:XFD1,((A2)+(1))+(0)))=("store"),(INDEX(B1:XFD1,((A2)+(1))+(1)))=("Z"),"false"),B2,Z143),Z143))</f>
        <v>#VALUE!</v>
      </c>
      <c r="AA143" t="e">
        <f ca="1">IF((A1)=(2),"",IF((140)=(AA3),IF(IF((INDEX(B1:XFD1,((A2)+(1))+(0)))=("store"),(INDEX(B1:XFD1,((A2)+(1))+(1)))=("AA"),"false"),B2,AA143),AA143))</f>
        <v>#VALUE!</v>
      </c>
      <c r="AB143" t="e">
        <f ca="1">IF((A1)=(2),"",IF((140)=(AB3),IF(IF((INDEX(B1:XFD1,((A2)+(1))+(0)))=("store"),(INDEX(B1:XFD1,((A2)+(1))+(1)))=("AB"),"false"),B2,AB143),AB143))</f>
        <v>#VALUE!</v>
      </c>
      <c r="AC143" t="e">
        <f ca="1">IF((A1)=(2),"",IF((140)=(AC3),IF(IF((INDEX(B1:XFD1,((A2)+(1))+(0)))=("store"),(INDEX(B1:XFD1,((A2)+(1))+(1)))=("AC"),"false"),B2,AC143),AC143))</f>
        <v>#VALUE!</v>
      </c>
      <c r="AD143" t="e">
        <f ca="1">IF((A1)=(2),"",IF((140)=(AD3),IF(IF((INDEX(B1:XFD1,((A2)+(1))+(0)))=("store"),(INDEX(B1:XFD1,((A2)+(1))+(1)))=("AD"),"false"),B2,AD143),AD143))</f>
        <v>#VALUE!</v>
      </c>
    </row>
    <row r="144" spans="1:30" x14ac:dyDescent="0.25">
      <c r="A144" t="e">
        <f ca="1">IF((A1)=(2),"",IF((141)=(A3),IF(("call")=(INDEX(B1:XFD1,((A2)+(1))+(0))),(B2)*(2),IF(("goto")=(INDEX(B1:XFD1,((A2)+(1))+(0))),(INDEX(B1:XFD1,((A2)+(1))+(1)))*(2),IF(("gotoiftrue")=(INDEX(B1:XFD1,((A2)+(1))+(0))),IF(B2,(INDEX(B1:XFD1,((A2)+(1))+(1)))*(2),(A144)+(2)),(A144)+(2)))),A144))</f>
        <v>#VALUE!</v>
      </c>
      <c r="B144" t="e">
        <f ca="1">IF((A1)=(2),"",IF((141)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144)+(1)),IF(("add")=(INDEX(B1:XFD1,((A2)+(1))+(0))),(INDEX(B4:B404,(B3)+(1)))+(B144),IF(("equals")=(INDEX(B1:XFD1,((A2)+(1))+(0))),(INDEX(B4:B404,(B3)+(1)))=(B144),IF(("leq")=(INDEX(B1:XFD1,((A2)+(1))+(0))),(INDEX(B4:B404,(B3)+(1)))&lt;=(B144),IF(("greater")=(INDEX(B1:XFD1,((A2)+(1))+(0))),(INDEX(B4:B404,(B3)+(1)))&gt;(B144),IF(("mod")=(INDEX(B1:XFD1,((A2)+(1))+(0))),MOD(INDEX(B4:B404,(B3)+(1)),B144),B144))))))))),B144))</f>
        <v>#VALUE!</v>
      </c>
      <c r="C144" t="e">
        <f ca="1">IF((A1)=(2),1,IF(AND((INDEX(B1:XFD1,((A2)+(1))+(0)))=("writeheap"),(INDEX(B4:B404,(B3)+(1)))=(140)),INDEX(B4:B404,(B3)+(2)),IF((A1)=(2),"",IF((141)=(C3),C144,C144))))</f>
        <v>#VALUE!</v>
      </c>
      <c r="E144" t="e">
        <f ca="1">IF((A1)=(2),"",IF((141)=(E3),IF(("outputline")=(INDEX(B1:XFD1,((A2)+(1))+(0))),B2,E144),E144))</f>
        <v>#VALUE!</v>
      </c>
      <c r="F144" t="e">
        <f ca="1">IF((A1)=(2),"",IF((141)=(F3),IF(IF((INDEX(B1:XFD1,((A2)+(1))+(0)))=("store"),(INDEX(B1:XFD1,((A2)+(1))+(1)))=("F"),"false"),B2,F144),F144))</f>
        <v>#VALUE!</v>
      </c>
      <c r="G144" t="e">
        <f ca="1">IF((A1)=(2),"",IF((141)=(G3),IF(IF((INDEX(B1:XFD1,((A2)+(1))+(0)))=("store"),(INDEX(B1:XFD1,((A2)+(1))+(1)))=("G"),"false"),B2,G144),G144))</f>
        <v>#VALUE!</v>
      </c>
      <c r="H144" t="e">
        <f ca="1">IF((A1)=(2),"",IF((141)=(H3),IF(IF((INDEX(B1:XFD1,((A2)+(1))+(0)))=("store"),(INDEX(B1:XFD1,((A2)+(1))+(1)))=("H"),"false"),B2,H144),H144))</f>
        <v>#VALUE!</v>
      </c>
      <c r="I144" t="e">
        <f ca="1">IF((A1)=(2),"",IF((141)=(I3),IF(IF((INDEX(B1:XFD1,((A2)+(1))+(0)))=("store"),(INDEX(B1:XFD1,((A2)+(1))+(1)))=("I"),"false"),B2,I144),I144))</f>
        <v>#VALUE!</v>
      </c>
      <c r="J144" t="e">
        <f ca="1">IF((A1)=(2),"",IF((141)=(J3),IF(IF((INDEX(B1:XFD1,((A2)+(1))+(0)))=("store"),(INDEX(B1:XFD1,((A2)+(1))+(1)))=("J"),"false"),B2,J144),J144))</f>
        <v>#VALUE!</v>
      </c>
      <c r="K144" t="e">
        <f ca="1">IF((A1)=(2),"",IF((141)=(K3),IF(IF((INDEX(B1:XFD1,((A2)+(1))+(0)))=("store"),(INDEX(B1:XFD1,((A2)+(1))+(1)))=("K"),"false"),B2,K144),K144))</f>
        <v>#VALUE!</v>
      </c>
      <c r="L144" t="e">
        <f ca="1">IF((A1)=(2),"",IF((141)=(L3),IF(IF((INDEX(B1:XFD1,((A2)+(1))+(0)))=("store"),(INDEX(B1:XFD1,((A2)+(1))+(1)))=("L"),"false"),B2,L144),L144))</f>
        <v>#VALUE!</v>
      </c>
      <c r="M144" t="e">
        <f ca="1">IF((A1)=(2),"",IF((141)=(M3),IF(IF((INDEX(B1:XFD1,((A2)+(1))+(0)))=("store"),(INDEX(B1:XFD1,((A2)+(1))+(1)))=("M"),"false"),B2,M144),M144))</f>
        <v>#VALUE!</v>
      </c>
      <c r="N144" t="e">
        <f ca="1">IF((A1)=(2),"",IF((141)=(N3),IF(IF((INDEX(B1:XFD1,((A2)+(1))+(0)))=("store"),(INDEX(B1:XFD1,((A2)+(1))+(1)))=("N"),"false"),B2,N144),N144))</f>
        <v>#VALUE!</v>
      </c>
      <c r="O144" t="e">
        <f ca="1">IF((A1)=(2),"",IF((141)=(O3),IF(IF((INDEX(B1:XFD1,((A2)+(1))+(0)))=("store"),(INDEX(B1:XFD1,((A2)+(1))+(1)))=("O"),"false"),B2,O144),O144))</f>
        <v>#VALUE!</v>
      </c>
      <c r="P144" t="e">
        <f ca="1">IF((A1)=(2),"",IF((141)=(P3),IF(IF((INDEX(B1:XFD1,((A2)+(1))+(0)))=("store"),(INDEX(B1:XFD1,((A2)+(1))+(1)))=("P"),"false"),B2,P144),P144))</f>
        <v>#VALUE!</v>
      </c>
      <c r="Q144" t="e">
        <f ca="1">IF((A1)=(2),"",IF((141)=(Q3),IF(IF((INDEX(B1:XFD1,((A2)+(1))+(0)))=("store"),(INDEX(B1:XFD1,((A2)+(1))+(1)))=("Q"),"false"),B2,Q144),Q144))</f>
        <v>#VALUE!</v>
      </c>
      <c r="R144" t="e">
        <f ca="1">IF((A1)=(2),"",IF((141)=(R3),IF(IF((INDEX(B1:XFD1,((A2)+(1))+(0)))=("store"),(INDEX(B1:XFD1,((A2)+(1))+(1)))=("R"),"false"),B2,R144),R144))</f>
        <v>#VALUE!</v>
      </c>
      <c r="S144" t="e">
        <f ca="1">IF((A1)=(2),"",IF((141)=(S3),IF(IF((INDEX(B1:XFD1,((A2)+(1))+(0)))=("store"),(INDEX(B1:XFD1,((A2)+(1))+(1)))=("S"),"false"),B2,S144),S144))</f>
        <v>#VALUE!</v>
      </c>
      <c r="T144" t="e">
        <f ca="1">IF((A1)=(2),"",IF((141)=(T3),IF(IF((INDEX(B1:XFD1,((A2)+(1))+(0)))=("store"),(INDEX(B1:XFD1,((A2)+(1))+(1)))=("T"),"false"),B2,T144),T144))</f>
        <v>#VALUE!</v>
      </c>
      <c r="U144" t="e">
        <f ca="1">IF((A1)=(2),"",IF((141)=(U3),IF(IF((INDEX(B1:XFD1,((A2)+(1))+(0)))=("store"),(INDEX(B1:XFD1,((A2)+(1))+(1)))=("U"),"false"),B2,U144),U144))</f>
        <v>#VALUE!</v>
      </c>
      <c r="V144" t="e">
        <f ca="1">IF((A1)=(2),"",IF((141)=(V3),IF(IF((INDEX(B1:XFD1,((A2)+(1))+(0)))=("store"),(INDEX(B1:XFD1,((A2)+(1))+(1)))=("V"),"false"),B2,V144),V144))</f>
        <v>#VALUE!</v>
      </c>
      <c r="W144" t="e">
        <f ca="1">IF((A1)=(2),"",IF((141)=(W3),IF(IF((INDEX(B1:XFD1,((A2)+(1))+(0)))=("store"),(INDEX(B1:XFD1,((A2)+(1))+(1)))=("W"),"false"),B2,W144),W144))</f>
        <v>#VALUE!</v>
      </c>
      <c r="X144" t="e">
        <f ca="1">IF((A1)=(2),"",IF((141)=(X3),IF(IF((INDEX(B1:XFD1,((A2)+(1))+(0)))=("store"),(INDEX(B1:XFD1,((A2)+(1))+(1)))=("X"),"false"),B2,X144),X144))</f>
        <v>#VALUE!</v>
      </c>
      <c r="Y144" t="e">
        <f ca="1">IF((A1)=(2),"",IF((141)=(Y3),IF(IF((INDEX(B1:XFD1,((A2)+(1))+(0)))=("store"),(INDEX(B1:XFD1,((A2)+(1))+(1)))=("Y"),"false"),B2,Y144),Y144))</f>
        <v>#VALUE!</v>
      </c>
      <c r="Z144" t="e">
        <f ca="1">IF((A1)=(2),"",IF((141)=(Z3),IF(IF((INDEX(B1:XFD1,((A2)+(1))+(0)))=("store"),(INDEX(B1:XFD1,((A2)+(1))+(1)))=("Z"),"false"),B2,Z144),Z144))</f>
        <v>#VALUE!</v>
      </c>
      <c r="AA144" t="e">
        <f ca="1">IF((A1)=(2),"",IF((141)=(AA3),IF(IF((INDEX(B1:XFD1,((A2)+(1))+(0)))=("store"),(INDEX(B1:XFD1,((A2)+(1))+(1)))=("AA"),"false"),B2,AA144),AA144))</f>
        <v>#VALUE!</v>
      </c>
      <c r="AB144" t="e">
        <f ca="1">IF((A1)=(2),"",IF((141)=(AB3),IF(IF((INDEX(B1:XFD1,((A2)+(1))+(0)))=("store"),(INDEX(B1:XFD1,((A2)+(1))+(1)))=("AB"),"false"),B2,AB144),AB144))</f>
        <v>#VALUE!</v>
      </c>
      <c r="AC144" t="e">
        <f ca="1">IF((A1)=(2),"",IF((141)=(AC3),IF(IF((INDEX(B1:XFD1,((A2)+(1))+(0)))=("store"),(INDEX(B1:XFD1,((A2)+(1))+(1)))=("AC"),"false"),B2,AC144),AC144))</f>
        <v>#VALUE!</v>
      </c>
      <c r="AD144" t="e">
        <f ca="1">IF((A1)=(2),"",IF((141)=(AD3),IF(IF((INDEX(B1:XFD1,((A2)+(1))+(0)))=("store"),(INDEX(B1:XFD1,((A2)+(1))+(1)))=("AD"),"false"),B2,AD144),AD144))</f>
        <v>#VALUE!</v>
      </c>
    </row>
    <row r="145" spans="1:30" x14ac:dyDescent="0.25">
      <c r="A145" t="e">
        <f ca="1">IF((A1)=(2),"",IF((142)=(A3),IF(("call")=(INDEX(B1:XFD1,((A2)+(1))+(0))),(B2)*(2),IF(("goto")=(INDEX(B1:XFD1,((A2)+(1))+(0))),(INDEX(B1:XFD1,((A2)+(1))+(1)))*(2),IF(("gotoiftrue")=(INDEX(B1:XFD1,((A2)+(1))+(0))),IF(B2,(INDEX(B1:XFD1,((A2)+(1))+(1)))*(2),(A145)+(2)),(A145)+(2)))),A145))</f>
        <v>#VALUE!</v>
      </c>
      <c r="B145" t="e">
        <f ca="1">IF((A1)=(2),"",IF((142)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145)+(1)),IF(("add")=(INDEX(B1:XFD1,((A2)+(1))+(0))),(INDEX(B4:B404,(B3)+(1)))+(B145),IF(("equals")=(INDEX(B1:XFD1,((A2)+(1))+(0))),(INDEX(B4:B404,(B3)+(1)))=(B145),IF(("leq")=(INDEX(B1:XFD1,((A2)+(1))+(0))),(INDEX(B4:B404,(B3)+(1)))&lt;=(B145),IF(("greater")=(INDEX(B1:XFD1,((A2)+(1))+(0))),(INDEX(B4:B404,(B3)+(1)))&gt;(B145),IF(("mod")=(INDEX(B1:XFD1,((A2)+(1))+(0))),MOD(INDEX(B4:B404,(B3)+(1)),B145),B145))))))))),B145))</f>
        <v>#VALUE!</v>
      </c>
      <c r="C145" t="e">
        <f ca="1">IF((A1)=(2),1,IF(AND((INDEX(B1:XFD1,((A2)+(1))+(0)))=("writeheap"),(INDEX(B4:B404,(B3)+(1)))=(141)),INDEX(B4:B404,(B3)+(2)),IF((A1)=(2),"",IF((142)=(C3),C145,C145))))</f>
        <v>#VALUE!</v>
      </c>
      <c r="E145" t="e">
        <f ca="1">IF((A1)=(2),"",IF((142)=(E3),IF(("outputline")=(INDEX(B1:XFD1,((A2)+(1))+(0))),B2,E145),E145))</f>
        <v>#VALUE!</v>
      </c>
      <c r="F145" t="e">
        <f ca="1">IF((A1)=(2),"",IF((142)=(F3),IF(IF((INDEX(B1:XFD1,((A2)+(1))+(0)))=("store"),(INDEX(B1:XFD1,((A2)+(1))+(1)))=("F"),"false"),B2,F145),F145))</f>
        <v>#VALUE!</v>
      </c>
      <c r="G145" t="e">
        <f ca="1">IF((A1)=(2),"",IF((142)=(G3),IF(IF((INDEX(B1:XFD1,((A2)+(1))+(0)))=("store"),(INDEX(B1:XFD1,((A2)+(1))+(1)))=("G"),"false"),B2,G145),G145))</f>
        <v>#VALUE!</v>
      </c>
      <c r="H145" t="e">
        <f ca="1">IF((A1)=(2),"",IF((142)=(H3),IF(IF((INDEX(B1:XFD1,((A2)+(1))+(0)))=("store"),(INDEX(B1:XFD1,((A2)+(1))+(1)))=("H"),"false"),B2,H145),H145))</f>
        <v>#VALUE!</v>
      </c>
      <c r="I145" t="e">
        <f ca="1">IF((A1)=(2),"",IF((142)=(I3),IF(IF((INDEX(B1:XFD1,((A2)+(1))+(0)))=("store"),(INDEX(B1:XFD1,((A2)+(1))+(1)))=("I"),"false"),B2,I145),I145))</f>
        <v>#VALUE!</v>
      </c>
      <c r="J145" t="e">
        <f ca="1">IF((A1)=(2),"",IF((142)=(J3),IF(IF((INDEX(B1:XFD1,((A2)+(1))+(0)))=("store"),(INDEX(B1:XFD1,((A2)+(1))+(1)))=("J"),"false"),B2,J145),J145))</f>
        <v>#VALUE!</v>
      </c>
      <c r="K145" t="e">
        <f ca="1">IF((A1)=(2),"",IF((142)=(K3),IF(IF((INDEX(B1:XFD1,((A2)+(1))+(0)))=("store"),(INDEX(B1:XFD1,((A2)+(1))+(1)))=("K"),"false"),B2,K145),K145))</f>
        <v>#VALUE!</v>
      </c>
      <c r="L145" t="e">
        <f ca="1">IF((A1)=(2),"",IF((142)=(L3),IF(IF((INDEX(B1:XFD1,((A2)+(1))+(0)))=("store"),(INDEX(B1:XFD1,((A2)+(1))+(1)))=("L"),"false"),B2,L145),L145))</f>
        <v>#VALUE!</v>
      </c>
      <c r="M145" t="e">
        <f ca="1">IF((A1)=(2),"",IF((142)=(M3),IF(IF((INDEX(B1:XFD1,((A2)+(1))+(0)))=("store"),(INDEX(B1:XFD1,((A2)+(1))+(1)))=("M"),"false"),B2,M145),M145))</f>
        <v>#VALUE!</v>
      </c>
      <c r="N145" t="e">
        <f ca="1">IF((A1)=(2),"",IF((142)=(N3),IF(IF((INDEX(B1:XFD1,((A2)+(1))+(0)))=("store"),(INDEX(B1:XFD1,((A2)+(1))+(1)))=("N"),"false"),B2,N145),N145))</f>
        <v>#VALUE!</v>
      </c>
      <c r="O145" t="e">
        <f ca="1">IF((A1)=(2),"",IF((142)=(O3),IF(IF((INDEX(B1:XFD1,((A2)+(1))+(0)))=("store"),(INDEX(B1:XFD1,((A2)+(1))+(1)))=("O"),"false"),B2,O145),O145))</f>
        <v>#VALUE!</v>
      </c>
      <c r="P145" t="e">
        <f ca="1">IF((A1)=(2),"",IF((142)=(P3),IF(IF((INDEX(B1:XFD1,((A2)+(1))+(0)))=("store"),(INDEX(B1:XFD1,((A2)+(1))+(1)))=("P"),"false"),B2,P145),P145))</f>
        <v>#VALUE!</v>
      </c>
      <c r="Q145" t="e">
        <f ca="1">IF((A1)=(2),"",IF((142)=(Q3),IF(IF((INDEX(B1:XFD1,((A2)+(1))+(0)))=("store"),(INDEX(B1:XFD1,((A2)+(1))+(1)))=("Q"),"false"),B2,Q145),Q145))</f>
        <v>#VALUE!</v>
      </c>
      <c r="R145" t="e">
        <f ca="1">IF((A1)=(2),"",IF((142)=(R3),IF(IF((INDEX(B1:XFD1,((A2)+(1))+(0)))=("store"),(INDEX(B1:XFD1,((A2)+(1))+(1)))=("R"),"false"),B2,R145),R145))</f>
        <v>#VALUE!</v>
      </c>
      <c r="S145" t="e">
        <f ca="1">IF((A1)=(2),"",IF((142)=(S3),IF(IF((INDEX(B1:XFD1,((A2)+(1))+(0)))=("store"),(INDEX(B1:XFD1,((A2)+(1))+(1)))=("S"),"false"),B2,S145),S145))</f>
        <v>#VALUE!</v>
      </c>
      <c r="T145" t="e">
        <f ca="1">IF((A1)=(2),"",IF((142)=(T3),IF(IF((INDEX(B1:XFD1,((A2)+(1))+(0)))=("store"),(INDEX(B1:XFD1,((A2)+(1))+(1)))=("T"),"false"),B2,T145),T145))</f>
        <v>#VALUE!</v>
      </c>
      <c r="U145" t="e">
        <f ca="1">IF((A1)=(2),"",IF((142)=(U3),IF(IF((INDEX(B1:XFD1,((A2)+(1))+(0)))=("store"),(INDEX(B1:XFD1,((A2)+(1))+(1)))=("U"),"false"),B2,U145),U145))</f>
        <v>#VALUE!</v>
      </c>
      <c r="V145" t="e">
        <f ca="1">IF((A1)=(2),"",IF((142)=(V3),IF(IF((INDEX(B1:XFD1,((A2)+(1))+(0)))=("store"),(INDEX(B1:XFD1,((A2)+(1))+(1)))=("V"),"false"),B2,V145),V145))</f>
        <v>#VALUE!</v>
      </c>
      <c r="W145" t="e">
        <f ca="1">IF((A1)=(2),"",IF((142)=(W3),IF(IF((INDEX(B1:XFD1,((A2)+(1))+(0)))=("store"),(INDEX(B1:XFD1,((A2)+(1))+(1)))=("W"),"false"),B2,W145),W145))</f>
        <v>#VALUE!</v>
      </c>
      <c r="X145" t="e">
        <f ca="1">IF((A1)=(2),"",IF((142)=(X3),IF(IF((INDEX(B1:XFD1,((A2)+(1))+(0)))=("store"),(INDEX(B1:XFD1,((A2)+(1))+(1)))=("X"),"false"),B2,X145),X145))</f>
        <v>#VALUE!</v>
      </c>
      <c r="Y145" t="e">
        <f ca="1">IF((A1)=(2),"",IF((142)=(Y3),IF(IF((INDEX(B1:XFD1,((A2)+(1))+(0)))=("store"),(INDEX(B1:XFD1,((A2)+(1))+(1)))=("Y"),"false"),B2,Y145),Y145))</f>
        <v>#VALUE!</v>
      </c>
      <c r="Z145" t="e">
        <f ca="1">IF((A1)=(2),"",IF((142)=(Z3),IF(IF((INDEX(B1:XFD1,((A2)+(1))+(0)))=("store"),(INDEX(B1:XFD1,((A2)+(1))+(1)))=("Z"),"false"),B2,Z145),Z145))</f>
        <v>#VALUE!</v>
      </c>
      <c r="AA145" t="e">
        <f ca="1">IF((A1)=(2),"",IF((142)=(AA3),IF(IF((INDEX(B1:XFD1,((A2)+(1))+(0)))=("store"),(INDEX(B1:XFD1,((A2)+(1))+(1)))=("AA"),"false"),B2,AA145),AA145))</f>
        <v>#VALUE!</v>
      </c>
      <c r="AB145" t="e">
        <f ca="1">IF((A1)=(2),"",IF((142)=(AB3),IF(IF((INDEX(B1:XFD1,((A2)+(1))+(0)))=("store"),(INDEX(B1:XFD1,((A2)+(1))+(1)))=("AB"),"false"),B2,AB145),AB145))</f>
        <v>#VALUE!</v>
      </c>
      <c r="AC145" t="e">
        <f ca="1">IF((A1)=(2),"",IF((142)=(AC3),IF(IF((INDEX(B1:XFD1,((A2)+(1))+(0)))=("store"),(INDEX(B1:XFD1,((A2)+(1))+(1)))=("AC"),"false"),B2,AC145),AC145))</f>
        <v>#VALUE!</v>
      </c>
      <c r="AD145" t="e">
        <f ca="1">IF((A1)=(2),"",IF((142)=(AD3),IF(IF((INDEX(B1:XFD1,((A2)+(1))+(0)))=("store"),(INDEX(B1:XFD1,((A2)+(1))+(1)))=("AD"),"false"),B2,AD145),AD145))</f>
        <v>#VALUE!</v>
      </c>
    </row>
    <row r="146" spans="1:30" x14ac:dyDescent="0.25">
      <c r="A146" t="e">
        <f ca="1">IF((A1)=(2),"",IF((143)=(A3),IF(("call")=(INDEX(B1:XFD1,((A2)+(1))+(0))),(B2)*(2),IF(("goto")=(INDEX(B1:XFD1,((A2)+(1))+(0))),(INDEX(B1:XFD1,((A2)+(1))+(1)))*(2),IF(("gotoiftrue")=(INDEX(B1:XFD1,((A2)+(1))+(0))),IF(B2,(INDEX(B1:XFD1,((A2)+(1))+(1)))*(2),(A146)+(2)),(A146)+(2)))),A146))</f>
        <v>#VALUE!</v>
      </c>
      <c r="B146" t="e">
        <f ca="1">IF((A1)=(2),"",IF((143)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146)+(1)),IF(("add")=(INDEX(B1:XFD1,((A2)+(1))+(0))),(INDEX(B4:B404,(B3)+(1)))+(B146),IF(("equals")=(INDEX(B1:XFD1,((A2)+(1))+(0))),(INDEX(B4:B404,(B3)+(1)))=(B146),IF(("leq")=(INDEX(B1:XFD1,((A2)+(1))+(0))),(INDEX(B4:B404,(B3)+(1)))&lt;=(B146),IF(("greater")=(INDEX(B1:XFD1,((A2)+(1))+(0))),(INDEX(B4:B404,(B3)+(1)))&gt;(B146),IF(("mod")=(INDEX(B1:XFD1,((A2)+(1))+(0))),MOD(INDEX(B4:B404,(B3)+(1)),B146),B146))))))))),B146))</f>
        <v>#VALUE!</v>
      </c>
      <c r="C146" t="e">
        <f ca="1">IF((A1)=(2),1,IF(AND((INDEX(B1:XFD1,((A2)+(1))+(0)))=("writeheap"),(INDEX(B4:B404,(B3)+(1)))=(142)),INDEX(B4:B404,(B3)+(2)),IF((A1)=(2),"",IF((143)=(C3),C146,C146))))</f>
        <v>#VALUE!</v>
      </c>
      <c r="E146" t="e">
        <f ca="1">IF((A1)=(2),"",IF((143)=(E3),IF(("outputline")=(INDEX(B1:XFD1,((A2)+(1))+(0))),B2,E146),E146))</f>
        <v>#VALUE!</v>
      </c>
      <c r="F146" t="e">
        <f ca="1">IF((A1)=(2),"",IF((143)=(F3),IF(IF((INDEX(B1:XFD1,((A2)+(1))+(0)))=("store"),(INDEX(B1:XFD1,((A2)+(1))+(1)))=("F"),"false"),B2,F146),F146))</f>
        <v>#VALUE!</v>
      </c>
      <c r="G146" t="e">
        <f ca="1">IF((A1)=(2),"",IF((143)=(G3),IF(IF((INDEX(B1:XFD1,((A2)+(1))+(0)))=("store"),(INDEX(B1:XFD1,((A2)+(1))+(1)))=("G"),"false"),B2,G146),G146))</f>
        <v>#VALUE!</v>
      </c>
      <c r="H146" t="e">
        <f ca="1">IF((A1)=(2),"",IF((143)=(H3),IF(IF((INDEX(B1:XFD1,((A2)+(1))+(0)))=("store"),(INDEX(B1:XFD1,((A2)+(1))+(1)))=("H"),"false"),B2,H146),H146))</f>
        <v>#VALUE!</v>
      </c>
      <c r="I146" t="e">
        <f ca="1">IF((A1)=(2),"",IF((143)=(I3),IF(IF((INDEX(B1:XFD1,((A2)+(1))+(0)))=("store"),(INDEX(B1:XFD1,((A2)+(1))+(1)))=("I"),"false"),B2,I146),I146))</f>
        <v>#VALUE!</v>
      </c>
      <c r="J146" t="e">
        <f ca="1">IF((A1)=(2),"",IF((143)=(J3),IF(IF((INDEX(B1:XFD1,((A2)+(1))+(0)))=("store"),(INDEX(B1:XFD1,((A2)+(1))+(1)))=("J"),"false"),B2,J146),J146))</f>
        <v>#VALUE!</v>
      </c>
      <c r="K146" t="e">
        <f ca="1">IF((A1)=(2),"",IF((143)=(K3),IF(IF((INDEX(B1:XFD1,((A2)+(1))+(0)))=("store"),(INDEX(B1:XFD1,((A2)+(1))+(1)))=("K"),"false"),B2,K146),K146))</f>
        <v>#VALUE!</v>
      </c>
      <c r="L146" t="e">
        <f ca="1">IF((A1)=(2),"",IF((143)=(L3),IF(IF((INDEX(B1:XFD1,((A2)+(1))+(0)))=("store"),(INDEX(B1:XFD1,((A2)+(1))+(1)))=("L"),"false"),B2,L146),L146))</f>
        <v>#VALUE!</v>
      </c>
      <c r="M146" t="e">
        <f ca="1">IF((A1)=(2),"",IF((143)=(M3),IF(IF((INDEX(B1:XFD1,((A2)+(1))+(0)))=("store"),(INDEX(B1:XFD1,((A2)+(1))+(1)))=("M"),"false"),B2,M146),M146))</f>
        <v>#VALUE!</v>
      </c>
      <c r="N146" t="e">
        <f ca="1">IF((A1)=(2),"",IF((143)=(N3),IF(IF((INDEX(B1:XFD1,((A2)+(1))+(0)))=("store"),(INDEX(B1:XFD1,((A2)+(1))+(1)))=("N"),"false"),B2,N146),N146))</f>
        <v>#VALUE!</v>
      </c>
      <c r="O146" t="e">
        <f ca="1">IF((A1)=(2),"",IF((143)=(O3),IF(IF((INDEX(B1:XFD1,((A2)+(1))+(0)))=("store"),(INDEX(B1:XFD1,((A2)+(1))+(1)))=("O"),"false"),B2,O146),O146))</f>
        <v>#VALUE!</v>
      </c>
      <c r="P146" t="e">
        <f ca="1">IF((A1)=(2),"",IF((143)=(P3),IF(IF((INDEX(B1:XFD1,((A2)+(1))+(0)))=("store"),(INDEX(B1:XFD1,((A2)+(1))+(1)))=("P"),"false"),B2,P146),P146))</f>
        <v>#VALUE!</v>
      </c>
      <c r="Q146" t="e">
        <f ca="1">IF((A1)=(2),"",IF((143)=(Q3),IF(IF((INDEX(B1:XFD1,((A2)+(1))+(0)))=("store"),(INDEX(B1:XFD1,((A2)+(1))+(1)))=("Q"),"false"),B2,Q146),Q146))</f>
        <v>#VALUE!</v>
      </c>
      <c r="R146" t="e">
        <f ca="1">IF((A1)=(2),"",IF((143)=(R3),IF(IF((INDEX(B1:XFD1,((A2)+(1))+(0)))=("store"),(INDEX(B1:XFD1,((A2)+(1))+(1)))=("R"),"false"),B2,R146),R146))</f>
        <v>#VALUE!</v>
      </c>
      <c r="S146" t="e">
        <f ca="1">IF((A1)=(2),"",IF((143)=(S3),IF(IF((INDEX(B1:XFD1,((A2)+(1))+(0)))=("store"),(INDEX(B1:XFD1,((A2)+(1))+(1)))=("S"),"false"),B2,S146),S146))</f>
        <v>#VALUE!</v>
      </c>
      <c r="T146" t="e">
        <f ca="1">IF((A1)=(2),"",IF((143)=(T3),IF(IF((INDEX(B1:XFD1,((A2)+(1))+(0)))=("store"),(INDEX(B1:XFD1,((A2)+(1))+(1)))=("T"),"false"),B2,T146),T146))</f>
        <v>#VALUE!</v>
      </c>
      <c r="U146" t="e">
        <f ca="1">IF((A1)=(2),"",IF((143)=(U3),IF(IF((INDEX(B1:XFD1,((A2)+(1))+(0)))=("store"),(INDEX(B1:XFD1,((A2)+(1))+(1)))=("U"),"false"),B2,U146),U146))</f>
        <v>#VALUE!</v>
      </c>
      <c r="V146" t="e">
        <f ca="1">IF((A1)=(2),"",IF((143)=(V3),IF(IF((INDEX(B1:XFD1,((A2)+(1))+(0)))=("store"),(INDEX(B1:XFD1,((A2)+(1))+(1)))=("V"),"false"),B2,V146),V146))</f>
        <v>#VALUE!</v>
      </c>
      <c r="W146" t="e">
        <f ca="1">IF((A1)=(2),"",IF((143)=(W3),IF(IF((INDEX(B1:XFD1,((A2)+(1))+(0)))=("store"),(INDEX(B1:XFD1,((A2)+(1))+(1)))=("W"),"false"),B2,W146),W146))</f>
        <v>#VALUE!</v>
      </c>
      <c r="X146" t="e">
        <f ca="1">IF((A1)=(2),"",IF((143)=(X3),IF(IF((INDEX(B1:XFD1,((A2)+(1))+(0)))=("store"),(INDEX(B1:XFD1,((A2)+(1))+(1)))=("X"),"false"),B2,X146),X146))</f>
        <v>#VALUE!</v>
      </c>
      <c r="Y146" t="e">
        <f ca="1">IF((A1)=(2),"",IF((143)=(Y3),IF(IF((INDEX(B1:XFD1,((A2)+(1))+(0)))=("store"),(INDEX(B1:XFD1,((A2)+(1))+(1)))=("Y"),"false"),B2,Y146),Y146))</f>
        <v>#VALUE!</v>
      </c>
      <c r="Z146" t="e">
        <f ca="1">IF((A1)=(2),"",IF((143)=(Z3),IF(IF((INDEX(B1:XFD1,((A2)+(1))+(0)))=("store"),(INDEX(B1:XFD1,((A2)+(1))+(1)))=("Z"),"false"),B2,Z146),Z146))</f>
        <v>#VALUE!</v>
      </c>
      <c r="AA146" t="e">
        <f ca="1">IF((A1)=(2),"",IF((143)=(AA3),IF(IF((INDEX(B1:XFD1,((A2)+(1))+(0)))=("store"),(INDEX(B1:XFD1,((A2)+(1))+(1)))=("AA"),"false"),B2,AA146),AA146))</f>
        <v>#VALUE!</v>
      </c>
      <c r="AB146" t="e">
        <f ca="1">IF((A1)=(2),"",IF((143)=(AB3),IF(IF((INDEX(B1:XFD1,((A2)+(1))+(0)))=("store"),(INDEX(B1:XFD1,((A2)+(1))+(1)))=("AB"),"false"),B2,AB146),AB146))</f>
        <v>#VALUE!</v>
      </c>
      <c r="AC146" t="e">
        <f ca="1">IF((A1)=(2),"",IF((143)=(AC3),IF(IF((INDEX(B1:XFD1,((A2)+(1))+(0)))=("store"),(INDEX(B1:XFD1,((A2)+(1))+(1)))=("AC"),"false"),B2,AC146),AC146))</f>
        <v>#VALUE!</v>
      </c>
      <c r="AD146" t="e">
        <f ca="1">IF((A1)=(2),"",IF((143)=(AD3),IF(IF((INDEX(B1:XFD1,((A2)+(1))+(0)))=("store"),(INDEX(B1:XFD1,((A2)+(1))+(1)))=("AD"),"false"),B2,AD146),AD146))</f>
        <v>#VALUE!</v>
      </c>
    </row>
    <row r="147" spans="1:30" x14ac:dyDescent="0.25">
      <c r="A147" t="e">
        <f ca="1">IF((A1)=(2),"",IF((144)=(A3),IF(("call")=(INDEX(B1:XFD1,((A2)+(1))+(0))),(B2)*(2),IF(("goto")=(INDEX(B1:XFD1,((A2)+(1))+(0))),(INDEX(B1:XFD1,((A2)+(1))+(1)))*(2),IF(("gotoiftrue")=(INDEX(B1:XFD1,((A2)+(1))+(0))),IF(B2,(INDEX(B1:XFD1,((A2)+(1))+(1)))*(2),(A147)+(2)),(A147)+(2)))),A147))</f>
        <v>#VALUE!</v>
      </c>
      <c r="B147" t="e">
        <f ca="1">IF((A1)=(2),"",IF((144)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147)+(1)),IF(("add")=(INDEX(B1:XFD1,((A2)+(1))+(0))),(INDEX(B4:B404,(B3)+(1)))+(B147),IF(("equals")=(INDEX(B1:XFD1,((A2)+(1))+(0))),(INDEX(B4:B404,(B3)+(1)))=(B147),IF(("leq")=(INDEX(B1:XFD1,((A2)+(1))+(0))),(INDEX(B4:B404,(B3)+(1)))&lt;=(B147),IF(("greater")=(INDEX(B1:XFD1,((A2)+(1))+(0))),(INDEX(B4:B404,(B3)+(1)))&gt;(B147),IF(("mod")=(INDEX(B1:XFD1,((A2)+(1))+(0))),MOD(INDEX(B4:B404,(B3)+(1)),B147),B147))))))))),B147))</f>
        <v>#VALUE!</v>
      </c>
      <c r="C147" t="e">
        <f ca="1">IF((A1)=(2),1,IF(AND((INDEX(B1:XFD1,((A2)+(1))+(0)))=("writeheap"),(INDEX(B4:B404,(B3)+(1)))=(143)),INDEX(B4:B404,(B3)+(2)),IF((A1)=(2),"",IF((144)=(C3),C147,C147))))</f>
        <v>#VALUE!</v>
      </c>
      <c r="E147" t="e">
        <f ca="1">IF((A1)=(2),"",IF((144)=(E3),IF(("outputline")=(INDEX(B1:XFD1,((A2)+(1))+(0))),B2,E147),E147))</f>
        <v>#VALUE!</v>
      </c>
      <c r="F147" t="e">
        <f ca="1">IF((A1)=(2),"",IF((144)=(F3),IF(IF((INDEX(B1:XFD1,((A2)+(1))+(0)))=("store"),(INDEX(B1:XFD1,((A2)+(1))+(1)))=("F"),"false"),B2,F147),F147))</f>
        <v>#VALUE!</v>
      </c>
      <c r="G147" t="e">
        <f ca="1">IF((A1)=(2),"",IF((144)=(G3),IF(IF((INDEX(B1:XFD1,((A2)+(1))+(0)))=("store"),(INDEX(B1:XFD1,((A2)+(1))+(1)))=("G"),"false"),B2,G147),G147))</f>
        <v>#VALUE!</v>
      </c>
      <c r="H147" t="e">
        <f ca="1">IF((A1)=(2),"",IF((144)=(H3),IF(IF((INDEX(B1:XFD1,((A2)+(1))+(0)))=("store"),(INDEX(B1:XFD1,((A2)+(1))+(1)))=("H"),"false"),B2,H147),H147))</f>
        <v>#VALUE!</v>
      </c>
      <c r="I147" t="e">
        <f ca="1">IF((A1)=(2),"",IF((144)=(I3),IF(IF((INDEX(B1:XFD1,((A2)+(1))+(0)))=("store"),(INDEX(B1:XFD1,((A2)+(1))+(1)))=("I"),"false"),B2,I147),I147))</f>
        <v>#VALUE!</v>
      </c>
      <c r="J147" t="e">
        <f ca="1">IF((A1)=(2),"",IF((144)=(J3),IF(IF((INDEX(B1:XFD1,((A2)+(1))+(0)))=("store"),(INDEX(B1:XFD1,((A2)+(1))+(1)))=("J"),"false"),B2,J147),J147))</f>
        <v>#VALUE!</v>
      </c>
      <c r="K147" t="e">
        <f ca="1">IF((A1)=(2),"",IF((144)=(K3),IF(IF((INDEX(B1:XFD1,((A2)+(1))+(0)))=("store"),(INDEX(B1:XFD1,((A2)+(1))+(1)))=("K"),"false"),B2,K147),K147))</f>
        <v>#VALUE!</v>
      </c>
      <c r="L147" t="e">
        <f ca="1">IF((A1)=(2),"",IF((144)=(L3),IF(IF((INDEX(B1:XFD1,((A2)+(1))+(0)))=("store"),(INDEX(B1:XFD1,((A2)+(1))+(1)))=("L"),"false"),B2,L147),L147))</f>
        <v>#VALUE!</v>
      </c>
      <c r="M147" t="e">
        <f ca="1">IF((A1)=(2),"",IF((144)=(M3),IF(IF((INDEX(B1:XFD1,((A2)+(1))+(0)))=("store"),(INDEX(B1:XFD1,((A2)+(1))+(1)))=("M"),"false"),B2,M147),M147))</f>
        <v>#VALUE!</v>
      </c>
      <c r="N147" t="e">
        <f ca="1">IF((A1)=(2),"",IF((144)=(N3),IF(IF((INDEX(B1:XFD1,((A2)+(1))+(0)))=("store"),(INDEX(B1:XFD1,((A2)+(1))+(1)))=("N"),"false"),B2,N147),N147))</f>
        <v>#VALUE!</v>
      </c>
      <c r="O147" t="e">
        <f ca="1">IF((A1)=(2),"",IF((144)=(O3),IF(IF((INDEX(B1:XFD1,((A2)+(1))+(0)))=("store"),(INDEX(B1:XFD1,((A2)+(1))+(1)))=("O"),"false"),B2,O147),O147))</f>
        <v>#VALUE!</v>
      </c>
      <c r="P147" t="e">
        <f ca="1">IF((A1)=(2),"",IF((144)=(P3),IF(IF((INDEX(B1:XFD1,((A2)+(1))+(0)))=("store"),(INDEX(B1:XFD1,((A2)+(1))+(1)))=("P"),"false"),B2,P147),P147))</f>
        <v>#VALUE!</v>
      </c>
      <c r="Q147" t="e">
        <f ca="1">IF((A1)=(2),"",IF((144)=(Q3),IF(IF((INDEX(B1:XFD1,((A2)+(1))+(0)))=("store"),(INDEX(B1:XFD1,((A2)+(1))+(1)))=("Q"),"false"),B2,Q147),Q147))</f>
        <v>#VALUE!</v>
      </c>
      <c r="R147" t="e">
        <f ca="1">IF((A1)=(2),"",IF((144)=(R3),IF(IF((INDEX(B1:XFD1,((A2)+(1))+(0)))=("store"),(INDEX(B1:XFD1,((A2)+(1))+(1)))=("R"),"false"),B2,R147),R147))</f>
        <v>#VALUE!</v>
      </c>
      <c r="S147" t="e">
        <f ca="1">IF((A1)=(2),"",IF((144)=(S3),IF(IF((INDEX(B1:XFD1,((A2)+(1))+(0)))=("store"),(INDEX(B1:XFD1,((A2)+(1))+(1)))=("S"),"false"),B2,S147),S147))</f>
        <v>#VALUE!</v>
      </c>
      <c r="T147" t="e">
        <f ca="1">IF((A1)=(2),"",IF((144)=(T3),IF(IF((INDEX(B1:XFD1,((A2)+(1))+(0)))=("store"),(INDEX(B1:XFD1,((A2)+(1))+(1)))=("T"),"false"),B2,T147),T147))</f>
        <v>#VALUE!</v>
      </c>
      <c r="U147" t="e">
        <f ca="1">IF((A1)=(2),"",IF((144)=(U3),IF(IF((INDEX(B1:XFD1,((A2)+(1))+(0)))=("store"),(INDEX(B1:XFD1,((A2)+(1))+(1)))=("U"),"false"),B2,U147),U147))</f>
        <v>#VALUE!</v>
      </c>
      <c r="V147" t="e">
        <f ca="1">IF((A1)=(2),"",IF((144)=(V3),IF(IF((INDEX(B1:XFD1,((A2)+(1))+(0)))=("store"),(INDEX(B1:XFD1,((A2)+(1))+(1)))=("V"),"false"),B2,V147),V147))</f>
        <v>#VALUE!</v>
      </c>
      <c r="W147" t="e">
        <f ca="1">IF((A1)=(2),"",IF((144)=(W3),IF(IF((INDEX(B1:XFD1,((A2)+(1))+(0)))=("store"),(INDEX(B1:XFD1,((A2)+(1))+(1)))=("W"),"false"),B2,W147),W147))</f>
        <v>#VALUE!</v>
      </c>
      <c r="X147" t="e">
        <f ca="1">IF((A1)=(2),"",IF((144)=(X3),IF(IF((INDEX(B1:XFD1,((A2)+(1))+(0)))=("store"),(INDEX(B1:XFD1,((A2)+(1))+(1)))=("X"),"false"),B2,X147),X147))</f>
        <v>#VALUE!</v>
      </c>
      <c r="Y147" t="e">
        <f ca="1">IF((A1)=(2),"",IF((144)=(Y3),IF(IF((INDEX(B1:XFD1,((A2)+(1))+(0)))=("store"),(INDEX(B1:XFD1,((A2)+(1))+(1)))=("Y"),"false"),B2,Y147),Y147))</f>
        <v>#VALUE!</v>
      </c>
      <c r="Z147" t="e">
        <f ca="1">IF((A1)=(2),"",IF((144)=(Z3),IF(IF((INDEX(B1:XFD1,((A2)+(1))+(0)))=("store"),(INDEX(B1:XFD1,((A2)+(1))+(1)))=("Z"),"false"),B2,Z147),Z147))</f>
        <v>#VALUE!</v>
      </c>
      <c r="AA147" t="e">
        <f ca="1">IF((A1)=(2),"",IF((144)=(AA3),IF(IF((INDEX(B1:XFD1,((A2)+(1))+(0)))=("store"),(INDEX(B1:XFD1,((A2)+(1))+(1)))=("AA"),"false"),B2,AA147),AA147))</f>
        <v>#VALUE!</v>
      </c>
      <c r="AB147" t="e">
        <f ca="1">IF((A1)=(2),"",IF((144)=(AB3),IF(IF((INDEX(B1:XFD1,((A2)+(1))+(0)))=("store"),(INDEX(B1:XFD1,((A2)+(1))+(1)))=("AB"),"false"),B2,AB147),AB147))</f>
        <v>#VALUE!</v>
      </c>
      <c r="AC147" t="e">
        <f ca="1">IF((A1)=(2),"",IF((144)=(AC3),IF(IF((INDEX(B1:XFD1,((A2)+(1))+(0)))=("store"),(INDEX(B1:XFD1,((A2)+(1))+(1)))=("AC"),"false"),B2,AC147),AC147))</f>
        <v>#VALUE!</v>
      </c>
      <c r="AD147" t="e">
        <f ca="1">IF((A1)=(2),"",IF((144)=(AD3),IF(IF((INDEX(B1:XFD1,((A2)+(1))+(0)))=("store"),(INDEX(B1:XFD1,((A2)+(1))+(1)))=("AD"),"false"),B2,AD147),AD147))</f>
        <v>#VALUE!</v>
      </c>
    </row>
    <row r="148" spans="1:30" x14ac:dyDescent="0.25">
      <c r="A148" t="e">
        <f ca="1">IF((A1)=(2),"",IF((145)=(A3),IF(("call")=(INDEX(B1:XFD1,((A2)+(1))+(0))),(B2)*(2),IF(("goto")=(INDEX(B1:XFD1,((A2)+(1))+(0))),(INDEX(B1:XFD1,((A2)+(1))+(1)))*(2),IF(("gotoiftrue")=(INDEX(B1:XFD1,((A2)+(1))+(0))),IF(B2,(INDEX(B1:XFD1,((A2)+(1))+(1)))*(2),(A148)+(2)),(A148)+(2)))),A148))</f>
        <v>#VALUE!</v>
      </c>
      <c r="B148" t="e">
        <f ca="1">IF((A1)=(2),"",IF((145)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148)+(1)),IF(("add")=(INDEX(B1:XFD1,((A2)+(1))+(0))),(INDEX(B4:B404,(B3)+(1)))+(B148),IF(("equals")=(INDEX(B1:XFD1,((A2)+(1))+(0))),(INDEX(B4:B404,(B3)+(1)))=(B148),IF(("leq")=(INDEX(B1:XFD1,((A2)+(1))+(0))),(INDEX(B4:B404,(B3)+(1)))&lt;=(B148),IF(("greater")=(INDEX(B1:XFD1,((A2)+(1))+(0))),(INDEX(B4:B404,(B3)+(1)))&gt;(B148),IF(("mod")=(INDEX(B1:XFD1,((A2)+(1))+(0))),MOD(INDEX(B4:B404,(B3)+(1)),B148),B148))))))))),B148))</f>
        <v>#VALUE!</v>
      </c>
      <c r="C148" t="e">
        <f ca="1">IF((A1)=(2),1,IF(AND((INDEX(B1:XFD1,((A2)+(1))+(0)))=("writeheap"),(INDEX(B4:B404,(B3)+(1)))=(144)),INDEX(B4:B404,(B3)+(2)),IF((A1)=(2),"",IF((145)=(C3),C148,C148))))</f>
        <v>#VALUE!</v>
      </c>
      <c r="E148" t="e">
        <f ca="1">IF((A1)=(2),"",IF((145)=(E3),IF(("outputline")=(INDEX(B1:XFD1,((A2)+(1))+(0))),B2,E148),E148))</f>
        <v>#VALUE!</v>
      </c>
      <c r="F148" t="e">
        <f ca="1">IF((A1)=(2),"",IF((145)=(F3),IF(IF((INDEX(B1:XFD1,((A2)+(1))+(0)))=("store"),(INDEX(B1:XFD1,((A2)+(1))+(1)))=("F"),"false"),B2,F148),F148))</f>
        <v>#VALUE!</v>
      </c>
      <c r="G148" t="e">
        <f ca="1">IF((A1)=(2),"",IF((145)=(G3),IF(IF((INDEX(B1:XFD1,((A2)+(1))+(0)))=("store"),(INDEX(B1:XFD1,((A2)+(1))+(1)))=("G"),"false"),B2,G148),G148))</f>
        <v>#VALUE!</v>
      </c>
      <c r="H148" t="e">
        <f ca="1">IF((A1)=(2),"",IF((145)=(H3),IF(IF((INDEX(B1:XFD1,((A2)+(1))+(0)))=("store"),(INDEX(B1:XFD1,((A2)+(1))+(1)))=("H"),"false"),B2,H148),H148))</f>
        <v>#VALUE!</v>
      </c>
      <c r="I148" t="e">
        <f ca="1">IF((A1)=(2),"",IF((145)=(I3),IF(IF((INDEX(B1:XFD1,((A2)+(1))+(0)))=("store"),(INDEX(B1:XFD1,((A2)+(1))+(1)))=("I"),"false"),B2,I148),I148))</f>
        <v>#VALUE!</v>
      </c>
      <c r="J148" t="e">
        <f ca="1">IF((A1)=(2),"",IF((145)=(J3),IF(IF((INDEX(B1:XFD1,((A2)+(1))+(0)))=("store"),(INDEX(B1:XFD1,((A2)+(1))+(1)))=("J"),"false"),B2,J148),J148))</f>
        <v>#VALUE!</v>
      </c>
      <c r="K148" t="e">
        <f ca="1">IF((A1)=(2),"",IF((145)=(K3),IF(IF((INDEX(B1:XFD1,((A2)+(1))+(0)))=("store"),(INDEX(B1:XFD1,((A2)+(1))+(1)))=("K"),"false"),B2,K148),K148))</f>
        <v>#VALUE!</v>
      </c>
      <c r="L148" t="e">
        <f ca="1">IF((A1)=(2),"",IF((145)=(L3),IF(IF((INDEX(B1:XFD1,((A2)+(1))+(0)))=("store"),(INDEX(B1:XFD1,((A2)+(1))+(1)))=("L"),"false"),B2,L148),L148))</f>
        <v>#VALUE!</v>
      </c>
      <c r="M148" t="e">
        <f ca="1">IF((A1)=(2),"",IF((145)=(M3),IF(IF((INDEX(B1:XFD1,((A2)+(1))+(0)))=("store"),(INDEX(B1:XFD1,((A2)+(1))+(1)))=("M"),"false"),B2,M148),M148))</f>
        <v>#VALUE!</v>
      </c>
      <c r="N148" t="e">
        <f ca="1">IF((A1)=(2),"",IF((145)=(N3),IF(IF((INDEX(B1:XFD1,((A2)+(1))+(0)))=("store"),(INDEX(B1:XFD1,((A2)+(1))+(1)))=("N"),"false"),B2,N148),N148))</f>
        <v>#VALUE!</v>
      </c>
      <c r="O148" t="e">
        <f ca="1">IF((A1)=(2),"",IF((145)=(O3),IF(IF((INDEX(B1:XFD1,((A2)+(1))+(0)))=("store"),(INDEX(B1:XFD1,((A2)+(1))+(1)))=("O"),"false"),B2,O148),O148))</f>
        <v>#VALUE!</v>
      </c>
      <c r="P148" t="e">
        <f ca="1">IF((A1)=(2),"",IF((145)=(P3),IF(IF((INDEX(B1:XFD1,((A2)+(1))+(0)))=("store"),(INDEX(B1:XFD1,((A2)+(1))+(1)))=("P"),"false"),B2,P148),P148))</f>
        <v>#VALUE!</v>
      </c>
      <c r="Q148" t="e">
        <f ca="1">IF((A1)=(2),"",IF((145)=(Q3),IF(IF((INDEX(B1:XFD1,((A2)+(1))+(0)))=("store"),(INDEX(B1:XFD1,((A2)+(1))+(1)))=("Q"),"false"),B2,Q148),Q148))</f>
        <v>#VALUE!</v>
      </c>
      <c r="R148" t="e">
        <f ca="1">IF((A1)=(2),"",IF((145)=(R3),IF(IF((INDEX(B1:XFD1,((A2)+(1))+(0)))=("store"),(INDEX(B1:XFD1,((A2)+(1))+(1)))=("R"),"false"),B2,R148),R148))</f>
        <v>#VALUE!</v>
      </c>
      <c r="S148" t="e">
        <f ca="1">IF((A1)=(2),"",IF((145)=(S3),IF(IF((INDEX(B1:XFD1,((A2)+(1))+(0)))=("store"),(INDEX(B1:XFD1,((A2)+(1))+(1)))=("S"),"false"),B2,S148),S148))</f>
        <v>#VALUE!</v>
      </c>
      <c r="T148" t="e">
        <f ca="1">IF((A1)=(2),"",IF((145)=(T3),IF(IF((INDEX(B1:XFD1,((A2)+(1))+(0)))=("store"),(INDEX(B1:XFD1,((A2)+(1))+(1)))=("T"),"false"),B2,T148),T148))</f>
        <v>#VALUE!</v>
      </c>
      <c r="U148" t="e">
        <f ca="1">IF((A1)=(2),"",IF((145)=(U3),IF(IF((INDEX(B1:XFD1,((A2)+(1))+(0)))=("store"),(INDEX(B1:XFD1,((A2)+(1))+(1)))=("U"),"false"),B2,U148),U148))</f>
        <v>#VALUE!</v>
      </c>
      <c r="V148" t="e">
        <f ca="1">IF((A1)=(2),"",IF((145)=(V3),IF(IF((INDEX(B1:XFD1,((A2)+(1))+(0)))=("store"),(INDEX(B1:XFD1,((A2)+(1))+(1)))=("V"),"false"),B2,V148),V148))</f>
        <v>#VALUE!</v>
      </c>
      <c r="W148" t="e">
        <f ca="1">IF((A1)=(2),"",IF((145)=(W3),IF(IF((INDEX(B1:XFD1,((A2)+(1))+(0)))=("store"),(INDEX(B1:XFD1,((A2)+(1))+(1)))=("W"),"false"),B2,W148),W148))</f>
        <v>#VALUE!</v>
      </c>
      <c r="X148" t="e">
        <f ca="1">IF((A1)=(2),"",IF((145)=(X3),IF(IF((INDEX(B1:XFD1,((A2)+(1))+(0)))=("store"),(INDEX(B1:XFD1,((A2)+(1))+(1)))=("X"),"false"),B2,X148),X148))</f>
        <v>#VALUE!</v>
      </c>
      <c r="Y148" t="e">
        <f ca="1">IF((A1)=(2),"",IF((145)=(Y3),IF(IF((INDEX(B1:XFD1,((A2)+(1))+(0)))=("store"),(INDEX(B1:XFD1,((A2)+(1))+(1)))=("Y"),"false"),B2,Y148),Y148))</f>
        <v>#VALUE!</v>
      </c>
      <c r="Z148" t="e">
        <f ca="1">IF((A1)=(2),"",IF((145)=(Z3),IF(IF((INDEX(B1:XFD1,((A2)+(1))+(0)))=("store"),(INDEX(B1:XFD1,((A2)+(1))+(1)))=("Z"),"false"),B2,Z148),Z148))</f>
        <v>#VALUE!</v>
      </c>
      <c r="AA148" t="e">
        <f ca="1">IF((A1)=(2),"",IF((145)=(AA3),IF(IF((INDEX(B1:XFD1,((A2)+(1))+(0)))=("store"),(INDEX(B1:XFD1,((A2)+(1))+(1)))=("AA"),"false"),B2,AA148),AA148))</f>
        <v>#VALUE!</v>
      </c>
      <c r="AB148" t="e">
        <f ca="1">IF((A1)=(2),"",IF((145)=(AB3),IF(IF((INDEX(B1:XFD1,((A2)+(1))+(0)))=("store"),(INDEX(B1:XFD1,((A2)+(1))+(1)))=("AB"),"false"),B2,AB148),AB148))</f>
        <v>#VALUE!</v>
      </c>
      <c r="AC148" t="e">
        <f ca="1">IF((A1)=(2),"",IF((145)=(AC3),IF(IF((INDEX(B1:XFD1,((A2)+(1))+(0)))=("store"),(INDEX(B1:XFD1,((A2)+(1))+(1)))=("AC"),"false"),B2,AC148),AC148))</f>
        <v>#VALUE!</v>
      </c>
      <c r="AD148" t="e">
        <f ca="1">IF((A1)=(2),"",IF((145)=(AD3),IF(IF((INDEX(B1:XFD1,((A2)+(1))+(0)))=("store"),(INDEX(B1:XFD1,((A2)+(1))+(1)))=("AD"),"false"),B2,AD148),AD148))</f>
        <v>#VALUE!</v>
      </c>
    </row>
    <row r="149" spans="1:30" x14ac:dyDescent="0.25">
      <c r="A149" t="e">
        <f ca="1">IF((A1)=(2),"",IF((146)=(A3),IF(("call")=(INDEX(B1:XFD1,((A2)+(1))+(0))),(B2)*(2),IF(("goto")=(INDEX(B1:XFD1,((A2)+(1))+(0))),(INDEX(B1:XFD1,((A2)+(1))+(1)))*(2),IF(("gotoiftrue")=(INDEX(B1:XFD1,((A2)+(1))+(0))),IF(B2,(INDEX(B1:XFD1,((A2)+(1))+(1)))*(2),(A149)+(2)),(A149)+(2)))),A149))</f>
        <v>#VALUE!</v>
      </c>
      <c r="B149" t="e">
        <f ca="1">IF((A1)=(2),"",IF((146)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149)+(1)),IF(("add")=(INDEX(B1:XFD1,((A2)+(1))+(0))),(INDEX(B4:B404,(B3)+(1)))+(B149),IF(("equals")=(INDEX(B1:XFD1,((A2)+(1))+(0))),(INDEX(B4:B404,(B3)+(1)))=(B149),IF(("leq")=(INDEX(B1:XFD1,((A2)+(1))+(0))),(INDEX(B4:B404,(B3)+(1)))&lt;=(B149),IF(("greater")=(INDEX(B1:XFD1,((A2)+(1))+(0))),(INDEX(B4:B404,(B3)+(1)))&gt;(B149),IF(("mod")=(INDEX(B1:XFD1,((A2)+(1))+(0))),MOD(INDEX(B4:B404,(B3)+(1)),B149),B149))))))))),B149))</f>
        <v>#VALUE!</v>
      </c>
      <c r="C149" t="e">
        <f ca="1">IF((A1)=(2),1,IF(AND((INDEX(B1:XFD1,((A2)+(1))+(0)))=("writeheap"),(INDEX(B4:B404,(B3)+(1)))=(145)),INDEX(B4:B404,(B3)+(2)),IF((A1)=(2),"",IF((146)=(C3),C149,C149))))</f>
        <v>#VALUE!</v>
      </c>
      <c r="E149" t="e">
        <f ca="1">IF((A1)=(2),"",IF((146)=(E3),IF(("outputline")=(INDEX(B1:XFD1,((A2)+(1))+(0))),B2,E149),E149))</f>
        <v>#VALUE!</v>
      </c>
      <c r="F149" t="e">
        <f ca="1">IF((A1)=(2),"",IF((146)=(F3),IF(IF((INDEX(B1:XFD1,((A2)+(1))+(0)))=("store"),(INDEX(B1:XFD1,((A2)+(1))+(1)))=("F"),"false"),B2,F149),F149))</f>
        <v>#VALUE!</v>
      </c>
      <c r="G149" t="e">
        <f ca="1">IF((A1)=(2),"",IF((146)=(G3),IF(IF((INDEX(B1:XFD1,((A2)+(1))+(0)))=("store"),(INDEX(B1:XFD1,((A2)+(1))+(1)))=("G"),"false"),B2,G149),G149))</f>
        <v>#VALUE!</v>
      </c>
      <c r="H149" t="e">
        <f ca="1">IF((A1)=(2),"",IF((146)=(H3),IF(IF((INDEX(B1:XFD1,((A2)+(1))+(0)))=("store"),(INDEX(B1:XFD1,((A2)+(1))+(1)))=("H"),"false"),B2,H149),H149))</f>
        <v>#VALUE!</v>
      </c>
      <c r="I149" t="e">
        <f ca="1">IF((A1)=(2),"",IF((146)=(I3),IF(IF((INDEX(B1:XFD1,((A2)+(1))+(0)))=("store"),(INDEX(B1:XFD1,((A2)+(1))+(1)))=("I"),"false"),B2,I149),I149))</f>
        <v>#VALUE!</v>
      </c>
      <c r="J149" t="e">
        <f ca="1">IF((A1)=(2),"",IF((146)=(J3),IF(IF((INDEX(B1:XFD1,((A2)+(1))+(0)))=("store"),(INDEX(B1:XFD1,((A2)+(1))+(1)))=("J"),"false"),B2,J149),J149))</f>
        <v>#VALUE!</v>
      </c>
      <c r="K149" t="e">
        <f ca="1">IF((A1)=(2),"",IF((146)=(K3),IF(IF((INDEX(B1:XFD1,((A2)+(1))+(0)))=("store"),(INDEX(B1:XFD1,((A2)+(1))+(1)))=("K"),"false"),B2,K149),K149))</f>
        <v>#VALUE!</v>
      </c>
      <c r="L149" t="e">
        <f ca="1">IF((A1)=(2),"",IF((146)=(L3),IF(IF((INDEX(B1:XFD1,((A2)+(1))+(0)))=("store"),(INDEX(B1:XFD1,((A2)+(1))+(1)))=("L"),"false"),B2,L149),L149))</f>
        <v>#VALUE!</v>
      </c>
      <c r="M149" t="e">
        <f ca="1">IF((A1)=(2),"",IF((146)=(M3),IF(IF((INDEX(B1:XFD1,((A2)+(1))+(0)))=("store"),(INDEX(B1:XFD1,((A2)+(1))+(1)))=("M"),"false"),B2,M149),M149))</f>
        <v>#VALUE!</v>
      </c>
      <c r="N149" t="e">
        <f ca="1">IF((A1)=(2),"",IF((146)=(N3),IF(IF((INDEX(B1:XFD1,((A2)+(1))+(0)))=("store"),(INDEX(B1:XFD1,((A2)+(1))+(1)))=("N"),"false"),B2,N149),N149))</f>
        <v>#VALUE!</v>
      </c>
      <c r="O149" t="e">
        <f ca="1">IF((A1)=(2),"",IF((146)=(O3),IF(IF((INDEX(B1:XFD1,((A2)+(1))+(0)))=("store"),(INDEX(B1:XFD1,((A2)+(1))+(1)))=("O"),"false"),B2,O149),O149))</f>
        <v>#VALUE!</v>
      </c>
      <c r="P149" t="e">
        <f ca="1">IF((A1)=(2),"",IF((146)=(P3),IF(IF((INDEX(B1:XFD1,((A2)+(1))+(0)))=("store"),(INDEX(B1:XFD1,((A2)+(1))+(1)))=("P"),"false"),B2,P149),P149))</f>
        <v>#VALUE!</v>
      </c>
      <c r="Q149" t="e">
        <f ca="1">IF((A1)=(2),"",IF((146)=(Q3),IF(IF((INDEX(B1:XFD1,((A2)+(1))+(0)))=("store"),(INDEX(B1:XFD1,((A2)+(1))+(1)))=("Q"),"false"),B2,Q149),Q149))</f>
        <v>#VALUE!</v>
      </c>
      <c r="R149" t="e">
        <f ca="1">IF((A1)=(2),"",IF((146)=(R3),IF(IF((INDEX(B1:XFD1,((A2)+(1))+(0)))=("store"),(INDEX(B1:XFD1,((A2)+(1))+(1)))=("R"),"false"),B2,R149),R149))</f>
        <v>#VALUE!</v>
      </c>
      <c r="S149" t="e">
        <f ca="1">IF((A1)=(2),"",IF((146)=(S3),IF(IF((INDEX(B1:XFD1,((A2)+(1))+(0)))=("store"),(INDEX(B1:XFD1,((A2)+(1))+(1)))=("S"),"false"),B2,S149),S149))</f>
        <v>#VALUE!</v>
      </c>
      <c r="T149" t="e">
        <f ca="1">IF((A1)=(2),"",IF((146)=(T3),IF(IF((INDEX(B1:XFD1,((A2)+(1))+(0)))=("store"),(INDEX(B1:XFD1,((A2)+(1))+(1)))=("T"),"false"),B2,T149),T149))</f>
        <v>#VALUE!</v>
      </c>
      <c r="U149" t="e">
        <f ca="1">IF((A1)=(2),"",IF((146)=(U3),IF(IF((INDEX(B1:XFD1,((A2)+(1))+(0)))=("store"),(INDEX(B1:XFD1,((A2)+(1))+(1)))=("U"),"false"),B2,U149),U149))</f>
        <v>#VALUE!</v>
      </c>
      <c r="V149" t="e">
        <f ca="1">IF((A1)=(2),"",IF((146)=(V3),IF(IF((INDEX(B1:XFD1,((A2)+(1))+(0)))=("store"),(INDEX(B1:XFD1,((A2)+(1))+(1)))=("V"),"false"),B2,V149),V149))</f>
        <v>#VALUE!</v>
      </c>
      <c r="W149" t="e">
        <f ca="1">IF((A1)=(2),"",IF((146)=(W3),IF(IF((INDEX(B1:XFD1,((A2)+(1))+(0)))=("store"),(INDEX(B1:XFD1,((A2)+(1))+(1)))=("W"),"false"),B2,W149),W149))</f>
        <v>#VALUE!</v>
      </c>
      <c r="X149" t="e">
        <f ca="1">IF((A1)=(2),"",IF((146)=(X3),IF(IF((INDEX(B1:XFD1,((A2)+(1))+(0)))=("store"),(INDEX(B1:XFD1,((A2)+(1))+(1)))=("X"),"false"),B2,X149),X149))</f>
        <v>#VALUE!</v>
      </c>
      <c r="Y149" t="e">
        <f ca="1">IF((A1)=(2),"",IF((146)=(Y3),IF(IF((INDEX(B1:XFD1,((A2)+(1))+(0)))=("store"),(INDEX(B1:XFD1,((A2)+(1))+(1)))=("Y"),"false"),B2,Y149),Y149))</f>
        <v>#VALUE!</v>
      </c>
      <c r="Z149" t="e">
        <f ca="1">IF((A1)=(2),"",IF((146)=(Z3),IF(IF((INDEX(B1:XFD1,((A2)+(1))+(0)))=("store"),(INDEX(B1:XFD1,((A2)+(1))+(1)))=("Z"),"false"),B2,Z149),Z149))</f>
        <v>#VALUE!</v>
      </c>
      <c r="AA149" t="e">
        <f ca="1">IF((A1)=(2),"",IF((146)=(AA3),IF(IF((INDEX(B1:XFD1,((A2)+(1))+(0)))=("store"),(INDEX(B1:XFD1,((A2)+(1))+(1)))=("AA"),"false"),B2,AA149),AA149))</f>
        <v>#VALUE!</v>
      </c>
      <c r="AB149" t="e">
        <f ca="1">IF((A1)=(2),"",IF((146)=(AB3),IF(IF((INDEX(B1:XFD1,((A2)+(1))+(0)))=("store"),(INDEX(B1:XFD1,((A2)+(1))+(1)))=("AB"),"false"),B2,AB149),AB149))</f>
        <v>#VALUE!</v>
      </c>
      <c r="AC149" t="e">
        <f ca="1">IF((A1)=(2),"",IF((146)=(AC3),IF(IF((INDEX(B1:XFD1,((A2)+(1))+(0)))=("store"),(INDEX(B1:XFD1,((A2)+(1))+(1)))=("AC"),"false"),B2,AC149),AC149))</f>
        <v>#VALUE!</v>
      </c>
      <c r="AD149" t="e">
        <f ca="1">IF((A1)=(2),"",IF((146)=(AD3),IF(IF((INDEX(B1:XFD1,((A2)+(1))+(0)))=("store"),(INDEX(B1:XFD1,((A2)+(1))+(1)))=("AD"),"false"),B2,AD149),AD149))</f>
        <v>#VALUE!</v>
      </c>
    </row>
    <row r="150" spans="1:30" x14ac:dyDescent="0.25">
      <c r="A150" t="e">
        <f ca="1">IF((A1)=(2),"",IF((147)=(A3),IF(("call")=(INDEX(B1:XFD1,((A2)+(1))+(0))),(B2)*(2),IF(("goto")=(INDEX(B1:XFD1,((A2)+(1))+(0))),(INDEX(B1:XFD1,((A2)+(1))+(1)))*(2),IF(("gotoiftrue")=(INDEX(B1:XFD1,((A2)+(1))+(0))),IF(B2,(INDEX(B1:XFD1,((A2)+(1))+(1)))*(2),(A150)+(2)),(A150)+(2)))),A150))</f>
        <v>#VALUE!</v>
      </c>
      <c r="B150" t="e">
        <f ca="1">IF((A1)=(2),"",IF((147)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150)+(1)),IF(("add")=(INDEX(B1:XFD1,((A2)+(1))+(0))),(INDEX(B4:B404,(B3)+(1)))+(B150),IF(("equals")=(INDEX(B1:XFD1,((A2)+(1))+(0))),(INDEX(B4:B404,(B3)+(1)))=(B150),IF(("leq")=(INDEX(B1:XFD1,((A2)+(1))+(0))),(INDEX(B4:B404,(B3)+(1)))&lt;=(B150),IF(("greater")=(INDEX(B1:XFD1,((A2)+(1))+(0))),(INDEX(B4:B404,(B3)+(1)))&gt;(B150),IF(("mod")=(INDEX(B1:XFD1,((A2)+(1))+(0))),MOD(INDEX(B4:B404,(B3)+(1)),B150),B150))))))))),B150))</f>
        <v>#VALUE!</v>
      </c>
      <c r="C150" t="e">
        <f ca="1">IF((A1)=(2),1,IF(AND((INDEX(B1:XFD1,((A2)+(1))+(0)))=("writeheap"),(INDEX(B4:B404,(B3)+(1)))=(146)),INDEX(B4:B404,(B3)+(2)),IF((A1)=(2),"",IF((147)=(C3),C150,C150))))</f>
        <v>#VALUE!</v>
      </c>
      <c r="E150" t="e">
        <f ca="1">IF((A1)=(2),"",IF((147)=(E3),IF(("outputline")=(INDEX(B1:XFD1,((A2)+(1))+(0))),B2,E150),E150))</f>
        <v>#VALUE!</v>
      </c>
      <c r="F150" t="e">
        <f ca="1">IF((A1)=(2),"",IF((147)=(F3),IF(IF((INDEX(B1:XFD1,((A2)+(1))+(0)))=("store"),(INDEX(B1:XFD1,((A2)+(1))+(1)))=("F"),"false"),B2,F150),F150))</f>
        <v>#VALUE!</v>
      </c>
      <c r="G150" t="e">
        <f ca="1">IF((A1)=(2),"",IF((147)=(G3),IF(IF((INDEX(B1:XFD1,((A2)+(1))+(0)))=("store"),(INDEX(B1:XFD1,((A2)+(1))+(1)))=("G"),"false"),B2,G150),G150))</f>
        <v>#VALUE!</v>
      </c>
      <c r="H150" t="e">
        <f ca="1">IF((A1)=(2),"",IF((147)=(H3),IF(IF((INDEX(B1:XFD1,((A2)+(1))+(0)))=("store"),(INDEX(B1:XFD1,((A2)+(1))+(1)))=("H"),"false"),B2,H150),H150))</f>
        <v>#VALUE!</v>
      </c>
      <c r="I150" t="e">
        <f ca="1">IF((A1)=(2),"",IF((147)=(I3),IF(IF((INDEX(B1:XFD1,((A2)+(1))+(0)))=("store"),(INDEX(B1:XFD1,((A2)+(1))+(1)))=("I"),"false"),B2,I150),I150))</f>
        <v>#VALUE!</v>
      </c>
      <c r="J150" t="e">
        <f ca="1">IF((A1)=(2),"",IF((147)=(J3),IF(IF((INDEX(B1:XFD1,((A2)+(1))+(0)))=("store"),(INDEX(B1:XFD1,((A2)+(1))+(1)))=("J"),"false"),B2,J150),J150))</f>
        <v>#VALUE!</v>
      </c>
      <c r="K150" t="e">
        <f ca="1">IF((A1)=(2),"",IF((147)=(K3),IF(IF((INDEX(B1:XFD1,((A2)+(1))+(0)))=("store"),(INDEX(B1:XFD1,((A2)+(1))+(1)))=("K"),"false"),B2,K150),K150))</f>
        <v>#VALUE!</v>
      </c>
      <c r="L150" t="e">
        <f ca="1">IF((A1)=(2),"",IF((147)=(L3),IF(IF((INDEX(B1:XFD1,((A2)+(1))+(0)))=("store"),(INDEX(B1:XFD1,((A2)+(1))+(1)))=("L"),"false"),B2,L150),L150))</f>
        <v>#VALUE!</v>
      </c>
      <c r="M150" t="e">
        <f ca="1">IF((A1)=(2),"",IF((147)=(M3),IF(IF((INDEX(B1:XFD1,((A2)+(1))+(0)))=("store"),(INDEX(B1:XFD1,((A2)+(1))+(1)))=("M"),"false"),B2,M150),M150))</f>
        <v>#VALUE!</v>
      </c>
      <c r="N150" t="e">
        <f ca="1">IF((A1)=(2),"",IF((147)=(N3),IF(IF((INDEX(B1:XFD1,((A2)+(1))+(0)))=("store"),(INDEX(B1:XFD1,((A2)+(1))+(1)))=("N"),"false"),B2,N150),N150))</f>
        <v>#VALUE!</v>
      </c>
      <c r="O150" t="e">
        <f ca="1">IF((A1)=(2),"",IF((147)=(O3),IF(IF((INDEX(B1:XFD1,((A2)+(1))+(0)))=("store"),(INDEX(B1:XFD1,((A2)+(1))+(1)))=("O"),"false"),B2,O150),O150))</f>
        <v>#VALUE!</v>
      </c>
      <c r="P150" t="e">
        <f ca="1">IF((A1)=(2),"",IF((147)=(P3),IF(IF((INDEX(B1:XFD1,((A2)+(1))+(0)))=("store"),(INDEX(B1:XFD1,((A2)+(1))+(1)))=("P"),"false"),B2,P150),P150))</f>
        <v>#VALUE!</v>
      </c>
      <c r="Q150" t="e">
        <f ca="1">IF((A1)=(2),"",IF((147)=(Q3),IF(IF((INDEX(B1:XFD1,((A2)+(1))+(0)))=("store"),(INDEX(B1:XFD1,((A2)+(1))+(1)))=("Q"),"false"),B2,Q150),Q150))</f>
        <v>#VALUE!</v>
      </c>
      <c r="R150" t="e">
        <f ca="1">IF((A1)=(2),"",IF((147)=(R3),IF(IF((INDEX(B1:XFD1,((A2)+(1))+(0)))=("store"),(INDEX(B1:XFD1,((A2)+(1))+(1)))=("R"),"false"),B2,R150),R150))</f>
        <v>#VALUE!</v>
      </c>
      <c r="S150" t="e">
        <f ca="1">IF((A1)=(2),"",IF((147)=(S3),IF(IF((INDEX(B1:XFD1,((A2)+(1))+(0)))=("store"),(INDEX(B1:XFD1,((A2)+(1))+(1)))=("S"),"false"),B2,S150),S150))</f>
        <v>#VALUE!</v>
      </c>
      <c r="T150" t="e">
        <f ca="1">IF((A1)=(2),"",IF((147)=(T3),IF(IF((INDEX(B1:XFD1,((A2)+(1))+(0)))=("store"),(INDEX(B1:XFD1,((A2)+(1))+(1)))=("T"),"false"),B2,T150),T150))</f>
        <v>#VALUE!</v>
      </c>
      <c r="U150" t="e">
        <f ca="1">IF((A1)=(2),"",IF((147)=(U3),IF(IF((INDEX(B1:XFD1,((A2)+(1))+(0)))=("store"),(INDEX(B1:XFD1,((A2)+(1))+(1)))=("U"),"false"),B2,U150),U150))</f>
        <v>#VALUE!</v>
      </c>
      <c r="V150" t="e">
        <f ca="1">IF((A1)=(2),"",IF((147)=(V3),IF(IF((INDEX(B1:XFD1,((A2)+(1))+(0)))=("store"),(INDEX(B1:XFD1,((A2)+(1))+(1)))=("V"),"false"),B2,V150),V150))</f>
        <v>#VALUE!</v>
      </c>
      <c r="W150" t="e">
        <f ca="1">IF((A1)=(2),"",IF((147)=(W3),IF(IF((INDEX(B1:XFD1,((A2)+(1))+(0)))=("store"),(INDEX(B1:XFD1,((A2)+(1))+(1)))=("W"),"false"),B2,W150),W150))</f>
        <v>#VALUE!</v>
      </c>
      <c r="X150" t="e">
        <f ca="1">IF((A1)=(2),"",IF((147)=(X3),IF(IF((INDEX(B1:XFD1,((A2)+(1))+(0)))=("store"),(INDEX(B1:XFD1,((A2)+(1))+(1)))=("X"),"false"),B2,X150),X150))</f>
        <v>#VALUE!</v>
      </c>
      <c r="Y150" t="e">
        <f ca="1">IF((A1)=(2),"",IF((147)=(Y3),IF(IF((INDEX(B1:XFD1,((A2)+(1))+(0)))=("store"),(INDEX(B1:XFD1,((A2)+(1))+(1)))=("Y"),"false"),B2,Y150),Y150))</f>
        <v>#VALUE!</v>
      </c>
      <c r="Z150" t="e">
        <f ca="1">IF((A1)=(2),"",IF((147)=(Z3),IF(IF((INDEX(B1:XFD1,((A2)+(1))+(0)))=("store"),(INDEX(B1:XFD1,((A2)+(1))+(1)))=("Z"),"false"),B2,Z150),Z150))</f>
        <v>#VALUE!</v>
      </c>
      <c r="AA150" t="e">
        <f ca="1">IF((A1)=(2),"",IF((147)=(AA3),IF(IF((INDEX(B1:XFD1,((A2)+(1))+(0)))=("store"),(INDEX(B1:XFD1,((A2)+(1))+(1)))=("AA"),"false"),B2,AA150),AA150))</f>
        <v>#VALUE!</v>
      </c>
      <c r="AB150" t="e">
        <f ca="1">IF((A1)=(2),"",IF((147)=(AB3),IF(IF((INDEX(B1:XFD1,((A2)+(1))+(0)))=("store"),(INDEX(B1:XFD1,((A2)+(1))+(1)))=("AB"),"false"),B2,AB150),AB150))</f>
        <v>#VALUE!</v>
      </c>
      <c r="AC150" t="e">
        <f ca="1">IF((A1)=(2),"",IF((147)=(AC3),IF(IF((INDEX(B1:XFD1,((A2)+(1))+(0)))=("store"),(INDEX(B1:XFD1,((A2)+(1))+(1)))=("AC"),"false"),B2,AC150),AC150))</f>
        <v>#VALUE!</v>
      </c>
      <c r="AD150" t="e">
        <f ca="1">IF((A1)=(2),"",IF((147)=(AD3),IF(IF((INDEX(B1:XFD1,((A2)+(1))+(0)))=("store"),(INDEX(B1:XFD1,((A2)+(1))+(1)))=("AD"),"false"),B2,AD150),AD150))</f>
        <v>#VALUE!</v>
      </c>
    </row>
    <row r="151" spans="1:30" x14ac:dyDescent="0.25">
      <c r="A151" t="e">
        <f ca="1">IF((A1)=(2),"",IF((148)=(A3),IF(("call")=(INDEX(B1:XFD1,((A2)+(1))+(0))),(B2)*(2),IF(("goto")=(INDEX(B1:XFD1,((A2)+(1))+(0))),(INDEX(B1:XFD1,((A2)+(1))+(1)))*(2),IF(("gotoiftrue")=(INDEX(B1:XFD1,((A2)+(1))+(0))),IF(B2,(INDEX(B1:XFD1,((A2)+(1))+(1)))*(2),(A151)+(2)),(A151)+(2)))),A151))</f>
        <v>#VALUE!</v>
      </c>
      <c r="B151" t="e">
        <f ca="1">IF((A1)=(2),"",IF((148)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151)+(1)),IF(("add")=(INDEX(B1:XFD1,((A2)+(1))+(0))),(INDEX(B4:B404,(B3)+(1)))+(B151),IF(("equals")=(INDEX(B1:XFD1,((A2)+(1))+(0))),(INDEX(B4:B404,(B3)+(1)))=(B151),IF(("leq")=(INDEX(B1:XFD1,((A2)+(1))+(0))),(INDEX(B4:B404,(B3)+(1)))&lt;=(B151),IF(("greater")=(INDEX(B1:XFD1,((A2)+(1))+(0))),(INDEX(B4:B404,(B3)+(1)))&gt;(B151),IF(("mod")=(INDEX(B1:XFD1,((A2)+(1))+(0))),MOD(INDEX(B4:B404,(B3)+(1)),B151),B151))))))))),B151))</f>
        <v>#VALUE!</v>
      </c>
      <c r="C151" t="e">
        <f ca="1">IF((A1)=(2),1,IF(AND((INDEX(B1:XFD1,((A2)+(1))+(0)))=("writeheap"),(INDEX(B4:B404,(B3)+(1)))=(147)),INDEX(B4:B404,(B3)+(2)),IF((A1)=(2),"",IF((148)=(C3),C151,C151))))</f>
        <v>#VALUE!</v>
      </c>
      <c r="E151" t="e">
        <f ca="1">IF((A1)=(2),"",IF((148)=(E3),IF(("outputline")=(INDEX(B1:XFD1,((A2)+(1))+(0))),B2,E151),E151))</f>
        <v>#VALUE!</v>
      </c>
      <c r="F151" t="e">
        <f ca="1">IF((A1)=(2),"",IF((148)=(F3),IF(IF((INDEX(B1:XFD1,((A2)+(1))+(0)))=("store"),(INDEX(B1:XFD1,((A2)+(1))+(1)))=("F"),"false"),B2,F151),F151))</f>
        <v>#VALUE!</v>
      </c>
      <c r="G151" t="e">
        <f ca="1">IF((A1)=(2),"",IF((148)=(G3),IF(IF((INDEX(B1:XFD1,((A2)+(1))+(0)))=("store"),(INDEX(B1:XFD1,((A2)+(1))+(1)))=("G"),"false"),B2,G151),G151))</f>
        <v>#VALUE!</v>
      </c>
      <c r="H151" t="e">
        <f ca="1">IF((A1)=(2),"",IF((148)=(H3),IF(IF((INDEX(B1:XFD1,((A2)+(1))+(0)))=("store"),(INDEX(B1:XFD1,((A2)+(1))+(1)))=("H"),"false"),B2,H151),H151))</f>
        <v>#VALUE!</v>
      </c>
      <c r="I151" t="e">
        <f ca="1">IF((A1)=(2),"",IF((148)=(I3),IF(IF((INDEX(B1:XFD1,((A2)+(1))+(0)))=("store"),(INDEX(B1:XFD1,((A2)+(1))+(1)))=("I"),"false"),B2,I151),I151))</f>
        <v>#VALUE!</v>
      </c>
      <c r="J151" t="e">
        <f ca="1">IF((A1)=(2),"",IF((148)=(J3),IF(IF((INDEX(B1:XFD1,((A2)+(1))+(0)))=("store"),(INDEX(B1:XFD1,((A2)+(1))+(1)))=("J"),"false"),B2,J151),J151))</f>
        <v>#VALUE!</v>
      </c>
      <c r="K151" t="e">
        <f ca="1">IF((A1)=(2),"",IF((148)=(K3),IF(IF((INDEX(B1:XFD1,((A2)+(1))+(0)))=("store"),(INDEX(B1:XFD1,((A2)+(1))+(1)))=("K"),"false"),B2,K151),K151))</f>
        <v>#VALUE!</v>
      </c>
      <c r="L151" t="e">
        <f ca="1">IF((A1)=(2),"",IF((148)=(L3),IF(IF((INDEX(B1:XFD1,((A2)+(1))+(0)))=("store"),(INDEX(B1:XFD1,((A2)+(1))+(1)))=("L"),"false"),B2,L151),L151))</f>
        <v>#VALUE!</v>
      </c>
      <c r="M151" t="e">
        <f ca="1">IF((A1)=(2),"",IF((148)=(M3),IF(IF((INDEX(B1:XFD1,((A2)+(1))+(0)))=("store"),(INDEX(B1:XFD1,((A2)+(1))+(1)))=("M"),"false"),B2,M151),M151))</f>
        <v>#VALUE!</v>
      </c>
      <c r="N151" t="e">
        <f ca="1">IF((A1)=(2),"",IF((148)=(N3),IF(IF((INDEX(B1:XFD1,((A2)+(1))+(0)))=("store"),(INDEX(B1:XFD1,((A2)+(1))+(1)))=("N"),"false"),B2,N151),N151))</f>
        <v>#VALUE!</v>
      </c>
      <c r="O151" t="e">
        <f ca="1">IF((A1)=(2),"",IF((148)=(O3),IF(IF((INDEX(B1:XFD1,((A2)+(1))+(0)))=("store"),(INDEX(B1:XFD1,((A2)+(1))+(1)))=("O"),"false"),B2,O151),O151))</f>
        <v>#VALUE!</v>
      </c>
      <c r="P151" t="e">
        <f ca="1">IF((A1)=(2),"",IF((148)=(P3),IF(IF((INDEX(B1:XFD1,((A2)+(1))+(0)))=("store"),(INDEX(B1:XFD1,((A2)+(1))+(1)))=("P"),"false"),B2,P151),P151))</f>
        <v>#VALUE!</v>
      </c>
      <c r="Q151" t="e">
        <f ca="1">IF((A1)=(2),"",IF((148)=(Q3),IF(IF((INDEX(B1:XFD1,((A2)+(1))+(0)))=("store"),(INDEX(B1:XFD1,((A2)+(1))+(1)))=("Q"),"false"),B2,Q151),Q151))</f>
        <v>#VALUE!</v>
      </c>
      <c r="R151" t="e">
        <f ca="1">IF((A1)=(2),"",IF((148)=(R3),IF(IF((INDEX(B1:XFD1,((A2)+(1))+(0)))=("store"),(INDEX(B1:XFD1,((A2)+(1))+(1)))=("R"),"false"),B2,R151),R151))</f>
        <v>#VALUE!</v>
      </c>
      <c r="S151" t="e">
        <f ca="1">IF((A1)=(2),"",IF((148)=(S3),IF(IF((INDEX(B1:XFD1,((A2)+(1))+(0)))=("store"),(INDEX(B1:XFD1,((A2)+(1))+(1)))=("S"),"false"),B2,S151),S151))</f>
        <v>#VALUE!</v>
      </c>
      <c r="T151" t="e">
        <f ca="1">IF((A1)=(2),"",IF((148)=(T3),IF(IF((INDEX(B1:XFD1,((A2)+(1))+(0)))=("store"),(INDEX(B1:XFD1,((A2)+(1))+(1)))=("T"),"false"),B2,T151),T151))</f>
        <v>#VALUE!</v>
      </c>
      <c r="U151" t="e">
        <f ca="1">IF((A1)=(2),"",IF((148)=(U3),IF(IF((INDEX(B1:XFD1,((A2)+(1))+(0)))=("store"),(INDEX(B1:XFD1,((A2)+(1))+(1)))=("U"),"false"),B2,U151),U151))</f>
        <v>#VALUE!</v>
      </c>
      <c r="V151" t="e">
        <f ca="1">IF((A1)=(2),"",IF((148)=(V3),IF(IF((INDEX(B1:XFD1,((A2)+(1))+(0)))=("store"),(INDEX(B1:XFD1,((A2)+(1))+(1)))=("V"),"false"),B2,V151),V151))</f>
        <v>#VALUE!</v>
      </c>
      <c r="W151" t="e">
        <f ca="1">IF((A1)=(2),"",IF((148)=(W3),IF(IF((INDEX(B1:XFD1,((A2)+(1))+(0)))=("store"),(INDEX(B1:XFD1,((A2)+(1))+(1)))=("W"),"false"),B2,W151),W151))</f>
        <v>#VALUE!</v>
      </c>
      <c r="X151" t="e">
        <f ca="1">IF((A1)=(2),"",IF((148)=(X3),IF(IF((INDEX(B1:XFD1,((A2)+(1))+(0)))=("store"),(INDEX(B1:XFD1,((A2)+(1))+(1)))=("X"),"false"),B2,X151),X151))</f>
        <v>#VALUE!</v>
      </c>
      <c r="Y151" t="e">
        <f ca="1">IF((A1)=(2),"",IF((148)=(Y3),IF(IF((INDEX(B1:XFD1,((A2)+(1))+(0)))=("store"),(INDEX(B1:XFD1,((A2)+(1))+(1)))=("Y"),"false"),B2,Y151),Y151))</f>
        <v>#VALUE!</v>
      </c>
      <c r="Z151" t="e">
        <f ca="1">IF((A1)=(2),"",IF((148)=(Z3),IF(IF((INDEX(B1:XFD1,((A2)+(1))+(0)))=("store"),(INDEX(B1:XFD1,((A2)+(1))+(1)))=("Z"),"false"),B2,Z151),Z151))</f>
        <v>#VALUE!</v>
      </c>
      <c r="AA151" t="e">
        <f ca="1">IF((A1)=(2),"",IF((148)=(AA3),IF(IF((INDEX(B1:XFD1,((A2)+(1))+(0)))=("store"),(INDEX(B1:XFD1,((A2)+(1))+(1)))=("AA"),"false"),B2,AA151),AA151))</f>
        <v>#VALUE!</v>
      </c>
      <c r="AB151" t="e">
        <f ca="1">IF((A1)=(2),"",IF((148)=(AB3),IF(IF((INDEX(B1:XFD1,((A2)+(1))+(0)))=("store"),(INDEX(B1:XFD1,((A2)+(1))+(1)))=("AB"),"false"),B2,AB151),AB151))</f>
        <v>#VALUE!</v>
      </c>
      <c r="AC151" t="e">
        <f ca="1">IF((A1)=(2),"",IF((148)=(AC3),IF(IF((INDEX(B1:XFD1,((A2)+(1))+(0)))=("store"),(INDEX(B1:XFD1,((A2)+(1))+(1)))=("AC"),"false"),B2,AC151),AC151))</f>
        <v>#VALUE!</v>
      </c>
      <c r="AD151" t="e">
        <f ca="1">IF((A1)=(2),"",IF((148)=(AD3),IF(IF((INDEX(B1:XFD1,((A2)+(1))+(0)))=("store"),(INDEX(B1:XFD1,((A2)+(1))+(1)))=("AD"),"false"),B2,AD151),AD151))</f>
        <v>#VALUE!</v>
      </c>
    </row>
    <row r="152" spans="1:30" x14ac:dyDescent="0.25">
      <c r="A152" t="e">
        <f ca="1">IF((A1)=(2),"",IF((149)=(A3),IF(("call")=(INDEX(B1:XFD1,((A2)+(1))+(0))),(B2)*(2),IF(("goto")=(INDEX(B1:XFD1,((A2)+(1))+(0))),(INDEX(B1:XFD1,((A2)+(1))+(1)))*(2),IF(("gotoiftrue")=(INDEX(B1:XFD1,((A2)+(1))+(0))),IF(B2,(INDEX(B1:XFD1,((A2)+(1))+(1)))*(2),(A152)+(2)),(A152)+(2)))),A152))</f>
        <v>#VALUE!</v>
      </c>
      <c r="B152" t="e">
        <f ca="1">IF((A1)=(2),"",IF((149)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152)+(1)),IF(("add")=(INDEX(B1:XFD1,((A2)+(1))+(0))),(INDEX(B4:B404,(B3)+(1)))+(B152),IF(("equals")=(INDEX(B1:XFD1,((A2)+(1))+(0))),(INDEX(B4:B404,(B3)+(1)))=(B152),IF(("leq")=(INDEX(B1:XFD1,((A2)+(1))+(0))),(INDEX(B4:B404,(B3)+(1)))&lt;=(B152),IF(("greater")=(INDEX(B1:XFD1,((A2)+(1))+(0))),(INDEX(B4:B404,(B3)+(1)))&gt;(B152),IF(("mod")=(INDEX(B1:XFD1,((A2)+(1))+(0))),MOD(INDEX(B4:B404,(B3)+(1)),B152),B152))))))))),B152))</f>
        <v>#VALUE!</v>
      </c>
      <c r="C152" t="e">
        <f ca="1">IF((A1)=(2),1,IF(AND((INDEX(B1:XFD1,((A2)+(1))+(0)))=("writeheap"),(INDEX(B4:B404,(B3)+(1)))=(148)),INDEX(B4:B404,(B3)+(2)),IF((A1)=(2),"",IF((149)=(C3),C152,C152))))</f>
        <v>#VALUE!</v>
      </c>
      <c r="E152" t="e">
        <f ca="1">IF((A1)=(2),"",IF((149)=(E3),IF(("outputline")=(INDEX(B1:XFD1,((A2)+(1))+(0))),B2,E152),E152))</f>
        <v>#VALUE!</v>
      </c>
      <c r="F152" t="e">
        <f ca="1">IF((A1)=(2),"",IF((149)=(F3),IF(IF((INDEX(B1:XFD1,((A2)+(1))+(0)))=("store"),(INDEX(B1:XFD1,((A2)+(1))+(1)))=("F"),"false"),B2,F152),F152))</f>
        <v>#VALUE!</v>
      </c>
      <c r="G152" t="e">
        <f ca="1">IF((A1)=(2),"",IF((149)=(G3),IF(IF((INDEX(B1:XFD1,((A2)+(1))+(0)))=("store"),(INDEX(B1:XFD1,((A2)+(1))+(1)))=("G"),"false"),B2,G152),G152))</f>
        <v>#VALUE!</v>
      </c>
      <c r="H152" t="e">
        <f ca="1">IF((A1)=(2),"",IF((149)=(H3),IF(IF((INDEX(B1:XFD1,((A2)+(1))+(0)))=("store"),(INDEX(B1:XFD1,((A2)+(1))+(1)))=("H"),"false"),B2,H152),H152))</f>
        <v>#VALUE!</v>
      </c>
      <c r="I152" t="e">
        <f ca="1">IF((A1)=(2),"",IF((149)=(I3),IF(IF((INDEX(B1:XFD1,((A2)+(1))+(0)))=("store"),(INDEX(B1:XFD1,((A2)+(1))+(1)))=("I"),"false"),B2,I152),I152))</f>
        <v>#VALUE!</v>
      </c>
      <c r="J152" t="e">
        <f ca="1">IF((A1)=(2),"",IF((149)=(J3),IF(IF((INDEX(B1:XFD1,((A2)+(1))+(0)))=("store"),(INDEX(B1:XFD1,((A2)+(1))+(1)))=("J"),"false"),B2,J152),J152))</f>
        <v>#VALUE!</v>
      </c>
      <c r="K152" t="e">
        <f ca="1">IF((A1)=(2),"",IF((149)=(K3),IF(IF((INDEX(B1:XFD1,((A2)+(1))+(0)))=("store"),(INDEX(B1:XFD1,((A2)+(1))+(1)))=("K"),"false"),B2,K152),K152))</f>
        <v>#VALUE!</v>
      </c>
      <c r="L152" t="e">
        <f ca="1">IF((A1)=(2),"",IF((149)=(L3),IF(IF((INDEX(B1:XFD1,((A2)+(1))+(0)))=("store"),(INDEX(B1:XFD1,((A2)+(1))+(1)))=("L"),"false"),B2,L152),L152))</f>
        <v>#VALUE!</v>
      </c>
      <c r="M152" t="e">
        <f ca="1">IF((A1)=(2),"",IF((149)=(M3),IF(IF((INDEX(B1:XFD1,((A2)+(1))+(0)))=("store"),(INDEX(B1:XFD1,((A2)+(1))+(1)))=("M"),"false"),B2,M152),M152))</f>
        <v>#VALUE!</v>
      </c>
      <c r="N152" t="e">
        <f ca="1">IF((A1)=(2),"",IF((149)=(N3),IF(IF((INDEX(B1:XFD1,((A2)+(1))+(0)))=("store"),(INDEX(B1:XFD1,((A2)+(1))+(1)))=("N"),"false"),B2,N152),N152))</f>
        <v>#VALUE!</v>
      </c>
      <c r="O152" t="e">
        <f ca="1">IF((A1)=(2),"",IF((149)=(O3),IF(IF((INDEX(B1:XFD1,((A2)+(1))+(0)))=("store"),(INDEX(B1:XFD1,((A2)+(1))+(1)))=("O"),"false"),B2,O152),O152))</f>
        <v>#VALUE!</v>
      </c>
      <c r="P152" t="e">
        <f ca="1">IF((A1)=(2),"",IF((149)=(P3),IF(IF((INDEX(B1:XFD1,((A2)+(1))+(0)))=("store"),(INDEX(B1:XFD1,((A2)+(1))+(1)))=("P"),"false"),B2,P152),P152))</f>
        <v>#VALUE!</v>
      </c>
      <c r="Q152" t="e">
        <f ca="1">IF((A1)=(2),"",IF((149)=(Q3),IF(IF((INDEX(B1:XFD1,((A2)+(1))+(0)))=("store"),(INDEX(B1:XFD1,((A2)+(1))+(1)))=("Q"),"false"),B2,Q152),Q152))</f>
        <v>#VALUE!</v>
      </c>
      <c r="R152" t="e">
        <f ca="1">IF((A1)=(2),"",IF((149)=(R3),IF(IF((INDEX(B1:XFD1,((A2)+(1))+(0)))=("store"),(INDEX(B1:XFD1,((A2)+(1))+(1)))=("R"),"false"),B2,R152),R152))</f>
        <v>#VALUE!</v>
      </c>
      <c r="S152" t="e">
        <f ca="1">IF((A1)=(2),"",IF((149)=(S3),IF(IF((INDEX(B1:XFD1,((A2)+(1))+(0)))=("store"),(INDEX(B1:XFD1,((A2)+(1))+(1)))=("S"),"false"),B2,S152),S152))</f>
        <v>#VALUE!</v>
      </c>
      <c r="T152" t="e">
        <f ca="1">IF((A1)=(2),"",IF((149)=(T3),IF(IF((INDEX(B1:XFD1,((A2)+(1))+(0)))=("store"),(INDEX(B1:XFD1,((A2)+(1))+(1)))=("T"),"false"),B2,T152),T152))</f>
        <v>#VALUE!</v>
      </c>
      <c r="U152" t="e">
        <f ca="1">IF((A1)=(2),"",IF((149)=(U3),IF(IF((INDEX(B1:XFD1,((A2)+(1))+(0)))=("store"),(INDEX(B1:XFD1,((A2)+(1))+(1)))=("U"),"false"),B2,U152),U152))</f>
        <v>#VALUE!</v>
      </c>
      <c r="V152" t="e">
        <f ca="1">IF((A1)=(2),"",IF((149)=(V3),IF(IF((INDEX(B1:XFD1,((A2)+(1))+(0)))=("store"),(INDEX(B1:XFD1,((A2)+(1))+(1)))=("V"),"false"),B2,V152),V152))</f>
        <v>#VALUE!</v>
      </c>
      <c r="W152" t="e">
        <f ca="1">IF((A1)=(2),"",IF((149)=(W3),IF(IF((INDEX(B1:XFD1,((A2)+(1))+(0)))=("store"),(INDEX(B1:XFD1,((A2)+(1))+(1)))=("W"),"false"),B2,W152),W152))</f>
        <v>#VALUE!</v>
      </c>
      <c r="X152" t="e">
        <f ca="1">IF((A1)=(2),"",IF((149)=(X3),IF(IF((INDEX(B1:XFD1,((A2)+(1))+(0)))=("store"),(INDEX(B1:XFD1,((A2)+(1))+(1)))=("X"),"false"),B2,X152),X152))</f>
        <v>#VALUE!</v>
      </c>
      <c r="Y152" t="e">
        <f ca="1">IF((A1)=(2),"",IF((149)=(Y3),IF(IF((INDEX(B1:XFD1,((A2)+(1))+(0)))=("store"),(INDEX(B1:XFD1,((A2)+(1))+(1)))=("Y"),"false"),B2,Y152),Y152))</f>
        <v>#VALUE!</v>
      </c>
      <c r="Z152" t="e">
        <f ca="1">IF((A1)=(2),"",IF((149)=(Z3),IF(IF((INDEX(B1:XFD1,((A2)+(1))+(0)))=("store"),(INDEX(B1:XFD1,((A2)+(1))+(1)))=("Z"),"false"),B2,Z152),Z152))</f>
        <v>#VALUE!</v>
      </c>
      <c r="AA152" t="e">
        <f ca="1">IF((A1)=(2),"",IF((149)=(AA3),IF(IF((INDEX(B1:XFD1,((A2)+(1))+(0)))=("store"),(INDEX(B1:XFD1,((A2)+(1))+(1)))=("AA"),"false"),B2,AA152),AA152))</f>
        <v>#VALUE!</v>
      </c>
      <c r="AB152" t="e">
        <f ca="1">IF((A1)=(2),"",IF((149)=(AB3),IF(IF((INDEX(B1:XFD1,((A2)+(1))+(0)))=("store"),(INDEX(B1:XFD1,((A2)+(1))+(1)))=("AB"),"false"),B2,AB152),AB152))</f>
        <v>#VALUE!</v>
      </c>
      <c r="AC152" t="e">
        <f ca="1">IF((A1)=(2),"",IF((149)=(AC3),IF(IF((INDEX(B1:XFD1,((A2)+(1))+(0)))=("store"),(INDEX(B1:XFD1,((A2)+(1))+(1)))=("AC"),"false"),B2,AC152),AC152))</f>
        <v>#VALUE!</v>
      </c>
      <c r="AD152" t="e">
        <f ca="1">IF((A1)=(2),"",IF((149)=(AD3),IF(IF((INDEX(B1:XFD1,((A2)+(1))+(0)))=("store"),(INDEX(B1:XFD1,((A2)+(1))+(1)))=("AD"),"false"),B2,AD152),AD152))</f>
        <v>#VALUE!</v>
      </c>
    </row>
    <row r="153" spans="1:30" x14ac:dyDescent="0.25">
      <c r="A153" t="e">
        <f ca="1">IF((A1)=(2),"",IF((150)=(A3),IF(("call")=(INDEX(B1:XFD1,((A2)+(1))+(0))),(B2)*(2),IF(("goto")=(INDEX(B1:XFD1,((A2)+(1))+(0))),(INDEX(B1:XFD1,((A2)+(1))+(1)))*(2),IF(("gotoiftrue")=(INDEX(B1:XFD1,((A2)+(1))+(0))),IF(B2,(INDEX(B1:XFD1,((A2)+(1))+(1)))*(2),(A153)+(2)),(A153)+(2)))),A153))</f>
        <v>#VALUE!</v>
      </c>
      <c r="B153" t="e">
        <f ca="1">IF((A1)=(2),"",IF((150)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153)+(1)),IF(("add")=(INDEX(B1:XFD1,((A2)+(1))+(0))),(INDEX(B4:B404,(B3)+(1)))+(B153),IF(("equals")=(INDEX(B1:XFD1,((A2)+(1))+(0))),(INDEX(B4:B404,(B3)+(1)))=(B153),IF(("leq")=(INDEX(B1:XFD1,((A2)+(1))+(0))),(INDEX(B4:B404,(B3)+(1)))&lt;=(B153),IF(("greater")=(INDEX(B1:XFD1,((A2)+(1))+(0))),(INDEX(B4:B404,(B3)+(1)))&gt;(B153),IF(("mod")=(INDEX(B1:XFD1,((A2)+(1))+(0))),MOD(INDEX(B4:B404,(B3)+(1)),B153),B153))))))))),B153))</f>
        <v>#VALUE!</v>
      </c>
      <c r="C153" t="e">
        <f ca="1">IF((A1)=(2),1,IF(AND((INDEX(B1:XFD1,((A2)+(1))+(0)))=("writeheap"),(INDEX(B4:B404,(B3)+(1)))=(149)),INDEX(B4:B404,(B3)+(2)),IF((A1)=(2),"",IF((150)=(C3),C153,C153))))</f>
        <v>#VALUE!</v>
      </c>
      <c r="E153" t="e">
        <f ca="1">IF((A1)=(2),"",IF((150)=(E3),IF(("outputline")=(INDEX(B1:XFD1,((A2)+(1))+(0))),B2,E153),E153))</f>
        <v>#VALUE!</v>
      </c>
      <c r="F153" t="e">
        <f ca="1">IF((A1)=(2),"",IF((150)=(F3),IF(IF((INDEX(B1:XFD1,((A2)+(1))+(0)))=("store"),(INDEX(B1:XFD1,((A2)+(1))+(1)))=("F"),"false"),B2,F153),F153))</f>
        <v>#VALUE!</v>
      </c>
      <c r="G153" t="e">
        <f ca="1">IF((A1)=(2),"",IF((150)=(G3),IF(IF((INDEX(B1:XFD1,((A2)+(1))+(0)))=("store"),(INDEX(B1:XFD1,((A2)+(1))+(1)))=("G"),"false"),B2,G153),G153))</f>
        <v>#VALUE!</v>
      </c>
      <c r="H153" t="e">
        <f ca="1">IF((A1)=(2),"",IF((150)=(H3),IF(IF((INDEX(B1:XFD1,((A2)+(1))+(0)))=("store"),(INDEX(B1:XFD1,((A2)+(1))+(1)))=("H"),"false"),B2,H153),H153))</f>
        <v>#VALUE!</v>
      </c>
      <c r="I153" t="e">
        <f ca="1">IF((A1)=(2),"",IF((150)=(I3),IF(IF((INDEX(B1:XFD1,((A2)+(1))+(0)))=("store"),(INDEX(B1:XFD1,((A2)+(1))+(1)))=("I"),"false"),B2,I153),I153))</f>
        <v>#VALUE!</v>
      </c>
      <c r="J153" t="e">
        <f ca="1">IF((A1)=(2),"",IF((150)=(J3),IF(IF((INDEX(B1:XFD1,((A2)+(1))+(0)))=("store"),(INDEX(B1:XFD1,((A2)+(1))+(1)))=("J"),"false"),B2,J153),J153))</f>
        <v>#VALUE!</v>
      </c>
      <c r="K153" t="e">
        <f ca="1">IF((A1)=(2),"",IF((150)=(K3),IF(IF((INDEX(B1:XFD1,((A2)+(1))+(0)))=("store"),(INDEX(B1:XFD1,((A2)+(1))+(1)))=("K"),"false"),B2,K153),K153))</f>
        <v>#VALUE!</v>
      </c>
      <c r="L153" t="e">
        <f ca="1">IF((A1)=(2),"",IF((150)=(L3),IF(IF((INDEX(B1:XFD1,((A2)+(1))+(0)))=("store"),(INDEX(B1:XFD1,((A2)+(1))+(1)))=("L"),"false"),B2,L153),L153))</f>
        <v>#VALUE!</v>
      </c>
      <c r="M153" t="e">
        <f ca="1">IF((A1)=(2),"",IF((150)=(M3),IF(IF((INDEX(B1:XFD1,((A2)+(1))+(0)))=("store"),(INDEX(B1:XFD1,((A2)+(1))+(1)))=("M"),"false"),B2,M153),M153))</f>
        <v>#VALUE!</v>
      </c>
      <c r="N153" t="e">
        <f ca="1">IF((A1)=(2),"",IF((150)=(N3),IF(IF((INDEX(B1:XFD1,((A2)+(1))+(0)))=("store"),(INDEX(B1:XFD1,((A2)+(1))+(1)))=("N"),"false"),B2,N153),N153))</f>
        <v>#VALUE!</v>
      </c>
      <c r="O153" t="e">
        <f ca="1">IF((A1)=(2),"",IF((150)=(O3),IF(IF((INDEX(B1:XFD1,((A2)+(1))+(0)))=("store"),(INDEX(B1:XFD1,((A2)+(1))+(1)))=("O"),"false"),B2,O153),O153))</f>
        <v>#VALUE!</v>
      </c>
      <c r="P153" t="e">
        <f ca="1">IF((A1)=(2),"",IF((150)=(P3),IF(IF((INDEX(B1:XFD1,((A2)+(1))+(0)))=("store"),(INDEX(B1:XFD1,((A2)+(1))+(1)))=("P"),"false"),B2,P153),P153))</f>
        <v>#VALUE!</v>
      </c>
      <c r="Q153" t="e">
        <f ca="1">IF((A1)=(2),"",IF((150)=(Q3),IF(IF((INDEX(B1:XFD1,((A2)+(1))+(0)))=("store"),(INDEX(B1:XFD1,((A2)+(1))+(1)))=("Q"),"false"),B2,Q153),Q153))</f>
        <v>#VALUE!</v>
      </c>
      <c r="R153" t="e">
        <f ca="1">IF((A1)=(2),"",IF((150)=(R3),IF(IF((INDEX(B1:XFD1,((A2)+(1))+(0)))=("store"),(INDEX(B1:XFD1,((A2)+(1))+(1)))=("R"),"false"),B2,R153),R153))</f>
        <v>#VALUE!</v>
      </c>
      <c r="S153" t="e">
        <f ca="1">IF((A1)=(2),"",IF((150)=(S3),IF(IF((INDEX(B1:XFD1,((A2)+(1))+(0)))=("store"),(INDEX(B1:XFD1,((A2)+(1))+(1)))=("S"),"false"),B2,S153),S153))</f>
        <v>#VALUE!</v>
      </c>
      <c r="T153" t="e">
        <f ca="1">IF((A1)=(2),"",IF((150)=(T3),IF(IF((INDEX(B1:XFD1,((A2)+(1))+(0)))=("store"),(INDEX(B1:XFD1,((A2)+(1))+(1)))=("T"),"false"),B2,T153),T153))</f>
        <v>#VALUE!</v>
      </c>
      <c r="U153" t="e">
        <f ca="1">IF((A1)=(2),"",IF((150)=(U3),IF(IF((INDEX(B1:XFD1,((A2)+(1))+(0)))=("store"),(INDEX(B1:XFD1,((A2)+(1))+(1)))=("U"),"false"),B2,U153),U153))</f>
        <v>#VALUE!</v>
      </c>
      <c r="V153" t="e">
        <f ca="1">IF((A1)=(2),"",IF((150)=(V3),IF(IF((INDEX(B1:XFD1,((A2)+(1))+(0)))=("store"),(INDEX(B1:XFD1,((A2)+(1))+(1)))=("V"),"false"),B2,V153),V153))</f>
        <v>#VALUE!</v>
      </c>
      <c r="W153" t="e">
        <f ca="1">IF((A1)=(2),"",IF((150)=(W3),IF(IF((INDEX(B1:XFD1,((A2)+(1))+(0)))=("store"),(INDEX(B1:XFD1,((A2)+(1))+(1)))=("W"),"false"),B2,W153),W153))</f>
        <v>#VALUE!</v>
      </c>
      <c r="X153" t="e">
        <f ca="1">IF((A1)=(2),"",IF((150)=(X3),IF(IF((INDEX(B1:XFD1,((A2)+(1))+(0)))=("store"),(INDEX(B1:XFD1,((A2)+(1))+(1)))=("X"),"false"),B2,X153),X153))</f>
        <v>#VALUE!</v>
      </c>
      <c r="Y153" t="e">
        <f ca="1">IF((A1)=(2),"",IF((150)=(Y3),IF(IF((INDEX(B1:XFD1,((A2)+(1))+(0)))=("store"),(INDEX(B1:XFD1,((A2)+(1))+(1)))=("Y"),"false"),B2,Y153),Y153))</f>
        <v>#VALUE!</v>
      </c>
      <c r="Z153" t="e">
        <f ca="1">IF((A1)=(2),"",IF((150)=(Z3),IF(IF((INDEX(B1:XFD1,((A2)+(1))+(0)))=("store"),(INDEX(B1:XFD1,((A2)+(1))+(1)))=("Z"),"false"),B2,Z153),Z153))</f>
        <v>#VALUE!</v>
      </c>
      <c r="AA153" t="e">
        <f ca="1">IF((A1)=(2),"",IF((150)=(AA3),IF(IF((INDEX(B1:XFD1,((A2)+(1))+(0)))=("store"),(INDEX(B1:XFD1,((A2)+(1))+(1)))=("AA"),"false"),B2,AA153),AA153))</f>
        <v>#VALUE!</v>
      </c>
      <c r="AB153" t="e">
        <f ca="1">IF((A1)=(2),"",IF((150)=(AB3),IF(IF((INDEX(B1:XFD1,((A2)+(1))+(0)))=("store"),(INDEX(B1:XFD1,((A2)+(1))+(1)))=("AB"),"false"),B2,AB153),AB153))</f>
        <v>#VALUE!</v>
      </c>
      <c r="AC153" t="e">
        <f ca="1">IF((A1)=(2),"",IF((150)=(AC3),IF(IF((INDEX(B1:XFD1,((A2)+(1))+(0)))=("store"),(INDEX(B1:XFD1,((A2)+(1))+(1)))=("AC"),"false"),B2,AC153),AC153))</f>
        <v>#VALUE!</v>
      </c>
      <c r="AD153" t="e">
        <f ca="1">IF((A1)=(2),"",IF((150)=(AD3),IF(IF((INDEX(B1:XFD1,((A2)+(1))+(0)))=("store"),(INDEX(B1:XFD1,((A2)+(1))+(1)))=("AD"),"false"),B2,AD153),AD153))</f>
        <v>#VALUE!</v>
      </c>
    </row>
    <row r="154" spans="1:30" x14ac:dyDescent="0.25">
      <c r="A154" t="e">
        <f ca="1">IF((A1)=(2),"",IF((151)=(A3),IF(("call")=(INDEX(B1:XFD1,((A2)+(1))+(0))),(B2)*(2),IF(("goto")=(INDEX(B1:XFD1,((A2)+(1))+(0))),(INDEX(B1:XFD1,((A2)+(1))+(1)))*(2),IF(("gotoiftrue")=(INDEX(B1:XFD1,((A2)+(1))+(0))),IF(B2,(INDEX(B1:XFD1,((A2)+(1))+(1)))*(2),(A154)+(2)),(A154)+(2)))),A154))</f>
        <v>#VALUE!</v>
      </c>
      <c r="B154" t="e">
        <f ca="1">IF((A1)=(2),"",IF((151)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154)+(1)),IF(("add")=(INDEX(B1:XFD1,((A2)+(1))+(0))),(INDEX(B4:B404,(B3)+(1)))+(B154),IF(("equals")=(INDEX(B1:XFD1,((A2)+(1))+(0))),(INDEX(B4:B404,(B3)+(1)))=(B154),IF(("leq")=(INDEX(B1:XFD1,((A2)+(1))+(0))),(INDEX(B4:B404,(B3)+(1)))&lt;=(B154),IF(("greater")=(INDEX(B1:XFD1,((A2)+(1))+(0))),(INDEX(B4:B404,(B3)+(1)))&gt;(B154),IF(("mod")=(INDEX(B1:XFD1,((A2)+(1))+(0))),MOD(INDEX(B4:B404,(B3)+(1)),B154),B154))))))))),B154))</f>
        <v>#VALUE!</v>
      </c>
      <c r="C154" t="e">
        <f ca="1">IF((A1)=(2),1,IF(AND((INDEX(B1:XFD1,((A2)+(1))+(0)))=("writeheap"),(INDEX(B4:B404,(B3)+(1)))=(150)),INDEX(B4:B404,(B3)+(2)),IF((A1)=(2),"",IF((151)=(C3),C154,C154))))</f>
        <v>#VALUE!</v>
      </c>
      <c r="E154" t="e">
        <f ca="1">IF((A1)=(2),"",IF((151)=(E3),IF(("outputline")=(INDEX(B1:XFD1,((A2)+(1))+(0))),B2,E154),E154))</f>
        <v>#VALUE!</v>
      </c>
      <c r="F154" t="e">
        <f ca="1">IF((A1)=(2),"",IF((151)=(F3),IF(IF((INDEX(B1:XFD1,((A2)+(1))+(0)))=("store"),(INDEX(B1:XFD1,((A2)+(1))+(1)))=("F"),"false"),B2,F154),F154))</f>
        <v>#VALUE!</v>
      </c>
      <c r="G154" t="e">
        <f ca="1">IF((A1)=(2),"",IF((151)=(G3),IF(IF((INDEX(B1:XFD1,((A2)+(1))+(0)))=("store"),(INDEX(B1:XFD1,((A2)+(1))+(1)))=("G"),"false"),B2,G154),G154))</f>
        <v>#VALUE!</v>
      </c>
      <c r="H154" t="e">
        <f ca="1">IF((A1)=(2),"",IF((151)=(H3),IF(IF((INDEX(B1:XFD1,((A2)+(1))+(0)))=("store"),(INDEX(B1:XFD1,((A2)+(1))+(1)))=("H"),"false"),B2,H154),H154))</f>
        <v>#VALUE!</v>
      </c>
      <c r="I154" t="e">
        <f ca="1">IF((A1)=(2),"",IF((151)=(I3),IF(IF((INDEX(B1:XFD1,((A2)+(1))+(0)))=("store"),(INDEX(B1:XFD1,((A2)+(1))+(1)))=("I"),"false"),B2,I154),I154))</f>
        <v>#VALUE!</v>
      </c>
      <c r="J154" t="e">
        <f ca="1">IF((A1)=(2),"",IF((151)=(J3),IF(IF((INDEX(B1:XFD1,((A2)+(1))+(0)))=("store"),(INDEX(B1:XFD1,((A2)+(1))+(1)))=("J"),"false"),B2,J154),J154))</f>
        <v>#VALUE!</v>
      </c>
      <c r="K154" t="e">
        <f ca="1">IF((A1)=(2),"",IF((151)=(K3),IF(IF((INDEX(B1:XFD1,((A2)+(1))+(0)))=("store"),(INDEX(B1:XFD1,((A2)+(1))+(1)))=("K"),"false"),B2,K154),K154))</f>
        <v>#VALUE!</v>
      </c>
      <c r="L154" t="e">
        <f ca="1">IF((A1)=(2),"",IF((151)=(L3),IF(IF((INDEX(B1:XFD1,((A2)+(1))+(0)))=("store"),(INDEX(B1:XFD1,((A2)+(1))+(1)))=("L"),"false"),B2,L154),L154))</f>
        <v>#VALUE!</v>
      </c>
      <c r="M154" t="e">
        <f ca="1">IF((A1)=(2),"",IF((151)=(M3),IF(IF((INDEX(B1:XFD1,((A2)+(1))+(0)))=("store"),(INDEX(B1:XFD1,((A2)+(1))+(1)))=("M"),"false"),B2,M154),M154))</f>
        <v>#VALUE!</v>
      </c>
      <c r="N154" t="e">
        <f ca="1">IF((A1)=(2),"",IF((151)=(N3),IF(IF((INDEX(B1:XFD1,((A2)+(1))+(0)))=("store"),(INDEX(B1:XFD1,((A2)+(1))+(1)))=("N"),"false"),B2,N154),N154))</f>
        <v>#VALUE!</v>
      </c>
      <c r="O154" t="e">
        <f ca="1">IF((A1)=(2),"",IF((151)=(O3),IF(IF((INDEX(B1:XFD1,((A2)+(1))+(0)))=("store"),(INDEX(B1:XFD1,((A2)+(1))+(1)))=("O"),"false"),B2,O154),O154))</f>
        <v>#VALUE!</v>
      </c>
      <c r="P154" t="e">
        <f ca="1">IF((A1)=(2),"",IF((151)=(P3),IF(IF((INDEX(B1:XFD1,((A2)+(1))+(0)))=("store"),(INDEX(B1:XFD1,((A2)+(1))+(1)))=("P"),"false"),B2,P154),P154))</f>
        <v>#VALUE!</v>
      </c>
      <c r="Q154" t="e">
        <f ca="1">IF((A1)=(2),"",IF((151)=(Q3),IF(IF((INDEX(B1:XFD1,((A2)+(1))+(0)))=("store"),(INDEX(B1:XFD1,((A2)+(1))+(1)))=("Q"),"false"),B2,Q154),Q154))</f>
        <v>#VALUE!</v>
      </c>
      <c r="R154" t="e">
        <f ca="1">IF((A1)=(2),"",IF((151)=(R3),IF(IF((INDEX(B1:XFD1,((A2)+(1))+(0)))=("store"),(INDEX(B1:XFD1,((A2)+(1))+(1)))=("R"),"false"),B2,R154),R154))</f>
        <v>#VALUE!</v>
      </c>
      <c r="S154" t="e">
        <f ca="1">IF((A1)=(2),"",IF((151)=(S3),IF(IF((INDEX(B1:XFD1,((A2)+(1))+(0)))=("store"),(INDEX(B1:XFD1,((A2)+(1))+(1)))=("S"),"false"),B2,S154),S154))</f>
        <v>#VALUE!</v>
      </c>
      <c r="T154" t="e">
        <f ca="1">IF((A1)=(2),"",IF((151)=(T3),IF(IF((INDEX(B1:XFD1,((A2)+(1))+(0)))=("store"),(INDEX(B1:XFD1,((A2)+(1))+(1)))=("T"),"false"),B2,T154),T154))</f>
        <v>#VALUE!</v>
      </c>
      <c r="U154" t="e">
        <f ca="1">IF((A1)=(2),"",IF((151)=(U3),IF(IF((INDEX(B1:XFD1,((A2)+(1))+(0)))=("store"),(INDEX(B1:XFD1,((A2)+(1))+(1)))=("U"),"false"),B2,U154),U154))</f>
        <v>#VALUE!</v>
      </c>
      <c r="V154" t="e">
        <f ca="1">IF((A1)=(2),"",IF((151)=(V3),IF(IF((INDEX(B1:XFD1,((A2)+(1))+(0)))=("store"),(INDEX(B1:XFD1,((A2)+(1))+(1)))=("V"),"false"),B2,V154),V154))</f>
        <v>#VALUE!</v>
      </c>
      <c r="W154" t="e">
        <f ca="1">IF((A1)=(2),"",IF((151)=(W3),IF(IF((INDEX(B1:XFD1,((A2)+(1))+(0)))=("store"),(INDEX(B1:XFD1,((A2)+(1))+(1)))=("W"),"false"),B2,W154),W154))</f>
        <v>#VALUE!</v>
      </c>
      <c r="X154" t="e">
        <f ca="1">IF((A1)=(2),"",IF((151)=(X3),IF(IF((INDEX(B1:XFD1,((A2)+(1))+(0)))=("store"),(INDEX(B1:XFD1,((A2)+(1))+(1)))=("X"),"false"),B2,X154),X154))</f>
        <v>#VALUE!</v>
      </c>
      <c r="Y154" t="e">
        <f ca="1">IF((A1)=(2),"",IF((151)=(Y3),IF(IF((INDEX(B1:XFD1,((A2)+(1))+(0)))=("store"),(INDEX(B1:XFD1,((A2)+(1))+(1)))=("Y"),"false"),B2,Y154),Y154))</f>
        <v>#VALUE!</v>
      </c>
      <c r="Z154" t="e">
        <f ca="1">IF((A1)=(2),"",IF((151)=(Z3),IF(IF((INDEX(B1:XFD1,((A2)+(1))+(0)))=("store"),(INDEX(B1:XFD1,((A2)+(1))+(1)))=("Z"),"false"),B2,Z154),Z154))</f>
        <v>#VALUE!</v>
      </c>
      <c r="AA154" t="e">
        <f ca="1">IF((A1)=(2),"",IF((151)=(AA3),IF(IF((INDEX(B1:XFD1,((A2)+(1))+(0)))=("store"),(INDEX(B1:XFD1,((A2)+(1))+(1)))=("AA"),"false"),B2,AA154),AA154))</f>
        <v>#VALUE!</v>
      </c>
      <c r="AB154" t="e">
        <f ca="1">IF((A1)=(2),"",IF((151)=(AB3),IF(IF((INDEX(B1:XFD1,((A2)+(1))+(0)))=("store"),(INDEX(B1:XFD1,((A2)+(1))+(1)))=("AB"),"false"),B2,AB154),AB154))</f>
        <v>#VALUE!</v>
      </c>
      <c r="AC154" t="e">
        <f ca="1">IF((A1)=(2),"",IF((151)=(AC3),IF(IF((INDEX(B1:XFD1,((A2)+(1))+(0)))=("store"),(INDEX(B1:XFD1,((A2)+(1))+(1)))=("AC"),"false"),B2,AC154),AC154))</f>
        <v>#VALUE!</v>
      </c>
      <c r="AD154" t="e">
        <f ca="1">IF((A1)=(2),"",IF((151)=(AD3),IF(IF((INDEX(B1:XFD1,((A2)+(1))+(0)))=("store"),(INDEX(B1:XFD1,((A2)+(1))+(1)))=("AD"),"false"),B2,AD154),AD154))</f>
        <v>#VALUE!</v>
      </c>
    </row>
    <row r="155" spans="1:30" x14ac:dyDescent="0.25">
      <c r="A155" t="e">
        <f ca="1">IF((A1)=(2),"",IF((152)=(A3),IF(("call")=(INDEX(B1:XFD1,((A2)+(1))+(0))),(B2)*(2),IF(("goto")=(INDEX(B1:XFD1,((A2)+(1))+(0))),(INDEX(B1:XFD1,((A2)+(1))+(1)))*(2),IF(("gotoiftrue")=(INDEX(B1:XFD1,((A2)+(1))+(0))),IF(B2,(INDEX(B1:XFD1,((A2)+(1))+(1)))*(2),(A155)+(2)),(A155)+(2)))),A155))</f>
        <v>#VALUE!</v>
      </c>
      <c r="B155" t="e">
        <f ca="1">IF((A1)=(2),"",IF((152)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155)+(1)),IF(("add")=(INDEX(B1:XFD1,((A2)+(1))+(0))),(INDEX(B4:B404,(B3)+(1)))+(B155),IF(("equals")=(INDEX(B1:XFD1,((A2)+(1))+(0))),(INDEX(B4:B404,(B3)+(1)))=(B155),IF(("leq")=(INDEX(B1:XFD1,((A2)+(1))+(0))),(INDEX(B4:B404,(B3)+(1)))&lt;=(B155),IF(("greater")=(INDEX(B1:XFD1,((A2)+(1))+(0))),(INDEX(B4:B404,(B3)+(1)))&gt;(B155),IF(("mod")=(INDEX(B1:XFD1,((A2)+(1))+(0))),MOD(INDEX(B4:B404,(B3)+(1)),B155),B155))))))))),B155))</f>
        <v>#VALUE!</v>
      </c>
      <c r="C155" t="e">
        <f ca="1">IF((A1)=(2),1,IF(AND((INDEX(B1:XFD1,((A2)+(1))+(0)))=("writeheap"),(INDEX(B4:B404,(B3)+(1)))=(151)),INDEX(B4:B404,(B3)+(2)),IF((A1)=(2),"",IF((152)=(C3),C155,C155))))</f>
        <v>#VALUE!</v>
      </c>
      <c r="E155" t="e">
        <f ca="1">IF((A1)=(2),"",IF((152)=(E3),IF(("outputline")=(INDEX(B1:XFD1,((A2)+(1))+(0))),B2,E155),E155))</f>
        <v>#VALUE!</v>
      </c>
      <c r="F155" t="e">
        <f ca="1">IF((A1)=(2),"",IF((152)=(F3),IF(IF((INDEX(B1:XFD1,((A2)+(1))+(0)))=("store"),(INDEX(B1:XFD1,((A2)+(1))+(1)))=("F"),"false"),B2,F155),F155))</f>
        <v>#VALUE!</v>
      </c>
      <c r="G155" t="e">
        <f ca="1">IF((A1)=(2),"",IF((152)=(G3),IF(IF((INDEX(B1:XFD1,((A2)+(1))+(0)))=("store"),(INDEX(B1:XFD1,((A2)+(1))+(1)))=("G"),"false"),B2,G155),G155))</f>
        <v>#VALUE!</v>
      </c>
      <c r="H155" t="e">
        <f ca="1">IF((A1)=(2),"",IF((152)=(H3),IF(IF((INDEX(B1:XFD1,((A2)+(1))+(0)))=("store"),(INDEX(B1:XFD1,((A2)+(1))+(1)))=("H"),"false"),B2,H155),H155))</f>
        <v>#VALUE!</v>
      </c>
      <c r="I155" t="e">
        <f ca="1">IF((A1)=(2),"",IF((152)=(I3),IF(IF((INDEX(B1:XFD1,((A2)+(1))+(0)))=("store"),(INDEX(B1:XFD1,((A2)+(1))+(1)))=("I"),"false"),B2,I155),I155))</f>
        <v>#VALUE!</v>
      </c>
      <c r="J155" t="e">
        <f ca="1">IF((A1)=(2),"",IF((152)=(J3),IF(IF((INDEX(B1:XFD1,((A2)+(1))+(0)))=("store"),(INDEX(B1:XFD1,((A2)+(1))+(1)))=("J"),"false"),B2,J155),J155))</f>
        <v>#VALUE!</v>
      </c>
      <c r="K155" t="e">
        <f ca="1">IF((A1)=(2),"",IF((152)=(K3),IF(IF((INDEX(B1:XFD1,((A2)+(1))+(0)))=("store"),(INDEX(B1:XFD1,((A2)+(1))+(1)))=("K"),"false"),B2,K155),K155))</f>
        <v>#VALUE!</v>
      </c>
      <c r="L155" t="e">
        <f ca="1">IF((A1)=(2),"",IF((152)=(L3),IF(IF((INDEX(B1:XFD1,((A2)+(1))+(0)))=("store"),(INDEX(B1:XFD1,((A2)+(1))+(1)))=("L"),"false"),B2,L155),L155))</f>
        <v>#VALUE!</v>
      </c>
      <c r="M155" t="e">
        <f ca="1">IF((A1)=(2),"",IF((152)=(M3),IF(IF((INDEX(B1:XFD1,((A2)+(1))+(0)))=("store"),(INDEX(B1:XFD1,((A2)+(1))+(1)))=("M"),"false"),B2,M155),M155))</f>
        <v>#VALUE!</v>
      </c>
      <c r="N155" t="e">
        <f ca="1">IF((A1)=(2),"",IF((152)=(N3),IF(IF((INDEX(B1:XFD1,((A2)+(1))+(0)))=("store"),(INDEX(B1:XFD1,((A2)+(1))+(1)))=("N"),"false"),B2,N155),N155))</f>
        <v>#VALUE!</v>
      </c>
      <c r="O155" t="e">
        <f ca="1">IF((A1)=(2),"",IF((152)=(O3),IF(IF((INDEX(B1:XFD1,((A2)+(1))+(0)))=("store"),(INDEX(B1:XFD1,((A2)+(1))+(1)))=("O"),"false"),B2,O155),O155))</f>
        <v>#VALUE!</v>
      </c>
      <c r="P155" t="e">
        <f ca="1">IF((A1)=(2),"",IF((152)=(P3),IF(IF((INDEX(B1:XFD1,((A2)+(1))+(0)))=("store"),(INDEX(B1:XFD1,((A2)+(1))+(1)))=("P"),"false"),B2,P155),P155))</f>
        <v>#VALUE!</v>
      </c>
      <c r="Q155" t="e">
        <f ca="1">IF((A1)=(2),"",IF((152)=(Q3),IF(IF((INDEX(B1:XFD1,((A2)+(1))+(0)))=("store"),(INDEX(B1:XFD1,((A2)+(1))+(1)))=("Q"),"false"),B2,Q155),Q155))</f>
        <v>#VALUE!</v>
      </c>
      <c r="R155" t="e">
        <f ca="1">IF((A1)=(2),"",IF((152)=(R3),IF(IF((INDEX(B1:XFD1,((A2)+(1))+(0)))=("store"),(INDEX(B1:XFD1,((A2)+(1))+(1)))=("R"),"false"),B2,R155),R155))</f>
        <v>#VALUE!</v>
      </c>
      <c r="S155" t="e">
        <f ca="1">IF((A1)=(2),"",IF((152)=(S3),IF(IF((INDEX(B1:XFD1,((A2)+(1))+(0)))=("store"),(INDEX(B1:XFD1,((A2)+(1))+(1)))=("S"),"false"),B2,S155),S155))</f>
        <v>#VALUE!</v>
      </c>
      <c r="T155" t="e">
        <f ca="1">IF((A1)=(2),"",IF((152)=(T3),IF(IF((INDEX(B1:XFD1,((A2)+(1))+(0)))=("store"),(INDEX(B1:XFD1,((A2)+(1))+(1)))=("T"),"false"),B2,T155),T155))</f>
        <v>#VALUE!</v>
      </c>
      <c r="U155" t="e">
        <f ca="1">IF((A1)=(2),"",IF((152)=(U3),IF(IF((INDEX(B1:XFD1,((A2)+(1))+(0)))=("store"),(INDEX(B1:XFD1,((A2)+(1))+(1)))=("U"),"false"),B2,U155),U155))</f>
        <v>#VALUE!</v>
      </c>
      <c r="V155" t="e">
        <f ca="1">IF((A1)=(2),"",IF((152)=(V3),IF(IF((INDEX(B1:XFD1,((A2)+(1))+(0)))=("store"),(INDEX(B1:XFD1,((A2)+(1))+(1)))=("V"),"false"),B2,V155),V155))</f>
        <v>#VALUE!</v>
      </c>
      <c r="W155" t="e">
        <f ca="1">IF((A1)=(2),"",IF((152)=(W3),IF(IF((INDEX(B1:XFD1,((A2)+(1))+(0)))=("store"),(INDEX(B1:XFD1,((A2)+(1))+(1)))=("W"),"false"),B2,W155),W155))</f>
        <v>#VALUE!</v>
      </c>
      <c r="X155" t="e">
        <f ca="1">IF((A1)=(2),"",IF((152)=(X3),IF(IF((INDEX(B1:XFD1,((A2)+(1))+(0)))=("store"),(INDEX(B1:XFD1,((A2)+(1))+(1)))=("X"),"false"),B2,X155),X155))</f>
        <v>#VALUE!</v>
      </c>
      <c r="Y155" t="e">
        <f ca="1">IF((A1)=(2),"",IF((152)=(Y3),IF(IF((INDEX(B1:XFD1,((A2)+(1))+(0)))=("store"),(INDEX(B1:XFD1,((A2)+(1))+(1)))=("Y"),"false"),B2,Y155),Y155))</f>
        <v>#VALUE!</v>
      </c>
      <c r="Z155" t="e">
        <f ca="1">IF((A1)=(2),"",IF((152)=(Z3),IF(IF((INDEX(B1:XFD1,((A2)+(1))+(0)))=("store"),(INDEX(B1:XFD1,((A2)+(1))+(1)))=("Z"),"false"),B2,Z155),Z155))</f>
        <v>#VALUE!</v>
      </c>
      <c r="AA155" t="e">
        <f ca="1">IF((A1)=(2),"",IF((152)=(AA3),IF(IF((INDEX(B1:XFD1,((A2)+(1))+(0)))=("store"),(INDEX(B1:XFD1,((A2)+(1))+(1)))=("AA"),"false"),B2,AA155),AA155))</f>
        <v>#VALUE!</v>
      </c>
      <c r="AB155" t="e">
        <f ca="1">IF((A1)=(2),"",IF((152)=(AB3),IF(IF((INDEX(B1:XFD1,((A2)+(1))+(0)))=("store"),(INDEX(B1:XFD1,((A2)+(1))+(1)))=("AB"),"false"),B2,AB155),AB155))</f>
        <v>#VALUE!</v>
      </c>
      <c r="AC155" t="e">
        <f ca="1">IF((A1)=(2),"",IF((152)=(AC3),IF(IF((INDEX(B1:XFD1,((A2)+(1))+(0)))=("store"),(INDEX(B1:XFD1,((A2)+(1))+(1)))=("AC"),"false"),B2,AC155),AC155))</f>
        <v>#VALUE!</v>
      </c>
      <c r="AD155" t="e">
        <f ca="1">IF((A1)=(2),"",IF((152)=(AD3),IF(IF((INDEX(B1:XFD1,((A2)+(1))+(0)))=("store"),(INDEX(B1:XFD1,((A2)+(1))+(1)))=("AD"),"false"),B2,AD155),AD155))</f>
        <v>#VALUE!</v>
      </c>
    </row>
    <row r="156" spans="1:30" x14ac:dyDescent="0.25">
      <c r="A156" t="e">
        <f ca="1">IF((A1)=(2),"",IF((153)=(A3),IF(("call")=(INDEX(B1:XFD1,((A2)+(1))+(0))),(B2)*(2),IF(("goto")=(INDEX(B1:XFD1,((A2)+(1))+(0))),(INDEX(B1:XFD1,((A2)+(1))+(1)))*(2),IF(("gotoiftrue")=(INDEX(B1:XFD1,((A2)+(1))+(0))),IF(B2,(INDEX(B1:XFD1,((A2)+(1))+(1)))*(2),(A156)+(2)),(A156)+(2)))),A156))</f>
        <v>#VALUE!</v>
      </c>
      <c r="B156" t="e">
        <f ca="1">IF((A1)=(2),"",IF((153)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156)+(1)),IF(("add")=(INDEX(B1:XFD1,((A2)+(1))+(0))),(INDEX(B4:B404,(B3)+(1)))+(B156),IF(("equals")=(INDEX(B1:XFD1,((A2)+(1))+(0))),(INDEX(B4:B404,(B3)+(1)))=(B156),IF(("leq")=(INDEX(B1:XFD1,((A2)+(1))+(0))),(INDEX(B4:B404,(B3)+(1)))&lt;=(B156),IF(("greater")=(INDEX(B1:XFD1,((A2)+(1))+(0))),(INDEX(B4:B404,(B3)+(1)))&gt;(B156),IF(("mod")=(INDEX(B1:XFD1,((A2)+(1))+(0))),MOD(INDEX(B4:B404,(B3)+(1)),B156),B156))))))))),B156))</f>
        <v>#VALUE!</v>
      </c>
      <c r="C156" t="e">
        <f ca="1">IF((A1)=(2),1,IF(AND((INDEX(B1:XFD1,((A2)+(1))+(0)))=("writeheap"),(INDEX(B4:B404,(B3)+(1)))=(152)),INDEX(B4:B404,(B3)+(2)),IF((A1)=(2),"",IF((153)=(C3),C156,C156))))</f>
        <v>#VALUE!</v>
      </c>
      <c r="E156" t="e">
        <f ca="1">IF((A1)=(2),"",IF((153)=(E3),IF(("outputline")=(INDEX(B1:XFD1,((A2)+(1))+(0))),B2,E156),E156))</f>
        <v>#VALUE!</v>
      </c>
      <c r="F156" t="e">
        <f ca="1">IF((A1)=(2),"",IF((153)=(F3),IF(IF((INDEX(B1:XFD1,((A2)+(1))+(0)))=("store"),(INDEX(B1:XFD1,((A2)+(1))+(1)))=("F"),"false"),B2,F156),F156))</f>
        <v>#VALUE!</v>
      </c>
      <c r="G156" t="e">
        <f ca="1">IF((A1)=(2),"",IF((153)=(G3),IF(IF((INDEX(B1:XFD1,((A2)+(1))+(0)))=("store"),(INDEX(B1:XFD1,((A2)+(1))+(1)))=("G"),"false"),B2,G156),G156))</f>
        <v>#VALUE!</v>
      </c>
      <c r="H156" t="e">
        <f ca="1">IF((A1)=(2),"",IF((153)=(H3),IF(IF((INDEX(B1:XFD1,((A2)+(1))+(0)))=("store"),(INDEX(B1:XFD1,((A2)+(1))+(1)))=("H"),"false"),B2,H156),H156))</f>
        <v>#VALUE!</v>
      </c>
      <c r="I156" t="e">
        <f ca="1">IF((A1)=(2),"",IF((153)=(I3),IF(IF((INDEX(B1:XFD1,((A2)+(1))+(0)))=("store"),(INDEX(B1:XFD1,((A2)+(1))+(1)))=("I"),"false"),B2,I156),I156))</f>
        <v>#VALUE!</v>
      </c>
      <c r="J156" t="e">
        <f ca="1">IF((A1)=(2),"",IF((153)=(J3),IF(IF((INDEX(B1:XFD1,((A2)+(1))+(0)))=("store"),(INDEX(B1:XFD1,((A2)+(1))+(1)))=("J"),"false"),B2,J156),J156))</f>
        <v>#VALUE!</v>
      </c>
      <c r="K156" t="e">
        <f ca="1">IF((A1)=(2),"",IF((153)=(K3),IF(IF((INDEX(B1:XFD1,((A2)+(1))+(0)))=("store"),(INDEX(B1:XFD1,((A2)+(1))+(1)))=("K"),"false"),B2,K156),K156))</f>
        <v>#VALUE!</v>
      </c>
      <c r="L156" t="e">
        <f ca="1">IF((A1)=(2),"",IF((153)=(L3),IF(IF((INDEX(B1:XFD1,((A2)+(1))+(0)))=("store"),(INDEX(B1:XFD1,((A2)+(1))+(1)))=("L"),"false"),B2,L156),L156))</f>
        <v>#VALUE!</v>
      </c>
      <c r="M156" t="e">
        <f ca="1">IF((A1)=(2),"",IF((153)=(M3),IF(IF((INDEX(B1:XFD1,((A2)+(1))+(0)))=("store"),(INDEX(B1:XFD1,((A2)+(1))+(1)))=("M"),"false"),B2,M156),M156))</f>
        <v>#VALUE!</v>
      </c>
      <c r="N156" t="e">
        <f ca="1">IF((A1)=(2),"",IF((153)=(N3),IF(IF((INDEX(B1:XFD1,((A2)+(1))+(0)))=("store"),(INDEX(B1:XFD1,((A2)+(1))+(1)))=("N"),"false"),B2,N156),N156))</f>
        <v>#VALUE!</v>
      </c>
      <c r="O156" t="e">
        <f ca="1">IF((A1)=(2),"",IF((153)=(O3),IF(IF((INDEX(B1:XFD1,((A2)+(1))+(0)))=("store"),(INDEX(B1:XFD1,((A2)+(1))+(1)))=("O"),"false"),B2,O156),O156))</f>
        <v>#VALUE!</v>
      </c>
      <c r="P156" t="e">
        <f ca="1">IF((A1)=(2),"",IF((153)=(P3),IF(IF((INDEX(B1:XFD1,((A2)+(1))+(0)))=("store"),(INDEX(B1:XFD1,((A2)+(1))+(1)))=("P"),"false"),B2,P156),P156))</f>
        <v>#VALUE!</v>
      </c>
      <c r="Q156" t="e">
        <f ca="1">IF((A1)=(2),"",IF((153)=(Q3),IF(IF((INDEX(B1:XFD1,((A2)+(1))+(0)))=("store"),(INDEX(B1:XFD1,((A2)+(1))+(1)))=("Q"),"false"),B2,Q156),Q156))</f>
        <v>#VALUE!</v>
      </c>
      <c r="R156" t="e">
        <f ca="1">IF((A1)=(2),"",IF((153)=(R3),IF(IF((INDEX(B1:XFD1,((A2)+(1))+(0)))=("store"),(INDEX(B1:XFD1,((A2)+(1))+(1)))=("R"),"false"),B2,R156),R156))</f>
        <v>#VALUE!</v>
      </c>
      <c r="S156" t="e">
        <f ca="1">IF((A1)=(2),"",IF((153)=(S3),IF(IF((INDEX(B1:XFD1,((A2)+(1))+(0)))=("store"),(INDEX(B1:XFD1,((A2)+(1))+(1)))=("S"),"false"),B2,S156),S156))</f>
        <v>#VALUE!</v>
      </c>
      <c r="T156" t="e">
        <f ca="1">IF((A1)=(2),"",IF((153)=(T3),IF(IF((INDEX(B1:XFD1,((A2)+(1))+(0)))=("store"),(INDEX(B1:XFD1,((A2)+(1))+(1)))=("T"),"false"),B2,T156),T156))</f>
        <v>#VALUE!</v>
      </c>
      <c r="U156" t="e">
        <f ca="1">IF((A1)=(2),"",IF((153)=(U3),IF(IF((INDEX(B1:XFD1,((A2)+(1))+(0)))=("store"),(INDEX(B1:XFD1,((A2)+(1))+(1)))=("U"),"false"),B2,U156),U156))</f>
        <v>#VALUE!</v>
      </c>
      <c r="V156" t="e">
        <f ca="1">IF((A1)=(2),"",IF((153)=(V3),IF(IF((INDEX(B1:XFD1,((A2)+(1))+(0)))=("store"),(INDEX(B1:XFD1,((A2)+(1))+(1)))=("V"),"false"),B2,V156),V156))</f>
        <v>#VALUE!</v>
      </c>
      <c r="W156" t="e">
        <f ca="1">IF((A1)=(2),"",IF((153)=(W3),IF(IF((INDEX(B1:XFD1,((A2)+(1))+(0)))=("store"),(INDEX(B1:XFD1,((A2)+(1))+(1)))=("W"),"false"),B2,W156),W156))</f>
        <v>#VALUE!</v>
      </c>
      <c r="X156" t="e">
        <f ca="1">IF((A1)=(2),"",IF((153)=(X3),IF(IF((INDEX(B1:XFD1,((A2)+(1))+(0)))=("store"),(INDEX(B1:XFD1,((A2)+(1))+(1)))=("X"),"false"),B2,X156),X156))</f>
        <v>#VALUE!</v>
      </c>
      <c r="Y156" t="e">
        <f ca="1">IF((A1)=(2),"",IF((153)=(Y3),IF(IF((INDEX(B1:XFD1,((A2)+(1))+(0)))=("store"),(INDEX(B1:XFD1,((A2)+(1))+(1)))=("Y"),"false"),B2,Y156),Y156))</f>
        <v>#VALUE!</v>
      </c>
      <c r="Z156" t="e">
        <f ca="1">IF((A1)=(2),"",IF((153)=(Z3),IF(IF((INDEX(B1:XFD1,((A2)+(1))+(0)))=("store"),(INDEX(B1:XFD1,((A2)+(1))+(1)))=("Z"),"false"),B2,Z156),Z156))</f>
        <v>#VALUE!</v>
      </c>
      <c r="AA156" t="e">
        <f ca="1">IF((A1)=(2),"",IF((153)=(AA3),IF(IF((INDEX(B1:XFD1,((A2)+(1))+(0)))=("store"),(INDEX(B1:XFD1,((A2)+(1))+(1)))=("AA"),"false"),B2,AA156),AA156))</f>
        <v>#VALUE!</v>
      </c>
      <c r="AB156" t="e">
        <f ca="1">IF((A1)=(2),"",IF((153)=(AB3),IF(IF((INDEX(B1:XFD1,((A2)+(1))+(0)))=("store"),(INDEX(B1:XFD1,((A2)+(1))+(1)))=("AB"),"false"),B2,AB156),AB156))</f>
        <v>#VALUE!</v>
      </c>
      <c r="AC156" t="e">
        <f ca="1">IF((A1)=(2),"",IF((153)=(AC3),IF(IF((INDEX(B1:XFD1,((A2)+(1))+(0)))=("store"),(INDEX(B1:XFD1,((A2)+(1))+(1)))=("AC"),"false"),B2,AC156),AC156))</f>
        <v>#VALUE!</v>
      </c>
      <c r="AD156" t="e">
        <f ca="1">IF((A1)=(2),"",IF((153)=(AD3),IF(IF((INDEX(B1:XFD1,((A2)+(1))+(0)))=("store"),(INDEX(B1:XFD1,((A2)+(1))+(1)))=("AD"),"false"),B2,AD156),AD156))</f>
        <v>#VALUE!</v>
      </c>
    </row>
    <row r="157" spans="1:30" x14ac:dyDescent="0.25">
      <c r="A157" t="e">
        <f ca="1">IF((A1)=(2),"",IF((154)=(A3),IF(("call")=(INDEX(B1:XFD1,((A2)+(1))+(0))),(B2)*(2),IF(("goto")=(INDEX(B1:XFD1,((A2)+(1))+(0))),(INDEX(B1:XFD1,((A2)+(1))+(1)))*(2),IF(("gotoiftrue")=(INDEX(B1:XFD1,((A2)+(1))+(0))),IF(B2,(INDEX(B1:XFD1,((A2)+(1))+(1)))*(2),(A157)+(2)),(A157)+(2)))),A157))</f>
        <v>#VALUE!</v>
      </c>
      <c r="B157" t="e">
        <f ca="1">IF((A1)=(2),"",IF((154)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157)+(1)),IF(("add")=(INDEX(B1:XFD1,((A2)+(1))+(0))),(INDEX(B4:B404,(B3)+(1)))+(B157),IF(("equals")=(INDEX(B1:XFD1,((A2)+(1))+(0))),(INDEX(B4:B404,(B3)+(1)))=(B157),IF(("leq")=(INDEX(B1:XFD1,((A2)+(1))+(0))),(INDEX(B4:B404,(B3)+(1)))&lt;=(B157),IF(("greater")=(INDEX(B1:XFD1,((A2)+(1))+(0))),(INDEX(B4:B404,(B3)+(1)))&gt;(B157),IF(("mod")=(INDEX(B1:XFD1,((A2)+(1))+(0))),MOD(INDEX(B4:B404,(B3)+(1)),B157),B157))))))))),B157))</f>
        <v>#VALUE!</v>
      </c>
      <c r="C157" t="e">
        <f ca="1">IF((A1)=(2),1,IF(AND((INDEX(B1:XFD1,((A2)+(1))+(0)))=("writeheap"),(INDEX(B4:B404,(B3)+(1)))=(153)),INDEX(B4:B404,(B3)+(2)),IF((A1)=(2),"",IF((154)=(C3),C157,C157))))</f>
        <v>#VALUE!</v>
      </c>
      <c r="E157" t="e">
        <f ca="1">IF((A1)=(2),"",IF((154)=(E3),IF(("outputline")=(INDEX(B1:XFD1,((A2)+(1))+(0))),B2,E157),E157))</f>
        <v>#VALUE!</v>
      </c>
      <c r="F157" t="e">
        <f ca="1">IF((A1)=(2),"",IF((154)=(F3),IF(IF((INDEX(B1:XFD1,((A2)+(1))+(0)))=("store"),(INDEX(B1:XFD1,((A2)+(1))+(1)))=("F"),"false"),B2,F157),F157))</f>
        <v>#VALUE!</v>
      </c>
      <c r="G157" t="e">
        <f ca="1">IF((A1)=(2),"",IF((154)=(G3),IF(IF((INDEX(B1:XFD1,((A2)+(1))+(0)))=("store"),(INDEX(B1:XFD1,((A2)+(1))+(1)))=("G"),"false"),B2,G157),G157))</f>
        <v>#VALUE!</v>
      </c>
      <c r="H157" t="e">
        <f ca="1">IF((A1)=(2),"",IF((154)=(H3),IF(IF((INDEX(B1:XFD1,((A2)+(1))+(0)))=("store"),(INDEX(B1:XFD1,((A2)+(1))+(1)))=("H"),"false"),B2,H157),H157))</f>
        <v>#VALUE!</v>
      </c>
      <c r="I157" t="e">
        <f ca="1">IF((A1)=(2),"",IF((154)=(I3),IF(IF((INDEX(B1:XFD1,((A2)+(1))+(0)))=("store"),(INDEX(B1:XFD1,((A2)+(1))+(1)))=("I"),"false"),B2,I157),I157))</f>
        <v>#VALUE!</v>
      </c>
      <c r="J157" t="e">
        <f ca="1">IF((A1)=(2),"",IF((154)=(J3),IF(IF((INDEX(B1:XFD1,((A2)+(1))+(0)))=("store"),(INDEX(B1:XFD1,((A2)+(1))+(1)))=("J"),"false"),B2,J157),J157))</f>
        <v>#VALUE!</v>
      </c>
      <c r="K157" t="e">
        <f ca="1">IF((A1)=(2),"",IF((154)=(K3),IF(IF((INDEX(B1:XFD1,((A2)+(1))+(0)))=("store"),(INDEX(B1:XFD1,((A2)+(1))+(1)))=("K"),"false"),B2,K157),K157))</f>
        <v>#VALUE!</v>
      </c>
      <c r="L157" t="e">
        <f ca="1">IF((A1)=(2),"",IF((154)=(L3),IF(IF((INDEX(B1:XFD1,((A2)+(1))+(0)))=("store"),(INDEX(B1:XFD1,((A2)+(1))+(1)))=("L"),"false"),B2,L157),L157))</f>
        <v>#VALUE!</v>
      </c>
      <c r="M157" t="e">
        <f ca="1">IF((A1)=(2),"",IF((154)=(M3),IF(IF((INDEX(B1:XFD1,((A2)+(1))+(0)))=("store"),(INDEX(B1:XFD1,((A2)+(1))+(1)))=("M"),"false"),B2,M157),M157))</f>
        <v>#VALUE!</v>
      </c>
      <c r="N157" t="e">
        <f ca="1">IF((A1)=(2),"",IF((154)=(N3),IF(IF((INDEX(B1:XFD1,((A2)+(1))+(0)))=("store"),(INDEX(B1:XFD1,((A2)+(1))+(1)))=("N"),"false"),B2,N157),N157))</f>
        <v>#VALUE!</v>
      </c>
      <c r="O157" t="e">
        <f ca="1">IF((A1)=(2),"",IF((154)=(O3),IF(IF((INDEX(B1:XFD1,((A2)+(1))+(0)))=("store"),(INDEX(B1:XFD1,((A2)+(1))+(1)))=("O"),"false"),B2,O157),O157))</f>
        <v>#VALUE!</v>
      </c>
      <c r="P157" t="e">
        <f ca="1">IF((A1)=(2),"",IF((154)=(P3),IF(IF((INDEX(B1:XFD1,((A2)+(1))+(0)))=("store"),(INDEX(B1:XFD1,((A2)+(1))+(1)))=("P"),"false"),B2,P157),P157))</f>
        <v>#VALUE!</v>
      </c>
      <c r="Q157" t="e">
        <f ca="1">IF((A1)=(2),"",IF((154)=(Q3),IF(IF((INDEX(B1:XFD1,((A2)+(1))+(0)))=("store"),(INDEX(B1:XFD1,((A2)+(1))+(1)))=("Q"),"false"),B2,Q157),Q157))</f>
        <v>#VALUE!</v>
      </c>
      <c r="R157" t="e">
        <f ca="1">IF((A1)=(2),"",IF((154)=(R3),IF(IF((INDEX(B1:XFD1,((A2)+(1))+(0)))=("store"),(INDEX(B1:XFD1,((A2)+(1))+(1)))=("R"),"false"),B2,R157),R157))</f>
        <v>#VALUE!</v>
      </c>
      <c r="S157" t="e">
        <f ca="1">IF((A1)=(2),"",IF((154)=(S3),IF(IF((INDEX(B1:XFD1,((A2)+(1))+(0)))=("store"),(INDEX(B1:XFD1,((A2)+(1))+(1)))=("S"),"false"),B2,S157),S157))</f>
        <v>#VALUE!</v>
      </c>
      <c r="T157" t="e">
        <f ca="1">IF((A1)=(2),"",IF((154)=(T3),IF(IF((INDEX(B1:XFD1,((A2)+(1))+(0)))=("store"),(INDEX(B1:XFD1,((A2)+(1))+(1)))=("T"),"false"),B2,T157),T157))</f>
        <v>#VALUE!</v>
      </c>
      <c r="U157" t="e">
        <f ca="1">IF((A1)=(2),"",IF((154)=(U3),IF(IF((INDEX(B1:XFD1,((A2)+(1))+(0)))=("store"),(INDEX(B1:XFD1,((A2)+(1))+(1)))=("U"),"false"),B2,U157),U157))</f>
        <v>#VALUE!</v>
      </c>
      <c r="V157" t="e">
        <f ca="1">IF((A1)=(2),"",IF((154)=(V3),IF(IF((INDEX(B1:XFD1,((A2)+(1))+(0)))=("store"),(INDEX(B1:XFD1,((A2)+(1))+(1)))=("V"),"false"),B2,V157),V157))</f>
        <v>#VALUE!</v>
      </c>
      <c r="W157" t="e">
        <f ca="1">IF((A1)=(2),"",IF((154)=(W3),IF(IF((INDEX(B1:XFD1,((A2)+(1))+(0)))=("store"),(INDEX(B1:XFD1,((A2)+(1))+(1)))=("W"),"false"),B2,W157),W157))</f>
        <v>#VALUE!</v>
      </c>
      <c r="X157" t="e">
        <f ca="1">IF((A1)=(2),"",IF((154)=(X3),IF(IF((INDEX(B1:XFD1,((A2)+(1))+(0)))=("store"),(INDEX(B1:XFD1,((A2)+(1))+(1)))=("X"),"false"),B2,X157),X157))</f>
        <v>#VALUE!</v>
      </c>
      <c r="Y157" t="e">
        <f ca="1">IF((A1)=(2),"",IF((154)=(Y3),IF(IF((INDEX(B1:XFD1,((A2)+(1))+(0)))=("store"),(INDEX(B1:XFD1,((A2)+(1))+(1)))=("Y"),"false"),B2,Y157),Y157))</f>
        <v>#VALUE!</v>
      </c>
      <c r="Z157" t="e">
        <f ca="1">IF((A1)=(2),"",IF((154)=(Z3),IF(IF((INDEX(B1:XFD1,((A2)+(1))+(0)))=("store"),(INDEX(B1:XFD1,((A2)+(1))+(1)))=("Z"),"false"),B2,Z157),Z157))</f>
        <v>#VALUE!</v>
      </c>
      <c r="AA157" t="e">
        <f ca="1">IF((A1)=(2),"",IF((154)=(AA3),IF(IF((INDEX(B1:XFD1,((A2)+(1))+(0)))=("store"),(INDEX(B1:XFD1,((A2)+(1))+(1)))=("AA"),"false"),B2,AA157),AA157))</f>
        <v>#VALUE!</v>
      </c>
      <c r="AB157" t="e">
        <f ca="1">IF((A1)=(2),"",IF((154)=(AB3),IF(IF((INDEX(B1:XFD1,((A2)+(1))+(0)))=("store"),(INDEX(B1:XFD1,((A2)+(1))+(1)))=("AB"),"false"),B2,AB157),AB157))</f>
        <v>#VALUE!</v>
      </c>
      <c r="AC157" t="e">
        <f ca="1">IF((A1)=(2),"",IF((154)=(AC3),IF(IF((INDEX(B1:XFD1,((A2)+(1))+(0)))=("store"),(INDEX(B1:XFD1,((A2)+(1))+(1)))=("AC"),"false"),B2,AC157),AC157))</f>
        <v>#VALUE!</v>
      </c>
      <c r="AD157" t="e">
        <f ca="1">IF((A1)=(2),"",IF((154)=(AD3),IF(IF((INDEX(B1:XFD1,((A2)+(1))+(0)))=("store"),(INDEX(B1:XFD1,((A2)+(1))+(1)))=("AD"),"false"),B2,AD157),AD157))</f>
        <v>#VALUE!</v>
      </c>
    </row>
    <row r="158" spans="1:30" x14ac:dyDescent="0.25">
      <c r="A158" t="e">
        <f ca="1">IF((A1)=(2),"",IF((155)=(A3),IF(("call")=(INDEX(B1:XFD1,((A2)+(1))+(0))),(B2)*(2),IF(("goto")=(INDEX(B1:XFD1,((A2)+(1))+(0))),(INDEX(B1:XFD1,((A2)+(1))+(1)))*(2),IF(("gotoiftrue")=(INDEX(B1:XFD1,((A2)+(1))+(0))),IF(B2,(INDEX(B1:XFD1,((A2)+(1))+(1)))*(2),(A158)+(2)),(A158)+(2)))),A158))</f>
        <v>#VALUE!</v>
      </c>
      <c r="B158" t="e">
        <f ca="1">IF((A1)=(2),"",IF((155)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158)+(1)),IF(("add")=(INDEX(B1:XFD1,((A2)+(1))+(0))),(INDEX(B4:B404,(B3)+(1)))+(B158),IF(("equals")=(INDEX(B1:XFD1,((A2)+(1))+(0))),(INDEX(B4:B404,(B3)+(1)))=(B158),IF(("leq")=(INDEX(B1:XFD1,((A2)+(1))+(0))),(INDEX(B4:B404,(B3)+(1)))&lt;=(B158),IF(("greater")=(INDEX(B1:XFD1,((A2)+(1))+(0))),(INDEX(B4:B404,(B3)+(1)))&gt;(B158),IF(("mod")=(INDEX(B1:XFD1,((A2)+(1))+(0))),MOD(INDEX(B4:B404,(B3)+(1)),B158),B158))))))))),B158))</f>
        <v>#VALUE!</v>
      </c>
      <c r="C158" t="e">
        <f ca="1">IF((A1)=(2),1,IF(AND((INDEX(B1:XFD1,((A2)+(1))+(0)))=("writeheap"),(INDEX(B4:B404,(B3)+(1)))=(154)),INDEX(B4:B404,(B3)+(2)),IF((A1)=(2),"",IF((155)=(C3),C158,C158))))</f>
        <v>#VALUE!</v>
      </c>
      <c r="E158" t="e">
        <f ca="1">IF((A1)=(2),"",IF((155)=(E3),IF(("outputline")=(INDEX(B1:XFD1,((A2)+(1))+(0))),B2,E158),E158))</f>
        <v>#VALUE!</v>
      </c>
      <c r="F158" t="e">
        <f ca="1">IF((A1)=(2),"",IF((155)=(F3),IF(IF((INDEX(B1:XFD1,((A2)+(1))+(0)))=("store"),(INDEX(B1:XFD1,((A2)+(1))+(1)))=("F"),"false"),B2,F158),F158))</f>
        <v>#VALUE!</v>
      </c>
      <c r="G158" t="e">
        <f ca="1">IF((A1)=(2),"",IF((155)=(G3),IF(IF((INDEX(B1:XFD1,((A2)+(1))+(0)))=("store"),(INDEX(B1:XFD1,((A2)+(1))+(1)))=("G"),"false"),B2,G158),G158))</f>
        <v>#VALUE!</v>
      </c>
      <c r="H158" t="e">
        <f ca="1">IF((A1)=(2),"",IF((155)=(H3),IF(IF((INDEX(B1:XFD1,((A2)+(1))+(0)))=("store"),(INDEX(B1:XFD1,((A2)+(1))+(1)))=("H"),"false"),B2,H158),H158))</f>
        <v>#VALUE!</v>
      </c>
      <c r="I158" t="e">
        <f ca="1">IF((A1)=(2),"",IF((155)=(I3),IF(IF((INDEX(B1:XFD1,((A2)+(1))+(0)))=("store"),(INDEX(B1:XFD1,((A2)+(1))+(1)))=("I"),"false"),B2,I158),I158))</f>
        <v>#VALUE!</v>
      </c>
      <c r="J158" t="e">
        <f ca="1">IF((A1)=(2),"",IF((155)=(J3),IF(IF((INDEX(B1:XFD1,((A2)+(1))+(0)))=("store"),(INDEX(B1:XFD1,((A2)+(1))+(1)))=("J"),"false"),B2,J158),J158))</f>
        <v>#VALUE!</v>
      </c>
      <c r="K158" t="e">
        <f ca="1">IF((A1)=(2),"",IF((155)=(K3),IF(IF((INDEX(B1:XFD1,((A2)+(1))+(0)))=("store"),(INDEX(B1:XFD1,((A2)+(1))+(1)))=("K"),"false"),B2,K158),K158))</f>
        <v>#VALUE!</v>
      </c>
      <c r="L158" t="e">
        <f ca="1">IF((A1)=(2),"",IF((155)=(L3),IF(IF((INDEX(B1:XFD1,((A2)+(1))+(0)))=("store"),(INDEX(B1:XFD1,((A2)+(1))+(1)))=("L"),"false"),B2,L158),L158))</f>
        <v>#VALUE!</v>
      </c>
      <c r="M158" t="e">
        <f ca="1">IF((A1)=(2),"",IF((155)=(M3),IF(IF((INDEX(B1:XFD1,((A2)+(1))+(0)))=("store"),(INDEX(B1:XFD1,((A2)+(1))+(1)))=("M"),"false"),B2,M158),M158))</f>
        <v>#VALUE!</v>
      </c>
      <c r="N158" t="e">
        <f ca="1">IF((A1)=(2),"",IF((155)=(N3),IF(IF((INDEX(B1:XFD1,((A2)+(1))+(0)))=("store"),(INDEX(B1:XFD1,((A2)+(1))+(1)))=("N"),"false"),B2,N158),N158))</f>
        <v>#VALUE!</v>
      </c>
      <c r="O158" t="e">
        <f ca="1">IF((A1)=(2),"",IF((155)=(O3),IF(IF((INDEX(B1:XFD1,((A2)+(1))+(0)))=("store"),(INDEX(B1:XFD1,((A2)+(1))+(1)))=("O"),"false"),B2,O158),O158))</f>
        <v>#VALUE!</v>
      </c>
      <c r="P158" t="e">
        <f ca="1">IF((A1)=(2),"",IF((155)=(P3),IF(IF((INDEX(B1:XFD1,((A2)+(1))+(0)))=("store"),(INDEX(B1:XFD1,((A2)+(1))+(1)))=("P"),"false"),B2,P158),P158))</f>
        <v>#VALUE!</v>
      </c>
      <c r="Q158" t="e">
        <f ca="1">IF((A1)=(2),"",IF((155)=(Q3),IF(IF((INDEX(B1:XFD1,((A2)+(1))+(0)))=("store"),(INDEX(B1:XFD1,((A2)+(1))+(1)))=("Q"),"false"),B2,Q158),Q158))</f>
        <v>#VALUE!</v>
      </c>
      <c r="R158" t="e">
        <f ca="1">IF((A1)=(2),"",IF((155)=(R3),IF(IF((INDEX(B1:XFD1,((A2)+(1))+(0)))=("store"),(INDEX(B1:XFD1,((A2)+(1))+(1)))=("R"),"false"),B2,R158),R158))</f>
        <v>#VALUE!</v>
      </c>
      <c r="S158" t="e">
        <f ca="1">IF((A1)=(2),"",IF((155)=(S3),IF(IF((INDEX(B1:XFD1,((A2)+(1))+(0)))=("store"),(INDEX(B1:XFD1,((A2)+(1))+(1)))=("S"),"false"),B2,S158),S158))</f>
        <v>#VALUE!</v>
      </c>
      <c r="T158" t="e">
        <f ca="1">IF((A1)=(2),"",IF((155)=(T3),IF(IF((INDEX(B1:XFD1,((A2)+(1))+(0)))=("store"),(INDEX(B1:XFD1,((A2)+(1))+(1)))=("T"),"false"),B2,T158),T158))</f>
        <v>#VALUE!</v>
      </c>
      <c r="U158" t="e">
        <f ca="1">IF((A1)=(2),"",IF((155)=(U3),IF(IF((INDEX(B1:XFD1,((A2)+(1))+(0)))=("store"),(INDEX(B1:XFD1,((A2)+(1))+(1)))=("U"),"false"),B2,U158),U158))</f>
        <v>#VALUE!</v>
      </c>
      <c r="V158" t="e">
        <f ca="1">IF((A1)=(2),"",IF((155)=(V3),IF(IF((INDEX(B1:XFD1,((A2)+(1))+(0)))=("store"),(INDEX(B1:XFD1,((A2)+(1))+(1)))=("V"),"false"),B2,V158),V158))</f>
        <v>#VALUE!</v>
      </c>
      <c r="W158" t="e">
        <f ca="1">IF((A1)=(2),"",IF((155)=(W3),IF(IF((INDEX(B1:XFD1,((A2)+(1))+(0)))=("store"),(INDEX(B1:XFD1,((A2)+(1))+(1)))=("W"),"false"),B2,W158),W158))</f>
        <v>#VALUE!</v>
      </c>
      <c r="X158" t="e">
        <f ca="1">IF((A1)=(2),"",IF((155)=(X3),IF(IF((INDEX(B1:XFD1,((A2)+(1))+(0)))=("store"),(INDEX(B1:XFD1,((A2)+(1))+(1)))=("X"),"false"),B2,X158),X158))</f>
        <v>#VALUE!</v>
      </c>
      <c r="Y158" t="e">
        <f ca="1">IF((A1)=(2),"",IF((155)=(Y3),IF(IF((INDEX(B1:XFD1,((A2)+(1))+(0)))=("store"),(INDEX(B1:XFD1,((A2)+(1))+(1)))=("Y"),"false"),B2,Y158),Y158))</f>
        <v>#VALUE!</v>
      </c>
      <c r="Z158" t="e">
        <f ca="1">IF((A1)=(2),"",IF((155)=(Z3),IF(IF((INDEX(B1:XFD1,((A2)+(1))+(0)))=("store"),(INDEX(B1:XFD1,((A2)+(1))+(1)))=("Z"),"false"),B2,Z158),Z158))</f>
        <v>#VALUE!</v>
      </c>
      <c r="AA158" t="e">
        <f ca="1">IF((A1)=(2),"",IF((155)=(AA3),IF(IF((INDEX(B1:XFD1,((A2)+(1))+(0)))=("store"),(INDEX(B1:XFD1,((A2)+(1))+(1)))=("AA"),"false"),B2,AA158),AA158))</f>
        <v>#VALUE!</v>
      </c>
      <c r="AB158" t="e">
        <f ca="1">IF((A1)=(2),"",IF((155)=(AB3),IF(IF((INDEX(B1:XFD1,((A2)+(1))+(0)))=("store"),(INDEX(B1:XFD1,((A2)+(1))+(1)))=("AB"),"false"),B2,AB158),AB158))</f>
        <v>#VALUE!</v>
      </c>
      <c r="AC158" t="e">
        <f ca="1">IF((A1)=(2),"",IF((155)=(AC3),IF(IF((INDEX(B1:XFD1,((A2)+(1))+(0)))=("store"),(INDEX(B1:XFD1,((A2)+(1))+(1)))=("AC"),"false"),B2,AC158),AC158))</f>
        <v>#VALUE!</v>
      </c>
      <c r="AD158" t="e">
        <f ca="1">IF((A1)=(2),"",IF((155)=(AD3),IF(IF((INDEX(B1:XFD1,((A2)+(1))+(0)))=("store"),(INDEX(B1:XFD1,((A2)+(1))+(1)))=("AD"),"false"),B2,AD158),AD158))</f>
        <v>#VALUE!</v>
      </c>
    </row>
    <row r="159" spans="1:30" x14ac:dyDescent="0.25">
      <c r="A159" t="e">
        <f ca="1">IF((A1)=(2),"",IF((156)=(A3),IF(("call")=(INDEX(B1:XFD1,((A2)+(1))+(0))),(B2)*(2),IF(("goto")=(INDEX(B1:XFD1,((A2)+(1))+(0))),(INDEX(B1:XFD1,((A2)+(1))+(1)))*(2),IF(("gotoiftrue")=(INDEX(B1:XFD1,((A2)+(1))+(0))),IF(B2,(INDEX(B1:XFD1,((A2)+(1))+(1)))*(2),(A159)+(2)),(A159)+(2)))),A159))</f>
        <v>#VALUE!</v>
      </c>
      <c r="B159" t="e">
        <f ca="1">IF((A1)=(2),"",IF((156)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159)+(1)),IF(("add")=(INDEX(B1:XFD1,((A2)+(1))+(0))),(INDEX(B4:B404,(B3)+(1)))+(B159),IF(("equals")=(INDEX(B1:XFD1,((A2)+(1))+(0))),(INDEX(B4:B404,(B3)+(1)))=(B159),IF(("leq")=(INDEX(B1:XFD1,((A2)+(1))+(0))),(INDEX(B4:B404,(B3)+(1)))&lt;=(B159),IF(("greater")=(INDEX(B1:XFD1,((A2)+(1))+(0))),(INDEX(B4:B404,(B3)+(1)))&gt;(B159),IF(("mod")=(INDEX(B1:XFD1,((A2)+(1))+(0))),MOD(INDEX(B4:B404,(B3)+(1)),B159),B159))))))))),B159))</f>
        <v>#VALUE!</v>
      </c>
      <c r="C159" t="e">
        <f ca="1">IF((A1)=(2),1,IF(AND((INDEX(B1:XFD1,((A2)+(1))+(0)))=("writeheap"),(INDEX(B4:B404,(B3)+(1)))=(155)),INDEX(B4:B404,(B3)+(2)),IF((A1)=(2),"",IF((156)=(C3),C159,C159))))</f>
        <v>#VALUE!</v>
      </c>
      <c r="E159" t="e">
        <f ca="1">IF((A1)=(2),"",IF((156)=(E3),IF(("outputline")=(INDEX(B1:XFD1,((A2)+(1))+(0))),B2,E159),E159))</f>
        <v>#VALUE!</v>
      </c>
      <c r="F159" t="e">
        <f ca="1">IF((A1)=(2),"",IF((156)=(F3),IF(IF((INDEX(B1:XFD1,((A2)+(1))+(0)))=("store"),(INDEX(B1:XFD1,((A2)+(1))+(1)))=("F"),"false"),B2,F159),F159))</f>
        <v>#VALUE!</v>
      </c>
      <c r="G159" t="e">
        <f ca="1">IF((A1)=(2),"",IF((156)=(G3),IF(IF((INDEX(B1:XFD1,((A2)+(1))+(0)))=("store"),(INDEX(B1:XFD1,((A2)+(1))+(1)))=("G"),"false"),B2,G159),G159))</f>
        <v>#VALUE!</v>
      </c>
      <c r="H159" t="e">
        <f ca="1">IF((A1)=(2),"",IF((156)=(H3),IF(IF((INDEX(B1:XFD1,((A2)+(1))+(0)))=("store"),(INDEX(B1:XFD1,((A2)+(1))+(1)))=("H"),"false"),B2,H159),H159))</f>
        <v>#VALUE!</v>
      </c>
      <c r="I159" t="e">
        <f ca="1">IF((A1)=(2),"",IF((156)=(I3),IF(IF((INDEX(B1:XFD1,((A2)+(1))+(0)))=("store"),(INDEX(B1:XFD1,((A2)+(1))+(1)))=("I"),"false"),B2,I159),I159))</f>
        <v>#VALUE!</v>
      </c>
      <c r="J159" t="e">
        <f ca="1">IF((A1)=(2),"",IF((156)=(J3),IF(IF((INDEX(B1:XFD1,((A2)+(1))+(0)))=("store"),(INDEX(B1:XFD1,((A2)+(1))+(1)))=("J"),"false"),B2,J159),J159))</f>
        <v>#VALUE!</v>
      </c>
      <c r="K159" t="e">
        <f ca="1">IF((A1)=(2),"",IF((156)=(K3),IF(IF((INDEX(B1:XFD1,((A2)+(1))+(0)))=("store"),(INDEX(B1:XFD1,((A2)+(1))+(1)))=("K"),"false"),B2,K159),K159))</f>
        <v>#VALUE!</v>
      </c>
      <c r="L159" t="e">
        <f ca="1">IF((A1)=(2),"",IF((156)=(L3),IF(IF((INDEX(B1:XFD1,((A2)+(1))+(0)))=("store"),(INDEX(B1:XFD1,((A2)+(1))+(1)))=("L"),"false"),B2,L159),L159))</f>
        <v>#VALUE!</v>
      </c>
      <c r="M159" t="e">
        <f ca="1">IF((A1)=(2),"",IF((156)=(M3),IF(IF((INDEX(B1:XFD1,((A2)+(1))+(0)))=("store"),(INDEX(B1:XFD1,((A2)+(1))+(1)))=("M"),"false"),B2,M159),M159))</f>
        <v>#VALUE!</v>
      </c>
      <c r="N159" t="e">
        <f ca="1">IF((A1)=(2),"",IF((156)=(N3),IF(IF((INDEX(B1:XFD1,((A2)+(1))+(0)))=("store"),(INDEX(B1:XFD1,((A2)+(1))+(1)))=("N"),"false"),B2,N159),N159))</f>
        <v>#VALUE!</v>
      </c>
      <c r="O159" t="e">
        <f ca="1">IF((A1)=(2),"",IF((156)=(O3),IF(IF((INDEX(B1:XFD1,((A2)+(1))+(0)))=("store"),(INDEX(B1:XFD1,((A2)+(1))+(1)))=("O"),"false"),B2,O159),O159))</f>
        <v>#VALUE!</v>
      </c>
      <c r="P159" t="e">
        <f ca="1">IF((A1)=(2),"",IF((156)=(P3),IF(IF((INDEX(B1:XFD1,((A2)+(1))+(0)))=("store"),(INDEX(B1:XFD1,((A2)+(1))+(1)))=("P"),"false"),B2,P159),P159))</f>
        <v>#VALUE!</v>
      </c>
      <c r="Q159" t="e">
        <f ca="1">IF((A1)=(2),"",IF((156)=(Q3),IF(IF((INDEX(B1:XFD1,((A2)+(1))+(0)))=("store"),(INDEX(B1:XFD1,((A2)+(1))+(1)))=("Q"),"false"),B2,Q159),Q159))</f>
        <v>#VALUE!</v>
      </c>
      <c r="R159" t="e">
        <f ca="1">IF((A1)=(2),"",IF((156)=(R3),IF(IF((INDEX(B1:XFD1,((A2)+(1))+(0)))=("store"),(INDEX(B1:XFD1,((A2)+(1))+(1)))=("R"),"false"),B2,R159),R159))</f>
        <v>#VALUE!</v>
      </c>
      <c r="S159" t="e">
        <f ca="1">IF((A1)=(2),"",IF((156)=(S3),IF(IF((INDEX(B1:XFD1,((A2)+(1))+(0)))=("store"),(INDEX(B1:XFD1,((A2)+(1))+(1)))=("S"),"false"),B2,S159),S159))</f>
        <v>#VALUE!</v>
      </c>
      <c r="T159" t="e">
        <f ca="1">IF((A1)=(2),"",IF((156)=(T3),IF(IF((INDEX(B1:XFD1,((A2)+(1))+(0)))=("store"),(INDEX(B1:XFD1,((A2)+(1))+(1)))=("T"),"false"),B2,T159),T159))</f>
        <v>#VALUE!</v>
      </c>
      <c r="U159" t="e">
        <f ca="1">IF((A1)=(2),"",IF((156)=(U3),IF(IF((INDEX(B1:XFD1,((A2)+(1))+(0)))=("store"),(INDEX(B1:XFD1,((A2)+(1))+(1)))=("U"),"false"),B2,U159),U159))</f>
        <v>#VALUE!</v>
      </c>
      <c r="V159" t="e">
        <f ca="1">IF((A1)=(2),"",IF((156)=(V3),IF(IF((INDEX(B1:XFD1,((A2)+(1))+(0)))=("store"),(INDEX(B1:XFD1,((A2)+(1))+(1)))=("V"),"false"),B2,V159),V159))</f>
        <v>#VALUE!</v>
      </c>
      <c r="W159" t="e">
        <f ca="1">IF((A1)=(2),"",IF((156)=(W3),IF(IF((INDEX(B1:XFD1,((A2)+(1))+(0)))=("store"),(INDEX(B1:XFD1,((A2)+(1))+(1)))=("W"),"false"),B2,W159),W159))</f>
        <v>#VALUE!</v>
      </c>
      <c r="X159" t="e">
        <f ca="1">IF((A1)=(2),"",IF((156)=(X3),IF(IF((INDEX(B1:XFD1,((A2)+(1))+(0)))=("store"),(INDEX(B1:XFD1,((A2)+(1))+(1)))=("X"),"false"),B2,X159),X159))</f>
        <v>#VALUE!</v>
      </c>
      <c r="Y159" t="e">
        <f ca="1">IF((A1)=(2),"",IF((156)=(Y3),IF(IF((INDEX(B1:XFD1,((A2)+(1))+(0)))=("store"),(INDEX(B1:XFD1,((A2)+(1))+(1)))=("Y"),"false"),B2,Y159),Y159))</f>
        <v>#VALUE!</v>
      </c>
      <c r="Z159" t="e">
        <f ca="1">IF((A1)=(2),"",IF((156)=(Z3),IF(IF((INDEX(B1:XFD1,((A2)+(1))+(0)))=("store"),(INDEX(B1:XFD1,((A2)+(1))+(1)))=("Z"),"false"),B2,Z159),Z159))</f>
        <v>#VALUE!</v>
      </c>
      <c r="AA159" t="e">
        <f ca="1">IF((A1)=(2),"",IF((156)=(AA3),IF(IF((INDEX(B1:XFD1,((A2)+(1))+(0)))=("store"),(INDEX(B1:XFD1,((A2)+(1))+(1)))=("AA"),"false"),B2,AA159),AA159))</f>
        <v>#VALUE!</v>
      </c>
      <c r="AB159" t="e">
        <f ca="1">IF((A1)=(2),"",IF((156)=(AB3),IF(IF((INDEX(B1:XFD1,((A2)+(1))+(0)))=("store"),(INDEX(B1:XFD1,((A2)+(1))+(1)))=("AB"),"false"),B2,AB159),AB159))</f>
        <v>#VALUE!</v>
      </c>
      <c r="AC159" t="e">
        <f ca="1">IF((A1)=(2),"",IF((156)=(AC3),IF(IF((INDEX(B1:XFD1,((A2)+(1))+(0)))=("store"),(INDEX(B1:XFD1,((A2)+(1))+(1)))=("AC"),"false"),B2,AC159),AC159))</f>
        <v>#VALUE!</v>
      </c>
      <c r="AD159" t="e">
        <f ca="1">IF((A1)=(2),"",IF((156)=(AD3),IF(IF((INDEX(B1:XFD1,((A2)+(1))+(0)))=("store"),(INDEX(B1:XFD1,((A2)+(1))+(1)))=("AD"),"false"),B2,AD159),AD159))</f>
        <v>#VALUE!</v>
      </c>
    </row>
    <row r="160" spans="1:30" x14ac:dyDescent="0.25">
      <c r="A160" t="e">
        <f ca="1">IF((A1)=(2),"",IF((157)=(A3),IF(("call")=(INDEX(B1:XFD1,((A2)+(1))+(0))),(B2)*(2),IF(("goto")=(INDEX(B1:XFD1,((A2)+(1))+(0))),(INDEX(B1:XFD1,((A2)+(1))+(1)))*(2),IF(("gotoiftrue")=(INDEX(B1:XFD1,((A2)+(1))+(0))),IF(B2,(INDEX(B1:XFD1,((A2)+(1))+(1)))*(2),(A160)+(2)),(A160)+(2)))),A160))</f>
        <v>#VALUE!</v>
      </c>
      <c r="B160" t="e">
        <f ca="1">IF((A1)=(2),"",IF((157)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160)+(1)),IF(("add")=(INDEX(B1:XFD1,((A2)+(1))+(0))),(INDEX(B4:B404,(B3)+(1)))+(B160),IF(("equals")=(INDEX(B1:XFD1,((A2)+(1))+(0))),(INDEX(B4:B404,(B3)+(1)))=(B160),IF(("leq")=(INDEX(B1:XFD1,((A2)+(1))+(0))),(INDEX(B4:B404,(B3)+(1)))&lt;=(B160),IF(("greater")=(INDEX(B1:XFD1,((A2)+(1))+(0))),(INDEX(B4:B404,(B3)+(1)))&gt;(B160),IF(("mod")=(INDEX(B1:XFD1,((A2)+(1))+(0))),MOD(INDEX(B4:B404,(B3)+(1)),B160),B160))))))))),B160))</f>
        <v>#VALUE!</v>
      </c>
      <c r="C160" t="e">
        <f ca="1">IF((A1)=(2),1,IF(AND((INDEX(B1:XFD1,((A2)+(1))+(0)))=("writeheap"),(INDEX(B4:B404,(B3)+(1)))=(156)),INDEX(B4:B404,(B3)+(2)),IF((A1)=(2),"",IF((157)=(C3),C160,C160))))</f>
        <v>#VALUE!</v>
      </c>
      <c r="E160" t="e">
        <f ca="1">IF((A1)=(2),"",IF((157)=(E3),IF(("outputline")=(INDEX(B1:XFD1,((A2)+(1))+(0))),B2,E160),E160))</f>
        <v>#VALUE!</v>
      </c>
      <c r="F160" t="e">
        <f ca="1">IF((A1)=(2),"",IF((157)=(F3),IF(IF((INDEX(B1:XFD1,((A2)+(1))+(0)))=("store"),(INDEX(B1:XFD1,((A2)+(1))+(1)))=("F"),"false"),B2,F160),F160))</f>
        <v>#VALUE!</v>
      </c>
      <c r="G160" t="e">
        <f ca="1">IF((A1)=(2),"",IF((157)=(G3),IF(IF((INDEX(B1:XFD1,((A2)+(1))+(0)))=("store"),(INDEX(B1:XFD1,((A2)+(1))+(1)))=("G"),"false"),B2,G160),G160))</f>
        <v>#VALUE!</v>
      </c>
      <c r="H160" t="e">
        <f ca="1">IF((A1)=(2),"",IF((157)=(H3),IF(IF((INDEX(B1:XFD1,((A2)+(1))+(0)))=("store"),(INDEX(B1:XFD1,((A2)+(1))+(1)))=("H"),"false"),B2,H160),H160))</f>
        <v>#VALUE!</v>
      </c>
      <c r="I160" t="e">
        <f ca="1">IF((A1)=(2),"",IF((157)=(I3),IF(IF((INDEX(B1:XFD1,((A2)+(1))+(0)))=("store"),(INDEX(B1:XFD1,((A2)+(1))+(1)))=("I"),"false"),B2,I160),I160))</f>
        <v>#VALUE!</v>
      </c>
      <c r="J160" t="e">
        <f ca="1">IF((A1)=(2),"",IF((157)=(J3),IF(IF((INDEX(B1:XFD1,((A2)+(1))+(0)))=("store"),(INDEX(B1:XFD1,((A2)+(1))+(1)))=("J"),"false"),B2,J160),J160))</f>
        <v>#VALUE!</v>
      </c>
      <c r="K160" t="e">
        <f ca="1">IF((A1)=(2),"",IF((157)=(K3),IF(IF((INDEX(B1:XFD1,((A2)+(1))+(0)))=("store"),(INDEX(B1:XFD1,((A2)+(1))+(1)))=("K"),"false"),B2,K160),K160))</f>
        <v>#VALUE!</v>
      </c>
      <c r="L160" t="e">
        <f ca="1">IF((A1)=(2),"",IF((157)=(L3),IF(IF((INDEX(B1:XFD1,((A2)+(1))+(0)))=("store"),(INDEX(B1:XFD1,((A2)+(1))+(1)))=("L"),"false"),B2,L160),L160))</f>
        <v>#VALUE!</v>
      </c>
      <c r="M160" t="e">
        <f ca="1">IF((A1)=(2),"",IF((157)=(M3),IF(IF((INDEX(B1:XFD1,((A2)+(1))+(0)))=("store"),(INDEX(B1:XFD1,((A2)+(1))+(1)))=("M"),"false"),B2,M160),M160))</f>
        <v>#VALUE!</v>
      </c>
      <c r="N160" t="e">
        <f ca="1">IF((A1)=(2),"",IF((157)=(N3),IF(IF((INDEX(B1:XFD1,((A2)+(1))+(0)))=("store"),(INDEX(B1:XFD1,((A2)+(1))+(1)))=("N"),"false"),B2,N160),N160))</f>
        <v>#VALUE!</v>
      </c>
      <c r="O160" t="e">
        <f ca="1">IF((A1)=(2),"",IF((157)=(O3),IF(IF((INDEX(B1:XFD1,((A2)+(1))+(0)))=("store"),(INDEX(B1:XFD1,((A2)+(1))+(1)))=("O"),"false"),B2,O160),O160))</f>
        <v>#VALUE!</v>
      </c>
      <c r="P160" t="e">
        <f ca="1">IF((A1)=(2),"",IF((157)=(P3),IF(IF((INDEX(B1:XFD1,((A2)+(1))+(0)))=("store"),(INDEX(B1:XFD1,((A2)+(1))+(1)))=("P"),"false"),B2,P160),P160))</f>
        <v>#VALUE!</v>
      </c>
      <c r="Q160" t="e">
        <f ca="1">IF((A1)=(2),"",IF((157)=(Q3),IF(IF((INDEX(B1:XFD1,((A2)+(1))+(0)))=("store"),(INDEX(B1:XFD1,((A2)+(1))+(1)))=("Q"),"false"),B2,Q160),Q160))</f>
        <v>#VALUE!</v>
      </c>
      <c r="R160" t="e">
        <f ca="1">IF((A1)=(2),"",IF((157)=(R3),IF(IF((INDEX(B1:XFD1,((A2)+(1))+(0)))=("store"),(INDEX(B1:XFD1,((A2)+(1))+(1)))=("R"),"false"),B2,R160),R160))</f>
        <v>#VALUE!</v>
      </c>
      <c r="S160" t="e">
        <f ca="1">IF((A1)=(2),"",IF((157)=(S3),IF(IF((INDEX(B1:XFD1,((A2)+(1))+(0)))=("store"),(INDEX(B1:XFD1,((A2)+(1))+(1)))=("S"),"false"),B2,S160),S160))</f>
        <v>#VALUE!</v>
      </c>
      <c r="T160" t="e">
        <f ca="1">IF((A1)=(2),"",IF((157)=(T3),IF(IF((INDEX(B1:XFD1,((A2)+(1))+(0)))=("store"),(INDEX(B1:XFD1,((A2)+(1))+(1)))=("T"),"false"),B2,T160),T160))</f>
        <v>#VALUE!</v>
      </c>
      <c r="U160" t="e">
        <f ca="1">IF((A1)=(2),"",IF((157)=(U3),IF(IF((INDEX(B1:XFD1,((A2)+(1))+(0)))=("store"),(INDEX(B1:XFD1,((A2)+(1))+(1)))=("U"),"false"),B2,U160),U160))</f>
        <v>#VALUE!</v>
      </c>
      <c r="V160" t="e">
        <f ca="1">IF((A1)=(2),"",IF((157)=(V3),IF(IF((INDEX(B1:XFD1,((A2)+(1))+(0)))=("store"),(INDEX(B1:XFD1,((A2)+(1))+(1)))=("V"),"false"),B2,V160),V160))</f>
        <v>#VALUE!</v>
      </c>
      <c r="W160" t="e">
        <f ca="1">IF((A1)=(2),"",IF((157)=(W3),IF(IF((INDEX(B1:XFD1,((A2)+(1))+(0)))=("store"),(INDEX(B1:XFD1,((A2)+(1))+(1)))=("W"),"false"),B2,W160),W160))</f>
        <v>#VALUE!</v>
      </c>
      <c r="X160" t="e">
        <f ca="1">IF((A1)=(2),"",IF((157)=(X3),IF(IF((INDEX(B1:XFD1,((A2)+(1))+(0)))=("store"),(INDEX(B1:XFD1,((A2)+(1))+(1)))=("X"),"false"),B2,X160),X160))</f>
        <v>#VALUE!</v>
      </c>
      <c r="Y160" t="e">
        <f ca="1">IF((A1)=(2),"",IF((157)=(Y3),IF(IF((INDEX(B1:XFD1,((A2)+(1))+(0)))=("store"),(INDEX(B1:XFD1,((A2)+(1))+(1)))=("Y"),"false"),B2,Y160),Y160))</f>
        <v>#VALUE!</v>
      </c>
      <c r="Z160" t="e">
        <f ca="1">IF((A1)=(2),"",IF((157)=(Z3),IF(IF((INDEX(B1:XFD1,((A2)+(1))+(0)))=("store"),(INDEX(B1:XFD1,((A2)+(1))+(1)))=("Z"),"false"),B2,Z160),Z160))</f>
        <v>#VALUE!</v>
      </c>
      <c r="AA160" t="e">
        <f ca="1">IF((A1)=(2),"",IF((157)=(AA3),IF(IF((INDEX(B1:XFD1,((A2)+(1))+(0)))=("store"),(INDEX(B1:XFD1,((A2)+(1))+(1)))=("AA"),"false"),B2,AA160),AA160))</f>
        <v>#VALUE!</v>
      </c>
      <c r="AB160" t="e">
        <f ca="1">IF((A1)=(2),"",IF((157)=(AB3),IF(IF((INDEX(B1:XFD1,((A2)+(1))+(0)))=("store"),(INDEX(B1:XFD1,((A2)+(1))+(1)))=("AB"),"false"),B2,AB160),AB160))</f>
        <v>#VALUE!</v>
      </c>
      <c r="AC160" t="e">
        <f ca="1">IF((A1)=(2),"",IF((157)=(AC3),IF(IF((INDEX(B1:XFD1,((A2)+(1))+(0)))=("store"),(INDEX(B1:XFD1,((A2)+(1))+(1)))=("AC"),"false"),B2,AC160),AC160))</f>
        <v>#VALUE!</v>
      </c>
      <c r="AD160" t="e">
        <f ca="1">IF((A1)=(2),"",IF((157)=(AD3),IF(IF((INDEX(B1:XFD1,((A2)+(1))+(0)))=("store"),(INDEX(B1:XFD1,((A2)+(1))+(1)))=("AD"),"false"),B2,AD160),AD160))</f>
        <v>#VALUE!</v>
      </c>
    </row>
    <row r="161" spans="1:30" x14ac:dyDescent="0.25">
      <c r="A161" t="e">
        <f ca="1">IF((A1)=(2),"",IF((158)=(A3),IF(("call")=(INDEX(B1:XFD1,((A2)+(1))+(0))),(B2)*(2),IF(("goto")=(INDEX(B1:XFD1,((A2)+(1))+(0))),(INDEX(B1:XFD1,((A2)+(1))+(1)))*(2),IF(("gotoiftrue")=(INDEX(B1:XFD1,((A2)+(1))+(0))),IF(B2,(INDEX(B1:XFD1,((A2)+(1))+(1)))*(2),(A161)+(2)),(A161)+(2)))),A161))</f>
        <v>#VALUE!</v>
      </c>
      <c r="B161" t="e">
        <f ca="1">IF((A1)=(2),"",IF((158)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161)+(1)),IF(("add")=(INDEX(B1:XFD1,((A2)+(1))+(0))),(INDEX(B4:B404,(B3)+(1)))+(B161),IF(("equals")=(INDEX(B1:XFD1,((A2)+(1))+(0))),(INDEX(B4:B404,(B3)+(1)))=(B161),IF(("leq")=(INDEX(B1:XFD1,((A2)+(1))+(0))),(INDEX(B4:B404,(B3)+(1)))&lt;=(B161),IF(("greater")=(INDEX(B1:XFD1,((A2)+(1))+(0))),(INDEX(B4:B404,(B3)+(1)))&gt;(B161),IF(("mod")=(INDEX(B1:XFD1,((A2)+(1))+(0))),MOD(INDEX(B4:B404,(B3)+(1)),B161),B161))))))))),B161))</f>
        <v>#VALUE!</v>
      </c>
      <c r="C161" t="e">
        <f ca="1">IF((A1)=(2),1,IF(AND((INDEX(B1:XFD1,((A2)+(1))+(0)))=("writeheap"),(INDEX(B4:B404,(B3)+(1)))=(157)),INDEX(B4:B404,(B3)+(2)),IF((A1)=(2),"",IF((158)=(C3),C161,C161))))</f>
        <v>#VALUE!</v>
      </c>
      <c r="E161" t="e">
        <f ca="1">IF((A1)=(2),"",IF((158)=(E3),IF(("outputline")=(INDEX(B1:XFD1,((A2)+(1))+(0))),B2,E161),E161))</f>
        <v>#VALUE!</v>
      </c>
      <c r="F161" t="e">
        <f ca="1">IF((A1)=(2),"",IF((158)=(F3),IF(IF((INDEX(B1:XFD1,((A2)+(1))+(0)))=("store"),(INDEX(B1:XFD1,((A2)+(1))+(1)))=("F"),"false"),B2,F161),F161))</f>
        <v>#VALUE!</v>
      </c>
      <c r="G161" t="e">
        <f ca="1">IF((A1)=(2),"",IF((158)=(G3),IF(IF((INDEX(B1:XFD1,((A2)+(1))+(0)))=("store"),(INDEX(B1:XFD1,((A2)+(1))+(1)))=("G"),"false"),B2,G161),G161))</f>
        <v>#VALUE!</v>
      </c>
      <c r="H161" t="e">
        <f ca="1">IF((A1)=(2),"",IF((158)=(H3),IF(IF((INDEX(B1:XFD1,((A2)+(1))+(0)))=("store"),(INDEX(B1:XFD1,((A2)+(1))+(1)))=("H"),"false"),B2,H161),H161))</f>
        <v>#VALUE!</v>
      </c>
      <c r="I161" t="e">
        <f ca="1">IF((A1)=(2),"",IF((158)=(I3),IF(IF((INDEX(B1:XFD1,((A2)+(1))+(0)))=("store"),(INDEX(B1:XFD1,((A2)+(1))+(1)))=("I"),"false"),B2,I161),I161))</f>
        <v>#VALUE!</v>
      </c>
      <c r="J161" t="e">
        <f ca="1">IF((A1)=(2),"",IF((158)=(J3),IF(IF((INDEX(B1:XFD1,((A2)+(1))+(0)))=("store"),(INDEX(B1:XFD1,((A2)+(1))+(1)))=("J"),"false"),B2,J161),J161))</f>
        <v>#VALUE!</v>
      </c>
      <c r="K161" t="e">
        <f ca="1">IF((A1)=(2),"",IF((158)=(K3),IF(IF((INDEX(B1:XFD1,((A2)+(1))+(0)))=("store"),(INDEX(B1:XFD1,((A2)+(1))+(1)))=("K"),"false"),B2,K161),K161))</f>
        <v>#VALUE!</v>
      </c>
      <c r="L161" t="e">
        <f ca="1">IF((A1)=(2),"",IF((158)=(L3),IF(IF((INDEX(B1:XFD1,((A2)+(1))+(0)))=("store"),(INDEX(B1:XFD1,((A2)+(1))+(1)))=("L"),"false"),B2,L161),L161))</f>
        <v>#VALUE!</v>
      </c>
      <c r="M161" t="e">
        <f ca="1">IF((A1)=(2),"",IF((158)=(M3),IF(IF((INDEX(B1:XFD1,((A2)+(1))+(0)))=("store"),(INDEX(B1:XFD1,((A2)+(1))+(1)))=("M"),"false"),B2,M161),M161))</f>
        <v>#VALUE!</v>
      </c>
      <c r="N161" t="e">
        <f ca="1">IF((A1)=(2),"",IF((158)=(N3),IF(IF((INDEX(B1:XFD1,((A2)+(1))+(0)))=("store"),(INDEX(B1:XFD1,((A2)+(1))+(1)))=("N"),"false"),B2,N161),N161))</f>
        <v>#VALUE!</v>
      </c>
      <c r="O161" t="e">
        <f ca="1">IF((A1)=(2),"",IF((158)=(O3),IF(IF((INDEX(B1:XFD1,((A2)+(1))+(0)))=("store"),(INDEX(B1:XFD1,((A2)+(1))+(1)))=("O"),"false"),B2,O161),O161))</f>
        <v>#VALUE!</v>
      </c>
      <c r="P161" t="e">
        <f ca="1">IF((A1)=(2),"",IF((158)=(P3),IF(IF((INDEX(B1:XFD1,((A2)+(1))+(0)))=("store"),(INDEX(B1:XFD1,((A2)+(1))+(1)))=("P"),"false"),B2,P161),P161))</f>
        <v>#VALUE!</v>
      </c>
      <c r="Q161" t="e">
        <f ca="1">IF((A1)=(2),"",IF((158)=(Q3),IF(IF((INDEX(B1:XFD1,((A2)+(1))+(0)))=("store"),(INDEX(B1:XFD1,((A2)+(1))+(1)))=("Q"),"false"),B2,Q161),Q161))</f>
        <v>#VALUE!</v>
      </c>
      <c r="R161" t="e">
        <f ca="1">IF((A1)=(2),"",IF((158)=(R3),IF(IF((INDEX(B1:XFD1,((A2)+(1))+(0)))=("store"),(INDEX(B1:XFD1,((A2)+(1))+(1)))=("R"),"false"),B2,R161),R161))</f>
        <v>#VALUE!</v>
      </c>
      <c r="S161" t="e">
        <f ca="1">IF((A1)=(2),"",IF((158)=(S3),IF(IF((INDEX(B1:XFD1,((A2)+(1))+(0)))=("store"),(INDEX(B1:XFD1,((A2)+(1))+(1)))=("S"),"false"),B2,S161),S161))</f>
        <v>#VALUE!</v>
      </c>
      <c r="T161" t="e">
        <f ca="1">IF((A1)=(2),"",IF((158)=(T3),IF(IF((INDEX(B1:XFD1,((A2)+(1))+(0)))=("store"),(INDEX(B1:XFD1,((A2)+(1))+(1)))=("T"),"false"),B2,T161),T161))</f>
        <v>#VALUE!</v>
      </c>
      <c r="U161" t="e">
        <f ca="1">IF((A1)=(2),"",IF((158)=(U3),IF(IF((INDEX(B1:XFD1,((A2)+(1))+(0)))=("store"),(INDEX(B1:XFD1,((A2)+(1))+(1)))=("U"),"false"),B2,U161),U161))</f>
        <v>#VALUE!</v>
      </c>
      <c r="V161" t="e">
        <f ca="1">IF((A1)=(2),"",IF((158)=(V3),IF(IF((INDEX(B1:XFD1,((A2)+(1))+(0)))=("store"),(INDEX(B1:XFD1,((A2)+(1))+(1)))=("V"),"false"),B2,V161),V161))</f>
        <v>#VALUE!</v>
      </c>
      <c r="W161" t="e">
        <f ca="1">IF((A1)=(2),"",IF((158)=(W3),IF(IF((INDEX(B1:XFD1,((A2)+(1))+(0)))=("store"),(INDEX(B1:XFD1,((A2)+(1))+(1)))=("W"),"false"),B2,W161),W161))</f>
        <v>#VALUE!</v>
      </c>
      <c r="X161" t="e">
        <f ca="1">IF((A1)=(2),"",IF((158)=(X3),IF(IF((INDEX(B1:XFD1,((A2)+(1))+(0)))=("store"),(INDEX(B1:XFD1,((A2)+(1))+(1)))=("X"),"false"),B2,X161),X161))</f>
        <v>#VALUE!</v>
      </c>
      <c r="Y161" t="e">
        <f ca="1">IF((A1)=(2),"",IF((158)=(Y3),IF(IF((INDEX(B1:XFD1,((A2)+(1))+(0)))=("store"),(INDEX(B1:XFD1,((A2)+(1))+(1)))=("Y"),"false"),B2,Y161),Y161))</f>
        <v>#VALUE!</v>
      </c>
      <c r="Z161" t="e">
        <f ca="1">IF((A1)=(2),"",IF((158)=(Z3),IF(IF((INDEX(B1:XFD1,((A2)+(1))+(0)))=("store"),(INDEX(B1:XFD1,((A2)+(1))+(1)))=("Z"),"false"),B2,Z161),Z161))</f>
        <v>#VALUE!</v>
      </c>
      <c r="AA161" t="e">
        <f ca="1">IF((A1)=(2),"",IF((158)=(AA3),IF(IF((INDEX(B1:XFD1,((A2)+(1))+(0)))=("store"),(INDEX(B1:XFD1,((A2)+(1))+(1)))=("AA"),"false"),B2,AA161),AA161))</f>
        <v>#VALUE!</v>
      </c>
      <c r="AB161" t="e">
        <f ca="1">IF((A1)=(2),"",IF((158)=(AB3),IF(IF((INDEX(B1:XFD1,((A2)+(1))+(0)))=("store"),(INDEX(B1:XFD1,((A2)+(1))+(1)))=("AB"),"false"),B2,AB161),AB161))</f>
        <v>#VALUE!</v>
      </c>
      <c r="AC161" t="e">
        <f ca="1">IF((A1)=(2),"",IF((158)=(AC3),IF(IF((INDEX(B1:XFD1,((A2)+(1))+(0)))=("store"),(INDEX(B1:XFD1,((A2)+(1))+(1)))=("AC"),"false"),B2,AC161),AC161))</f>
        <v>#VALUE!</v>
      </c>
      <c r="AD161" t="e">
        <f ca="1">IF((A1)=(2),"",IF((158)=(AD3),IF(IF((INDEX(B1:XFD1,((A2)+(1))+(0)))=("store"),(INDEX(B1:XFD1,((A2)+(1))+(1)))=("AD"),"false"),B2,AD161),AD161))</f>
        <v>#VALUE!</v>
      </c>
    </row>
    <row r="162" spans="1:30" x14ac:dyDescent="0.25">
      <c r="A162" t="e">
        <f ca="1">IF((A1)=(2),"",IF((159)=(A3),IF(("call")=(INDEX(B1:XFD1,((A2)+(1))+(0))),(B2)*(2),IF(("goto")=(INDEX(B1:XFD1,((A2)+(1))+(0))),(INDEX(B1:XFD1,((A2)+(1))+(1)))*(2),IF(("gotoiftrue")=(INDEX(B1:XFD1,((A2)+(1))+(0))),IF(B2,(INDEX(B1:XFD1,((A2)+(1))+(1)))*(2),(A162)+(2)),(A162)+(2)))),A162))</f>
        <v>#VALUE!</v>
      </c>
      <c r="B162" t="e">
        <f ca="1">IF((A1)=(2),"",IF((159)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162)+(1)),IF(("add")=(INDEX(B1:XFD1,((A2)+(1))+(0))),(INDEX(B4:B404,(B3)+(1)))+(B162),IF(("equals")=(INDEX(B1:XFD1,((A2)+(1))+(0))),(INDEX(B4:B404,(B3)+(1)))=(B162),IF(("leq")=(INDEX(B1:XFD1,((A2)+(1))+(0))),(INDEX(B4:B404,(B3)+(1)))&lt;=(B162),IF(("greater")=(INDEX(B1:XFD1,((A2)+(1))+(0))),(INDEX(B4:B404,(B3)+(1)))&gt;(B162),IF(("mod")=(INDEX(B1:XFD1,((A2)+(1))+(0))),MOD(INDEX(B4:B404,(B3)+(1)),B162),B162))))))))),B162))</f>
        <v>#VALUE!</v>
      </c>
      <c r="C162" t="e">
        <f ca="1">IF((A1)=(2),1,IF(AND((INDEX(B1:XFD1,((A2)+(1))+(0)))=("writeheap"),(INDEX(B4:B404,(B3)+(1)))=(158)),INDEX(B4:B404,(B3)+(2)),IF((A1)=(2),"",IF((159)=(C3),C162,C162))))</f>
        <v>#VALUE!</v>
      </c>
      <c r="E162" t="e">
        <f ca="1">IF((A1)=(2),"",IF((159)=(E3),IF(("outputline")=(INDEX(B1:XFD1,((A2)+(1))+(0))),B2,E162),E162))</f>
        <v>#VALUE!</v>
      </c>
      <c r="F162" t="e">
        <f ca="1">IF((A1)=(2),"",IF((159)=(F3),IF(IF((INDEX(B1:XFD1,((A2)+(1))+(0)))=("store"),(INDEX(B1:XFD1,((A2)+(1))+(1)))=("F"),"false"),B2,F162),F162))</f>
        <v>#VALUE!</v>
      </c>
      <c r="G162" t="e">
        <f ca="1">IF((A1)=(2),"",IF((159)=(G3),IF(IF((INDEX(B1:XFD1,((A2)+(1))+(0)))=("store"),(INDEX(B1:XFD1,((A2)+(1))+(1)))=("G"),"false"),B2,G162),G162))</f>
        <v>#VALUE!</v>
      </c>
      <c r="H162" t="e">
        <f ca="1">IF((A1)=(2),"",IF((159)=(H3),IF(IF((INDEX(B1:XFD1,((A2)+(1))+(0)))=("store"),(INDEX(B1:XFD1,((A2)+(1))+(1)))=("H"),"false"),B2,H162),H162))</f>
        <v>#VALUE!</v>
      </c>
      <c r="I162" t="e">
        <f ca="1">IF((A1)=(2),"",IF((159)=(I3),IF(IF((INDEX(B1:XFD1,((A2)+(1))+(0)))=("store"),(INDEX(B1:XFD1,((A2)+(1))+(1)))=("I"),"false"),B2,I162),I162))</f>
        <v>#VALUE!</v>
      </c>
      <c r="J162" t="e">
        <f ca="1">IF((A1)=(2),"",IF((159)=(J3),IF(IF((INDEX(B1:XFD1,((A2)+(1))+(0)))=("store"),(INDEX(B1:XFD1,((A2)+(1))+(1)))=("J"),"false"),B2,J162),J162))</f>
        <v>#VALUE!</v>
      </c>
      <c r="K162" t="e">
        <f ca="1">IF((A1)=(2),"",IF((159)=(K3),IF(IF((INDEX(B1:XFD1,((A2)+(1))+(0)))=("store"),(INDEX(B1:XFD1,((A2)+(1))+(1)))=("K"),"false"),B2,K162),K162))</f>
        <v>#VALUE!</v>
      </c>
      <c r="L162" t="e">
        <f ca="1">IF((A1)=(2),"",IF((159)=(L3),IF(IF((INDEX(B1:XFD1,((A2)+(1))+(0)))=("store"),(INDEX(B1:XFD1,((A2)+(1))+(1)))=("L"),"false"),B2,L162),L162))</f>
        <v>#VALUE!</v>
      </c>
      <c r="M162" t="e">
        <f ca="1">IF((A1)=(2),"",IF((159)=(M3),IF(IF((INDEX(B1:XFD1,((A2)+(1))+(0)))=("store"),(INDEX(B1:XFD1,((A2)+(1))+(1)))=("M"),"false"),B2,M162),M162))</f>
        <v>#VALUE!</v>
      </c>
      <c r="N162" t="e">
        <f ca="1">IF((A1)=(2),"",IF((159)=(N3),IF(IF((INDEX(B1:XFD1,((A2)+(1))+(0)))=("store"),(INDEX(B1:XFD1,((A2)+(1))+(1)))=("N"),"false"),B2,N162),N162))</f>
        <v>#VALUE!</v>
      </c>
      <c r="O162" t="e">
        <f ca="1">IF((A1)=(2),"",IF((159)=(O3),IF(IF((INDEX(B1:XFD1,((A2)+(1))+(0)))=("store"),(INDEX(B1:XFD1,((A2)+(1))+(1)))=("O"),"false"),B2,O162),O162))</f>
        <v>#VALUE!</v>
      </c>
      <c r="P162" t="e">
        <f ca="1">IF((A1)=(2),"",IF((159)=(P3),IF(IF((INDEX(B1:XFD1,((A2)+(1))+(0)))=("store"),(INDEX(B1:XFD1,((A2)+(1))+(1)))=("P"),"false"),B2,P162),P162))</f>
        <v>#VALUE!</v>
      </c>
      <c r="Q162" t="e">
        <f ca="1">IF((A1)=(2),"",IF((159)=(Q3),IF(IF((INDEX(B1:XFD1,((A2)+(1))+(0)))=("store"),(INDEX(B1:XFD1,((A2)+(1))+(1)))=("Q"),"false"),B2,Q162),Q162))</f>
        <v>#VALUE!</v>
      </c>
      <c r="R162" t="e">
        <f ca="1">IF((A1)=(2),"",IF((159)=(R3),IF(IF((INDEX(B1:XFD1,((A2)+(1))+(0)))=("store"),(INDEX(B1:XFD1,((A2)+(1))+(1)))=("R"),"false"),B2,R162),R162))</f>
        <v>#VALUE!</v>
      </c>
      <c r="S162" t="e">
        <f ca="1">IF((A1)=(2),"",IF((159)=(S3),IF(IF((INDEX(B1:XFD1,((A2)+(1))+(0)))=("store"),(INDEX(B1:XFD1,((A2)+(1))+(1)))=("S"),"false"),B2,S162),S162))</f>
        <v>#VALUE!</v>
      </c>
      <c r="T162" t="e">
        <f ca="1">IF((A1)=(2),"",IF((159)=(T3),IF(IF((INDEX(B1:XFD1,((A2)+(1))+(0)))=("store"),(INDEX(B1:XFD1,((A2)+(1))+(1)))=("T"),"false"),B2,T162),T162))</f>
        <v>#VALUE!</v>
      </c>
      <c r="U162" t="e">
        <f ca="1">IF((A1)=(2),"",IF((159)=(U3),IF(IF((INDEX(B1:XFD1,((A2)+(1))+(0)))=("store"),(INDEX(B1:XFD1,((A2)+(1))+(1)))=("U"),"false"),B2,U162),U162))</f>
        <v>#VALUE!</v>
      </c>
      <c r="V162" t="e">
        <f ca="1">IF((A1)=(2),"",IF((159)=(V3),IF(IF((INDEX(B1:XFD1,((A2)+(1))+(0)))=("store"),(INDEX(B1:XFD1,((A2)+(1))+(1)))=("V"),"false"),B2,V162),V162))</f>
        <v>#VALUE!</v>
      </c>
      <c r="W162" t="e">
        <f ca="1">IF((A1)=(2),"",IF((159)=(W3),IF(IF((INDEX(B1:XFD1,((A2)+(1))+(0)))=("store"),(INDEX(B1:XFD1,((A2)+(1))+(1)))=("W"),"false"),B2,W162),W162))</f>
        <v>#VALUE!</v>
      </c>
      <c r="X162" t="e">
        <f ca="1">IF((A1)=(2),"",IF((159)=(X3),IF(IF((INDEX(B1:XFD1,((A2)+(1))+(0)))=("store"),(INDEX(B1:XFD1,((A2)+(1))+(1)))=("X"),"false"),B2,X162),X162))</f>
        <v>#VALUE!</v>
      </c>
      <c r="Y162" t="e">
        <f ca="1">IF((A1)=(2),"",IF((159)=(Y3),IF(IF((INDEX(B1:XFD1,((A2)+(1))+(0)))=("store"),(INDEX(B1:XFD1,((A2)+(1))+(1)))=("Y"),"false"),B2,Y162),Y162))</f>
        <v>#VALUE!</v>
      </c>
      <c r="Z162" t="e">
        <f ca="1">IF((A1)=(2),"",IF((159)=(Z3),IF(IF((INDEX(B1:XFD1,((A2)+(1))+(0)))=("store"),(INDEX(B1:XFD1,((A2)+(1))+(1)))=("Z"),"false"),B2,Z162),Z162))</f>
        <v>#VALUE!</v>
      </c>
      <c r="AA162" t="e">
        <f ca="1">IF((A1)=(2),"",IF((159)=(AA3),IF(IF((INDEX(B1:XFD1,((A2)+(1))+(0)))=("store"),(INDEX(B1:XFD1,((A2)+(1))+(1)))=("AA"),"false"),B2,AA162),AA162))</f>
        <v>#VALUE!</v>
      </c>
      <c r="AB162" t="e">
        <f ca="1">IF((A1)=(2),"",IF((159)=(AB3),IF(IF((INDEX(B1:XFD1,((A2)+(1))+(0)))=("store"),(INDEX(B1:XFD1,((A2)+(1))+(1)))=("AB"),"false"),B2,AB162),AB162))</f>
        <v>#VALUE!</v>
      </c>
      <c r="AC162" t="e">
        <f ca="1">IF((A1)=(2),"",IF((159)=(AC3),IF(IF((INDEX(B1:XFD1,((A2)+(1))+(0)))=("store"),(INDEX(B1:XFD1,((A2)+(1))+(1)))=("AC"),"false"),B2,AC162),AC162))</f>
        <v>#VALUE!</v>
      </c>
      <c r="AD162" t="e">
        <f ca="1">IF((A1)=(2),"",IF((159)=(AD3),IF(IF((INDEX(B1:XFD1,((A2)+(1))+(0)))=("store"),(INDEX(B1:XFD1,((A2)+(1))+(1)))=("AD"),"false"),B2,AD162),AD162))</f>
        <v>#VALUE!</v>
      </c>
    </row>
    <row r="163" spans="1:30" x14ac:dyDescent="0.25">
      <c r="A163" t="e">
        <f ca="1">IF((A1)=(2),"",IF((160)=(A3),IF(("call")=(INDEX(B1:XFD1,((A2)+(1))+(0))),(B2)*(2),IF(("goto")=(INDEX(B1:XFD1,((A2)+(1))+(0))),(INDEX(B1:XFD1,((A2)+(1))+(1)))*(2),IF(("gotoiftrue")=(INDEX(B1:XFD1,((A2)+(1))+(0))),IF(B2,(INDEX(B1:XFD1,((A2)+(1))+(1)))*(2),(A163)+(2)),(A163)+(2)))),A163))</f>
        <v>#VALUE!</v>
      </c>
      <c r="B163" t="e">
        <f ca="1">IF((A1)=(2),"",IF((160)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163)+(1)),IF(("add")=(INDEX(B1:XFD1,((A2)+(1))+(0))),(INDEX(B4:B404,(B3)+(1)))+(B163),IF(("equals")=(INDEX(B1:XFD1,((A2)+(1))+(0))),(INDEX(B4:B404,(B3)+(1)))=(B163),IF(("leq")=(INDEX(B1:XFD1,((A2)+(1))+(0))),(INDEX(B4:B404,(B3)+(1)))&lt;=(B163),IF(("greater")=(INDEX(B1:XFD1,((A2)+(1))+(0))),(INDEX(B4:B404,(B3)+(1)))&gt;(B163),IF(("mod")=(INDEX(B1:XFD1,((A2)+(1))+(0))),MOD(INDEX(B4:B404,(B3)+(1)),B163),B163))))))))),B163))</f>
        <v>#VALUE!</v>
      </c>
      <c r="C163" t="e">
        <f ca="1">IF((A1)=(2),1,IF(AND((INDEX(B1:XFD1,((A2)+(1))+(0)))=("writeheap"),(INDEX(B4:B404,(B3)+(1)))=(159)),INDEX(B4:B404,(B3)+(2)),IF((A1)=(2),"",IF((160)=(C3),C163,C163))))</f>
        <v>#VALUE!</v>
      </c>
      <c r="E163" t="e">
        <f ca="1">IF((A1)=(2),"",IF((160)=(E3),IF(("outputline")=(INDEX(B1:XFD1,((A2)+(1))+(0))),B2,E163),E163))</f>
        <v>#VALUE!</v>
      </c>
      <c r="F163" t="e">
        <f ca="1">IF((A1)=(2),"",IF((160)=(F3),IF(IF((INDEX(B1:XFD1,((A2)+(1))+(0)))=("store"),(INDEX(B1:XFD1,((A2)+(1))+(1)))=("F"),"false"),B2,F163),F163))</f>
        <v>#VALUE!</v>
      </c>
      <c r="G163" t="e">
        <f ca="1">IF((A1)=(2),"",IF((160)=(G3),IF(IF((INDEX(B1:XFD1,((A2)+(1))+(0)))=("store"),(INDEX(B1:XFD1,((A2)+(1))+(1)))=("G"),"false"),B2,G163),G163))</f>
        <v>#VALUE!</v>
      </c>
      <c r="H163" t="e">
        <f ca="1">IF((A1)=(2),"",IF((160)=(H3),IF(IF((INDEX(B1:XFD1,((A2)+(1))+(0)))=("store"),(INDEX(B1:XFD1,((A2)+(1))+(1)))=("H"),"false"),B2,H163),H163))</f>
        <v>#VALUE!</v>
      </c>
      <c r="I163" t="e">
        <f ca="1">IF((A1)=(2),"",IF((160)=(I3),IF(IF((INDEX(B1:XFD1,((A2)+(1))+(0)))=("store"),(INDEX(B1:XFD1,((A2)+(1))+(1)))=("I"),"false"),B2,I163),I163))</f>
        <v>#VALUE!</v>
      </c>
      <c r="J163" t="e">
        <f ca="1">IF((A1)=(2),"",IF((160)=(J3),IF(IF((INDEX(B1:XFD1,((A2)+(1))+(0)))=("store"),(INDEX(B1:XFD1,((A2)+(1))+(1)))=("J"),"false"),B2,J163),J163))</f>
        <v>#VALUE!</v>
      </c>
      <c r="K163" t="e">
        <f ca="1">IF((A1)=(2),"",IF((160)=(K3),IF(IF((INDEX(B1:XFD1,((A2)+(1))+(0)))=("store"),(INDEX(B1:XFD1,((A2)+(1))+(1)))=("K"),"false"),B2,K163),K163))</f>
        <v>#VALUE!</v>
      </c>
      <c r="L163" t="e">
        <f ca="1">IF((A1)=(2),"",IF((160)=(L3),IF(IF((INDEX(B1:XFD1,((A2)+(1))+(0)))=("store"),(INDEX(B1:XFD1,((A2)+(1))+(1)))=("L"),"false"),B2,L163),L163))</f>
        <v>#VALUE!</v>
      </c>
      <c r="M163" t="e">
        <f ca="1">IF((A1)=(2),"",IF((160)=(M3),IF(IF((INDEX(B1:XFD1,((A2)+(1))+(0)))=("store"),(INDEX(B1:XFD1,((A2)+(1))+(1)))=("M"),"false"),B2,M163),M163))</f>
        <v>#VALUE!</v>
      </c>
      <c r="N163" t="e">
        <f ca="1">IF((A1)=(2),"",IF((160)=(N3),IF(IF((INDEX(B1:XFD1,((A2)+(1))+(0)))=("store"),(INDEX(B1:XFD1,((A2)+(1))+(1)))=("N"),"false"),B2,N163),N163))</f>
        <v>#VALUE!</v>
      </c>
      <c r="O163" t="e">
        <f ca="1">IF((A1)=(2),"",IF((160)=(O3),IF(IF((INDEX(B1:XFD1,((A2)+(1))+(0)))=("store"),(INDEX(B1:XFD1,((A2)+(1))+(1)))=("O"),"false"),B2,O163),O163))</f>
        <v>#VALUE!</v>
      </c>
      <c r="P163" t="e">
        <f ca="1">IF((A1)=(2),"",IF((160)=(P3),IF(IF((INDEX(B1:XFD1,((A2)+(1))+(0)))=("store"),(INDEX(B1:XFD1,((A2)+(1))+(1)))=("P"),"false"),B2,P163),P163))</f>
        <v>#VALUE!</v>
      </c>
      <c r="Q163" t="e">
        <f ca="1">IF((A1)=(2),"",IF((160)=(Q3),IF(IF((INDEX(B1:XFD1,((A2)+(1))+(0)))=("store"),(INDEX(B1:XFD1,((A2)+(1))+(1)))=("Q"),"false"),B2,Q163),Q163))</f>
        <v>#VALUE!</v>
      </c>
      <c r="R163" t="e">
        <f ca="1">IF((A1)=(2),"",IF((160)=(R3),IF(IF((INDEX(B1:XFD1,((A2)+(1))+(0)))=("store"),(INDEX(B1:XFD1,((A2)+(1))+(1)))=("R"),"false"),B2,R163),R163))</f>
        <v>#VALUE!</v>
      </c>
      <c r="S163" t="e">
        <f ca="1">IF((A1)=(2),"",IF((160)=(S3),IF(IF((INDEX(B1:XFD1,((A2)+(1))+(0)))=("store"),(INDEX(B1:XFD1,((A2)+(1))+(1)))=("S"),"false"),B2,S163),S163))</f>
        <v>#VALUE!</v>
      </c>
      <c r="T163" t="e">
        <f ca="1">IF((A1)=(2),"",IF((160)=(T3),IF(IF((INDEX(B1:XFD1,((A2)+(1))+(0)))=("store"),(INDEX(B1:XFD1,((A2)+(1))+(1)))=("T"),"false"),B2,T163),T163))</f>
        <v>#VALUE!</v>
      </c>
      <c r="U163" t="e">
        <f ca="1">IF((A1)=(2),"",IF((160)=(U3),IF(IF((INDEX(B1:XFD1,((A2)+(1))+(0)))=("store"),(INDEX(B1:XFD1,((A2)+(1))+(1)))=("U"),"false"),B2,U163),U163))</f>
        <v>#VALUE!</v>
      </c>
      <c r="V163" t="e">
        <f ca="1">IF((A1)=(2),"",IF((160)=(V3),IF(IF((INDEX(B1:XFD1,((A2)+(1))+(0)))=("store"),(INDEX(B1:XFD1,((A2)+(1))+(1)))=("V"),"false"),B2,V163),V163))</f>
        <v>#VALUE!</v>
      </c>
      <c r="W163" t="e">
        <f ca="1">IF((A1)=(2),"",IF((160)=(W3),IF(IF((INDEX(B1:XFD1,((A2)+(1))+(0)))=("store"),(INDEX(B1:XFD1,((A2)+(1))+(1)))=("W"),"false"),B2,W163),W163))</f>
        <v>#VALUE!</v>
      </c>
      <c r="X163" t="e">
        <f ca="1">IF((A1)=(2),"",IF((160)=(X3),IF(IF((INDEX(B1:XFD1,((A2)+(1))+(0)))=("store"),(INDEX(B1:XFD1,((A2)+(1))+(1)))=("X"),"false"),B2,X163),X163))</f>
        <v>#VALUE!</v>
      </c>
      <c r="Y163" t="e">
        <f ca="1">IF((A1)=(2),"",IF((160)=(Y3),IF(IF((INDEX(B1:XFD1,((A2)+(1))+(0)))=("store"),(INDEX(B1:XFD1,((A2)+(1))+(1)))=("Y"),"false"),B2,Y163),Y163))</f>
        <v>#VALUE!</v>
      </c>
      <c r="Z163" t="e">
        <f ca="1">IF((A1)=(2),"",IF((160)=(Z3),IF(IF((INDEX(B1:XFD1,((A2)+(1))+(0)))=("store"),(INDEX(B1:XFD1,((A2)+(1))+(1)))=("Z"),"false"),B2,Z163),Z163))</f>
        <v>#VALUE!</v>
      </c>
      <c r="AA163" t="e">
        <f ca="1">IF((A1)=(2),"",IF((160)=(AA3),IF(IF((INDEX(B1:XFD1,((A2)+(1))+(0)))=("store"),(INDEX(B1:XFD1,((A2)+(1))+(1)))=("AA"),"false"),B2,AA163),AA163))</f>
        <v>#VALUE!</v>
      </c>
      <c r="AB163" t="e">
        <f ca="1">IF((A1)=(2),"",IF((160)=(AB3),IF(IF((INDEX(B1:XFD1,((A2)+(1))+(0)))=("store"),(INDEX(B1:XFD1,((A2)+(1))+(1)))=("AB"),"false"),B2,AB163),AB163))</f>
        <v>#VALUE!</v>
      </c>
      <c r="AC163" t="e">
        <f ca="1">IF((A1)=(2),"",IF((160)=(AC3),IF(IF((INDEX(B1:XFD1,((A2)+(1))+(0)))=("store"),(INDEX(B1:XFD1,((A2)+(1))+(1)))=("AC"),"false"),B2,AC163),AC163))</f>
        <v>#VALUE!</v>
      </c>
      <c r="AD163" t="e">
        <f ca="1">IF((A1)=(2),"",IF((160)=(AD3),IF(IF((INDEX(B1:XFD1,((A2)+(1))+(0)))=("store"),(INDEX(B1:XFD1,((A2)+(1))+(1)))=("AD"),"false"),B2,AD163),AD163))</f>
        <v>#VALUE!</v>
      </c>
    </row>
    <row r="164" spans="1:30" x14ac:dyDescent="0.25">
      <c r="A164" t="e">
        <f ca="1">IF((A1)=(2),"",IF((161)=(A3),IF(("call")=(INDEX(B1:XFD1,((A2)+(1))+(0))),(B2)*(2),IF(("goto")=(INDEX(B1:XFD1,((A2)+(1))+(0))),(INDEX(B1:XFD1,((A2)+(1))+(1)))*(2),IF(("gotoiftrue")=(INDEX(B1:XFD1,((A2)+(1))+(0))),IF(B2,(INDEX(B1:XFD1,((A2)+(1))+(1)))*(2),(A164)+(2)),(A164)+(2)))),A164))</f>
        <v>#VALUE!</v>
      </c>
      <c r="B164" t="e">
        <f ca="1">IF((A1)=(2),"",IF((161)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164)+(1)),IF(("add")=(INDEX(B1:XFD1,((A2)+(1))+(0))),(INDEX(B4:B404,(B3)+(1)))+(B164),IF(("equals")=(INDEX(B1:XFD1,((A2)+(1))+(0))),(INDEX(B4:B404,(B3)+(1)))=(B164),IF(("leq")=(INDEX(B1:XFD1,((A2)+(1))+(0))),(INDEX(B4:B404,(B3)+(1)))&lt;=(B164),IF(("greater")=(INDEX(B1:XFD1,((A2)+(1))+(0))),(INDEX(B4:B404,(B3)+(1)))&gt;(B164),IF(("mod")=(INDEX(B1:XFD1,((A2)+(1))+(0))),MOD(INDEX(B4:B404,(B3)+(1)),B164),B164))))))))),B164))</f>
        <v>#VALUE!</v>
      </c>
      <c r="C164" t="e">
        <f ca="1">IF((A1)=(2),1,IF(AND((INDEX(B1:XFD1,((A2)+(1))+(0)))=("writeheap"),(INDEX(B4:B404,(B3)+(1)))=(160)),INDEX(B4:B404,(B3)+(2)),IF((A1)=(2),"",IF((161)=(C3),C164,C164))))</f>
        <v>#VALUE!</v>
      </c>
      <c r="E164" t="e">
        <f ca="1">IF((A1)=(2),"",IF((161)=(E3),IF(("outputline")=(INDEX(B1:XFD1,((A2)+(1))+(0))),B2,E164),E164))</f>
        <v>#VALUE!</v>
      </c>
      <c r="F164" t="e">
        <f ca="1">IF((A1)=(2),"",IF((161)=(F3),IF(IF((INDEX(B1:XFD1,((A2)+(1))+(0)))=("store"),(INDEX(B1:XFD1,((A2)+(1))+(1)))=("F"),"false"),B2,F164),F164))</f>
        <v>#VALUE!</v>
      </c>
      <c r="G164" t="e">
        <f ca="1">IF((A1)=(2),"",IF((161)=(G3),IF(IF((INDEX(B1:XFD1,((A2)+(1))+(0)))=("store"),(INDEX(B1:XFD1,((A2)+(1))+(1)))=("G"),"false"),B2,G164),G164))</f>
        <v>#VALUE!</v>
      </c>
      <c r="H164" t="e">
        <f ca="1">IF((A1)=(2),"",IF((161)=(H3),IF(IF((INDEX(B1:XFD1,((A2)+(1))+(0)))=("store"),(INDEX(B1:XFD1,((A2)+(1))+(1)))=("H"),"false"),B2,H164),H164))</f>
        <v>#VALUE!</v>
      </c>
      <c r="I164" t="e">
        <f ca="1">IF((A1)=(2),"",IF((161)=(I3),IF(IF((INDEX(B1:XFD1,((A2)+(1))+(0)))=("store"),(INDEX(B1:XFD1,((A2)+(1))+(1)))=("I"),"false"),B2,I164),I164))</f>
        <v>#VALUE!</v>
      </c>
      <c r="J164" t="e">
        <f ca="1">IF((A1)=(2),"",IF((161)=(J3),IF(IF((INDEX(B1:XFD1,((A2)+(1))+(0)))=("store"),(INDEX(B1:XFD1,((A2)+(1))+(1)))=("J"),"false"),B2,J164),J164))</f>
        <v>#VALUE!</v>
      </c>
      <c r="K164" t="e">
        <f ca="1">IF((A1)=(2),"",IF((161)=(K3),IF(IF((INDEX(B1:XFD1,((A2)+(1))+(0)))=("store"),(INDEX(B1:XFD1,((A2)+(1))+(1)))=("K"),"false"),B2,K164),K164))</f>
        <v>#VALUE!</v>
      </c>
      <c r="L164" t="e">
        <f ca="1">IF((A1)=(2),"",IF((161)=(L3),IF(IF((INDEX(B1:XFD1,((A2)+(1))+(0)))=("store"),(INDEX(B1:XFD1,((A2)+(1))+(1)))=("L"),"false"),B2,L164),L164))</f>
        <v>#VALUE!</v>
      </c>
      <c r="M164" t="e">
        <f ca="1">IF((A1)=(2),"",IF((161)=(M3),IF(IF((INDEX(B1:XFD1,((A2)+(1))+(0)))=("store"),(INDEX(B1:XFD1,((A2)+(1))+(1)))=("M"),"false"),B2,M164),M164))</f>
        <v>#VALUE!</v>
      </c>
      <c r="N164" t="e">
        <f ca="1">IF((A1)=(2),"",IF((161)=(N3),IF(IF((INDEX(B1:XFD1,((A2)+(1))+(0)))=("store"),(INDEX(B1:XFD1,((A2)+(1))+(1)))=("N"),"false"),B2,N164),N164))</f>
        <v>#VALUE!</v>
      </c>
      <c r="O164" t="e">
        <f ca="1">IF((A1)=(2),"",IF((161)=(O3),IF(IF((INDEX(B1:XFD1,((A2)+(1))+(0)))=("store"),(INDEX(B1:XFD1,((A2)+(1))+(1)))=("O"),"false"),B2,O164),O164))</f>
        <v>#VALUE!</v>
      </c>
      <c r="P164" t="e">
        <f ca="1">IF((A1)=(2),"",IF((161)=(P3),IF(IF((INDEX(B1:XFD1,((A2)+(1))+(0)))=("store"),(INDEX(B1:XFD1,((A2)+(1))+(1)))=("P"),"false"),B2,P164),P164))</f>
        <v>#VALUE!</v>
      </c>
      <c r="Q164" t="e">
        <f ca="1">IF((A1)=(2),"",IF((161)=(Q3),IF(IF((INDEX(B1:XFD1,((A2)+(1))+(0)))=("store"),(INDEX(B1:XFD1,((A2)+(1))+(1)))=("Q"),"false"),B2,Q164),Q164))</f>
        <v>#VALUE!</v>
      </c>
      <c r="R164" t="e">
        <f ca="1">IF((A1)=(2),"",IF((161)=(R3),IF(IF((INDEX(B1:XFD1,((A2)+(1))+(0)))=("store"),(INDEX(B1:XFD1,((A2)+(1))+(1)))=("R"),"false"),B2,R164),R164))</f>
        <v>#VALUE!</v>
      </c>
      <c r="S164" t="e">
        <f ca="1">IF((A1)=(2),"",IF((161)=(S3),IF(IF((INDEX(B1:XFD1,((A2)+(1))+(0)))=("store"),(INDEX(B1:XFD1,((A2)+(1))+(1)))=("S"),"false"),B2,S164),S164))</f>
        <v>#VALUE!</v>
      </c>
      <c r="T164" t="e">
        <f ca="1">IF((A1)=(2),"",IF((161)=(T3),IF(IF((INDEX(B1:XFD1,((A2)+(1))+(0)))=("store"),(INDEX(B1:XFD1,((A2)+(1))+(1)))=("T"),"false"),B2,T164),T164))</f>
        <v>#VALUE!</v>
      </c>
      <c r="U164" t="e">
        <f ca="1">IF((A1)=(2),"",IF((161)=(U3),IF(IF((INDEX(B1:XFD1,((A2)+(1))+(0)))=("store"),(INDEX(B1:XFD1,((A2)+(1))+(1)))=("U"),"false"),B2,U164),U164))</f>
        <v>#VALUE!</v>
      </c>
      <c r="V164" t="e">
        <f ca="1">IF((A1)=(2),"",IF((161)=(V3),IF(IF((INDEX(B1:XFD1,((A2)+(1))+(0)))=("store"),(INDEX(B1:XFD1,((A2)+(1))+(1)))=("V"),"false"),B2,V164),V164))</f>
        <v>#VALUE!</v>
      </c>
      <c r="W164" t="e">
        <f ca="1">IF((A1)=(2),"",IF((161)=(W3),IF(IF((INDEX(B1:XFD1,((A2)+(1))+(0)))=("store"),(INDEX(B1:XFD1,((A2)+(1))+(1)))=("W"),"false"),B2,W164),W164))</f>
        <v>#VALUE!</v>
      </c>
      <c r="X164" t="e">
        <f ca="1">IF((A1)=(2),"",IF((161)=(X3),IF(IF((INDEX(B1:XFD1,((A2)+(1))+(0)))=("store"),(INDEX(B1:XFD1,((A2)+(1))+(1)))=("X"),"false"),B2,X164),X164))</f>
        <v>#VALUE!</v>
      </c>
      <c r="Y164" t="e">
        <f ca="1">IF((A1)=(2),"",IF((161)=(Y3),IF(IF((INDEX(B1:XFD1,((A2)+(1))+(0)))=("store"),(INDEX(B1:XFD1,((A2)+(1))+(1)))=("Y"),"false"),B2,Y164),Y164))</f>
        <v>#VALUE!</v>
      </c>
      <c r="Z164" t="e">
        <f ca="1">IF((A1)=(2),"",IF((161)=(Z3),IF(IF((INDEX(B1:XFD1,((A2)+(1))+(0)))=("store"),(INDEX(B1:XFD1,((A2)+(1))+(1)))=("Z"),"false"),B2,Z164),Z164))</f>
        <v>#VALUE!</v>
      </c>
      <c r="AA164" t="e">
        <f ca="1">IF((A1)=(2),"",IF((161)=(AA3),IF(IF((INDEX(B1:XFD1,((A2)+(1))+(0)))=("store"),(INDEX(B1:XFD1,((A2)+(1))+(1)))=("AA"),"false"),B2,AA164),AA164))</f>
        <v>#VALUE!</v>
      </c>
      <c r="AB164" t="e">
        <f ca="1">IF((A1)=(2),"",IF((161)=(AB3),IF(IF((INDEX(B1:XFD1,((A2)+(1))+(0)))=("store"),(INDEX(B1:XFD1,((A2)+(1))+(1)))=("AB"),"false"),B2,AB164),AB164))</f>
        <v>#VALUE!</v>
      </c>
      <c r="AC164" t="e">
        <f ca="1">IF((A1)=(2),"",IF((161)=(AC3),IF(IF((INDEX(B1:XFD1,((A2)+(1))+(0)))=("store"),(INDEX(B1:XFD1,((A2)+(1))+(1)))=("AC"),"false"),B2,AC164),AC164))</f>
        <v>#VALUE!</v>
      </c>
      <c r="AD164" t="e">
        <f ca="1">IF((A1)=(2),"",IF((161)=(AD3),IF(IF((INDEX(B1:XFD1,((A2)+(1))+(0)))=("store"),(INDEX(B1:XFD1,((A2)+(1))+(1)))=("AD"),"false"),B2,AD164),AD164))</f>
        <v>#VALUE!</v>
      </c>
    </row>
    <row r="165" spans="1:30" x14ac:dyDescent="0.25">
      <c r="A165" t="e">
        <f ca="1">IF((A1)=(2),"",IF((162)=(A3),IF(("call")=(INDEX(B1:XFD1,((A2)+(1))+(0))),(B2)*(2),IF(("goto")=(INDEX(B1:XFD1,((A2)+(1))+(0))),(INDEX(B1:XFD1,((A2)+(1))+(1)))*(2),IF(("gotoiftrue")=(INDEX(B1:XFD1,((A2)+(1))+(0))),IF(B2,(INDEX(B1:XFD1,((A2)+(1))+(1)))*(2),(A165)+(2)),(A165)+(2)))),A165))</f>
        <v>#VALUE!</v>
      </c>
      <c r="B165" t="e">
        <f ca="1">IF((A1)=(2),"",IF((162)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165)+(1)),IF(("add")=(INDEX(B1:XFD1,((A2)+(1))+(0))),(INDEX(B4:B404,(B3)+(1)))+(B165),IF(("equals")=(INDEX(B1:XFD1,((A2)+(1))+(0))),(INDEX(B4:B404,(B3)+(1)))=(B165),IF(("leq")=(INDEX(B1:XFD1,((A2)+(1))+(0))),(INDEX(B4:B404,(B3)+(1)))&lt;=(B165),IF(("greater")=(INDEX(B1:XFD1,((A2)+(1))+(0))),(INDEX(B4:B404,(B3)+(1)))&gt;(B165),IF(("mod")=(INDEX(B1:XFD1,((A2)+(1))+(0))),MOD(INDEX(B4:B404,(B3)+(1)),B165),B165))))))))),B165))</f>
        <v>#VALUE!</v>
      </c>
      <c r="C165" t="e">
        <f ca="1">IF((A1)=(2),1,IF(AND((INDEX(B1:XFD1,((A2)+(1))+(0)))=("writeheap"),(INDEX(B4:B404,(B3)+(1)))=(161)),INDEX(B4:B404,(B3)+(2)),IF((A1)=(2),"",IF((162)=(C3),C165,C165))))</f>
        <v>#VALUE!</v>
      </c>
      <c r="E165" t="e">
        <f ca="1">IF((A1)=(2),"",IF((162)=(E3),IF(("outputline")=(INDEX(B1:XFD1,((A2)+(1))+(0))),B2,E165),E165))</f>
        <v>#VALUE!</v>
      </c>
      <c r="F165" t="e">
        <f ca="1">IF((A1)=(2),"",IF((162)=(F3),IF(IF((INDEX(B1:XFD1,((A2)+(1))+(0)))=("store"),(INDEX(B1:XFD1,((A2)+(1))+(1)))=("F"),"false"),B2,F165),F165))</f>
        <v>#VALUE!</v>
      </c>
      <c r="G165" t="e">
        <f ca="1">IF((A1)=(2),"",IF((162)=(G3),IF(IF((INDEX(B1:XFD1,((A2)+(1))+(0)))=("store"),(INDEX(B1:XFD1,((A2)+(1))+(1)))=("G"),"false"),B2,G165),G165))</f>
        <v>#VALUE!</v>
      </c>
      <c r="H165" t="e">
        <f ca="1">IF((A1)=(2),"",IF((162)=(H3),IF(IF((INDEX(B1:XFD1,((A2)+(1))+(0)))=("store"),(INDEX(B1:XFD1,((A2)+(1))+(1)))=("H"),"false"),B2,H165),H165))</f>
        <v>#VALUE!</v>
      </c>
      <c r="I165" t="e">
        <f ca="1">IF((A1)=(2),"",IF((162)=(I3),IF(IF((INDEX(B1:XFD1,((A2)+(1))+(0)))=("store"),(INDEX(B1:XFD1,((A2)+(1))+(1)))=("I"),"false"),B2,I165),I165))</f>
        <v>#VALUE!</v>
      </c>
      <c r="J165" t="e">
        <f ca="1">IF((A1)=(2),"",IF((162)=(J3),IF(IF((INDEX(B1:XFD1,((A2)+(1))+(0)))=("store"),(INDEX(B1:XFD1,((A2)+(1))+(1)))=("J"),"false"),B2,J165),J165))</f>
        <v>#VALUE!</v>
      </c>
      <c r="K165" t="e">
        <f ca="1">IF((A1)=(2),"",IF((162)=(K3),IF(IF((INDEX(B1:XFD1,((A2)+(1))+(0)))=("store"),(INDEX(B1:XFD1,((A2)+(1))+(1)))=("K"),"false"),B2,K165),K165))</f>
        <v>#VALUE!</v>
      </c>
      <c r="L165" t="e">
        <f ca="1">IF((A1)=(2),"",IF((162)=(L3),IF(IF((INDEX(B1:XFD1,((A2)+(1))+(0)))=("store"),(INDEX(B1:XFD1,((A2)+(1))+(1)))=("L"),"false"),B2,L165),L165))</f>
        <v>#VALUE!</v>
      </c>
      <c r="M165" t="e">
        <f ca="1">IF((A1)=(2),"",IF((162)=(M3),IF(IF((INDEX(B1:XFD1,((A2)+(1))+(0)))=("store"),(INDEX(B1:XFD1,((A2)+(1))+(1)))=("M"),"false"),B2,M165),M165))</f>
        <v>#VALUE!</v>
      </c>
      <c r="N165" t="e">
        <f ca="1">IF((A1)=(2),"",IF((162)=(N3),IF(IF((INDEX(B1:XFD1,((A2)+(1))+(0)))=("store"),(INDEX(B1:XFD1,((A2)+(1))+(1)))=("N"),"false"),B2,N165),N165))</f>
        <v>#VALUE!</v>
      </c>
      <c r="O165" t="e">
        <f ca="1">IF((A1)=(2),"",IF((162)=(O3),IF(IF((INDEX(B1:XFD1,((A2)+(1))+(0)))=("store"),(INDEX(B1:XFD1,((A2)+(1))+(1)))=("O"),"false"),B2,O165),O165))</f>
        <v>#VALUE!</v>
      </c>
      <c r="P165" t="e">
        <f ca="1">IF((A1)=(2),"",IF((162)=(P3),IF(IF((INDEX(B1:XFD1,((A2)+(1))+(0)))=("store"),(INDEX(B1:XFD1,((A2)+(1))+(1)))=("P"),"false"),B2,P165),P165))</f>
        <v>#VALUE!</v>
      </c>
      <c r="Q165" t="e">
        <f ca="1">IF((A1)=(2),"",IF((162)=(Q3),IF(IF((INDEX(B1:XFD1,((A2)+(1))+(0)))=("store"),(INDEX(B1:XFD1,((A2)+(1))+(1)))=("Q"),"false"),B2,Q165),Q165))</f>
        <v>#VALUE!</v>
      </c>
      <c r="R165" t="e">
        <f ca="1">IF((A1)=(2),"",IF((162)=(R3),IF(IF((INDEX(B1:XFD1,((A2)+(1))+(0)))=("store"),(INDEX(B1:XFD1,((A2)+(1))+(1)))=("R"),"false"),B2,R165),R165))</f>
        <v>#VALUE!</v>
      </c>
      <c r="S165" t="e">
        <f ca="1">IF((A1)=(2),"",IF((162)=(S3),IF(IF((INDEX(B1:XFD1,((A2)+(1))+(0)))=("store"),(INDEX(B1:XFD1,((A2)+(1))+(1)))=("S"),"false"),B2,S165),S165))</f>
        <v>#VALUE!</v>
      </c>
      <c r="T165" t="e">
        <f ca="1">IF((A1)=(2),"",IF((162)=(T3),IF(IF((INDEX(B1:XFD1,((A2)+(1))+(0)))=("store"),(INDEX(B1:XFD1,((A2)+(1))+(1)))=("T"),"false"),B2,T165),T165))</f>
        <v>#VALUE!</v>
      </c>
      <c r="U165" t="e">
        <f ca="1">IF((A1)=(2),"",IF((162)=(U3),IF(IF((INDEX(B1:XFD1,((A2)+(1))+(0)))=("store"),(INDEX(B1:XFD1,((A2)+(1))+(1)))=("U"),"false"),B2,U165),U165))</f>
        <v>#VALUE!</v>
      </c>
      <c r="V165" t="e">
        <f ca="1">IF((A1)=(2),"",IF((162)=(V3),IF(IF((INDEX(B1:XFD1,((A2)+(1))+(0)))=("store"),(INDEX(B1:XFD1,((A2)+(1))+(1)))=("V"),"false"),B2,V165),V165))</f>
        <v>#VALUE!</v>
      </c>
      <c r="W165" t="e">
        <f ca="1">IF((A1)=(2),"",IF((162)=(W3),IF(IF((INDEX(B1:XFD1,((A2)+(1))+(0)))=("store"),(INDEX(B1:XFD1,((A2)+(1))+(1)))=("W"),"false"),B2,W165),W165))</f>
        <v>#VALUE!</v>
      </c>
      <c r="X165" t="e">
        <f ca="1">IF((A1)=(2),"",IF((162)=(X3),IF(IF((INDEX(B1:XFD1,((A2)+(1))+(0)))=("store"),(INDEX(B1:XFD1,((A2)+(1))+(1)))=("X"),"false"),B2,X165),X165))</f>
        <v>#VALUE!</v>
      </c>
      <c r="Y165" t="e">
        <f ca="1">IF((A1)=(2),"",IF((162)=(Y3),IF(IF((INDEX(B1:XFD1,((A2)+(1))+(0)))=("store"),(INDEX(B1:XFD1,((A2)+(1))+(1)))=("Y"),"false"),B2,Y165),Y165))</f>
        <v>#VALUE!</v>
      </c>
      <c r="Z165" t="e">
        <f ca="1">IF((A1)=(2),"",IF((162)=(Z3),IF(IF((INDEX(B1:XFD1,((A2)+(1))+(0)))=("store"),(INDEX(B1:XFD1,((A2)+(1))+(1)))=("Z"),"false"),B2,Z165),Z165))</f>
        <v>#VALUE!</v>
      </c>
      <c r="AA165" t="e">
        <f ca="1">IF((A1)=(2),"",IF((162)=(AA3),IF(IF((INDEX(B1:XFD1,((A2)+(1))+(0)))=("store"),(INDEX(B1:XFD1,((A2)+(1))+(1)))=("AA"),"false"),B2,AA165),AA165))</f>
        <v>#VALUE!</v>
      </c>
      <c r="AB165" t="e">
        <f ca="1">IF((A1)=(2),"",IF((162)=(AB3),IF(IF((INDEX(B1:XFD1,((A2)+(1))+(0)))=("store"),(INDEX(B1:XFD1,((A2)+(1))+(1)))=("AB"),"false"),B2,AB165),AB165))</f>
        <v>#VALUE!</v>
      </c>
      <c r="AC165" t="e">
        <f ca="1">IF((A1)=(2),"",IF((162)=(AC3),IF(IF((INDEX(B1:XFD1,((A2)+(1))+(0)))=("store"),(INDEX(B1:XFD1,((A2)+(1))+(1)))=("AC"),"false"),B2,AC165),AC165))</f>
        <v>#VALUE!</v>
      </c>
      <c r="AD165" t="e">
        <f ca="1">IF((A1)=(2),"",IF((162)=(AD3),IF(IF((INDEX(B1:XFD1,((A2)+(1))+(0)))=("store"),(INDEX(B1:XFD1,((A2)+(1))+(1)))=("AD"),"false"),B2,AD165),AD165))</f>
        <v>#VALUE!</v>
      </c>
    </row>
    <row r="166" spans="1:30" x14ac:dyDescent="0.25">
      <c r="A166" t="e">
        <f ca="1">IF((A1)=(2),"",IF((163)=(A3),IF(("call")=(INDEX(B1:XFD1,((A2)+(1))+(0))),(B2)*(2),IF(("goto")=(INDEX(B1:XFD1,((A2)+(1))+(0))),(INDEX(B1:XFD1,((A2)+(1))+(1)))*(2),IF(("gotoiftrue")=(INDEX(B1:XFD1,((A2)+(1))+(0))),IF(B2,(INDEX(B1:XFD1,((A2)+(1))+(1)))*(2),(A166)+(2)),(A166)+(2)))),A166))</f>
        <v>#VALUE!</v>
      </c>
      <c r="B166" t="e">
        <f ca="1">IF((A1)=(2),"",IF((163)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166)+(1)),IF(("add")=(INDEX(B1:XFD1,((A2)+(1))+(0))),(INDEX(B4:B404,(B3)+(1)))+(B166),IF(("equals")=(INDEX(B1:XFD1,((A2)+(1))+(0))),(INDEX(B4:B404,(B3)+(1)))=(B166),IF(("leq")=(INDEX(B1:XFD1,((A2)+(1))+(0))),(INDEX(B4:B404,(B3)+(1)))&lt;=(B166),IF(("greater")=(INDEX(B1:XFD1,((A2)+(1))+(0))),(INDEX(B4:B404,(B3)+(1)))&gt;(B166),IF(("mod")=(INDEX(B1:XFD1,((A2)+(1))+(0))),MOD(INDEX(B4:B404,(B3)+(1)),B166),B166))))))))),B166))</f>
        <v>#VALUE!</v>
      </c>
      <c r="C166" t="e">
        <f ca="1">IF((A1)=(2),1,IF(AND((INDEX(B1:XFD1,((A2)+(1))+(0)))=("writeheap"),(INDEX(B4:B404,(B3)+(1)))=(162)),INDEX(B4:B404,(B3)+(2)),IF((A1)=(2),"",IF((163)=(C3),C166,C166))))</f>
        <v>#VALUE!</v>
      </c>
      <c r="E166" t="e">
        <f ca="1">IF((A1)=(2),"",IF((163)=(E3),IF(("outputline")=(INDEX(B1:XFD1,((A2)+(1))+(0))),B2,E166),E166))</f>
        <v>#VALUE!</v>
      </c>
      <c r="F166" t="e">
        <f ca="1">IF((A1)=(2),"",IF((163)=(F3),IF(IF((INDEX(B1:XFD1,((A2)+(1))+(0)))=("store"),(INDEX(B1:XFD1,((A2)+(1))+(1)))=("F"),"false"),B2,F166),F166))</f>
        <v>#VALUE!</v>
      </c>
      <c r="G166" t="e">
        <f ca="1">IF((A1)=(2),"",IF((163)=(G3),IF(IF((INDEX(B1:XFD1,((A2)+(1))+(0)))=("store"),(INDEX(B1:XFD1,((A2)+(1))+(1)))=("G"),"false"),B2,G166),G166))</f>
        <v>#VALUE!</v>
      </c>
      <c r="H166" t="e">
        <f ca="1">IF((A1)=(2),"",IF((163)=(H3),IF(IF((INDEX(B1:XFD1,((A2)+(1))+(0)))=("store"),(INDEX(B1:XFD1,((A2)+(1))+(1)))=("H"),"false"),B2,H166),H166))</f>
        <v>#VALUE!</v>
      </c>
      <c r="I166" t="e">
        <f ca="1">IF((A1)=(2),"",IF((163)=(I3),IF(IF((INDEX(B1:XFD1,((A2)+(1))+(0)))=("store"),(INDEX(B1:XFD1,((A2)+(1))+(1)))=("I"),"false"),B2,I166),I166))</f>
        <v>#VALUE!</v>
      </c>
      <c r="J166" t="e">
        <f ca="1">IF((A1)=(2),"",IF((163)=(J3),IF(IF((INDEX(B1:XFD1,((A2)+(1))+(0)))=("store"),(INDEX(B1:XFD1,((A2)+(1))+(1)))=("J"),"false"),B2,J166),J166))</f>
        <v>#VALUE!</v>
      </c>
      <c r="K166" t="e">
        <f ca="1">IF((A1)=(2),"",IF((163)=(K3),IF(IF((INDEX(B1:XFD1,((A2)+(1))+(0)))=("store"),(INDEX(B1:XFD1,((A2)+(1))+(1)))=("K"),"false"),B2,K166),K166))</f>
        <v>#VALUE!</v>
      </c>
      <c r="L166" t="e">
        <f ca="1">IF((A1)=(2),"",IF((163)=(L3),IF(IF((INDEX(B1:XFD1,((A2)+(1))+(0)))=("store"),(INDEX(B1:XFD1,((A2)+(1))+(1)))=("L"),"false"),B2,L166),L166))</f>
        <v>#VALUE!</v>
      </c>
      <c r="M166" t="e">
        <f ca="1">IF((A1)=(2),"",IF((163)=(M3),IF(IF((INDEX(B1:XFD1,((A2)+(1))+(0)))=("store"),(INDEX(B1:XFD1,((A2)+(1))+(1)))=("M"),"false"),B2,M166),M166))</f>
        <v>#VALUE!</v>
      </c>
      <c r="N166" t="e">
        <f ca="1">IF((A1)=(2),"",IF((163)=(N3),IF(IF((INDEX(B1:XFD1,((A2)+(1))+(0)))=("store"),(INDEX(B1:XFD1,((A2)+(1))+(1)))=("N"),"false"),B2,N166),N166))</f>
        <v>#VALUE!</v>
      </c>
      <c r="O166" t="e">
        <f ca="1">IF((A1)=(2),"",IF((163)=(O3),IF(IF((INDEX(B1:XFD1,((A2)+(1))+(0)))=("store"),(INDEX(B1:XFD1,((A2)+(1))+(1)))=("O"),"false"),B2,O166),O166))</f>
        <v>#VALUE!</v>
      </c>
      <c r="P166" t="e">
        <f ca="1">IF((A1)=(2),"",IF((163)=(P3),IF(IF((INDEX(B1:XFD1,((A2)+(1))+(0)))=("store"),(INDEX(B1:XFD1,((A2)+(1))+(1)))=("P"),"false"),B2,P166),P166))</f>
        <v>#VALUE!</v>
      </c>
      <c r="Q166" t="e">
        <f ca="1">IF((A1)=(2),"",IF((163)=(Q3),IF(IF((INDEX(B1:XFD1,((A2)+(1))+(0)))=("store"),(INDEX(B1:XFD1,((A2)+(1))+(1)))=("Q"),"false"),B2,Q166),Q166))</f>
        <v>#VALUE!</v>
      </c>
      <c r="R166" t="e">
        <f ca="1">IF((A1)=(2),"",IF((163)=(R3),IF(IF((INDEX(B1:XFD1,((A2)+(1))+(0)))=("store"),(INDEX(B1:XFD1,((A2)+(1))+(1)))=("R"),"false"),B2,R166),R166))</f>
        <v>#VALUE!</v>
      </c>
      <c r="S166" t="e">
        <f ca="1">IF((A1)=(2),"",IF((163)=(S3),IF(IF((INDEX(B1:XFD1,((A2)+(1))+(0)))=("store"),(INDEX(B1:XFD1,((A2)+(1))+(1)))=("S"),"false"),B2,S166),S166))</f>
        <v>#VALUE!</v>
      </c>
      <c r="T166" t="e">
        <f ca="1">IF((A1)=(2),"",IF((163)=(T3),IF(IF((INDEX(B1:XFD1,((A2)+(1))+(0)))=("store"),(INDEX(B1:XFD1,((A2)+(1))+(1)))=("T"),"false"),B2,T166),T166))</f>
        <v>#VALUE!</v>
      </c>
      <c r="U166" t="e">
        <f ca="1">IF((A1)=(2),"",IF((163)=(U3),IF(IF((INDEX(B1:XFD1,((A2)+(1))+(0)))=("store"),(INDEX(B1:XFD1,((A2)+(1))+(1)))=("U"),"false"),B2,U166),U166))</f>
        <v>#VALUE!</v>
      </c>
      <c r="V166" t="e">
        <f ca="1">IF((A1)=(2),"",IF((163)=(V3),IF(IF((INDEX(B1:XFD1,((A2)+(1))+(0)))=("store"),(INDEX(B1:XFD1,((A2)+(1))+(1)))=("V"),"false"),B2,V166),V166))</f>
        <v>#VALUE!</v>
      </c>
      <c r="W166" t="e">
        <f ca="1">IF((A1)=(2),"",IF((163)=(W3),IF(IF((INDEX(B1:XFD1,((A2)+(1))+(0)))=("store"),(INDEX(B1:XFD1,((A2)+(1))+(1)))=("W"),"false"),B2,W166),W166))</f>
        <v>#VALUE!</v>
      </c>
      <c r="X166" t="e">
        <f ca="1">IF((A1)=(2),"",IF((163)=(X3),IF(IF((INDEX(B1:XFD1,((A2)+(1))+(0)))=("store"),(INDEX(B1:XFD1,((A2)+(1))+(1)))=("X"),"false"),B2,X166),X166))</f>
        <v>#VALUE!</v>
      </c>
      <c r="Y166" t="e">
        <f ca="1">IF((A1)=(2),"",IF((163)=(Y3),IF(IF((INDEX(B1:XFD1,((A2)+(1))+(0)))=("store"),(INDEX(B1:XFD1,((A2)+(1))+(1)))=("Y"),"false"),B2,Y166),Y166))</f>
        <v>#VALUE!</v>
      </c>
      <c r="Z166" t="e">
        <f ca="1">IF((A1)=(2),"",IF((163)=(Z3),IF(IF((INDEX(B1:XFD1,((A2)+(1))+(0)))=("store"),(INDEX(B1:XFD1,((A2)+(1))+(1)))=("Z"),"false"),B2,Z166),Z166))</f>
        <v>#VALUE!</v>
      </c>
      <c r="AA166" t="e">
        <f ca="1">IF((A1)=(2),"",IF((163)=(AA3),IF(IF((INDEX(B1:XFD1,((A2)+(1))+(0)))=("store"),(INDEX(B1:XFD1,((A2)+(1))+(1)))=("AA"),"false"),B2,AA166),AA166))</f>
        <v>#VALUE!</v>
      </c>
      <c r="AB166" t="e">
        <f ca="1">IF((A1)=(2),"",IF((163)=(AB3),IF(IF((INDEX(B1:XFD1,((A2)+(1))+(0)))=("store"),(INDEX(B1:XFD1,((A2)+(1))+(1)))=("AB"),"false"),B2,AB166),AB166))</f>
        <v>#VALUE!</v>
      </c>
      <c r="AC166" t="e">
        <f ca="1">IF((A1)=(2),"",IF((163)=(AC3),IF(IF((INDEX(B1:XFD1,((A2)+(1))+(0)))=("store"),(INDEX(B1:XFD1,((A2)+(1))+(1)))=("AC"),"false"),B2,AC166),AC166))</f>
        <v>#VALUE!</v>
      </c>
      <c r="AD166" t="e">
        <f ca="1">IF((A1)=(2),"",IF((163)=(AD3),IF(IF((INDEX(B1:XFD1,((A2)+(1))+(0)))=("store"),(INDEX(B1:XFD1,((A2)+(1))+(1)))=("AD"),"false"),B2,AD166),AD166))</f>
        <v>#VALUE!</v>
      </c>
    </row>
    <row r="167" spans="1:30" x14ac:dyDescent="0.25">
      <c r="A167" t="e">
        <f ca="1">IF((A1)=(2),"",IF((164)=(A3),IF(("call")=(INDEX(B1:XFD1,((A2)+(1))+(0))),(B2)*(2),IF(("goto")=(INDEX(B1:XFD1,((A2)+(1))+(0))),(INDEX(B1:XFD1,((A2)+(1))+(1)))*(2),IF(("gotoiftrue")=(INDEX(B1:XFD1,((A2)+(1))+(0))),IF(B2,(INDEX(B1:XFD1,((A2)+(1))+(1)))*(2),(A167)+(2)),(A167)+(2)))),A167))</f>
        <v>#VALUE!</v>
      </c>
      <c r="B167" t="e">
        <f ca="1">IF((A1)=(2),"",IF((164)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167)+(1)),IF(("add")=(INDEX(B1:XFD1,((A2)+(1))+(0))),(INDEX(B4:B404,(B3)+(1)))+(B167),IF(("equals")=(INDEX(B1:XFD1,((A2)+(1))+(0))),(INDEX(B4:B404,(B3)+(1)))=(B167),IF(("leq")=(INDEX(B1:XFD1,((A2)+(1))+(0))),(INDEX(B4:B404,(B3)+(1)))&lt;=(B167),IF(("greater")=(INDEX(B1:XFD1,((A2)+(1))+(0))),(INDEX(B4:B404,(B3)+(1)))&gt;(B167),IF(("mod")=(INDEX(B1:XFD1,((A2)+(1))+(0))),MOD(INDEX(B4:B404,(B3)+(1)),B167),B167))))))))),B167))</f>
        <v>#VALUE!</v>
      </c>
      <c r="C167" t="e">
        <f ca="1">IF((A1)=(2),1,IF(AND((INDEX(B1:XFD1,((A2)+(1))+(0)))=("writeheap"),(INDEX(B4:B404,(B3)+(1)))=(163)),INDEX(B4:B404,(B3)+(2)),IF((A1)=(2),"",IF((164)=(C3),C167,C167))))</f>
        <v>#VALUE!</v>
      </c>
      <c r="E167" t="e">
        <f ca="1">IF((A1)=(2),"",IF((164)=(E3),IF(("outputline")=(INDEX(B1:XFD1,((A2)+(1))+(0))),B2,E167),E167))</f>
        <v>#VALUE!</v>
      </c>
      <c r="F167" t="e">
        <f ca="1">IF((A1)=(2),"",IF((164)=(F3),IF(IF((INDEX(B1:XFD1,((A2)+(1))+(0)))=("store"),(INDEX(B1:XFD1,((A2)+(1))+(1)))=("F"),"false"),B2,F167),F167))</f>
        <v>#VALUE!</v>
      </c>
      <c r="G167" t="e">
        <f ca="1">IF((A1)=(2),"",IF((164)=(G3),IF(IF((INDEX(B1:XFD1,((A2)+(1))+(0)))=("store"),(INDEX(B1:XFD1,((A2)+(1))+(1)))=("G"),"false"),B2,G167),G167))</f>
        <v>#VALUE!</v>
      </c>
      <c r="H167" t="e">
        <f ca="1">IF((A1)=(2),"",IF((164)=(H3),IF(IF((INDEX(B1:XFD1,((A2)+(1))+(0)))=("store"),(INDEX(B1:XFD1,((A2)+(1))+(1)))=("H"),"false"),B2,H167),H167))</f>
        <v>#VALUE!</v>
      </c>
      <c r="I167" t="e">
        <f ca="1">IF((A1)=(2),"",IF((164)=(I3),IF(IF((INDEX(B1:XFD1,((A2)+(1))+(0)))=("store"),(INDEX(B1:XFD1,((A2)+(1))+(1)))=("I"),"false"),B2,I167),I167))</f>
        <v>#VALUE!</v>
      </c>
      <c r="J167" t="e">
        <f ca="1">IF((A1)=(2),"",IF((164)=(J3),IF(IF((INDEX(B1:XFD1,((A2)+(1))+(0)))=("store"),(INDEX(B1:XFD1,((A2)+(1))+(1)))=("J"),"false"),B2,J167),J167))</f>
        <v>#VALUE!</v>
      </c>
      <c r="K167" t="e">
        <f ca="1">IF((A1)=(2),"",IF((164)=(K3),IF(IF((INDEX(B1:XFD1,((A2)+(1))+(0)))=("store"),(INDEX(B1:XFD1,((A2)+(1))+(1)))=("K"),"false"),B2,K167),K167))</f>
        <v>#VALUE!</v>
      </c>
      <c r="L167" t="e">
        <f ca="1">IF((A1)=(2),"",IF((164)=(L3),IF(IF((INDEX(B1:XFD1,((A2)+(1))+(0)))=("store"),(INDEX(B1:XFD1,((A2)+(1))+(1)))=("L"),"false"),B2,L167),L167))</f>
        <v>#VALUE!</v>
      </c>
      <c r="M167" t="e">
        <f ca="1">IF((A1)=(2),"",IF((164)=(M3),IF(IF((INDEX(B1:XFD1,((A2)+(1))+(0)))=("store"),(INDEX(B1:XFD1,((A2)+(1))+(1)))=("M"),"false"),B2,M167),M167))</f>
        <v>#VALUE!</v>
      </c>
      <c r="N167" t="e">
        <f ca="1">IF((A1)=(2),"",IF((164)=(N3),IF(IF((INDEX(B1:XFD1,((A2)+(1))+(0)))=("store"),(INDEX(B1:XFD1,((A2)+(1))+(1)))=("N"),"false"),B2,N167),N167))</f>
        <v>#VALUE!</v>
      </c>
      <c r="O167" t="e">
        <f ca="1">IF((A1)=(2),"",IF((164)=(O3),IF(IF((INDEX(B1:XFD1,((A2)+(1))+(0)))=("store"),(INDEX(B1:XFD1,((A2)+(1))+(1)))=("O"),"false"),B2,O167),O167))</f>
        <v>#VALUE!</v>
      </c>
      <c r="P167" t="e">
        <f ca="1">IF((A1)=(2),"",IF((164)=(P3),IF(IF((INDEX(B1:XFD1,((A2)+(1))+(0)))=("store"),(INDEX(B1:XFD1,((A2)+(1))+(1)))=("P"),"false"),B2,P167),P167))</f>
        <v>#VALUE!</v>
      </c>
      <c r="Q167" t="e">
        <f ca="1">IF((A1)=(2),"",IF((164)=(Q3),IF(IF((INDEX(B1:XFD1,((A2)+(1))+(0)))=("store"),(INDEX(B1:XFD1,((A2)+(1))+(1)))=("Q"),"false"),B2,Q167),Q167))</f>
        <v>#VALUE!</v>
      </c>
      <c r="R167" t="e">
        <f ca="1">IF((A1)=(2),"",IF((164)=(R3),IF(IF((INDEX(B1:XFD1,((A2)+(1))+(0)))=("store"),(INDEX(B1:XFD1,((A2)+(1))+(1)))=("R"),"false"),B2,R167),R167))</f>
        <v>#VALUE!</v>
      </c>
      <c r="S167" t="e">
        <f ca="1">IF((A1)=(2),"",IF((164)=(S3),IF(IF((INDEX(B1:XFD1,((A2)+(1))+(0)))=("store"),(INDEX(B1:XFD1,((A2)+(1))+(1)))=("S"),"false"),B2,S167),S167))</f>
        <v>#VALUE!</v>
      </c>
      <c r="T167" t="e">
        <f ca="1">IF((A1)=(2),"",IF((164)=(T3),IF(IF((INDEX(B1:XFD1,((A2)+(1))+(0)))=("store"),(INDEX(B1:XFD1,((A2)+(1))+(1)))=("T"),"false"),B2,T167),T167))</f>
        <v>#VALUE!</v>
      </c>
      <c r="U167" t="e">
        <f ca="1">IF((A1)=(2),"",IF((164)=(U3),IF(IF((INDEX(B1:XFD1,((A2)+(1))+(0)))=("store"),(INDEX(B1:XFD1,((A2)+(1))+(1)))=("U"),"false"),B2,U167),U167))</f>
        <v>#VALUE!</v>
      </c>
      <c r="V167" t="e">
        <f ca="1">IF((A1)=(2),"",IF((164)=(V3),IF(IF((INDEX(B1:XFD1,((A2)+(1))+(0)))=("store"),(INDEX(B1:XFD1,((A2)+(1))+(1)))=("V"),"false"),B2,V167),V167))</f>
        <v>#VALUE!</v>
      </c>
      <c r="W167" t="e">
        <f ca="1">IF((A1)=(2),"",IF((164)=(W3),IF(IF((INDEX(B1:XFD1,((A2)+(1))+(0)))=("store"),(INDEX(B1:XFD1,((A2)+(1))+(1)))=("W"),"false"),B2,W167),W167))</f>
        <v>#VALUE!</v>
      </c>
      <c r="X167" t="e">
        <f ca="1">IF((A1)=(2),"",IF((164)=(X3),IF(IF((INDEX(B1:XFD1,((A2)+(1))+(0)))=("store"),(INDEX(B1:XFD1,((A2)+(1))+(1)))=("X"),"false"),B2,X167),X167))</f>
        <v>#VALUE!</v>
      </c>
      <c r="Y167" t="e">
        <f ca="1">IF((A1)=(2),"",IF((164)=(Y3),IF(IF((INDEX(B1:XFD1,((A2)+(1))+(0)))=("store"),(INDEX(B1:XFD1,((A2)+(1))+(1)))=("Y"),"false"),B2,Y167),Y167))</f>
        <v>#VALUE!</v>
      </c>
      <c r="Z167" t="e">
        <f ca="1">IF((A1)=(2),"",IF((164)=(Z3),IF(IF((INDEX(B1:XFD1,((A2)+(1))+(0)))=("store"),(INDEX(B1:XFD1,((A2)+(1))+(1)))=("Z"),"false"),B2,Z167),Z167))</f>
        <v>#VALUE!</v>
      </c>
      <c r="AA167" t="e">
        <f ca="1">IF((A1)=(2),"",IF((164)=(AA3),IF(IF((INDEX(B1:XFD1,((A2)+(1))+(0)))=("store"),(INDEX(B1:XFD1,((A2)+(1))+(1)))=("AA"),"false"),B2,AA167),AA167))</f>
        <v>#VALUE!</v>
      </c>
      <c r="AB167" t="e">
        <f ca="1">IF((A1)=(2),"",IF((164)=(AB3),IF(IF((INDEX(B1:XFD1,((A2)+(1))+(0)))=("store"),(INDEX(B1:XFD1,((A2)+(1))+(1)))=("AB"),"false"),B2,AB167),AB167))</f>
        <v>#VALUE!</v>
      </c>
      <c r="AC167" t="e">
        <f ca="1">IF((A1)=(2),"",IF((164)=(AC3),IF(IF((INDEX(B1:XFD1,((A2)+(1))+(0)))=("store"),(INDEX(B1:XFD1,((A2)+(1))+(1)))=("AC"),"false"),B2,AC167),AC167))</f>
        <v>#VALUE!</v>
      </c>
      <c r="AD167" t="e">
        <f ca="1">IF((A1)=(2),"",IF((164)=(AD3),IF(IF((INDEX(B1:XFD1,((A2)+(1))+(0)))=("store"),(INDEX(B1:XFD1,((A2)+(1))+(1)))=("AD"),"false"),B2,AD167),AD167))</f>
        <v>#VALUE!</v>
      </c>
    </row>
    <row r="168" spans="1:30" x14ac:dyDescent="0.25">
      <c r="A168" t="e">
        <f ca="1">IF((A1)=(2),"",IF((165)=(A3),IF(("call")=(INDEX(B1:XFD1,((A2)+(1))+(0))),(B2)*(2),IF(("goto")=(INDEX(B1:XFD1,((A2)+(1))+(0))),(INDEX(B1:XFD1,((A2)+(1))+(1)))*(2),IF(("gotoiftrue")=(INDEX(B1:XFD1,((A2)+(1))+(0))),IF(B2,(INDEX(B1:XFD1,((A2)+(1))+(1)))*(2),(A168)+(2)),(A168)+(2)))),A168))</f>
        <v>#VALUE!</v>
      </c>
      <c r="B168" t="e">
        <f ca="1">IF((A1)=(2),"",IF((165)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168)+(1)),IF(("add")=(INDEX(B1:XFD1,((A2)+(1))+(0))),(INDEX(B4:B404,(B3)+(1)))+(B168),IF(("equals")=(INDEX(B1:XFD1,((A2)+(1))+(0))),(INDEX(B4:B404,(B3)+(1)))=(B168),IF(("leq")=(INDEX(B1:XFD1,((A2)+(1))+(0))),(INDEX(B4:B404,(B3)+(1)))&lt;=(B168),IF(("greater")=(INDEX(B1:XFD1,((A2)+(1))+(0))),(INDEX(B4:B404,(B3)+(1)))&gt;(B168),IF(("mod")=(INDEX(B1:XFD1,((A2)+(1))+(0))),MOD(INDEX(B4:B404,(B3)+(1)),B168),B168))))))))),B168))</f>
        <v>#VALUE!</v>
      </c>
      <c r="C168" t="e">
        <f ca="1">IF((A1)=(2),1,IF(AND((INDEX(B1:XFD1,((A2)+(1))+(0)))=("writeheap"),(INDEX(B4:B404,(B3)+(1)))=(164)),INDEX(B4:B404,(B3)+(2)),IF((A1)=(2),"",IF((165)=(C3),C168,C168))))</f>
        <v>#VALUE!</v>
      </c>
      <c r="E168" t="e">
        <f ca="1">IF((A1)=(2),"",IF((165)=(E3),IF(("outputline")=(INDEX(B1:XFD1,((A2)+(1))+(0))),B2,E168),E168))</f>
        <v>#VALUE!</v>
      </c>
      <c r="F168" t="e">
        <f ca="1">IF((A1)=(2),"",IF((165)=(F3),IF(IF((INDEX(B1:XFD1,((A2)+(1))+(0)))=("store"),(INDEX(B1:XFD1,((A2)+(1))+(1)))=("F"),"false"),B2,F168),F168))</f>
        <v>#VALUE!</v>
      </c>
      <c r="G168" t="e">
        <f ca="1">IF((A1)=(2),"",IF((165)=(G3),IF(IF((INDEX(B1:XFD1,((A2)+(1))+(0)))=("store"),(INDEX(B1:XFD1,((A2)+(1))+(1)))=("G"),"false"),B2,G168),G168))</f>
        <v>#VALUE!</v>
      </c>
      <c r="H168" t="e">
        <f ca="1">IF((A1)=(2),"",IF((165)=(H3),IF(IF((INDEX(B1:XFD1,((A2)+(1))+(0)))=("store"),(INDEX(B1:XFD1,((A2)+(1))+(1)))=("H"),"false"),B2,H168),H168))</f>
        <v>#VALUE!</v>
      </c>
      <c r="I168" t="e">
        <f ca="1">IF((A1)=(2),"",IF((165)=(I3),IF(IF((INDEX(B1:XFD1,((A2)+(1))+(0)))=("store"),(INDEX(B1:XFD1,((A2)+(1))+(1)))=("I"),"false"),B2,I168),I168))</f>
        <v>#VALUE!</v>
      </c>
      <c r="J168" t="e">
        <f ca="1">IF((A1)=(2),"",IF((165)=(J3),IF(IF((INDEX(B1:XFD1,((A2)+(1))+(0)))=("store"),(INDEX(B1:XFD1,((A2)+(1))+(1)))=("J"),"false"),B2,J168),J168))</f>
        <v>#VALUE!</v>
      </c>
      <c r="K168" t="e">
        <f ca="1">IF((A1)=(2),"",IF((165)=(K3),IF(IF((INDEX(B1:XFD1,((A2)+(1))+(0)))=("store"),(INDEX(B1:XFD1,((A2)+(1))+(1)))=("K"),"false"),B2,K168),K168))</f>
        <v>#VALUE!</v>
      </c>
      <c r="L168" t="e">
        <f ca="1">IF((A1)=(2),"",IF((165)=(L3),IF(IF((INDEX(B1:XFD1,((A2)+(1))+(0)))=("store"),(INDEX(B1:XFD1,((A2)+(1))+(1)))=("L"),"false"),B2,L168),L168))</f>
        <v>#VALUE!</v>
      </c>
      <c r="M168" t="e">
        <f ca="1">IF((A1)=(2),"",IF((165)=(M3),IF(IF((INDEX(B1:XFD1,((A2)+(1))+(0)))=("store"),(INDEX(B1:XFD1,((A2)+(1))+(1)))=("M"),"false"),B2,M168),M168))</f>
        <v>#VALUE!</v>
      </c>
      <c r="N168" t="e">
        <f ca="1">IF((A1)=(2),"",IF((165)=(N3),IF(IF((INDEX(B1:XFD1,((A2)+(1))+(0)))=("store"),(INDEX(B1:XFD1,((A2)+(1))+(1)))=("N"),"false"),B2,N168),N168))</f>
        <v>#VALUE!</v>
      </c>
      <c r="O168" t="e">
        <f ca="1">IF((A1)=(2),"",IF((165)=(O3),IF(IF((INDEX(B1:XFD1,((A2)+(1))+(0)))=("store"),(INDEX(B1:XFD1,((A2)+(1))+(1)))=("O"),"false"),B2,O168),O168))</f>
        <v>#VALUE!</v>
      </c>
      <c r="P168" t="e">
        <f ca="1">IF((A1)=(2),"",IF((165)=(P3),IF(IF((INDEX(B1:XFD1,((A2)+(1))+(0)))=("store"),(INDEX(B1:XFD1,((A2)+(1))+(1)))=("P"),"false"),B2,P168),P168))</f>
        <v>#VALUE!</v>
      </c>
      <c r="Q168" t="e">
        <f ca="1">IF((A1)=(2),"",IF((165)=(Q3),IF(IF((INDEX(B1:XFD1,((A2)+(1))+(0)))=("store"),(INDEX(B1:XFD1,((A2)+(1))+(1)))=("Q"),"false"),B2,Q168),Q168))</f>
        <v>#VALUE!</v>
      </c>
      <c r="R168" t="e">
        <f ca="1">IF((A1)=(2),"",IF((165)=(R3),IF(IF((INDEX(B1:XFD1,((A2)+(1))+(0)))=("store"),(INDEX(B1:XFD1,((A2)+(1))+(1)))=("R"),"false"),B2,R168),R168))</f>
        <v>#VALUE!</v>
      </c>
      <c r="S168" t="e">
        <f ca="1">IF((A1)=(2),"",IF((165)=(S3),IF(IF((INDEX(B1:XFD1,((A2)+(1))+(0)))=("store"),(INDEX(B1:XFD1,((A2)+(1))+(1)))=("S"),"false"),B2,S168),S168))</f>
        <v>#VALUE!</v>
      </c>
      <c r="T168" t="e">
        <f ca="1">IF((A1)=(2),"",IF((165)=(T3),IF(IF((INDEX(B1:XFD1,((A2)+(1))+(0)))=("store"),(INDEX(B1:XFD1,((A2)+(1))+(1)))=("T"),"false"),B2,T168),T168))</f>
        <v>#VALUE!</v>
      </c>
      <c r="U168" t="e">
        <f ca="1">IF((A1)=(2),"",IF((165)=(U3),IF(IF((INDEX(B1:XFD1,((A2)+(1))+(0)))=("store"),(INDEX(B1:XFD1,((A2)+(1))+(1)))=("U"),"false"),B2,U168),U168))</f>
        <v>#VALUE!</v>
      </c>
      <c r="V168" t="e">
        <f ca="1">IF((A1)=(2),"",IF((165)=(V3),IF(IF((INDEX(B1:XFD1,((A2)+(1))+(0)))=("store"),(INDEX(B1:XFD1,((A2)+(1))+(1)))=("V"),"false"),B2,V168),V168))</f>
        <v>#VALUE!</v>
      </c>
      <c r="W168" t="e">
        <f ca="1">IF((A1)=(2),"",IF((165)=(W3),IF(IF((INDEX(B1:XFD1,((A2)+(1))+(0)))=("store"),(INDEX(B1:XFD1,((A2)+(1))+(1)))=("W"),"false"),B2,W168),W168))</f>
        <v>#VALUE!</v>
      </c>
      <c r="X168" t="e">
        <f ca="1">IF((A1)=(2),"",IF((165)=(X3),IF(IF((INDEX(B1:XFD1,((A2)+(1))+(0)))=("store"),(INDEX(B1:XFD1,((A2)+(1))+(1)))=("X"),"false"),B2,X168),X168))</f>
        <v>#VALUE!</v>
      </c>
      <c r="Y168" t="e">
        <f ca="1">IF((A1)=(2),"",IF((165)=(Y3),IF(IF((INDEX(B1:XFD1,((A2)+(1))+(0)))=("store"),(INDEX(B1:XFD1,((A2)+(1))+(1)))=("Y"),"false"),B2,Y168),Y168))</f>
        <v>#VALUE!</v>
      </c>
      <c r="Z168" t="e">
        <f ca="1">IF((A1)=(2),"",IF((165)=(Z3),IF(IF((INDEX(B1:XFD1,((A2)+(1))+(0)))=("store"),(INDEX(B1:XFD1,((A2)+(1))+(1)))=("Z"),"false"),B2,Z168),Z168))</f>
        <v>#VALUE!</v>
      </c>
      <c r="AA168" t="e">
        <f ca="1">IF((A1)=(2),"",IF((165)=(AA3),IF(IF((INDEX(B1:XFD1,((A2)+(1))+(0)))=("store"),(INDEX(B1:XFD1,((A2)+(1))+(1)))=("AA"),"false"),B2,AA168),AA168))</f>
        <v>#VALUE!</v>
      </c>
      <c r="AB168" t="e">
        <f ca="1">IF((A1)=(2),"",IF((165)=(AB3),IF(IF((INDEX(B1:XFD1,((A2)+(1))+(0)))=("store"),(INDEX(B1:XFD1,((A2)+(1))+(1)))=("AB"),"false"),B2,AB168),AB168))</f>
        <v>#VALUE!</v>
      </c>
      <c r="AC168" t="e">
        <f ca="1">IF((A1)=(2),"",IF((165)=(AC3),IF(IF((INDEX(B1:XFD1,((A2)+(1))+(0)))=("store"),(INDEX(B1:XFD1,((A2)+(1))+(1)))=("AC"),"false"),B2,AC168),AC168))</f>
        <v>#VALUE!</v>
      </c>
      <c r="AD168" t="e">
        <f ca="1">IF((A1)=(2),"",IF((165)=(AD3),IF(IF((INDEX(B1:XFD1,((A2)+(1))+(0)))=("store"),(INDEX(B1:XFD1,((A2)+(1))+(1)))=("AD"),"false"),B2,AD168),AD168))</f>
        <v>#VALUE!</v>
      </c>
    </row>
    <row r="169" spans="1:30" x14ac:dyDescent="0.25">
      <c r="A169" t="e">
        <f ca="1">IF((A1)=(2),"",IF((166)=(A3),IF(("call")=(INDEX(B1:XFD1,((A2)+(1))+(0))),(B2)*(2),IF(("goto")=(INDEX(B1:XFD1,((A2)+(1))+(0))),(INDEX(B1:XFD1,((A2)+(1))+(1)))*(2),IF(("gotoiftrue")=(INDEX(B1:XFD1,((A2)+(1))+(0))),IF(B2,(INDEX(B1:XFD1,((A2)+(1))+(1)))*(2),(A169)+(2)),(A169)+(2)))),A169))</f>
        <v>#VALUE!</v>
      </c>
      <c r="B169" t="e">
        <f ca="1">IF((A1)=(2),"",IF((166)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169)+(1)),IF(("add")=(INDEX(B1:XFD1,((A2)+(1))+(0))),(INDEX(B4:B404,(B3)+(1)))+(B169),IF(("equals")=(INDEX(B1:XFD1,((A2)+(1))+(0))),(INDEX(B4:B404,(B3)+(1)))=(B169),IF(("leq")=(INDEX(B1:XFD1,((A2)+(1))+(0))),(INDEX(B4:B404,(B3)+(1)))&lt;=(B169),IF(("greater")=(INDEX(B1:XFD1,((A2)+(1))+(0))),(INDEX(B4:B404,(B3)+(1)))&gt;(B169),IF(("mod")=(INDEX(B1:XFD1,((A2)+(1))+(0))),MOD(INDEX(B4:B404,(B3)+(1)),B169),B169))))))))),B169))</f>
        <v>#VALUE!</v>
      </c>
      <c r="C169" t="e">
        <f ca="1">IF((A1)=(2),1,IF(AND((INDEX(B1:XFD1,((A2)+(1))+(0)))=("writeheap"),(INDEX(B4:B404,(B3)+(1)))=(165)),INDEX(B4:B404,(B3)+(2)),IF((A1)=(2),"",IF((166)=(C3),C169,C169))))</f>
        <v>#VALUE!</v>
      </c>
      <c r="E169" t="e">
        <f ca="1">IF((A1)=(2),"",IF((166)=(E3),IF(("outputline")=(INDEX(B1:XFD1,((A2)+(1))+(0))),B2,E169),E169))</f>
        <v>#VALUE!</v>
      </c>
      <c r="F169" t="e">
        <f ca="1">IF((A1)=(2),"",IF((166)=(F3),IF(IF((INDEX(B1:XFD1,((A2)+(1))+(0)))=("store"),(INDEX(B1:XFD1,((A2)+(1))+(1)))=("F"),"false"),B2,F169),F169))</f>
        <v>#VALUE!</v>
      </c>
      <c r="G169" t="e">
        <f ca="1">IF((A1)=(2),"",IF((166)=(G3),IF(IF((INDEX(B1:XFD1,((A2)+(1))+(0)))=("store"),(INDEX(B1:XFD1,((A2)+(1))+(1)))=("G"),"false"),B2,G169),G169))</f>
        <v>#VALUE!</v>
      </c>
      <c r="H169" t="e">
        <f ca="1">IF((A1)=(2),"",IF((166)=(H3),IF(IF((INDEX(B1:XFD1,((A2)+(1))+(0)))=("store"),(INDEX(B1:XFD1,((A2)+(1))+(1)))=("H"),"false"),B2,H169),H169))</f>
        <v>#VALUE!</v>
      </c>
      <c r="I169" t="e">
        <f ca="1">IF((A1)=(2),"",IF((166)=(I3),IF(IF((INDEX(B1:XFD1,((A2)+(1))+(0)))=("store"),(INDEX(B1:XFD1,((A2)+(1))+(1)))=("I"),"false"),B2,I169),I169))</f>
        <v>#VALUE!</v>
      </c>
      <c r="J169" t="e">
        <f ca="1">IF((A1)=(2),"",IF((166)=(J3),IF(IF((INDEX(B1:XFD1,((A2)+(1))+(0)))=("store"),(INDEX(B1:XFD1,((A2)+(1))+(1)))=("J"),"false"),B2,J169),J169))</f>
        <v>#VALUE!</v>
      </c>
      <c r="K169" t="e">
        <f ca="1">IF((A1)=(2),"",IF((166)=(K3),IF(IF((INDEX(B1:XFD1,((A2)+(1))+(0)))=("store"),(INDEX(B1:XFD1,((A2)+(1))+(1)))=("K"),"false"),B2,K169),K169))</f>
        <v>#VALUE!</v>
      </c>
      <c r="L169" t="e">
        <f ca="1">IF((A1)=(2),"",IF((166)=(L3),IF(IF((INDEX(B1:XFD1,((A2)+(1))+(0)))=("store"),(INDEX(B1:XFD1,((A2)+(1))+(1)))=("L"),"false"),B2,L169),L169))</f>
        <v>#VALUE!</v>
      </c>
      <c r="M169" t="e">
        <f ca="1">IF((A1)=(2),"",IF((166)=(M3),IF(IF((INDEX(B1:XFD1,((A2)+(1))+(0)))=("store"),(INDEX(B1:XFD1,((A2)+(1))+(1)))=("M"),"false"),B2,M169),M169))</f>
        <v>#VALUE!</v>
      </c>
      <c r="N169" t="e">
        <f ca="1">IF((A1)=(2),"",IF((166)=(N3),IF(IF((INDEX(B1:XFD1,((A2)+(1))+(0)))=("store"),(INDEX(B1:XFD1,((A2)+(1))+(1)))=("N"),"false"),B2,N169),N169))</f>
        <v>#VALUE!</v>
      </c>
      <c r="O169" t="e">
        <f ca="1">IF((A1)=(2),"",IF((166)=(O3),IF(IF((INDEX(B1:XFD1,((A2)+(1))+(0)))=("store"),(INDEX(B1:XFD1,((A2)+(1))+(1)))=("O"),"false"),B2,O169),O169))</f>
        <v>#VALUE!</v>
      </c>
      <c r="P169" t="e">
        <f ca="1">IF((A1)=(2),"",IF((166)=(P3),IF(IF((INDEX(B1:XFD1,((A2)+(1))+(0)))=("store"),(INDEX(B1:XFD1,((A2)+(1))+(1)))=("P"),"false"),B2,P169),P169))</f>
        <v>#VALUE!</v>
      </c>
      <c r="Q169" t="e">
        <f ca="1">IF((A1)=(2),"",IF((166)=(Q3),IF(IF((INDEX(B1:XFD1,((A2)+(1))+(0)))=("store"),(INDEX(B1:XFD1,((A2)+(1))+(1)))=("Q"),"false"),B2,Q169),Q169))</f>
        <v>#VALUE!</v>
      </c>
      <c r="R169" t="e">
        <f ca="1">IF((A1)=(2),"",IF((166)=(R3),IF(IF((INDEX(B1:XFD1,((A2)+(1))+(0)))=("store"),(INDEX(B1:XFD1,((A2)+(1))+(1)))=("R"),"false"),B2,R169),R169))</f>
        <v>#VALUE!</v>
      </c>
      <c r="S169" t="e">
        <f ca="1">IF((A1)=(2),"",IF((166)=(S3),IF(IF((INDEX(B1:XFD1,((A2)+(1))+(0)))=("store"),(INDEX(B1:XFD1,((A2)+(1))+(1)))=("S"),"false"),B2,S169),S169))</f>
        <v>#VALUE!</v>
      </c>
      <c r="T169" t="e">
        <f ca="1">IF((A1)=(2),"",IF((166)=(T3),IF(IF((INDEX(B1:XFD1,((A2)+(1))+(0)))=("store"),(INDEX(B1:XFD1,((A2)+(1))+(1)))=("T"),"false"),B2,T169),T169))</f>
        <v>#VALUE!</v>
      </c>
      <c r="U169" t="e">
        <f ca="1">IF((A1)=(2),"",IF((166)=(U3),IF(IF((INDEX(B1:XFD1,((A2)+(1))+(0)))=("store"),(INDEX(B1:XFD1,((A2)+(1))+(1)))=("U"),"false"),B2,U169),U169))</f>
        <v>#VALUE!</v>
      </c>
      <c r="V169" t="e">
        <f ca="1">IF((A1)=(2),"",IF((166)=(V3),IF(IF((INDEX(B1:XFD1,((A2)+(1))+(0)))=("store"),(INDEX(B1:XFD1,((A2)+(1))+(1)))=("V"),"false"),B2,V169),V169))</f>
        <v>#VALUE!</v>
      </c>
      <c r="W169" t="e">
        <f ca="1">IF((A1)=(2),"",IF((166)=(W3),IF(IF((INDEX(B1:XFD1,((A2)+(1))+(0)))=("store"),(INDEX(B1:XFD1,((A2)+(1))+(1)))=("W"),"false"),B2,W169),W169))</f>
        <v>#VALUE!</v>
      </c>
      <c r="X169" t="e">
        <f ca="1">IF((A1)=(2),"",IF((166)=(X3),IF(IF((INDEX(B1:XFD1,((A2)+(1))+(0)))=("store"),(INDEX(B1:XFD1,((A2)+(1))+(1)))=("X"),"false"),B2,X169),X169))</f>
        <v>#VALUE!</v>
      </c>
      <c r="Y169" t="e">
        <f ca="1">IF((A1)=(2),"",IF((166)=(Y3),IF(IF((INDEX(B1:XFD1,((A2)+(1))+(0)))=("store"),(INDEX(B1:XFD1,((A2)+(1))+(1)))=("Y"),"false"),B2,Y169),Y169))</f>
        <v>#VALUE!</v>
      </c>
      <c r="Z169" t="e">
        <f ca="1">IF((A1)=(2),"",IF((166)=(Z3),IF(IF((INDEX(B1:XFD1,((A2)+(1))+(0)))=("store"),(INDEX(B1:XFD1,((A2)+(1))+(1)))=("Z"),"false"),B2,Z169),Z169))</f>
        <v>#VALUE!</v>
      </c>
      <c r="AA169" t="e">
        <f ca="1">IF((A1)=(2),"",IF((166)=(AA3),IF(IF((INDEX(B1:XFD1,((A2)+(1))+(0)))=("store"),(INDEX(B1:XFD1,((A2)+(1))+(1)))=("AA"),"false"),B2,AA169),AA169))</f>
        <v>#VALUE!</v>
      </c>
      <c r="AB169" t="e">
        <f ca="1">IF((A1)=(2),"",IF((166)=(AB3),IF(IF((INDEX(B1:XFD1,((A2)+(1))+(0)))=("store"),(INDEX(B1:XFD1,((A2)+(1))+(1)))=("AB"),"false"),B2,AB169),AB169))</f>
        <v>#VALUE!</v>
      </c>
      <c r="AC169" t="e">
        <f ca="1">IF((A1)=(2),"",IF((166)=(AC3),IF(IF((INDEX(B1:XFD1,((A2)+(1))+(0)))=("store"),(INDEX(B1:XFD1,((A2)+(1))+(1)))=("AC"),"false"),B2,AC169),AC169))</f>
        <v>#VALUE!</v>
      </c>
      <c r="AD169" t="e">
        <f ca="1">IF((A1)=(2),"",IF((166)=(AD3),IF(IF((INDEX(B1:XFD1,((A2)+(1))+(0)))=("store"),(INDEX(B1:XFD1,((A2)+(1))+(1)))=("AD"),"false"),B2,AD169),AD169))</f>
        <v>#VALUE!</v>
      </c>
    </row>
    <row r="170" spans="1:30" x14ac:dyDescent="0.25">
      <c r="A170" t="e">
        <f ca="1">IF((A1)=(2),"",IF((167)=(A3),IF(("call")=(INDEX(B1:XFD1,((A2)+(1))+(0))),(B2)*(2),IF(("goto")=(INDEX(B1:XFD1,((A2)+(1))+(0))),(INDEX(B1:XFD1,((A2)+(1))+(1)))*(2),IF(("gotoiftrue")=(INDEX(B1:XFD1,((A2)+(1))+(0))),IF(B2,(INDEX(B1:XFD1,((A2)+(1))+(1)))*(2),(A170)+(2)),(A170)+(2)))),A170))</f>
        <v>#VALUE!</v>
      </c>
      <c r="B170" t="e">
        <f ca="1">IF((A1)=(2),"",IF((167)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170)+(1)),IF(("add")=(INDEX(B1:XFD1,((A2)+(1))+(0))),(INDEX(B4:B404,(B3)+(1)))+(B170),IF(("equals")=(INDEX(B1:XFD1,((A2)+(1))+(0))),(INDEX(B4:B404,(B3)+(1)))=(B170),IF(("leq")=(INDEX(B1:XFD1,((A2)+(1))+(0))),(INDEX(B4:B404,(B3)+(1)))&lt;=(B170),IF(("greater")=(INDEX(B1:XFD1,((A2)+(1))+(0))),(INDEX(B4:B404,(B3)+(1)))&gt;(B170),IF(("mod")=(INDEX(B1:XFD1,((A2)+(1))+(0))),MOD(INDEX(B4:B404,(B3)+(1)),B170),B170))))))))),B170))</f>
        <v>#VALUE!</v>
      </c>
      <c r="C170" t="e">
        <f ca="1">IF((A1)=(2),1,IF(AND((INDEX(B1:XFD1,((A2)+(1))+(0)))=("writeheap"),(INDEX(B4:B404,(B3)+(1)))=(166)),INDEX(B4:B404,(B3)+(2)),IF((A1)=(2),"",IF((167)=(C3),C170,C170))))</f>
        <v>#VALUE!</v>
      </c>
      <c r="E170" t="e">
        <f ca="1">IF((A1)=(2),"",IF((167)=(E3),IF(("outputline")=(INDEX(B1:XFD1,((A2)+(1))+(0))),B2,E170),E170))</f>
        <v>#VALUE!</v>
      </c>
      <c r="F170" t="e">
        <f ca="1">IF((A1)=(2),"",IF((167)=(F3),IF(IF((INDEX(B1:XFD1,((A2)+(1))+(0)))=("store"),(INDEX(B1:XFD1,((A2)+(1))+(1)))=("F"),"false"),B2,F170),F170))</f>
        <v>#VALUE!</v>
      </c>
      <c r="G170" t="e">
        <f ca="1">IF((A1)=(2),"",IF((167)=(G3),IF(IF((INDEX(B1:XFD1,((A2)+(1))+(0)))=("store"),(INDEX(B1:XFD1,((A2)+(1))+(1)))=("G"),"false"),B2,G170),G170))</f>
        <v>#VALUE!</v>
      </c>
      <c r="H170" t="e">
        <f ca="1">IF((A1)=(2),"",IF((167)=(H3),IF(IF((INDEX(B1:XFD1,((A2)+(1))+(0)))=("store"),(INDEX(B1:XFD1,((A2)+(1))+(1)))=("H"),"false"),B2,H170),H170))</f>
        <v>#VALUE!</v>
      </c>
      <c r="I170" t="e">
        <f ca="1">IF((A1)=(2),"",IF((167)=(I3),IF(IF((INDEX(B1:XFD1,((A2)+(1))+(0)))=("store"),(INDEX(B1:XFD1,((A2)+(1))+(1)))=("I"),"false"),B2,I170),I170))</f>
        <v>#VALUE!</v>
      </c>
      <c r="J170" t="e">
        <f ca="1">IF((A1)=(2),"",IF((167)=(J3),IF(IF((INDEX(B1:XFD1,((A2)+(1))+(0)))=("store"),(INDEX(B1:XFD1,((A2)+(1))+(1)))=("J"),"false"),B2,J170),J170))</f>
        <v>#VALUE!</v>
      </c>
      <c r="K170" t="e">
        <f ca="1">IF((A1)=(2),"",IF((167)=(K3),IF(IF((INDEX(B1:XFD1,((A2)+(1))+(0)))=("store"),(INDEX(B1:XFD1,((A2)+(1))+(1)))=("K"),"false"),B2,K170),K170))</f>
        <v>#VALUE!</v>
      </c>
      <c r="L170" t="e">
        <f ca="1">IF((A1)=(2),"",IF((167)=(L3),IF(IF((INDEX(B1:XFD1,((A2)+(1))+(0)))=("store"),(INDEX(B1:XFD1,((A2)+(1))+(1)))=("L"),"false"),B2,L170),L170))</f>
        <v>#VALUE!</v>
      </c>
      <c r="M170" t="e">
        <f ca="1">IF((A1)=(2),"",IF((167)=(M3),IF(IF((INDEX(B1:XFD1,((A2)+(1))+(0)))=("store"),(INDEX(B1:XFD1,((A2)+(1))+(1)))=("M"),"false"),B2,M170),M170))</f>
        <v>#VALUE!</v>
      </c>
      <c r="N170" t="e">
        <f ca="1">IF((A1)=(2),"",IF((167)=(N3),IF(IF((INDEX(B1:XFD1,((A2)+(1))+(0)))=("store"),(INDEX(B1:XFD1,((A2)+(1))+(1)))=("N"),"false"),B2,N170),N170))</f>
        <v>#VALUE!</v>
      </c>
      <c r="O170" t="e">
        <f ca="1">IF((A1)=(2),"",IF((167)=(O3),IF(IF((INDEX(B1:XFD1,((A2)+(1))+(0)))=("store"),(INDEX(B1:XFD1,((A2)+(1))+(1)))=("O"),"false"),B2,O170),O170))</f>
        <v>#VALUE!</v>
      </c>
      <c r="P170" t="e">
        <f ca="1">IF((A1)=(2),"",IF((167)=(P3),IF(IF((INDEX(B1:XFD1,((A2)+(1))+(0)))=("store"),(INDEX(B1:XFD1,((A2)+(1))+(1)))=("P"),"false"),B2,P170),P170))</f>
        <v>#VALUE!</v>
      </c>
      <c r="Q170" t="e">
        <f ca="1">IF((A1)=(2),"",IF((167)=(Q3),IF(IF((INDEX(B1:XFD1,((A2)+(1))+(0)))=("store"),(INDEX(B1:XFD1,((A2)+(1))+(1)))=("Q"),"false"),B2,Q170),Q170))</f>
        <v>#VALUE!</v>
      </c>
      <c r="R170" t="e">
        <f ca="1">IF((A1)=(2),"",IF((167)=(R3),IF(IF((INDEX(B1:XFD1,((A2)+(1))+(0)))=("store"),(INDEX(B1:XFD1,((A2)+(1))+(1)))=("R"),"false"),B2,R170),R170))</f>
        <v>#VALUE!</v>
      </c>
      <c r="S170" t="e">
        <f ca="1">IF((A1)=(2),"",IF((167)=(S3),IF(IF((INDEX(B1:XFD1,((A2)+(1))+(0)))=("store"),(INDEX(B1:XFD1,((A2)+(1))+(1)))=("S"),"false"),B2,S170),S170))</f>
        <v>#VALUE!</v>
      </c>
      <c r="T170" t="e">
        <f ca="1">IF((A1)=(2),"",IF((167)=(T3),IF(IF((INDEX(B1:XFD1,((A2)+(1))+(0)))=("store"),(INDEX(B1:XFD1,((A2)+(1))+(1)))=("T"),"false"),B2,T170),T170))</f>
        <v>#VALUE!</v>
      </c>
      <c r="U170" t="e">
        <f ca="1">IF((A1)=(2),"",IF((167)=(U3),IF(IF((INDEX(B1:XFD1,((A2)+(1))+(0)))=("store"),(INDEX(B1:XFD1,((A2)+(1))+(1)))=("U"),"false"),B2,U170),U170))</f>
        <v>#VALUE!</v>
      </c>
      <c r="V170" t="e">
        <f ca="1">IF((A1)=(2),"",IF((167)=(V3),IF(IF((INDEX(B1:XFD1,((A2)+(1))+(0)))=("store"),(INDEX(B1:XFD1,((A2)+(1))+(1)))=("V"),"false"),B2,V170),V170))</f>
        <v>#VALUE!</v>
      </c>
      <c r="W170" t="e">
        <f ca="1">IF((A1)=(2),"",IF((167)=(W3),IF(IF((INDEX(B1:XFD1,((A2)+(1))+(0)))=("store"),(INDEX(B1:XFD1,((A2)+(1))+(1)))=("W"),"false"),B2,W170),W170))</f>
        <v>#VALUE!</v>
      </c>
      <c r="X170" t="e">
        <f ca="1">IF((A1)=(2),"",IF((167)=(X3),IF(IF((INDEX(B1:XFD1,((A2)+(1))+(0)))=("store"),(INDEX(B1:XFD1,((A2)+(1))+(1)))=("X"),"false"),B2,X170),X170))</f>
        <v>#VALUE!</v>
      </c>
      <c r="Y170" t="e">
        <f ca="1">IF((A1)=(2),"",IF((167)=(Y3),IF(IF((INDEX(B1:XFD1,((A2)+(1))+(0)))=("store"),(INDEX(B1:XFD1,((A2)+(1))+(1)))=("Y"),"false"),B2,Y170),Y170))</f>
        <v>#VALUE!</v>
      </c>
      <c r="Z170" t="e">
        <f ca="1">IF((A1)=(2),"",IF((167)=(Z3),IF(IF((INDEX(B1:XFD1,((A2)+(1))+(0)))=("store"),(INDEX(B1:XFD1,((A2)+(1))+(1)))=("Z"),"false"),B2,Z170),Z170))</f>
        <v>#VALUE!</v>
      </c>
      <c r="AA170" t="e">
        <f ca="1">IF((A1)=(2),"",IF((167)=(AA3),IF(IF((INDEX(B1:XFD1,((A2)+(1))+(0)))=("store"),(INDEX(B1:XFD1,((A2)+(1))+(1)))=("AA"),"false"),B2,AA170),AA170))</f>
        <v>#VALUE!</v>
      </c>
      <c r="AB170" t="e">
        <f ca="1">IF((A1)=(2),"",IF((167)=(AB3),IF(IF((INDEX(B1:XFD1,((A2)+(1))+(0)))=("store"),(INDEX(B1:XFD1,((A2)+(1))+(1)))=("AB"),"false"),B2,AB170),AB170))</f>
        <v>#VALUE!</v>
      </c>
      <c r="AC170" t="e">
        <f ca="1">IF((A1)=(2),"",IF((167)=(AC3),IF(IF((INDEX(B1:XFD1,((A2)+(1))+(0)))=("store"),(INDEX(B1:XFD1,((A2)+(1))+(1)))=("AC"),"false"),B2,AC170),AC170))</f>
        <v>#VALUE!</v>
      </c>
      <c r="AD170" t="e">
        <f ca="1">IF((A1)=(2),"",IF((167)=(AD3),IF(IF((INDEX(B1:XFD1,((A2)+(1))+(0)))=("store"),(INDEX(B1:XFD1,((A2)+(1))+(1)))=("AD"),"false"),B2,AD170),AD170))</f>
        <v>#VALUE!</v>
      </c>
    </row>
    <row r="171" spans="1:30" x14ac:dyDescent="0.25">
      <c r="A171" t="e">
        <f ca="1">IF((A1)=(2),"",IF((168)=(A3),IF(("call")=(INDEX(B1:XFD1,((A2)+(1))+(0))),(B2)*(2),IF(("goto")=(INDEX(B1:XFD1,((A2)+(1))+(0))),(INDEX(B1:XFD1,((A2)+(1))+(1)))*(2),IF(("gotoiftrue")=(INDEX(B1:XFD1,((A2)+(1))+(0))),IF(B2,(INDEX(B1:XFD1,((A2)+(1))+(1)))*(2),(A171)+(2)),(A171)+(2)))),A171))</f>
        <v>#VALUE!</v>
      </c>
      <c r="B171" t="e">
        <f ca="1">IF((A1)=(2),"",IF((168)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171)+(1)),IF(("add")=(INDEX(B1:XFD1,((A2)+(1))+(0))),(INDEX(B4:B404,(B3)+(1)))+(B171),IF(("equals")=(INDEX(B1:XFD1,((A2)+(1))+(0))),(INDEX(B4:B404,(B3)+(1)))=(B171),IF(("leq")=(INDEX(B1:XFD1,((A2)+(1))+(0))),(INDEX(B4:B404,(B3)+(1)))&lt;=(B171),IF(("greater")=(INDEX(B1:XFD1,((A2)+(1))+(0))),(INDEX(B4:B404,(B3)+(1)))&gt;(B171),IF(("mod")=(INDEX(B1:XFD1,((A2)+(1))+(0))),MOD(INDEX(B4:B404,(B3)+(1)),B171),B171))))))))),B171))</f>
        <v>#VALUE!</v>
      </c>
      <c r="C171" t="e">
        <f ca="1">IF((A1)=(2),1,IF(AND((INDEX(B1:XFD1,((A2)+(1))+(0)))=("writeheap"),(INDEX(B4:B404,(B3)+(1)))=(167)),INDEX(B4:B404,(B3)+(2)),IF((A1)=(2),"",IF((168)=(C3),C171,C171))))</f>
        <v>#VALUE!</v>
      </c>
      <c r="E171" t="e">
        <f ca="1">IF((A1)=(2),"",IF((168)=(E3),IF(("outputline")=(INDEX(B1:XFD1,((A2)+(1))+(0))),B2,E171),E171))</f>
        <v>#VALUE!</v>
      </c>
      <c r="F171" t="e">
        <f ca="1">IF((A1)=(2),"",IF((168)=(F3),IF(IF((INDEX(B1:XFD1,((A2)+(1))+(0)))=("store"),(INDEX(B1:XFD1,((A2)+(1))+(1)))=("F"),"false"),B2,F171),F171))</f>
        <v>#VALUE!</v>
      </c>
      <c r="G171" t="e">
        <f ca="1">IF((A1)=(2),"",IF((168)=(G3),IF(IF((INDEX(B1:XFD1,((A2)+(1))+(0)))=("store"),(INDEX(B1:XFD1,((A2)+(1))+(1)))=("G"),"false"),B2,G171),G171))</f>
        <v>#VALUE!</v>
      </c>
      <c r="H171" t="e">
        <f ca="1">IF((A1)=(2),"",IF((168)=(H3),IF(IF((INDEX(B1:XFD1,((A2)+(1))+(0)))=("store"),(INDEX(B1:XFD1,((A2)+(1))+(1)))=("H"),"false"),B2,H171),H171))</f>
        <v>#VALUE!</v>
      </c>
      <c r="I171" t="e">
        <f ca="1">IF((A1)=(2),"",IF((168)=(I3),IF(IF((INDEX(B1:XFD1,((A2)+(1))+(0)))=("store"),(INDEX(B1:XFD1,((A2)+(1))+(1)))=("I"),"false"),B2,I171),I171))</f>
        <v>#VALUE!</v>
      </c>
      <c r="J171" t="e">
        <f ca="1">IF((A1)=(2),"",IF((168)=(J3),IF(IF((INDEX(B1:XFD1,((A2)+(1))+(0)))=("store"),(INDEX(B1:XFD1,((A2)+(1))+(1)))=("J"),"false"),B2,J171),J171))</f>
        <v>#VALUE!</v>
      </c>
      <c r="K171" t="e">
        <f ca="1">IF((A1)=(2),"",IF((168)=(K3),IF(IF((INDEX(B1:XFD1,((A2)+(1))+(0)))=("store"),(INDEX(B1:XFD1,((A2)+(1))+(1)))=("K"),"false"),B2,K171),K171))</f>
        <v>#VALUE!</v>
      </c>
      <c r="L171" t="e">
        <f ca="1">IF((A1)=(2),"",IF((168)=(L3),IF(IF((INDEX(B1:XFD1,((A2)+(1))+(0)))=("store"),(INDEX(B1:XFD1,((A2)+(1))+(1)))=("L"),"false"),B2,L171),L171))</f>
        <v>#VALUE!</v>
      </c>
      <c r="M171" t="e">
        <f ca="1">IF((A1)=(2),"",IF((168)=(M3),IF(IF((INDEX(B1:XFD1,((A2)+(1))+(0)))=("store"),(INDEX(B1:XFD1,((A2)+(1))+(1)))=("M"),"false"),B2,M171),M171))</f>
        <v>#VALUE!</v>
      </c>
      <c r="N171" t="e">
        <f ca="1">IF((A1)=(2),"",IF((168)=(N3),IF(IF((INDEX(B1:XFD1,((A2)+(1))+(0)))=("store"),(INDEX(B1:XFD1,((A2)+(1))+(1)))=("N"),"false"),B2,N171),N171))</f>
        <v>#VALUE!</v>
      </c>
      <c r="O171" t="e">
        <f ca="1">IF((A1)=(2),"",IF((168)=(O3),IF(IF((INDEX(B1:XFD1,((A2)+(1))+(0)))=("store"),(INDEX(B1:XFD1,((A2)+(1))+(1)))=("O"),"false"),B2,O171),O171))</f>
        <v>#VALUE!</v>
      </c>
      <c r="P171" t="e">
        <f ca="1">IF((A1)=(2),"",IF((168)=(P3),IF(IF((INDEX(B1:XFD1,((A2)+(1))+(0)))=("store"),(INDEX(B1:XFD1,((A2)+(1))+(1)))=("P"),"false"),B2,P171),P171))</f>
        <v>#VALUE!</v>
      </c>
      <c r="Q171" t="e">
        <f ca="1">IF((A1)=(2),"",IF((168)=(Q3),IF(IF((INDEX(B1:XFD1,((A2)+(1))+(0)))=("store"),(INDEX(B1:XFD1,((A2)+(1))+(1)))=("Q"),"false"),B2,Q171),Q171))</f>
        <v>#VALUE!</v>
      </c>
      <c r="R171" t="e">
        <f ca="1">IF((A1)=(2),"",IF((168)=(R3),IF(IF((INDEX(B1:XFD1,((A2)+(1))+(0)))=("store"),(INDEX(B1:XFD1,((A2)+(1))+(1)))=("R"),"false"),B2,R171),R171))</f>
        <v>#VALUE!</v>
      </c>
      <c r="S171" t="e">
        <f ca="1">IF((A1)=(2),"",IF((168)=(S3),IF(IF((INDEX(B1:XFD1,((A2)+(1))+(0)))=("store"),(INDEX(B1:XFD1,((A2)+(1))+(1)))=("S"),"false"),B2,S171),S171))</f>
        <v>#VALUE!</v>
      </c>
      <c r="T171" t="e">
        <f ca="1">IF((A1)=(2),"",IF((168)=(T3),IF(IF((INDEX(B1:XFD1,((A2)+(1))+(0)))=("store"),(INDEX(B1:XFD1,((A2)+(1))+(1)))=("T"),"false"),B2,T171),T171))</f>
        <v>#VALUE!</v>
      </c>
      <c r="U171" t="e">
        <f ca="1">IF((A1)=(2),"",IF((168)=(U3),IF(IF((INDEX(B1:XFD1,((A2)+(1))+(0)))=("store"),(INDEX(B1:XFD1,((A2)+(1))+(1)))=("U"),"false"),B2,U171),U171))</f>
        <v>#VALUE!</v>
      </c>
      <c r="V171" t="e">
        <f ca="1">IF((A1)=(2),"",IF((168)=(V3),IF(IF((INDEX(B1:XFD1,((A2)+(1))+(0)))=("store"),(INDEX(B1:XFD1,((A2)+(1))+(1)))=("V"),"false"),B2,V171),V171))</f>
        <v>#VALUE!</v>
      </c>
      <c r="W171" t="e">
        <f ca="1">IF((A1)=(2),"",IF((168)=(W3),IF(IF((INDEX(B1:XFD1,((A2)+(1))+(0)))=("store"),(INDEX(B1:XFD1,((A2)+(1))+(1)))=("W"),"false"),B2,W171),W171))</f>
        <v>#VALUE!</v>
      </c>
      <c r="X171" t="e">
        <f ca="1">IF((A1)=(2),"",IF((168)=(X3),IF(IF((INDEX(B1:XFD1,((A2)+(1))+(0)))=("store"),(INDEX(B1:XFD1,((A2)+(1))+(1)))=("X"),"false"),B2,X171),X171))</f>
        <v>#VALUE!</v>
      </c>
      <c r="Y171" t="e">
        <f ca="1">IF((A1)=(2),"",IF((168)=(Y3),IF(IF((INDEX(B1:XFD1,((A2)+(1))+(0)))=("store"),(INDEX(B1:XFD1,((A2)+(1))+(1)))=("Y"),"false"),B2,Y171),Y171))</f>
        <v>#VALUE!</v>
      </c>
      <c r="Z171" t="e">
        <f ca="1">IF((A1)=(2),"",IF((168)=(Z3),IF(IF((INDEX(B1:XFD1,((A2)+(1))+(0)))=("store"),(INDEX(B1:XFD1,((A2)+(1))+(1)))=("Z"),"false"),B2,Z171),Z171))</f>
        <v>#VALUE!</v>
      </c>
      <c r="AA171" t="e">
        <f ca="1">IF((A1)=(2),"",IF((168)=(AA3),IF(IF((INDEX(B1:XFD1,((A2)+(1))+(0)))=("store"),(INDEX(B1:XFD1,((A2)+(1))+(1)))=("AA"),"false"),B2,AA171),AA171))</f>
        <v>#VALUE!</v>
      </c>
      <c r="AB171" t="e">
        <f ca="1">IF((A1)=(2),"",IF((168)=(AB3),IF(IF((INDEX(B1:XFD1,((A2)+(1))+(0)))=("store"),(INDEX(B1:XFD1,((A2)+(1))+(1)))=("AB"),"false"),B2,AB171),AB171))</f>
        <v>#VALUE!</v>
      </c>
      <c r="AC171" t="e">
        <f ca="1">IF((A1)=(2),"",IF((168)=(AC3),IF(IF((INDEX(B1:XFD1,((A2)+(1))+(0)))=("store"),(INDEX(B1:XFD1,((A2)+(1))+(1)))=("AC"),"false"),B2,AC171),AC171))</f>
        <v>#VALUE!</v>
      </c>
      <c r="AD171" t="e">
        <f ca="1">IF((A1)=(2),"",IF((168)=(AD3),IF(IF((INDEX(B1:XFD1,((A2)+(1))+(0)))=("store"),(INDEX(B1:XFD1,((A2)+(1))+(1)))=("AD"),"false"),B2,AD171),AD171))</f>
        <v>#VALUE!</v>
      </c>
    </row>
    <row r="172" spans="1:30" x14ac:dyDescent="0.25">
      <c r="A172" t="e">
        <f ca="1">IF((A1)=(2),"",IF((169)=(A3),IF(("call")=(INDEX(B1:XFD1,((A2)+(1))+(0))),(B2)*(2),IF(("goto")=(INDEX(B1:XFD1,((A2)+(1))+(0))),(INDEX(B1:XFD1,((A2)+(1))+(1)))*(2),IF(("gotoiftrue")=(INDEX(B1:XFD1,((A2)+(1))+(0))),IF(B2,(INDEX(B1:XFD1,((A2)+(1))+(1)))*(2),(A172)+(2)),(A172)+(2)))),A172))</f>
        <v>#VALUE!</v>
      </c>
      <c r="B172" t="e">
        <f ca="1">IF((A1)=(2),"",IF((169)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172)+(1)),IF(("add")=(INDEX(B1:XFD1,((A2)+(1))+(0))),(INDEX(B4:B404,(B3)+(1)))+(B172),IF(("equals")=(INDEX(B1:XFD1,((A2)+(1))+(0))),(INDEX(B4:B404,(B3)+(1)))=(B172),IF(("leq")=(INDEX(B1:XFD1,((A2)+(1))+(0))),(INDEX(B4:B404,(B3)+(1)))&lt;=(B172),IF(("greater")=(INDEX(B1:XFD1,((A2)+(1))+(0))),(INDEX(B4:B404,(B3)+(1)))&gt;(B172),IF(("mod")=(INDEX(B1:XFD1,((A2)+(1))+(0))),MOD(INDEX(B4:B404,(B3)+(1)),B172),B172))))))))),B172))</f>
        <v>#VALUE!</v>
      </c>
      <c r="C172" t="e">
        <f ca="1">IF((A1)=(2),1,IF(AND((INDEX(B1:XFD1,((A2)+(1))+(0)))=("writeheap"),(INDEX(B4:B404,(B3)+(1)))=(168)),INDEX(B4:B404,(B3)+(2)),IF((A1)=(2),"",IF((169)=(C3),C172,C172))))</f>
        <v>#VALUE!</v>
      </c>
      <c r="E172" t="e">
        <f ca="1">IF((A1)=(2),"",IF((169)=(E3),IF(("outputline")=(INDEX(B1:XFD1,((A2)+(1))+(0))),B2,E172),E172))</f>
        <v>#VALUE!</v>
      </c>
      <c r="F172" t="e">
        <f ca="1">IF((A1)=(2),"",IF((169)=(F3),IF(IF((INDEX(B1:XFD1,((A2)+(1))+(0)))=("store"),(INDEX(B1:XFD1,((A2)+(1))+(1)))=("F"),"false"),B2,F172),F172))</f>
        <v>#VALUE!</v>
      </c>
      <c r="G172" t="e">
        <f ca="1">IF((A1)=(2),"",IF((169)=(G3),IF(IF((INDEX(B1:XFD1,((A2)+(1))+(0)))=("store"),(INDEX(B1:XFD1,((A2)+(1))+(1)))=("G"),"false"),B2,G172),G172))</f>
        <v>#VALUE!</v>
      </c>
      <c r="H172" t="e">
        <f ca="1">IF((A1)=(2),"",IF((169)=(H3),IF(IF((INDEX(B1:XFD1,((A2)+(1))+(0)))=("store"),(INDEX(B1:XFD1,((A2)+(1))+(1)))=("H"),"false"),B2,H172),H172))</f>
        <v>#VALUE!</v>
      </c>
      <c r="I172" t="e">
        <f ca="1">IF((A1)=(2),"",IF((169)=(I3),IF(IF((INDEX(B1:XFD1,((A2)+(1))+(0)))=("store"),(INDEX(B1:XFD1,((A2)+(1))+(1)))=("I"),"false"),B2,I172),I172))</f>
        <v>#VALUE!</v>
      </c>
      <c r="J172" t="e">
        <f ca="1">IF((A1)=(2),"",IF((169)=(J3),IF(IF((INDEX(B1:XFD1,((A2)+(1))+(0)))=("store"),(INDEX(B1:XFD1,((A2)+(1))+(1)))=("J"),"false"),B2,J172),J172))</f>
        <v>#VALUE!</v>
      </c>
      <c r="K172" t="e">
        <f ca="1">IF((A1)=(2),"",IF((169)=(K3),IF(IF((INDEX(B1:XFD1,((A2)+(1))+(0)))=("store"),(INDEX(B1:XFD1,((A2)+(1))+(1)))=("K"),"false"),B2,K172),K172))</f>
        <v>#VALUE!</v>
      </c>
      <c r="L172" t="e">
        <f ca="1">IF((A1)=(2),"",IF((169)=(L3),IF(IF((INDEX(B1:XFD1,((A2)+(1))+(0)))=("store"),(INDEX(B1:XFD1,((A2)+(1))+(1)))=("L"),"false"),B2,L172),L172))</f>
        <v>#VALUE!</v>
      </c>
      <c r="M172" t="e">
        <f ca="1">IF((A1)=(2),"",IF((169)=(M3),IF(IF((INDEX(B1:XFD1,((A2)+(1))+(0)))=("store"),(INDEX(B1:XFD1,((A2)+(1))+(1)))=("M"),"false"),B2,M172),M172))</f>
        <v>#VALUE!</v>
      </c>
      <c r="N172" t="e">
        <f ca="1">IF((A1)=(2),"",IF((169)=(N3),IF(IF((INDEX(B1:XFD1,((A2)+(1))+(0)))=("store"),(INDEX(B1:XFD1,((A2)+(1))+(1)))=("N"),"false"),B2,N172),N172))</f>
        <v>#VALUE!</v>
      </c>
      <c r="O172" t="e">
        <f ca="1">IF((A1)=(2),"",IF((169)=(O3),IF(IF((INDEX(B1:XFD1,((A2)+(1))+(0)))=("store"),(INDEX(B1:XFD1,((A2)+(1))+(1)))=("O"),"false"),B2,O172),O172))</f>
        <v>#VALUE!</v>
      </c>
      <c r="P172" t="e">
        <f ca="1">IF((A1)=(2),"",IF((169)=(P3),IF(IF((INDEX(B1:XFD1,((A2)+(1))+(0)))=("store"),(INDEX(B1:XFD1,((A2)+(1))+(1)))=("P"),"false"),B2,P172),P172))</f>
        <v>#VALUE!</v>
      </c>
      <c r="Q172" t="e">
        <f ca="1">IF((A1)=(2),"",IF((169)=(Q3),IF(IF((INDEX(B1:XFD1,((A2)+(1))+(0)))=("store"),(INDEX(B1:XFD1,((A2)+(1))+(1)))=("Q"),"false"),B2,Q172),Q172))</f>
        <v>#VALUE!</v>
      </c>
      <c r="R172" t="e">
        <f ca="1">IF((A1)=(2),"",IF((169)=(R3),IF(IF((INDEX(B1:XFD1,((A2)+(1))+(0)))=("store"),(INDEX(B1:XFD1,((A2)+(1))+(1)))=("R"),"false"),B2,R172),R172))</f>
        <v>#VALUE!</v>
      </c>
      <c r="S172" t="e">
        <f ca="1">IF((A1)=(2),"",IF((169)=(S3),IF(IF((INDEX(B1:XFD1,((A2)+(1))+(0)))=("store"),(INDEX(B1:XFD1,((A2)+(1))+(1)))=("S"),"false"),B2,S172),S172))</f>
        <v>#VALUE!</v>
      </c>
      <c r="T172" t="e">
        <f ca="1">IF((A1)=(2),"",IF((169)=(T3),IF(IF((INDEX(B1:XFD1,((A2)+(1))+(0)))=("store"),(INDEX(B1:XFD1,((A2)+(1))+(1)))=("T"),"false"),B2,T172),T172))</f>
        <v>#VALUE!</v>
      </c>
      <c r="U172" t="e">
        <f ca="1">IF((A1)=(2),"",IF((169)=(U3),IF(IF((INDEX(B1:XFD1,((A2)+(1))+(0)))=("store"),(INDEX(B1:XFD1,((A2)+(1))+(1)))=("U"),"false"),B2,U172),U172))</f>
        <v>#VALUE!</v>
      </c>
      <c r="V172" t="e">
        <f ca="1">IF((A1)=(2),"",IF((169)=(V3),IF(IF((INDEX(B1:XFD1,((A2)+(1))+(0)))=("store"),(INDEX(B1:XFD1,((A2)+(1))+(1)))=("V"),"false"),B2,V172),V172))</f>
        <v>#VALUE!</v>
      </c>
      <c r="W172" t="e">
        <f ca="1">IF((A1)=(2),"",IF((169)=(W3),IF(IF((INDEX(B1:XFD1,((A2)+(1))+(0)))=("store"),(INDEX(B1:XFD1,((A2)+(1))+(1)))=("W"),"false"),B2,W172),W172))</f>
        <v>#VALUE!</v>
      </c>
      <c r="X172" t="e">
        <f ca="1">IF((A1)=(2),"",IF((169)=(X3),IF(IF((INDEX(B1:XFD1,((A2)+(1))+(0)))=("store"),(INDEX(B1:XFD1,((A2)+(1))+(1)))=("X"),"false"),B2,X172),X172))</f>
        <v>#VALUE!</v>
      </c>
      <c r="Y172" t="e">
        <f ca="1">IF((A1)=(2),"",IF((169)=(Y3),IF(IF((INDEX(B1:XFD1,((A2)+(1))+(0)))=("store"),(INDEX(B1:XFD1,((A2)+(1))+(1)))=("Y"),"false"),B2,Y172),Y172))</f>
        <v>#VALUE!</v>
      </c>
      <c r="Z172" t="e">
        <f ca="1">IF((A1)=(2),"",IF((169)=(Z3),IF(IF((INDEX(B1:XFD1,((A2)+(1))+(0)))=("store"),(INDEX(B1:XFD1,((A2)+(1))+(1)))=("Z"),"false"),B2,Z172),Z172))</f>
        <v>#VALUE!</v>
      </c>
      <c r="AA172" t="e">
        <f ca="1">IF((A1)=(2),"",IF((169)=(AA3),IF(IF((INDEX(B1:XFD1,((A2)+(1))+(0)))=("store"),(INDEX(B1:XFD1,((A2)+(1))+(1)))=("AA"),"false"),B2,AA172),AA172))</f>
        <v>#VALUE!</v>
      </c>
      <c r="AB172" t="e">
        <f ca="1">IF((A1)=(2),"",IF((169)=(AB3),IF(IF((INDEX(B1:XFD1,((A2)+(1))+(0)))=("store"),(INDEX(B1:XFD1,((A2)+(1))+(1)))=("AB"),"false"),B2,AB172),AB172))</f>
        <v>#VALUE!</v>
      </c>
      <c r="AC172" t="e">
        <f ca="1">IF((A1)=(2),"",IF((169)=(AC3),IF(IF((INDEX(B1:XFD1,((A2)+(1))+(0)))=("store"),(INDEX(B1:XFD1,((A2)+(1))+(1)))=("AC"),"false"),B2,AC172),AC172))</f>
        <v>#VALUE!</v>
      </c>
      <c r="AD172" t="e">
        <f ca="1">IF((A1)=(2),"",IF((169)=(AD3),IF(IF((INDEX(B1:XFD1,((A2)+(1))+(0)))=("store"),(INDEX(B1:XFD1,((A2)+(1))+(1)))=("AD"),"false"),B2,AD172),AD172))</f>
        <v>#VALUE!</v>
      </c>
    </row>
    <row r="173" spans="1:30" x14ac:dyDescent="0.25">
      <c r="A173" t="e">
        <f ca="1">IF((A1)=(2),"",IF((170)=(A3),IF(("call")=(INDEX(B1:XFD1,((A2)+(1))+(0))),(B2)*(2),IF(("goto")=(INDEX(B1:XFD1,((A2)+(1))+(0))),(INDEX(B1:XFD1,((A2)+(1))+(1)))*(2),IF(("gotoiftrue")=(INDEX(B1:XFD1,((A2)+(1))+(0))),IF(B2,(INDEX(B1:XFD1,((A2)+(1))+(1)))*(2),(A173)+(2)),(A173)+(2)))),A173))</f>
        <v>#VALUE!</v>
      </c>
      <c r="B173" t="e">
        <f ca="1">IF((A1)=(2),"",IF((170)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173)+(1)),IF(("add")=(INDEX(B1:XFD1,((A2)+(1))+(0))),(INDEX(B4:B404,(B3)+(1)))+(B173),IF(("equals")=(INDEX(B1:XFD1,((A2)+(1))+(0))),(INDEX(B4:B404,(B3)+(1)))=(B173),IF(("leq")=(INDEX(B1:XFD1,((A2)+(1))+(0))),(INDEX(B4:B404,(B3)+(1)))&lt;=(B173),IF(("greater")=(INDEX(B1:XFD1,((A2)+(1))+(0))),(INDEX(B4:B404,(B3)+(1)))&gt;(B173),IF(("mod")=(INDEX(B1:XFD1,((A2)+(1))+(0))),MOD(INDEX(B4:B404,(B3)+(1)),B173),B173))))))))),B173))</f>
        <v>#VALUE!</v>
      </c>
      <c r="C173" t="e">
        <f ca="1">IF((A1)=(2),1,IF(AND((INDEX(B1:XFD1,((A2)+(1))+(0)))=("writeheap"),(INDEX(B4:B404,(B3)+(1)))=(169)),INDEX(B4:B404,(B3)+(2)),IF((A1)=(2),"",IF((170)=(C3),C173,C173))))</f>
        <v>#VALUE!</v>
      </c>
      <c r="E173" t="e">
        <f ca="1">IF((A1)=(2),"",IF((170)=(E3),IF(("outputline")=(INDEX(B1:XFD1,((A2)+(1))+(0))),B2,E173),E173))</f>
        <v>#VALUE!</v>
      </c>
      <c r="F173" t="e">
        <f ca="1">IF((A1)=(2),"",IF((170)=(F3),IF(IF((INDEX(B1:XFD1,((A2)+(1))+(0)))=("store"),(INDEX(B1:XFD1,((A2)+(1))+(1)))=("F"),"false"),B2,F173),F173))</f>
        <v>#VALUE!</v>
      </c>
      <c r="G173" t="e">
        <f ca="1">IF((A1)=(2),"",IF((170)=(G3),IF(IF((INDEX(B1:XFD1,((A2)+(1))+(0)))=("store"),(INDEX(B1:XFD1,((A2)+(1))+(1)))=("G"),"false"),B2,G173),G173))</f>
        <v>#VALUE!</v>
      </c>
      <c r="H173" t="e">
        <f ca="1">IF((A1)=(2),"",IF((170)=(H3),IF(IF((INDEX(B1:XFD1,((A2)+(1))+(0)))=("store"),(INDEX(B1:XFD1,((A2)+(1))+(1)))=("H"),"false"),B2,H173),H173))</f>
        <v>#VALUE!</v>
      </c>
      <c r="I173" t="e">
        <f ca="1">IF((A1)=(2),"",IF((170)=(I3),IF(IF((INDEX(B1:XFD1,((A2)+(1))+(0)))=("store"),(INDEX(B1:XFD1,((A2)+(1))+(1)))=("I"),"false"),B2,I173),I173))</f>
        <v>#VALUE!</v>
      </c>
      <c r="J173" t="e">
        <f ca="1">IF((A1)=(2),"",IF((170)=(J3),IF(IF((INDEX(B1:XFD1,((A2)+(1))+(0)))=("store"),(INDEX(B1:XFD1,((A2)+(1))+(1)))=("J"),"false"),B2,J173),J173))</f>
        <v>#VALUE!</v>
      </c>
      <c r="K173" t="e">
        <f ca="1">IF((A1)=(2),"",IF((170)=(K3),IF(IF((INDEX(B1:XFD1,((A2)+(1))+(0)))=("store"),(INDEX(B1:XFD1,((A2)+(1))+(1)))=("K"),"false"),B2,K173),K173))</f>
        <v>#VALUE!</v>
      </c>
      <c r="L173" t="e">
        <f ca="1">IF((A1)=(2),"",IF((170)=(L3),IF(IF((INDEX(B1:XFD1,((A2)+(1))+(0)))=("store"),(INDEX(B1:XFD1,((A2)+(1))+(1)))=("L"),"false"),B2,L173),L173))</f>
        <v>#VALUE!</v>
      </c>
      <c r="M173" t="e">
        <f ca="1">IF((A1)=(2),"",IF((170)=(M3),IF(IF((INDEX(B1:XFD1,((A2)+(1))+(0)))=("store"),(INDEX(B1:XFD1,((A2)+(1))+(1)))=("M"),"false"),B2,M173),M173))</f>
        <v>#VALUE!</v>
      </c>
      <c r="N173" t="e">
        <f ca="1">IF((A1)=(2),"",IF((170)=(N3),IF(IF((INDEX(B1:XFD1,((A2)+(1))+(0)))=("store"),(INDEX(B1:XFD1,((A2)+(1))+(1)))=("N"),"false"),B2,N173),N173))</f>
        <v>#VALUE!</v>
      </c>
      <c r="O173" t="e">
        <f ca="1">IF((A1)=(2),"",IF((170)=(O3),IF(IF((INDEX(B1:XFD1,((A2)+(1))+(0)))=("store"),(INDEX(B1:XFD1,((A2)+(1))+(1)))=("O"),"false"),B2,O173),O173))</f>
        <v>#VALUE!</v>
      </c>
      <c r="P173" t="e">
        <f ca="1">IF((A1)=(2),"",IF((170)=(P3),IF(IF((INDEX(B1:XFD1,((A2)+(1))+(0)))=("store"),(INDEX(B1:XFD1,((A2)+(1))+(1)))=("P"),"false"),B2,P173),P173))</f>
        <v>#VALUE!</v>
      </c>
      <c r="Q173" t="e">
        <f ca="1">IF((A1)=(2),"",IF((170)=(Q3),IF(IF((INDEX(B1:XFD1,((A2)+(1))+(0)))=("store"),(INDEX(B1:XFD1,((A2)+(1))+(1)))=("Q"),"false"),B2,Q173),Q173))</f>
        <v>#VALUE!</v>
      </c>
      <c r="R173" t="e">
        <f ca="1">IF((A1)=(2),"",IF((170)=(R3),IF(IF((INDEX(B1:XFD1,((A2)+(1))+(0)))=("store"),(INDEX(B1:XFD1,((A2)+(1))+(1)))=("R"),"false"),B2,R173),R173))</f>
        <v>#VALUE!</v>
      </c>
      <c r="S173" t="e">
        <f ca="1">IF((A1)=(2),"",IF((170)=(S3),IF(IF((INDEX(B1:XFD1,((A2)+(1))+(0)))=("store"),(INDEX(B1:XFD1,((A2)+(1))+(1)))=("S"),"false"),B2,S173),S173))</f>
        <v>#VALUE!</v>
      </c>
      <c r="T173" t="e">
        <f ca="1">IF((A1)=(2),"",IF((170)=(T3),IF(IF((INDEX(B1:XFD1,((A2)+(1))+(0)))=("store"),(INDEX(B1:XFD1,((A2)+(1))+(1)))=("T"),"false"),B2,T173),T173))</f>
        <v>#VALUE!</v>
      </c>
      <c r="U173" t="e">
        <f ca="1">IF((A1)=(2),"",IF((170)=(U3),IF(IF((INDEX(B1:XFD1,((A2)+(1))+(0)))=("store"),(INDEX(B1:XFD1,((A2)+(1))+(1)))=("U"),"false"),B2,U173),U173))</f>
        <v>#VALUE!</v>
      </c>
      <c r="V173" t="e">
        <f ca="1">IF((A1)=(2),"",IF((170)=(V3),IF(IF((INDEX(B1:XFD1,((A2)+(1))+(0)))=("store"),(INDEX(B1:XFD1,((A2)+(1))+(1)))=("V"),"false"),B2,V173),V173))</f>
        <v>#VALUE!</v>
      </c>
      <c r="W173" t="e">
        <f ca="1">IF((A1)=(2),"",IF((170)=(W3),IF(IF((INDEX(B1:XFD1,((A2)+(1))+(0)))=("store"),(INDEX(B1:XFD1,((A2)+(1))+(1)))=("W"),"false"),B2,W173),W173))</f>
        <v>#VALUE!</v>
      </c>
      <c r="X173" t="e">
        <f ca="1">IF((A1)=(2),"",IF((170)=(X3),IF(IF((INDEX(B1:XFD1,((A2)+(1))+(0)))=("store"),(INDEX(B1:XFD1,((A2)+(1))+(1)))=("X"),"false"),B2,X173),X173))</f>
        <v>#VALUE!</v>
      </c>
      <c r="Y173" t="e">
        <f ca="1">IF((A1)=(2),"",IF((170)=(Y3),IF(IF((INDEX(B1:XFD1,((A2)+(1))+(0)))=("store"),(INDEX(B1:XFD1,((A2)+(1))+(1)))=("Y"),"false"),B2,Y173),Y173))</f>
        <v>#VALUE!</v>
      </c>
      <c r="Z173" t="e">
        <f ca="1">IF((A1)=(2),"",IF((170)=(Z3),IF(IF((INDEX(B1:XFD1,((A2)+(1))+(0)))=("store"),(INDEX(B1:XFD1,((A2)+(1))+(1)))=("Z"),"false"),B2,Z173),Z173))</f>
        <v>#VALUE!</v>
      </c>
      <c r="AA173" t="e">
        <f ca="1">IF((A1)=(2),"",IF((170)=(AA3),IF(IF((INDEX(B1:XFD1,((A2)+(1))+(0)))=("store"),(INDEX(B1:XFD1,((A2)+(1))+(1)))=("AA"),"false"),B2,AA173),AA173))</f>
        <v>#VALUE!</v>
      </c>
      <c r="AB173" t="e">
        <f ca="1">IF((A1)=(2),"",IF((170)=(AB3),IF(IF((INDEX(B1:XFD1,((A2)+(1))+(0)))=("store"),(INDEX(B1:XFD1,((A2)+(1))+(1)))=("AB"),"false"),B2,AB173),AB173))</f>
        <v>#VALUE!</v>
      </c>
      <c r="AC173" t="e">
        <f ca="1">IF((A1)=(2),"",IF((170)=(AC3),IF(IF((INDEX(B1:XFD1,((A2)+(1))+(0)))=("store"),(INDEX(B1:XFD1,((A2)+(1))+(1)))=("AC"),"false"),B2,AC173),AC173))</f>
        <v>#VALUE!</v>
      </c>
      <c r="AD173" t="e">
        <f ca="1">IF((A1)=(2),"",IF((170)=(AD3),IF(IF((INDEX(B1:XFD1,((A2)+(1))+(0)))=("store"),(INDEX(B1:XFD1,((A2)+(1))+(1)))=("AD"),"false"),B2,AD173),AD173))</f>
        <v>#VALUE!</v>
      </c>
    </row>
    <row r="174" spans="1:30" x14ac:dyDescent="0.25">
      <c r="A174" t="e">
        <f ca="1">IF((A1)=(2),"",IF((171)=(A3),IF(("call")=(INDEX(B1:XFD1,((A2)+(1))+(0))),(B2)*(2),IF(("goto")=(INDEX(B1:XFD1,((A2)+(1))+(0))),(INDEX(B1:XFD1,((A2)+(1))+(1)))*(2),IF(("gotoiftrue")=(INDEX(B1:XFD1,((A2)+(1))+(0))),IF(B2,(INDEX(B1:XFD1,((A2)+(1))+(1)))*(2),(A174)+(2)),(A174)+(2)))),A174))</f>
        <v>#VALUE!</v>
      </c>
      <c r="B174" t="e">
        <f ca="1">IF((A1)=(2),"",IF((171)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174)+(1)),IF(("add")=(INDEX(B1:XFD1,((A2)+(1))+(0))),(INDEX(B4:B404,(B3)+(1)))+(B174),IF(("equals")=(INDEX(B1:XFD1,((A2)+(1))+(0))),(INDEX(B4:B404,(B3)+(1)))=(B174),IF(("leq")=(INDEX(B1:XFD1,((A2)+(1))+(0))),(INDEX(B4:B404,(B3)+(1)))&lt;=(B174),IF(("greater")=(INDEX(B1:XFD1,((A2)+(1))+(0))),(INDEX(B4:B404,(B3)+(1)))&gt;(B174),IF(("mod")=(INDEX(B1:XFD1,((A2)+(1))+(0))),MOD(INDEX(B4:B404,(B3)+(1)),B174),B174))))))))),B174))</f>
        <v>#VALUE!</v>
      </c>
      <c r="C174" t="e">
        <f ca="1">IF((A1)=(2),1,IF(AND((INDEX(B1:XFD1,((A2)+(1))+(0)))=("writeheap"),(INDEX(B4:B404,(B3)+(1)))=(170)),INDEX(B4:B404,(B3)+(2)),IF((A1)=(2),"",IF((171)=(C3),C174,C174))))</f>
        <v>#VALUE!</v>
      </c>
      <c r="E174" t="e">
        <f ca="1">IF((A1)=(2),"",IF((171)=(E3),IF(("outputline")=(INDEX(B1:XFD1,((A2)+(1))+(0))),B2,E174),E174))</f>
        <v>#VALUE!</v>
      </c>
      <c r="F174" t="e">
        <f ca="1">IF((A1)=(2),"",IF((171)=(F3),IF(IF((INDEX(B1:XFD1,((A2)+(1))+(0)))=("store"),(INDEX(B1:XFD1,((A2)+(1))+(1)))=("F"),"false"),B2,F174),F174))</f>
        <v>#VALUE!</v>
      </c>
      <c r="G174" t="e">
        <f ca="1">IF((A1)=(2),"",IF((171)=(G3),IF(IF((INDEX(B1:XFD1,((A2)+(1))+(0)))=("store"),(INDEX(B1:XFD1,((A2)+(1))+(1)))=("G"),"false"),B2,G174),G174))</f>
        <v>#VALUE!</v>
      </c>
      <c r="H174" t="e">
        <f ca="1">IF((A1)=(2),"",IF((171)=(H3),IF(IF((INDEX(B1:XFD1,((A2)+(1))+(0)))=("store"),(INDEX(B1:XFD1,((A2)+(1))+(1)))=("H"),"false"),B2,H174),H174))</f>
        <v>#VALUE!</v>
      </c>
      <c r="I174" t="e">
        <f ca="1">IF((A1)=(2),"",IF((171)=(I3),IF(IF((INDEX(B1:XFD1,((A2)+(1))+(0)))=("store"),(INDEX(B1:XFD1,((A2)+(1))+(1)))=("I"),"false"),B2,I174),I174))</f>
        <v>#VALUE!</v>
      </c>
      <c r="J174" t="e">
        <f ca="1">IF((A1)=(2),"",IF((171)=(J3),IF(IF((INDEX(B1:XFD1,((A2)+(1))+(0)))=("store"),(INDEX(B1:XFD1,((A2)+(1))+(1)))=("J"),"false"),B2,J174),J174))</f>
        <v>#VALUE!</v>
      </c>
      <c r="K174" t="e">
        <f ca="1">IF((A1)=(2),"",IF((171)=(K3),IF(IF((INDEX(B1:XFD1,((A2)+(1))+(0)))=("store"),(INDEX(B1:XFD1,((A2)+(1))+(1)))=("K"),"false"),B2,K174),K174))</f>
        <v>#VALUE!</v>
      </c>
      <c r="L174" t="e">
        <f ca="1">IF((A1)=(2),"",IF((171)=(L3),IF(IF((INDEX(B1:XFD1,((A2)+(1))+(0)))=("store"),(INDEX(B1:XFD1,((A2)+(1))+(1)))=("L"),"false"),B2,L174),L174))</f>
        <v>#VALUE!</v>
      </c>
      <c r="M174" t="e">
        <f ca="1">IF((A1)=(2),"",IF((171)=(M3),IF(IF((INDEX(B1:XFD1,((A2)+(1))+(0)))=("store"),(INDEX(B1:XFD1,((A2)+(1))+(1)))=("M"),"false"),B2,M174),M174))</f>
        <v>#VALUE!</v>
      </c>
      <c r="N174" t="e">
        <f ca="1">IF((A1)=(2),"",IF((171)=(N3),IF(IF((INDEX(B1:XFD1,((A2)+(1))+(0)))=("store"),(INDEX(B1:XFD1,((A2)+(1))+(1)))=("N"),"false"),B2,N174),N174))</f>
        <v>#VALUE!</v>
      </c>
      <c r="O174" t="e">
        <f ca="1">IF((A1)=(2),"",IF((171)=(O3),IF(IF((INDEX(B1:XFD1,((A2)+(1))+(0)))=("store"),(INDEX(B1:XFD1,((A2)+(1))+(1)))=("O"),"false"),B2,O174),O174))</f>
        <v>#VALUE!</v>
      </c>
      <c r="P174" t="e">
        <f ca="1">IF((A1)=(2),"",IF((171)=(P3),IF(IF((INDEX(B1:XFD1,((A2)+(1))+(0)))=("store"),(INDEX(B1:XFD1,((A2)+(1))+(1)))=("P"),"false"),B2,P174),P174))</f>
        <v>#VALUE!</v>
      </c>
      <c r="Q174" t="e">
        <f ca="1">IF((A1)=(2),"",IF((171)=(Q3),IF(IF((INDEX(B1:XFD1,((A2)+(1))+(0)))=("store"),(INDEX(B1:XFD1,((A2)+(1))+(1)))=("Q"),"false"),B2,Q174),Q174))</f>
        <v>#VALUE!</v>
      </c>
      <c r="R174" t="e">
        <f ca="1">IF((A1)=(2),"",IF((171)=(R3),IF(IF((INDEX(B1:XFD1,((A2)+(1))+(0)))=("store"),(INDEX(B1:XFD1,((A2)+(1))+(1)))=("R"),"false"),B2,R174),R174))</f>
        <v>#VALUE!</v>
      </c>
      <c r="S174" t="e">
        <f ca="1">IF((A1)=(2),"",IF((171)=(S3),IF(IF((INDEX(B1:XFD1,((A2)+(1))+(0)))=("store"),(INDEX(B1:XFD1,((A2)+(1))+(1)))=("S"),"false"),B2,S174),S174))</f>
        <v>#VALUE!</v>
      </c>
      <c r="T174" t="e">
        <f ca="1">IF((A1)=(2),"",IF((171)=(T3),IF(IF((INDEX(B1:XFD1,((A2)+(1))+(0)))=("store"),(INDEX(B1:XFD1,((A2)+(1))+(1)))=("T"),"false"),B2,T174),T174))</f>
        <v>#VALUE!</v>
      </c>
      <c r="U174" t="e">
        <f ca="1">IF((A1)=(2),"",IF((171)=(U3),IF(IF((INDEX(B1:XFD1,((A2)+(1))+(0)))=("store"),(INDEX(B1:XFD1,((A2)+(1))+(1)))=("U"),"false"),B2,U174),U174))</f>
        <v>#VALUE!</v>
      </c>
      <c r="V174" t="e">
        <f ca="1">IF((A1)=(2),"",IF((171)=(V3),IF(IF((INDEX(B1:XFD1,((A2)+(1))+(0)))=("store"),(INDEX(B1:XFD1,((A2)+(1))+(1)))=("V"),"false"),B2,V174),V174))</f>
        <v>#VALUE!</v>
      </c>
      <c r="W174" t="e">
        <f ca="1">IF((A1)=(2),"",IF((171)=(W3),IF(IF((INDEX(B1:XFD1,((A2)+(1))+(0)))=("store"),(INDEX(B1:XFD1,((A2)+(1))+(1)))=("W"),"false"),B2,W174),W174))</f>
        <v>#VALUE!</v>
      </c>
      <c r="X174" t="e">
        <f ca="1">IF((A1)=(2),"",IF((171)=(X3),IF(IF((INDEX(B1:XFD1,((A2)+(1))+(0)))=("store"),(INDEX(B1:XFD1,((A2)+(1))+(1)))=("X"),"false"),B2,X174),X174))</f>
        <v>#VALUE!</v>
      </c>
      <c r="Y174" t="e">
        <f ca="1">IF((A1)=(2),"",IF((171)=(Y3),IF(IF((INDEX(B1:XFD1,((A2)+(1))+(0)))=("store"),(INDEX(B1:XFD1,((A2)+(1))+(1)))=("Y"),"false"),B2,Y174),Y174))</f>
        <v>#VALUE!</v>
      </c>
      <c r="Z174" t="e">
        <f ca="1">IF((A1)=(2),"",IF((171)=(Z3),IF(IF((INDEX(B1:XFD1,((A2)+(1))+(0)))=("store"),(INDEX(B1:XFD1,((A2)+(1))+(1)))=("Z"),"false"),B2,Z174),Z174))</f>
        <v>#VALUE!</v>
      </c>
      <c r="AA174" t="e">
        <f ca="1">IF((A1)=(2),"",IF((171)=(AA3),IF(IF((INDEX(B1:XFD1,((A2)+(1))+(0)))=("store"),(INDEX(B1:XFD1,((A2)+(1))+(1)))=("AA"),"false"),B2,AA174),AA174))</f>
        <v>#VALUE!</v>
      </c>
      <c r="AB174" t="e">
        <f ca="1">IF((A1)=(2),"",IF((171)=(AB3),IF(IF((INDEX(B1:XFD1,((A2)+(1))+(0)))=("store"),(INDEX(B1:XFD1,((A2)+(1))+(1)))=("AB"),"false"),B2,AB174),AB174))</f>
        <v>#VALUE!</v>
      </c>
      <c r="AC174" t="e">
        <f ca="1">IF((A1)=(2),"",IF((171)=(AC3),IF(IF((INDEX(B1:XFD1,((A2)+(1))+(0)))=("store"),(INDEX(B1:XFD1,((A2)+(1))+(1)))=("AC"),"false"),B2,AC174),AC174))</f>
        <v>#VALUE!</v>
      </c>
      <c r="AD174" t="e">
        <f ca="1">IF((A1)=(2),"",IF((171)=(AD3),IF(IF((INDEX(B1:XFD1,((A2)+(1))+(0)))=("store"),(INDEX(B1:XFD1,((A2)+(1))+(1)))=("AD"),"false"),B2,AD174),AD174))</f>
        <v>#VALUE!</v>
      </c>
    </row>
    <row r="175" spans="1:30" x14ac:dyDescent="0.25">
      <c r="A175" t="e">
        <f ca="1">IF((A1)=(2),"",IF((172)=(A3),IF(("call")=(INDEX(B1:XFD1,((A2)+(1))+(0))),(B2)*(2),IF(("goto")=(INDEX(B1:XFD1,((A2)+(1))+(0))),(INDEX(B1:XFD1,((A2)+(1))+(1)))*(2),IF(("gotoiftrue")=(INDEX(B1:XFD1,((A2)+(1))+(0))),IF(B2,(INDEX(B1:XFD1,((A2)+(1))+(1)))*(2),(A175)+(2)),(A175)+(2)))),A175))</f>
        <v>#VALUE!</v>
      </c>
      <c r="B175" t="e">
        <f ca="1">IF((A1)=(2),"",IF((172)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175)+(1)),IF(("add")=(INDEX(B1:XFD1,((A2)+(1))+(0))),(INDEX(B4:B404,(B3)+(1)))+(B175),IF(("equals")=(INDEX(B1:XFD1,((A2)+(1))+(0))),(INDEX(B4:B404,(B3)+(1)))=(B175),IF(("leq")=(INDEX(B1:XFD1,((A2)+(1))+(0))),(INDEX(B4:B404,(B3)+(1)))&lt;=(B175),IF(("greater")=(INDEX(B1:XFD1,((A2)+(1))+(0))),(INDEX(B4:B404,(B3)+(1)))&gt;(B175),IF(("mod")=(INDEX(B1:XFD1,((A2)+(1))+(0))),MOD(INDEX(B4:B404,(B3)+(1)),B175),B175))))))))),B175))</f>
        <v>#VALUE!</v>
      </c>
      <c r="C175" t="e">
        <f ca="1">IF((A1)=(2),1,IF(AND((INDEX(B1:XFD1,((A2)+(1))+(0)))=("writeheap"),(INDEX(B4:B404,(B3)+(1)))=(171)),INDEX(B4:B404,(B3)+(2)),IF((A1)=(2),"",IF((172)=(C3),C175,C175))))</f>
        <v>#VALUE!</v>
      </c>
      <c r="E175" t="e">
        <f ca="1">IF((A1)=(2),"",IF((172)=(E3),IF(("outputline")=(INDEX(B1:XFD1,((A2)+(1))+(0))),B2,E175),E175))</f>
        <v>#VALUE!</v>
      </c>
      <c r="F175" t="e">
        <f ca="1">IF((A1)=(2),"",IF((172)=(F3),IF(IF((INDEX(B1:XFD1,((A2)+(1))+(0)))=("store"),(INDEX(B1:XFD1,((A2)+(1))+(1)))=("F"),"false"),B2,F175),F175))</f>
        <v>#VALUE!</v>
      </c>
      <c r="G175" t="e">
        <f ca="1">IF((A1)=(2),"",IF((172)=(G3),IF(IF((INDEX(B1:XFD1,((A2)+(1))+(0)))=("store"),(INDEX(B1:XFD1,((A2)+(1))+(1)))=("G"),"false"),B2,G175),G175))</f>
        <v>#VALUE!</v>
      </c>
      <c r="H175" t="e">
        <f ca="1">IF((A1)=(2),"",IF((172)=(H3),IF(IF((INDEX(B1:XFD1,((A2)+(1))+(0)))=("store"),(INDEX(B1:XFD1,((A2)+(1))+(1)))=("H"),"false"),B2,H175),H175))</f>
        <v>#VALUE!</v>
      </c>
      <c r="I175" t="e">
        <f ca="1">IF((A1)=(2),"",IF((172)=(I3),IF(IF((INDEX(B1:XFD1,((A2)+(1))+(0)))=("store"),(INDEX(B1:XFD1,((A2)+(1))+(1)))=("I"),"false"),B2,I175),I175))</f>
        <v>#VALUE!</v>
      </c>
      <c r="J175" t="e">
        <f ca="1">IF((A1)=(2),"",IF((172)=(J3),IF(IF((INDEX(B1:XFD1,((A2)+(1))+(0)))=("store"),(INDEX(B1:XFD1,((A2)+(1))+(1)))=("J"),"false"),B2,J175),J175))</f>
        <v>#VALUE!</v>
      </c>
      <c r="K175" t="e">
        <f ca="1">IF((A1)=(2),"",IF((172)=(K3),IF(IF((INDEX(B1:XFD1,((A2)+(1))+(0)))=("store"),(INDEX(B1:XFD1,((A2)+(1))+(1)))=("K"),"false"),B2,K175),K175))</f>
        <v>#VALUE!</v>
      </c>
      <c r="L175" t="e">
        <f ca="1">IF((A1)=(2),"",IF((172)=(L3),IF(IF((INDEX(B1:XFD1,((A2)+(1))+(0)))=("store"),(INDEX(B1:XFD1,((A2)+(1))+(1)))=("L"),"false"),B2,L175),L175))</f>
        <v>#VALUE!</v>
      </c>
      <c r="M175" t="e">
        <f ca="1">IF((A1)=(2),"",IF((172)=(M3),IF(IF((INDEX(B1:XFD1,((A2)+(1))+(0)))=("store"),(INDEX(B1:XFD1,((A2)+(1))+(1)))=("M"),"false"),B2,M175),M175))</f>
        <v>#VALUE!</v>
      </c>
      <c r="N175" t="e">
        <f ca="1">IF((A1)=(2),"",IF((172)=(N3),IF(IF((INDEX(B1:XFD1,((A2)+(1))+(0)))=("store"),(INDEX(B1:XFD1,((A2)+(1))+(1)))=("N"),"false"),B2,N175),N175))</f>
        <v>#VALUE!</v>
      </c>
      <c r="O175" t="e">
        <f ca="1">IF((A1)=(2),"",IF((172)=(O3),IF(IF((INDEX(B1:XFD1,((A2)+(1))+(0)))=("store"),(INDEX(B1:XFD1,((A2)+(1))+(1)))=("O"),"false"),B2,O175),O175))</f>
        <v>#VALUE!</v>
      </c>
      <c r="P175" t="e">
        <f ca="1">IF((A1)=(2),"",IF((172)=(P3),IF(IF((INDEX(B1:XFD1,((A2)+(1))+(0)))=("store"),(INDEX(B1:XFD1,((A2)+(1))+(1)))=("P"),"false"),B2,P175),P175))</f>
        <v>#VALUE!</v>
      </c>
      <c r="Q175" t="e">
        <f ca="1">IF((A1)=(2),"",IF((172)=(Q3),IF(IF((INDEX(B1:XFD1,((A2)+(1))+(0)))=("store"),(INDEX(B1:XFD1,((A2)+(1))+(1)))=("Q"),"false"),B2,Q175),Q175))</f>
        <v>#VALUE!</v>
      </c>
      <c r="R175" t="e">
        <f ca="1">IF((A1)=(2),"",IF((172)=(R3),IF(IF((INDEX(B1:XFD1,((A2)+(1))+(0)))=("store"),(INDEX(B1:XFD1,((A2)+(1))+(1)))=("R"),"false"),B2,R175),R175))</f>
        <v>#VALUE!</v>
      </c>
      <c r="S175" t="e">
        <f ca="1">IF((A1)=(2),"",IF((172)=(S3),IF(IF((INDEX(B1:XFD1,((A2)+(1))+(0)))=("store"),(INDEX(B1:XFD1,((A2)+(1))+(1)))=("S"),"false"),B2,S175),S175))</f>
        <v>#VALUE!</v>
      </c>
      <c r="T175" t="e">
        <f ca="1">IF((A1)=(2),"",IF((172)=(T3),IF(IF((INDEX(B1:XFD1,((A2)+(1))+(0)))=("store"),(INDEX(B1:XFD1,((A2)+(1))+(1)))=("T"),"false"),B2,T175),T175))</f>
        <v>#VALUE!</v>
      </c>
      <c r="U175" t="e">
        <f ca="1">IF((A1)=(2),"",IF((172)=(U3),IF(IF((INDEX(B1:XFD1,((A2)+(1))+(0)))=("store"),(INDEX(B1:XFD1,((A2)+(1))+(1)))=("U"),"false"),B2,U175),U175))</f>
        <v>#VALUE!</v>
      </c>
      <c r="V175" t="e">
        <f ca="1">IF((A1)=(2),"",IF((172)=(V3),IF(IF((INDEX(B1:XFD1,((A2)+(1))+(0)))=("store"),(INDEX(B1:XFD1,((A2)+(1))+(1)))=("V"),"false"),B2,V175),V175))</f>
        <v>#VALUE!</v>
      </c>
      <c r="W175" t="e">
        <f ca="1">IF((A1)=(2),"",IF((172)=(W3),IF(IF((INDEX(B1:XFD1,((A2)+(1))+(0)))=("store"),(INDEX(B1:XFD1,((A2)+(1))+(1)))=("W"),"false"),B2,W175),W175))</f>
        <v>#VALUE!</v>
      </c>
      <c r="X175" t="e">
        <f ca="1">IF((A1)=(2),"",IF((172)=(X3),IF(IF((INDEX(B1:XFD1,((A2)+(1))+(0)))=("store"),(INDEX(B1:XFD1,((A2)+(1))+(1)))=("X"),"false"),B2,X175),X175))</f>
        <v>#VALUE!</v>
      </c>
      <c r="Y175" t="e">
        <f ca="1">IF((A1)=(2),"",IF((172)=(Y3),IF(IF((INDEX(B1:XFD1,((A2)+(1))+(0)))=("store"),(INDEX(B1:XFD1,((A2)+(1))+(1)))=("Y"),"false"),B2,Y175),Y175))</f>
        <v>#VALUE!</v>
      </c>
      <c r="Z175" t="e">
        <f ca="1">IF((A1)=(2),"",IF((172)=(Z3),IF(IF((INDEX(B1:XFD1,((A2)+(1))+(0)))=("store"),(INDEX(B1:XFD1,((A2)+(1))+(1)))=("Z"),"false"),B2,Z175),Z175))</f>
        <v>#VALUE!</v>
      </c>
      <c r="AA175" t="e">
        <f ca="1">IF((A1)=(2),"",IF((172)=(AA3),IF(IF((INDEX(B1:XFD1,((A2)+(1))+(0)))=("store"),(INDEX(B1:XFD1,((A2)+(1))+(1)))=("AA"),"false"),B2,AA175),AA175))</f>
        <v>#VALUE!</v>
      </c>
      <c r="AB175" t="e">
        <f ca="1">IF((A1)=(2),"",IF((172)=(AB3),IF(IF((INDEX(B1:XFD1,((A2)+(1))+(0)))=("store"),(INDEX(B1:XFD1,((A2)+(1))+(1)))=("AB"),"false"),B2,AB175),AB175))</f>
        <v>#VALUE!</v>
      </c>
      <c r="AC175" t="e">
        <f ca="1">IF((A1)=(2),"",IF((172)=(AC3),IF(IF((INDEX(B1:XFD1,((A2)+(1))+(0)))=("store"),(INDEX(B1:XFD1,((A2)+(1))+(1)))=("AC"),"false"),B2,AC175),AC175))</f>
        <v>#VALUE!</v>
      </c>
      <c r="AD175" t="e">
        <f ca="1">IF((A1)=(2),"",IF((172)=(AD3),IF(IF((INDEX(B1:XFD1,((A2)+(1))+(0)))=("store"),(INDEX(B1:XFD1,((A2)+(1))+(1)))=("AD"),"false"),B2,AD175),AD175))</f>
        <v>#VALUE!</v>
      </c>
    </row>
    <row r="176" spans="1:30" x14ac:dyDescent="0.25">
      <c r="A176" t="e">
        <f ca="1">IF((A1)=(2),"",IF((173)=(A3),IF(("call")=(INDEX(B1:XFD1,((A2)+(1))+(0))),(B2)*(2),IF(("goto")=(INDEX(B1:XFD1,((A2)+(1))+(0))),(INDEX(B1:XFD1,((A2)+(1))+(1)))*(2),IF(("gotoiftrue")=(INDEX(B1:XFD1,((A2)+(1))+(0))),IF(B2,(INDEX(B1:XFD1,((A2)+(1))+(1)))*(2),(A176)+(2)),(A176)+(2)))),A176))</f>
        <v>#VALUE!</v>
      </c>
      <c r="B176" t="e">
        <f ca="1">IF((A1)=(2),"",IF((173)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176)+(1)),IF(("add")=(INDEX(B1:XFD1,((A2)+(1))+(0))),(INDEX(B4:B404,(B3)+(1)))+(B176),IF(("equals")=(INDEX(B1:XFD1,((A2)+(1))+(0))),(INDEX(B4:B404,(B3)+(1)))=(B176),IF(("leq")=(INDEX(B1:XFD1,((A2)+(1))+(0))),(INDEX(B4:B404,(B3)+(1)))&lt;=(B176),IF(("greater")=(INDEX(B1:XFD1,((A2)+(1))+(0))),(INDEX(B4:B404,(B3)+(1)))&gt;(B176),IF(("mod")=(INDEX(B1:XFD1,((A2)+(1))+(0))),MOD(INDEX(B4:B404,(B3)+(1)),B176),B176))))))))),B176))</f>
        <v>#VALUE!</v>
      </c>
      <c r="C176" t="e">
        <f ca="1">IF((A1)=(2),1,IF(AND((INDEX(B1:XFD1,((A2)+(1))+(0)))=("writeheap"),(INDEX(B4:B404,(B3)+(1)))=(172)),INDEX(B4:B404,(B3)+(2)),IF((A1)=(2),"",IF((173)=(C3),C176,C176))))</f>
        <v>#VALUE!</v>
      </c>
      <c r="E176" t="e">
        <f ca="1">IF((A1)=(2),"",IF((173)=(E3),IF(("outputline")=(INDEX(B1:XFD1,((A2)+(1))+(0))),B2,E176),E176))</f>
        <v>#VALUE!</v>
      </c>
      <c r="F176" t="e">
        <f ca="1">IF((A1)=(2),"",IF((173)=(F3),IF(IF((INDEX(B1:XFD1,((A2)+(1))+(0)))=("store"),(INDEX(B1:XFD1,((A2)+(1))+(1)))=("F"),"false"),B2,F176),F176))</f>
        <v>#VALUE!</v>
      </c>
      <c r="G176" t="e">
        <f ca="1">IF((A1)=(2),"",IF((173)=(G3),IF(IF((INDEX(B1:XFD1,((A2)+(1))+(0)))=("store"),(INDEX(B1:XFD1,((A2)+(1))+(1)))=("G"),"false"),B2,G176),G176))</f>
        <v>#VALUE!</v>
      </c>
      <c r="H176" t="e">
        <f ca="1">IF((A1)=(2),"",IF((173)=(H3),IF(IF((INDEX(B1:XFD1,((A2)+(1))+(0)))=("store"),(INDEX(B1:XFD1,((A2)+(1))+(1)))=("H"),"false"),B2,H176),H176))</f>
        <v>#VALUE!</v>
      </c>
      <c r="I176" t="e">
        <f ca="1">IF((A1)=(2),"",IF((173)=(I3),IF(IF((INDEX(B1:XFD1,((A2)+(1))+(0)))=("store"),(INDEX(B1:XFD1,((A2)+(1))+(1)))=("I"),"false"),B2,I176),I176))</f>
        <v>#VALUE!</v>
      </c>
      <c r="J176" t="e">
        <f ca="1">IF((A1)=(2),"",IF((173)=(J3),IF(IF((INDEX(B1:XFD1,((A2)+(1))+(0)))=("store"),(INDEX(B1:XFD1,((A2)+(1))+(1)))=("J"),"false"),B2,J176),J176))</f>
        <v>#VALUE!</v>
      </c>
      <c r="K176" t="e">
        <f ca="1">IF((A1)=(2),"",IF((173)=(K3),IF(IF((INDEX(B1:XFD1,((A2)+(1))+(0)))=("store"),(INDEX(B1:XFD1,((A2)+(1))+(1)))=("K"),"false"),B2,K176),K176))</f>
        <v>#VALUE!</v>
      </c>
      <c r="L176" t="e">
        <f ca="1">IF((A1)=(2),"",IF((173)=(L3),IF(IF((INDEX(B1:XFD1,((A2)+(1))+(0)))=("store"),(INDEX(B1:XFD1,((A2)+(1))+(1)))=("L"),"false"),B2,L176),L176))</f>
        <v>#VALUE!</v>
      </c>
      <c r="M176" t="e">
        <f ca="1">IF((A1)=(2),"",IF((173)=(M3),IF(IF((INDEX(B1:XFD1,((A2)+(1))+(0)))=("store"),(INDEX(B1:XFD1,((A2)+(1))+(1)))=("M"),"false"),B2,M176),M176))</f>
        <v>#VALUE!</v>
      </c>
      <c r="N176" t="e">
        <f ca="1">IF((A1)=(2),"",IF((173)=(N3),IF(IF((INDEX(B1:XFD1,((A2)+(1))+(0)))=("store"),(INDEX(B1:XFD1,((A2)+(1))+(1)))=("N"),"false"),B2,N176),N176))</f>
        <v>#VALUE!</v>
      </c>
      <c r="O176" t="e">
        <f ca="1">IF((A1)=(2),"",IF((173)=(O3),IF(IF((INDEX(B1:XFD1,((A2)+(1))+(0)))=("store"),(INDEX(B1:XFD1,((A2)+(1))+(1)))=("O"),"false"),B2,O176),O176))</f>
        <v>#VALUE!</v>
      </c>
      <c r="P176" t="e">
        <f ca="1">IF((A1)=(2),"",IF((173)=(P3),IF(IF((INDEX(B1:XFD1,((A2)+(1))+(0)))=("store"),(INDEX(B1:XFD1,((A2)+(1))+(1)))=("P"),"false"),B2,P176),P176))</f>
        <v>#VALUE!</v>
      </c>
      <c r="Q176" t="e">
        <f ca="1">IF((A1)=(2),"",IF((173)=(Q3),IF(IF((INDEX(B1:XFD1,((A2)+(1))+(0)))=("store"),(INDEX(B1:XFD1,((A2)+(1))+(1)))=("Q"),"false"),B2,Q176),Q176))</f>
        <v>#VALUE!</v>
      </c>
      <c r="R176" t="e">
        <f ca="1">IF((A1)=(2),"",IF((173)=(R3),IF(IF((INDEX(B1:XFD1,((A2)+(1))+(0)))=("store"),(INDEX(B1:XFD1,((A2)+(1))+(1)))=("R"),"false"),B2,R176),R176))</f>
        <v>#VALUE!</v>
      </c>
      <c r="S176" t="e">
        <f ca="1">IF((A1)=(2),"",IF((173)=(S3),IF(IF((INDEX(B1:XFD1,((A2)+(1))+(0)))=("store"),(INDEX(B1:XFD1,((A2)+(1))+(1)))=("S"),"false"),B2,S176),S176))</f>
        <v>#VALUE!</v>
      </c>
      <c r="T176" t="e">
        <f ca="1">IF((A1)=(2),"",IF((173)=(T3),IF(IF((INDEX(B1:XFD1,((A2)+(1))+(0)))=("store"),(INDEX(B1:XFD1,((A2)+(1))+(1)))=("T"),"false"),B2,T176),T176))</f>
        <v>#VALUE!</v>
      </c>
      <c r="U176" t="e">
        <f ca="1">IF((A1)=(2),"",IF((173)=(U3),IF(IF((INDEX(B1:XFD1,((A2)+(1))+(0)))=("store"),(INDEX(B1:XFD1,((A2)+(1))+(1)))=("U"),"false"),B2,U176),U176))</f>
        <v>#VALUE!</v>
      </c>
      <c r="V176" t="e">
        <f ca="1">IF((A1)=(2),"",IF((173)=(V3),IF(IF((INDEX(B1:XFD1,((A2)+(1))+(0)))=("store"),(INDEX(B1:XFD1,((A2)+(1))+(1)))=("V"),"false"),B2,V176),V176))</f>
        <v>#VALUE!</v>
      </c>
      <c r="W176" t="e">
        <f ca="1">IF((A1)=(2),"",IF((173)=(W3),IF(IF((INDEX(B1:XFD1,((A2)+(1))+(0)))=("store"),(INDEX(B1:XFD1,((A2)+(1))+(1)))=("W"),"false"),B2,W176),W176))</f>
        <v>#VALUE!</v>
      </c>
      <c r="X176" t="e">
        <f ca="1">IF((A1)=(2),"",IF((173)=(X3),IF(IF((INDEX(B1:XFD1,((A2)+(1))+(0)))=("store"),(INDEX(B1:XFD1,((A2)+(1))+(1)))=("X"),"false"),B2,X176),X176))</f>
        <v>#VALUE!</v>
      </c>
      <c r="Y176" t="e">
        <f ca="1">IF((A1)=(2),"",IF((173)=(Y3),IF(IF((INDEX(B1:XFD1,((A2)+(1))+(0)))=("store"),(INDEX(B1:XFD1,((A2)+(1))+(1)))=("Y"),"false"),B2,Y176),Y176))</f>
        <v>#VALUE!</v>
      </c>
      <c r="Z176" t="e">
        <f ca="1">IF((A1)=(2),"",IF((173)=(Z3),IF(IF((INDEX(B1:XFD1,((A2)+(1))+(0)))=("store"),(INDEX(B1:XFD1,((A2)+(1))+(1)))=("Z"),"false"),B2,Z176),Z176))</f>
        <v>#VALUE!</v>
      </c>
      <c r="AA176" t="e">
        <f ca="1">IF((A1)=(2),"",IF((173)=(AA3),IF(IF((INDEX(B1:XFD1,((A2)+(1))+(0)))=("store"),(INDEX(B1:XFD1,((A2)+(1))+(1)))=("AA"),"false"),B2,AA176),AA176))</f>
        <v>#VALUE!</v>
      </c>
      <c r="AB176" t="e">
        <f ca="1">IF((A1)=(2),"",IF((173)=(AB3),IF(IF((INDEX(B1:XFD1,((A2)+(1))+(0)))=("store"),(INDEX(B1:XFD1,((A2)+(1))+(1)))=("AB"),"false"),B2,AB176),AB176))</f>
        <v>#VALUE!</v>
      </c>
      <c r="AC176" t="e">
        <f ca="1">IF((A1)=(2),"",IF((173)=(AC3),IF(IF((INDEX(B1:XFD1,((A2)+(1))+(0)))=("store"),(INDEX(B1:XFD1,((A2)+(1))+(1)))=("AC"),"false"),B2,AC176),AC176))</f>
        <v>#VALUE!</v>
      </c>
      <c r="AD176" t="e">
        <f ca="1">IF((A1)=(2),"",IF((173)=(AD3),IF(IF((INDEX(B1:XFD1,((A2)+(1))+(0)))=("store"),(INDEX(B1:XFD1,((A2)+(1))+(1)))=("AD"),"false"),B2,AD176),AD176))</f>
        <v>#VALUE!</v>
      </c>
    </row>
    <row r="177" spans="1:30" x14ac:dyDescent="0.25">
      <c r="A177" t="e">
        <f ca="1">IF((A1)=(2),"",IF((174)=(A3),IF(("call")=(INDEX(B1:XFD1,((A2)+(1))+(0))),(B2)*(2),IF(("goto")=(INDEX(B1:XFD1,((A2)+(1))+(0))),(INDEX(B1:XFD1,((A2)+(1))+(1)))*(2),IF(("gotoiftrue")=(INDEX(B1:XFD1,((A2)+(1))+(0))),IF(B2,(INDEX(B1:XFD1,((A2)+(1))+(1)))*(2),(A177)+(2)),(A177)+(2)))),A177))</f>
        <v>#VALUE!</v>
      </c>
      <c r="B177" t="e">
        <f ca="1">IF((A1)=(2),"",IF((174)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177)+(1)),IF(("add")=(INDEX(B1:XFD1,((A2)+(1))+(0))),(INDEX(B4:B404,(B3)+(1)))+(B177),IF(("equals")=(INDEX(B1:XFD1,((A2)+(1))+(0))),(INDEX(B4:B404,(B3)+(1)))=(B177),IF(("leq")=(INDEX(B1:XFD1,((A2)+(1))+(0))),(INDEX(B4:B404,(B3)+(1)))&lt;=(B177),IF(("greater")=(INDEX(B1:XFD1,((A2)+(1))+(0))),(INDEX(B4:B404,(B3)+(1)))&gt;(B177),IF(("mod")=(INDEX(B1:XFD1,((A2)+(1))+(0))),MOD(INDEX(B4:B404,(B3)+(1)),B177),B177))))))))),B177))</f>
        <v>#VALUE!</v>
      </c>
      <c r="C177" t="e">
        <f ca="1">IF((A1)=(2),1,IF(AND((INDEX(B1:XFD1,((A2)+(1))+(0)))=("writeheap"),(INDEX(B4:B404,(B3)+(1)))=(173)),INDEX(B4:B404,(B3)+(2)),IF((A1)=(2),"",IF((174)=(C3),C177,C177))))</f>
        <v>#VALUE!</v>
      </c>
      <c r="E177" t="e">
        <f ca="1">IF((A1)=(2),"",IF((174)=(E3),IF(("outputline")=(INDEX(B1:XFD1,((A2)+(1))+(0))),B2,E177),E177))</f>
        <v>#VALUE!</v>
      </c>
      <c r="F177" t="e">
        <f ca="1">IF((A1)=(2),"",IF((174)=(F3),IF(IF((INDEX(B1:XFD1,((A2)+(1))+(0)))=("store"),(INDEX(B1:XFD1,((A2)+(1))+(1)))=("F"),"false"),B2,F177),F177))</f>
        <v>#VALUE!</v>
      </c>
      <c r="G177" t="e">
        <f ca="1">IF((A1)=(2),"",IF((174)=(G3),IF(IF((INDEX(B1:XFD1,((A2)+(1))+(0)))=("store"),(INDEX(B1:XFD1,((A2)+(1))+(1)))=("G"),"false"),B2,G177),G177))</f>
        <v>#VALUE!</v>
      </c>
      <c r="H177" t="e">
        <f ca="1">IF((A1)=(2),"",IF((174)=(H3),IF(IF((INDEX(B1:XFD1,((A2)+(1))+(0)))=("store"),(INDEX(B1:XFD1,((A2)+(1))+(1)))=("H"),"false"),B2,H177),H177))</f>
        <v>#VALUE!</v>
      </c>
      <c r="I177" t="e">
        <f ca="1">IF((A1)=(2),"",IF((174)=(I3),IF(IF((INDEX(B1:XFD1,((A2)+(1))+(0)))=("store"),(INDEX(B1:XFD1,((A2)+(1))+(1)))=("I"),"false"),B2,I177),I177))</f>
        <v>#VALUE!</v>
      </c>
      <c r="J177" t="e">
        <f ca="1">IF((A1)=(2),"",IF((174)=(J3),IF(IF((INDEX(B1:XFD1,((A2)+(1))+(0)))=("store"),(INDEX(B1:XFD1,((A2)+(1))+(1)))=("J"),"false"),B2,J177),J177))</f>
        <v>#VALUE!</v>
      </c>
      <c r="K177" t="e">
        <f ca="1">IF((A1)=(2),"",IF((174)=(K3),IF(IF((INDEX(B1:XFD1,((A2)+(1))+(0)))=("store"),(INDEX(B1:XFD1,((A2)+(1))+(1)))=("K"),"false"),B2,K177),K177))</f>
        <v>#VALUE!</v>
      </c>
      <c r="L177" t="e">
        <f ca="1">IF((A1)=(2),"",IF((174)=(L3),IF(IF((INDEX(B1:XFD1,((A2)+(1))+(0)))=("store"),(INDEX(B1:XFD1,((A2)+(1))+(1)))=("L"),"false"),B2,L177),L177))</f>
        <v>#VALUE!</v>
      </c>
      <c r="M177" t="e">
        <f ca="1">IF((A1)=(2),"",IF((174)=(M3),IF(IF((INDEX(B1:XFD1,((A2)+(1))+(0)))=("store"),(INDEX(B1:XFD1,((A2)+(1))+(1)))=("M"),"false"),B2,M177),M177))</f>
        <v>#VALUE!</v>
      </c>
      <c r="N177" t="e">
        <f ca="1">IF((A1)=(2),"",IF((174)=(N3),IF(IF((INDEX(B1:XFD1,((A2)+(1))+(0)))=("store"),(INDEX(B1:XFD1,((A2)+(1))+(1)))=("N"),"false"),B2,N177),N177))</f>
        <v>#VALUE!</v>
      </c>
      <c r="O177" t="e">
        <f ca="1">IF((A1)=(2),"",IF((174)=(O3),IF(IF((INDEX(B1:XFD1,((A2)+(1))+(0)))=("store"),(INDEX(B1:XFD1,((A2)+(1))+(1)))=("O"),"false"),B2,O177),O177))</f>
        <v>#VALUE!</v>
      </c>
      <c r="P177" t="e">
        <f ca="1">IF((A1)=(2),"",IF((174)=(P3),IF(IF((INDEX(B1:XFD1,((A2)+(1))+(0)))=("store"),(INDEX(B1:XFD1,((A2)+(1))+(1)))=("P"),"false"),B2,P177),P177))</f>
        <v>#VALUE!</v>
      </c>
      <c r="Q177" t="e">
        <f ca="1">IF((A1)=(2),"",IF((174)=(Q3),IF(IF((INDEX(B1:XFD1,((A2)+(1))+(0)))=("store"),(INDEX(B1:XFD1,((A2)+(1))+(1)))=("Q"),"false"),B2,Q177),Q177))</f>
        <v>#VALUE!</v>
      </c>
      <c r="R177" t="e">
        <f ca="1">IF((A1)=(2),"",IF((174)=(R3),IF(IF((INDEX(B1:XFD1,((A2)+(1))+(0)))=("store"),(INDEX(B1:XFD1,((A2)+(1))+(1)))=("R"),"false"),B2,R177),R177))</f>
        <v>#VALUE!</v>
      </c>
      <c r="S177" t="e">
        <f ca="1">IF((A1)=(2),"",IF((174)=(S3),IF(IF((INDEX(B1:XFD1,((A2)+(1))+(0)))=("store"),(INDEX(B1:XFD1,((A2)+(1))+(1)))=("S"),"false"),B2,S177),S177))</f>
        <v>#VALUE!</v>
      </c>
      <c r="T177" t="e">
        <f ca="1">IF((A1)=(2),"",IF((174)=(T3),IF(IF((INDEX(B1:XFD1,((A2)+(1))+(0)))=("store"),(INDEX(B1:XFD1,((A2)+(1))+(1)))=("T"),"false"),B2,T177),T177))</f>
        <v>#VALUE!</v>
      </c>
      <c r="U177" t="e">
        <f ca="1">IF((A1)=(2),"",IF((174)=(U3),IF(IF((INDEX(B1:XFD1,((A2)+(1))+(0)))=("store"),(INDEX(B1:XFD1,((A2)+(1))+(1)))=("U"),"false"),B2,U177),U177))</f>
        <v>#VALUE!</v>
      </c>
      <c r="V177" t="e">
        <f ca="1">IF((A1)=(2),"",IF((174)=(V3),IF(IF((INDEX(B1:XFD1,((A2)+(1))+(0)))=("store"),(INDEX(B1:XFD1,((A2)+(1))+(1)))=("V"),"false"),B2,V177),V177))</f>
        <v>#VALUE!</v>
      </c>
      <c r="W177" t="e">
        <f ca="1">IF((A1)=(2),"",IF((174)=(W3),IF(IF((INDEX(B1:XFD1,((A2)+(1))+(0)))=("store"),(INDEX(B1:XFD1,((A2)+(1))+(1)))=("W"),"false"),B2,W177),W177))</f>
        <v>#VALUE!</v>
      </c>
      <c r="X177" t="e">
        <f ca="1">IF((A1)=(2),"",IF((174)=(X3),IF(IF((INDEX(B1:XFD1,((A2)+(1))+(0)))=("store"),(INDEX(B1:XFD1,((A2)+(1))+(1)))=("X"),"false"),B2,X177),X177))</f>
        <v>#VALUE!</v>
      </c>
      <c r="Y177" t="e">
        <f ca="1">IF((A1)=(2),"",IF((174)=(Y3),IF(IF((INDEX(B1:XFD1,((A2)+(1))+(0)))=("store"),(INDEX(B1:XFD1,((A2)+(1))+(1)))=("Y"),"false"),B2,Y177),Y177))</f>
        <v>#VALUE!</v>
      </c>
      <c r="Z177" t="e">
        <f ca="1">IF((A1)=(2),"",IF((174)=(Z3),IF(IF((INDEX(B1:XFD1,((A2)+(1))+(0)))=("store"),(INDEX(B1:XFD1,((A2)+(1))+(1)))=("Z"),"false"),B2,Z177),Z177))</f>
        <v>#VALUE!</v>
      </c>
      <c r="AA177" t="e">
        <f ca="1">IF((A1)=(2),"",IF((174)=(AA3),IF(IF((INDEX(B1:XFD1,((A2)+(1))+(0)))=("store"),(INDEX(B1:XFD1,((A2)+(1))+(1)))=("AA"),"false"),B2,AA177),AA177))</f>
        <v>#VALUE!</v>
      </c>
      <c r="AB177" t="e">
        <f ca="1">IF((A1)=(2),"",IF((174)=(AB3),IF(IF((INDEX(B1:XFD1,((A2)+(1))+(0)))=("store"),(INDEX(B1:XFD1,((A2)+(1))+(1)))=("AB"),"false"),B2,AB177),AB177))</f>
        <v>#VALUE!</v>
      </c>
      <c r="AC177" t="e">
        <f ca="1">IF((A1)=(2),"",IF((174)=(AC3),IF(IF((INDEX(B1:XFD1,((A2)+(1))+(0)))=("store"),(INDEX(B1:XFD1,((A2)+(1))+(1)))=("AC"),"false"),B2,AC177),AC177))</f>
        <v>#VALUE!</v>
      </c>
      <c r="AD177" t="e">
        <f ca="1">IF((A1)=(2),"",IF((174)=(AD3),IF(IF((INDEX(B1:XFD1,((A2)+(1))+(0)))=("store"),(INDEX(B1:XFD1,((A2)+(1))+(1)))=("AD"),"false"),B2,AD177),AD177))</f>
        <v>#VALUE!</v>
      </c>
    </row>
    <row r="178" spans="1:30" x14ac:dyDescent="0.25">
      <c r="A178" t="e">
        <f ca="1">IF((A1)=(2),"",IF((175)=(A3),IF(("call")=(INDEX(B1:XFD1,((A2)+(1))+(0))),(B2)*(2),IF(("goto")=(INDEX(B1:XFD1,((A2)+(1))+(0))),(INDEX(B1:XFD1,((A2)+(1))+(1)))*(2),IF(("gotoiftrue")=(INDEX(B1:XFD1,((A2)+(1))+(0))),IF(B2,(INDEX(B1:XFD1,((A2)+(1))+(1)))*(2),(A178)+(2)),(A178)+(2)))),A178))</f>
        <v>#VALUE!</v>
      </c>
      <c r="B178" t="e">
        <f ca="1">IF((A1)=(2),"",IF((175)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178)+(1)),IF(("add")=(INDEX(B1:XFD1,((A2)+(1))+(0))),(INDEX(B4:B404,(B3)+(1)))+(B178),IF(("equals")=(INDEX(B1:XFD1,((A2)+(1))+(0))),(INDEX(B4:B404,(B3)+(1)))=(B178),IF(("leq")=(INDEX(B1:XFD1,((A2)+(1))+(0))),(INDEX(B4:B404,(B3)+(1)))&lt;=(B178),IF(("greater")=(INDEX(B1:XFD1,((A2)+(1))+(0))),(INDEX(B4:B404,(B3)+(1)))&gt;(B178),IF(("mod")=(INDEX(B1:XFD1,((A2)+(1))+(0))),MOD(INDEX(B4:B404,(B3)+(1)),B178),B178))))))))),B178))</f>
        <v>#VALUE!</v>
      </c>
      <c r="C178" t="e">
        <f ca="1">IF((A1)=(2),1,IF(AND((INDEX(B1:XFD1,((A2)+(1))+(0)))=("writeheap"),(INDEX(B4:B404,(B3)+(1)))=(174)),INDEX(B4:B404,(B3)+(2)),IF((A1)=(2),"",IF((175)=(C3),C178,C178))))</f>
        <v>#VALUE!</v>
      </c>
      <c r="E178" t="e">
        <f ca="1">IF((A1)=(2),"",IF((175)=(E3),IF(("outputline")=(INDEX(B1:XFD1,((A2)+(1))+(0))),B2,E178),E178))</f>
        <v>#VALUE!</v>
      </c>
      <c r="F178" t="e">
        <f ca="1">IF((A1)=(2),"",IF((175)=(F3),IF(IF((INDEX(B1:XFD1,((A2)+(1))+(0)))=("store"),(INDEX(B1:XFD1,((A2)+(1))+(1)))=("F"),"false"),B2,F178),F178))</f>
        <v>#VALUE!</v>
      </c>
      <c r="G178" t="e">
        <f ca="1">IF((A1)=(2),"",IF((175)=(G3),IF(IF((INDEX(B1:XFD1,((A2)+(1))+(0)))=("store"),(INDEX(B1:XFD1,((A2)+(1))+(1)))=("G"),"false"),B2,G178),G178))</f>
        <v>#VALUE!</v>
      </c>
      <c r="H178" t="e">
        <f ca="1">IF((A1)=(2),"",IF((175)=(H3),IF(IF((INDEX(B1:XFD1,((A2)+(1))+(0)))=("store"),(INDEX(B1:XFD1,((A2)+(1))+(1)))=("H"),"false"),B2,H178),H178))</f>
        <v>#VALUE!</v>
      </c>
      <c r="I178" t="e">
        <f ca="1">IF((A1)=(2),"",IF((175)=(I3),IF(IF((INDEX(B1:XFD1,((A2)+(1))+(0)))=("store"),(INDEX(B1:XFD1,((A2)+(1))+(1)))=("I"),"false"),B2,I178),I178))</f>
        <v>#VALUE!</v>
      </c>
      <c r="J178" t="e">
        <f ca="1">IF((A1)=(2),"",IF((175)=(J3),IF(IF((INDEX(B1:XFD1,((A2)+(1))+(0)))=("store"),(INDEX(B1:XFD1,((A2)+(1))+(1)))=("J"),"false"),B2,J178),J178))</f>
        <v>#VALUE!</v>
      </c>
      <c r="K178" t="e">
        <f ca="1">IF((A1)=(2),"",IF((175)=(K3),IF(IF((INDEX(B1:XFD1,((A2)+(1))+(0)))=("store"),(INDEX(B1:XFD1,((A2)+(1))+(1)))=("K"),"false"),B2,K178),K178))</f>
        <v>#VALUE!</v>
      </c>
      <c r="L178" t="e">
        <f ca="1">IF((A1)=(2),"",IF((175)=(L3),IF(IF((INDEX(B1:XFD1,((A2)+(1))+(0)))=("store"),(INDEX(B1:XFD1,((A2)+(1))+(1)))=("L"),"false"),B2,L178),L178))</f>
        <v>#VALUE!</v>
      </c>
      <c r="M178" t="e">
        <f ca="1">IF((A1)=(2),"",IF((175)=(M3),IF(IF((INDEX(B1:XFD1,((A2)+(1))+(0)))=("store"),(INDEX(B1:XFD1,((A2)+(1))+(1)))=("M"),"false"),B2,M178),M178))</f>
        <v>#VALUE!</v>
      </c>
      <c r="N178" t="e">
        <f ca="1">IF((A1)=(2),"",IF((175)=(N3),IF(IF((INDEX(B1:XFD1,((A2)+(1))+(0)))=("store"),(INDEX(B1:XFD1,((A2)+(1))+(1)))=("N"),"false"),B2,N178),N178))</f>
        <v>#VALUE!</v>
      </c>
      <c r="O178" t="e">
        <f ca="1">IF((A1)=(2),"",IF((175)=(O3),IF(IF((INDEX(B1:XFD1,((A2)+(1))+(0)))=("store"),(INDEX(B1:XFD1,((A2)+(1))+(1)))=("O"),"false"),B2,O178),O178))</f>
        <v>#VALUE!</v>
      </c>
      <c r="P178" t="e">
        <f ca="1">IF((A1)=(2),"",IF((175)=(P3),IF(IF((INDEX(B1:XFD1,((A2)+(1))+(0)))=("store"),(INDEX(B1:XFD1,((A2)+(1))+(1)))=("P"),"false"),B2,P178),P178))</f>
        <v>#VALUE!</v>
      </c>
      <c r="Q178" t="e">
        <f ca="1">IF((A1)=(2),"",IF((175)=(Q3),IF(IF((INDEX(B1:XFD1,((A2)+(1))+(0)))=("store"),(INDEX(B1:XFD1,((A2)+(1))+(1)))=("Q"),"false"),B2,Q178),Q178))</f>
        <v>#VALUE!</v>
      </c>
      <c r="R178" t="e">
        <f ca="1">IF((A1)=(2),"",IF((175)=(R3),IF(IF((INDEX(B1:XFD1,((A2)+(1))+(0)))=("store"),(INDEX(B1:XFD1,((A2)+(1))+(1)))=("R"),"false"),B2,R178),R178))</f>
        <v>#VALUE!</v>
      </c>
      <c r="S178" t="e">
        <f ca="1">IF((A1)=(2),"",IF((175)=(S3),IF(IF((INDEX(B1:XFD1,((A2)+(1))+(0)))=("store"),(INDEX(B1:XFD1,((A2)+(1))+(1)))=("S"),"false"),B2,S178),S178))</f>
        <v>#VALUE!</v>
      </c>
      <c r="T178" t="e">
        <f ca="1">IF((A1)=(2),"",IF((175)=(T3),IF(IF((INDEX(B1:XFD1,((A2)+(1))+(0)))=("store"),(INDEX(B1:XFD1,((A2)+(1))+(1)))=("T"),"false"),B2,T178),T178))</f>
        <v>#VALUE!</v>
      </c>
      <c r="U178" t="e">
        <f ca="1">IF((A1)=(2),"",IF((175)=(U3),IF(IF((INDEX(B1:XFD1,((A2)+(1))+(0)))=("store"),(INDEX(B1:XFD1,((A2)+(1))+(1)))=("U"),"false"),B2,U178),U178))</f>
        <v>#VALUE!</v>
      </c>
      <c r="V178" t="e">
        <f ca="1">IF((A1)=(2),"",IF((175)=(V3),IF(IF((INDEX(B1:XFD1,((A2)+(1))+(0)))=("store"),(INDEX(B1:XFD1,((A2)+(1))+(1)))=("V"),"false"),B2,V178),V178))</f>
        <v>#VALUE!</v>
      </c>
      <c r="W178" t="e">
        <f ca="1">IF((A1)=(2),"",IF((175)=(W3),IF(IF((INDEX(B1:XFD1,((A2)+(1))+(0)))=("store"),(INDEX(B1:XFD1,((A2)+(1))+(1)))=("W"),"false"),B2,W178),W178))</f>
        <v>#VALUE!</v>
      </c>
      <c r="X178" t="e">
        <f ca="1">IF((A1)=(2),"",IF((175)=(X3),IF(IF((INDEX(B1:XFD1,((A2)+(1))+(0)))=("store"),(INDEX(B1:XFD1,((A2)+(1))+(1)))=("X"),"false"),B2,X178),X178))</f>
        <v>#VALUE!</v>
      </c>
      <c r="Y178" t="e">
        <f ca="1">IF((A1)=(2),"",IF((175)=(Y3),IF(IF((INDEX(B1:XFD1,((A2)+(1))+(0)))=("store"),(INDEX(B1:XFD1,((A2)+(1))+(1)))=("Y"),"false"),B2,Y178),Y178))</f>
        <v>#VALUE!</v>
      </c>
      <c r="Z178" t="e">
        <f ca="1">IF((A1)=(2),"",IF((175)=(Z3),IF(IF((INDEX(B1:XFD1,((A2)+(1))+(0)))=("store"),(INDEX(B1:XFD1,((A2)+(1))+(1)))=("Z"),"false"),B2,Z178),Z178))</f>
        <v>#VALUE!</v>
      </c>
      <c r="AA178" t="e">
        <f ca="1">IF((A1)=(2),"",IF((175)=(AA3),IF(IF((INDEX(B1:XFD1,((A2)+(1))+(0)))=("store"),(INDEX(B1:XFD1,((A2)+(1))+(1)))=("AA"),"false"),B2,AA178),AA178))</f>
        <v>#VALUE!</v>
      </c>
      <c r="AB178" t="e">
        <f ca="1">IF((A1)=(2),"",IF((175)=(AB3),IF(IF((INDEX(B1:XFD1,((A2)+(1))+(0)))=("store"),(INDEX(B1:XFD1,((A2)+(1))+(1)))=("AB"),"false"),B2,AB178),AB178))</f>
        <v>#VALUE!</v>
      </c>
      <c r="AC178" t="e">
        <f ca="1">IF((A1)=(2),"",IF((175)=(AC3),IF(IF((INDEX(B1:XFD1,((A2)+(1))+(0)))=("store"),(INDEX(B1:XFD1,((A2)+(1))+(1)))=("AC"),"false"),B2,AC178),AC178))</f>
        <v>#VALUE!</v>
      </c>
      <c r="AD178" t="e">
        <f ca="1">IF((A1)=(2),"",IF((175)=(AD3),IF(IF((INDEX(B1:XFD1,((A2)+(1))+(0)))=("store"),(INDEX(B1:XFD1,((A2)+(1))+(1)))=("AD"),"false"),B2,AD178),AD178))</f>
        <v>#VALUE!</v>
      </c>
    </row>
    <row r="179" spans="1:30" x14ac:dyDescent="0.25">
      <c r="A179" t="e">
        <f ca="1">IF((A1)=(2),"",IF((176)=(A3),IF(("call")=(INDEX(B1:XFD1,((A2)+(1))+(0))),(B2)*(2),IF(("goto")=(INDEX(B1:XFD1,((A2)+(1))+(0))),(INDEX(B1:XFD1,((A2)+(1))+(1)))*(2),IF(("gotoiftrue")=(INDEX(B1:XFD1,((A2)+(1))+(0))),IF(B2,(INDEX(B1:XFD1,((A2)+(1))+(1)))*(2),(A179)+(2)),(A179)+(2)))),A179))</f>
        <v>#VALUE!</v>
      </c>
      <c r="B179" t="e">
        <f ca="1">IF((A1)=(2),"",IF((176)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179)+(1)),IF(("add")=(INDEX(B1:XFD1,((A2)+(1))+(0))),(INDEX(B4:B404,(B3)+(1)))+(B179),IF(("equals")=(INDEX(B1:XFD1,((A2)+(1))+(0))),(INDEX(B4:B404,(B3)+(1)))=(B179),IF(("leq")=(INDEX(B1:XFD1,((A2)+(1))+(0))),(INDEX(B4:B404,(B3)+(1)))&lt;=(B179),IF(("greater")=(INDEX(B1:XFD1,((A2)+(1))+(0))),(INDEX(B4:B404,(B3)+(1)))&gt;(B179),IF(("mod")=(INDEX(B1:XFD1,((A2)+(1))+(0))),MOD(INDEX(B4:B404,(B3)+(1)),B179),B179))))))))),B179))</f>
        <v>#VALUE!</v>
      </c>
      <c r="C179" t="e">
        <f ca="1">IF((A1)=(2),1,IF(AND((INDEX(B1:XFD1,((A2)+(1))+(0)))=("writeheap"),(INDEX(B4:B404,(B3)+(1)))=(175)),INDEX(B4:B404,(B3)+(2)),IF((A1)=(2),"",IF((176)=(C3),C179,C179))))</f>
        <v>#VALUE!</v>
      </c>
      <c r="E179" t="e">
        <f ca="1">IF((A1)=(2),"",IF((176)=(E3),IF(("outputline")=(INDEX(B1:XFD1,((A2)+(1))+(0))),B2,E179),E179))</f>
        <v>#VALUE!</v>
      </c>
      <c r="F179" t="e">
        <f ca="1">IF((A1)=(2),"",IF((176)=(F3),IF(IF((INDEX(B1:XFD1,((A2)+(1))+(0)))=("store"),(INDEX(B1:XFD1,((A2)+(1))+(1)))=("F"),"false"),B2,F179),F179))</f>
        <v>#VALUE!</v>
      </c>
      <c r="G179" t="e">
        <f ca="1">IF((A1)=(2),"",IF((176)=(G3),IF(IF((INDEX(B1:XFD1,((A2)+(1))+(0)))=("store"),(INDEX(B1:XFD1,((A2)+(1))+(1)))=("G"),"false"),B2,G179),G179))</f>
        <v>#VALUE!</v>
      </c>
      <c r="H179" t="e">
        <f ca="1">IF((A1)=(2),"",IF((176)=(H3),IF(IF((INDEX(B1:XFD1,((A2)+(1))+(0)))=("store"),(INDEX(B1:XFD1,((A2)+(1))+(1)))=("H"),"false"),B2,H179),H179))</f>
        <v>#VALUE!</v>
      </c>
      <c r="I179" t="e">
        <f ca="1">IF((A1)=(2),"",IF((176)=(I3),IF(IF((INDEX(B1:XFD1,((A2)+(1))+(0)))=("store"),(INDEX(B1:XFD1,((A2)+(1))+(1)))=("I"),"false"),B2,I179),I179))</f>
        <v>#VALUE!</v>
      </c>
      <c r="J179" t="e">
        <f ca="1">IF((A1)=(2),"",IF((176)=(J3),IF(IF((INDEX(B1:XFD1,((A2)+(1))+(0)))=("store"),(INDEX(B1:XFD1,((A2)+(1))+(1)))=("J"),"false"),B2,J179),J179))</f>
        <v>#VALUE!</v>
      </c>
      <c r="K179" t="e">
        <f ca="1">IF((A1)=(2),"",IF((176)=(K3),IF(IF((INDEX(B1:XFD1,((A2)+(1))+(0)))=("store"),(INDEX(B1:XFD1,((A2)+(1))+(1)))=("K"),"false"),B2,K179),K179))</f>
        <v>#VALUE!</v>
      </c>
      <c r="L179" t="e">
        <f ca="1">IF((A1)=(2),"",IF((176)=(L3),IF(IF((INDEX(B1:XFD1,((A2)+(1))+(0)))=("store"),(INDEX(B1:XFD1,((A2)+(1))+(1)))=("L"),"false"),B2,L179),L179))</f>
        <v>#VALUE!</v>
      </c>
      <c r="M179" t="e">
        <f ca="1">IF((A1)=(2),"",IF((176)=(M3),IF(IF((INDEX(B1:XFD1,((A2)+(1))+(0)))=("store"),(INDEX(B1:XFD1,((A2)+(1))+(1)))=("M"),"false"),B2,M179),M179))</f>
        <v>#VALUE!</v>
      </c>
      <c r="N179" t="e">
        <f ca="1">IF((A1)=(2),"",IF((176)=(N3),IF(IF((INDEX(B1:XFD1,((A2)+(1))+(0)))=("store"),(INDEX(B1:XFD1,((A2)+(1))+(1)))=("N"),"false"),B2,N179),N179))</f>
        <v>#VALUE!</v>
      </c>
      <c r="O179" t="e">
        <f ca="1">IF((A1)=(2),"",IF((176)=(O3),IF(IF((INDEX(B1:XFD1,((A2)+(1))+(0)))=("store"),(INDEX(B1:XFD1,((A2)+(1))+(1)))=("O"),"false"),B2,O179),O179))</f>
        <v>#VALUE!</v>
      </c>
      <c r="P179" t="e">
        <f ca="1">IF((A1)=(2),"",IF((176)=(P3),IF(IF((INDEX(B1:XFD1,((A2)+(1))+(0)))=("store"),(INDEX(B1:XFD1,((A2)+(1))+(1)))=("P"),"false"),B2,P179),P179))</f>
        <v>#VALUE!</v>
      </c>
      <c r="Q179" t="e">
        <f ca="1">IF((A1)=(2),"",IF((176)=(Q3),IF(IF((INDEX(B1:XFD1,((A2)+(1))+(0)))=("store"),(INDEX(B1:XFD1,((A2)+(1))+(1)))=("Q"),"false"),B2,Q179),Q179))</f>
        <v>#VALUE!</v>
      </c>
      <c r="R179" t="e">
        <f ca="1">IF((A1)=(2),"",IF((176)=(R3),IF(IF((INDEX(B1:XFD1,((A2)+(1))+(0)))=("store"),(INDEX(B1:XFD1,((A2)+(1))+(1)))=("R"),"false"),B2,R179),R179))</f>
        <v>#VALUE!</v>
      </c>
      <c r="S179" t="e">
        <f ca="1">IF((A1)=(2),"",IF((176)=(S3),IF(IF((INDEX(B1:XFD1,((A2)+(1))+(0)))=("store"),(INDEX(B1:XFD1,((A2)+(1))+(1)))=("S"),"false"),B2,S179),S179))</f>
        <v>#VALUE!</v>
      </c>
      <c r="T179" t="e">
        <f ca="1">IF((A1)=(2),"",IF((176)=(T3),IF(IF((INDEX(B1:XFD1,((A2)+(1))+(0)))=("store"),(INDEX(B1:XFD1,((A2)+(1))+(1)))=("T"),"false"),B2,T179),T179))</f>
        <v>#VALUE!</v>
      </c>
      <c r="U179" t="e">
        <f ca="1">IF((A1)=(2),"",IF((176)=(U3),IF(IF((INDEX(B1:XFD1,((A2)+(1))+(0)))=("store"),(INDEX(B1:XFD1,((A2)+(1))+(1)))=("U"),"false"),B2,U179),U179))</f>
        <v>#VALUE!</v>
      </c>
      <c r="V179" t="e">
        <f ca="1">IF((A1)=(2),"",IF((176)=(V3),IF(IF((INDEX(B1:XFD1,((A2)+(1))+(0)))=("store"),(INDEX(B1:XFD1,((A2)+(1))+(1)))=("V"),"false"),B2,V179),V179))</f>
        <v>#VALUE!</v>
      </c>
      <c r="W179" t="e">
        <f ca="1">IF((A1)=(2),"",IF((176)=(W3),IF(IF((INDEX(B1:XFD1,((A2)+(1))+(0)))=("store"),(INDEX(B1:XFD1,((A2)+(1))+(1)))=("W"),"false"),B2,W179),W179))</f>
        <v>#VALUE!</v>
      </c>
      <c r="X179" t="e">
        <f ca="1">IF((A1)=(2),"",IF((176)=(X3),IF(IF((INDEX(B1:XFD1,((A2)+(1))+(0)))=("store"),(INDEX(B1:XFD1,((A2)+(1))+(1)))=("X"),"false"),B2,X179),X179))</f>
        <v>#VALUE!</v>
      </c>
      <c r="Y179" t="e">
        <f ca="1">IF((A1)=(2),"",IF((176)=(Y3),IF(IF((INDEX(B1:XFD1,((A2)+(1))+(0)))=("store"),(INDEX(B1:XFD1,((A2)+(1))+(1)))=("Y"),"false"),B2,Y179),Y179))</f>
        <v>#VALUE!</v>
      </c>
      <c r="Z179" t="e">
        <f ca="1">IF((A1)=(2),"",IF((176)=(Z3),IF(IF((INDEX(B1:XFD1,((A2)+(1))+(0)))=("store"),(INDEX(B1:XFD1,((A2)+(1))+(1)))=("Z"),"false"),B2,Z179),Z179))</f>
        <v>#VALUE!</v>
      </c>
      <c r="AA179" t="e">
        <f ca="1">IF((A1)=(2),"",IF((176)=(AA3),IF(IF((INDEX(B1:XFD1,((A2)+(1))+(0)))=("store"),(INDEX(B1:XFD1,((A2)+(1))+(1)))=("AA"),"false"),B2,AA179),AA179))</f>
        <v>#VALUE!</v>
      </c>
      <c r="AB179" t="e">
        <f ca="1">IF((A1)=(2),"",IF((176)=(AB3),IF(IF((INDEX(B1:XFD1,((A2)+(1))+(0)))=("store"),(INDEX(B1:XFD1,((A2)+(1))+(1)))=("AB"),"false"),B2,AB179),AB179))</f>
        <v>#VALUE!</v>
      </c>
      <c r="AC179" t="e">
        <f ca="1">IF((A1)=(2),"",IF((176)=(AC3),IF(IF((INDEX(B1:XFD1,((A2)+(1))+(0)))=("store"),(INDEX(B1:XFD1,((A2)+(1))+(1)))=("AC"),"false"),B2,AC179),AC179))</f>
        <v>#VALUE!</v>
      </c>
      <c r="AD179" t="e">
        <f ca="1">IF((A1)=(2),"",IF((176)=(AD3),IF(IF((INDEX(B1:XFD1,((A2)+(1))+(0)))=("store"),(INDEX(B1:XFD1,((A2)+(1))+(1)))=("AD"),"false"),B2,AD179),AD179))</f>
        <v>#VALUE!</v>
      </c>
    </row>
    <row r="180" spans="1:30" x14ac:dyDescent="0.25">
      <c r="A180" t="e">
        <f ca="1">IF((A1)=(2),"",IF((177)=(A3),IF(("call")=(INDEX(B1:XFD1,((A2)+(1))+(0))),(B2)*(2),IF(("goto")=(INDEX(B1:XFD1,((A2)+(1))+(0))),(INDEX(B1:XFD1,((A2)+(1))+(1)))*(2),IF(("gotoiftrue")=(INDEX(B1:XFD1,((A2)+(1))+(0))),IF(B2,(INDEX(B1:XFD1,((A2)+(1))+(1)))*(2),(A180)+(2)),(A180)+(2)))),A180))</f>
        <v>#VALUE!</v>
      </c>
      <c r="B180" t="e">
        <f ca="1">IF((A1)=(2),"",IF((177)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180)+(1)),IF(("add")=(INDEX(B1:XFD1,((A2)+(1))+(0))),(INDEX(B4:B404,(B3)+(1)))+(B180),IF(("equals")=(INDEX(B1:XFD1,((A2)+(1))+(0))),(INDEX(B4:B404,(B3)+(1)))=(B180),IF(("leq")=(INDEX(B1:XFD1,((A2)+(1))+(0))),(INDEX(B4:B404,(B3)+(1)))&lt;=(B180),IF(("greater")=(INDEX(B1:XFD1,((A2)+(1))+(0))),(INDEX(B4:B404,(B3)+(1)))&gt;(B180),IF(("mod")=(INDEX(B1:XFD1,((A2)+(1))+(0))),MOD(INDEX(B4:B404,(B3)+(1)),B180),B180))))))))),B180))</f>
        <v>#VALUE!</v>
      </c>
      <c r="C180" t="e">
        <f ca="1">IF((A1)=(2),1,IF(AND((INDEX(B1:XFD1,((A2)+(1))+(0)))=("writeheap"),(INDEX(B4:B404,(B3)+(1)))=(176)),INDEX(B4:B404,(B3)+(2)),IF((A1)=(2),"",IF((177)=(C3),C180,C180))))</f>
        <v>#VALUE!</v>
      </c>
      <c r="E180" t="e">
        <f ca="1">IF((A1)=(2),"",IF((177)=(E3),IF(("outputline")=(INDEX(B1:XFD1,((A2)+(1))+(0))),B2,E180),E180))</f>
        <v>#VALUE!</v>
      </c>
      <c r="F180" t="e">
        <f ca="1">IF((A1)=(2),"",IF((177)=(F3),IF(IF((INDEX(B1:XFD1,((A2)+(1))+(0)))=("store"),(INDEX(B1:XFD1,((A2)+(1))+(1)))=("F"),"false"),B2,F180),F180))</f>
        <v>#VALUE!</v>
      </c>
      <c r="G180" t="e">
        <f ca="1">IF((A1)=(2),"",IF((177)=(G3),IF(IF((INDEX(B1:XFD1,((A2)+(1))+(0)))=("store"),(INDEX(B1:XFD1,((A2)+(1))+(1)))=("G"),"false"),B2,G180),G180))</f>
        <v>#VALUE!</v>
      </c>
      <c r="H180" t="e">
        <f ca="1">IF((A1)=(2),"",IF((177)=(H3),IF(IF((INDEX(B1:XFD1,((A2)+(1))+(0)))=("store"),(INDEX(B1:XFD1,((A2)+(1))+(1)))=("H"),"false"),B2,H180),H180))</f>
        <v>#VALUE!</v>
      </c>
      <c r="I180" t="e">
        <f ca="1">IF((A1)=(2),"",IF((177)=(I3),IF(IF((INDEX(B1:XFD1,((A2)+(1))+(0)))=("store"),(INDEX(B1:XFD1,((A2)+(1))+(1)))=("I"),"false"),B2,I180),I180))</f>
        <v>#VALUE!</v>
      </c>
      <c r="J180" t="e">
        <f ca="1">IF((A1)=(2),"",IF((177)=(J3),IF(IF((INDEX(B1:XFD1,((A2)+(1))+(0)))=("store"),(INDEX(B1:XFD1,((A2)+(1))+(1)))=("J"),"false"),B2,J180),J180))</f>
        <v>#VALUE!</v>
      </c>
      <c r="K180" t="e">
        <f ca="1">IF((A1)=(2),"",IF((177)=(K3),IF(IF((INDEX(B1:XFD1,((A2)+(1))+(0)))=("store"),(INDEX(B1:XFD1,((A2)+(1))+(1)))=("K"),"false"),B2,K180),K180))</f>
        <v>#VALUE!</v>
      </c>
      <c r="L180" t="e">
        <f ca="1">IF((A1)=(2),"",IF((177)=(L3),IF(IF((INDEX(B1:XFD1,((A2)+(1))+(0)))=("store"),(INDEX(B1:XFD1,((A2)+(1))+(1)))=("L"),"false"),B2,L180),L180))</f>
        <v>#VALUE!</v>
      </c>
      <c r="M180" t="e">
        <f ca="1">IF((A1)=(2),"",IF((177)=(M3),IF(IF((INDEX(B1:XFD1,((A2)+(1))+(0)))=("store"),(INDEX(B1:XFD1,((A2)+(1))+(1)))=("M"),"false"),B2,M180),M180))</f>
        <v>#VALUE!</v>
      </c>
      <c r="N180" t="e">
        <f ca="1">IF((A1)=(2),"",IF((177)=(N3),IF(IF((INDEX(B1:XFD1,((A2)+(1))+(0)))=("store"),(INDEX(B1:XFD1,((A2)+(1))+(1)))=("N"),"false"),B2,N180),N180))</f>
        <v>#VALUE!</v>
      </c>
      <c r="O180" t="e">
        <f ca="1">IF((A1)=(2),"",IF((177)=(O3),IF(IF((INDEX(B1:XFD1,((A2)+(1))+(0)))=("store"),(INDEX(B1:XFD1,((A2)+(1))+(1)))=("O"),"false"),B2,O180),O180))</f>
        <v>#VALUE!</v>
      </c>
      <c r="P180" t="e">
        <f ca="1">IF((A1)=(2),"",IF((177)=(P3),IF(IF((INDEX(B1:XFD1,((A2)+(1))+(0)))=("store"),(INDEX(B1:XFD1,((A2)+(1))+(1)))=("P"),"false"),B2,P180),P180))</f>
        <v>#VALUE!</v>
      </c>
      <c r="Q180" t="e">
        <f ca="1">IF((A1)=(2),"",IF((177)=(Q3),IF(IF((INDEX(B1:XFD1,((A2)+(1))+(0)))=("store"),(INDEX(B1:XFD1,((A2)+(1))+(1)))=("Q"),"false"),B2,Q180),Q180))</f>
        <v>#VALUE!</v>
      </c>
      <c r="R180" t="e">
        <f ca="1">IF((A1)=(2),"",IF((177)=(R3),IF(IF((INDEX(B1:XFD1,((A2)+(1))+(0)))=("store"),(INDEX(B1:XFD1,((A2)+(1))+(1)))=("R"),"false"),B2,R180),R180))</f>
        <v>#VALUE!</v>
      </c>
      <c r="S180" t="e">
        <f ca="1">IF((A1)=(2),"",IF((177)=(S3),IF(IF((INDEX(B1:XFD1,((A2)+(1))+(0)))=("store"),(INDEX(B1:XFD1,((A2)+(1))+(1)))=("S"),"false"),B2,S180),S180))</f>
        <v>#VALUE!</v>
      </c>
      <c r="T180" t="e">
        <f ca="1">IF((A1)=(2),"",IF((177)=(T3),IF(IF((INDEX(B1:XFD1,((A2)+(1))+(0)))=("store"),(INDEX(B1:XFD1,((A2)+(1))+(1)))=("T"),"false"),B2,T180),T180))</f>
        <v>#VALUE!</v>
      </c>
      <c r="U180" t="e">
        <f ca="1">IF((A1)=(2),"",IF((177)=(U3),IF(IF((INDEX(B1:XFD1,((A2)+(1))+(0)))=("store"),(INDEX(B1:XFD1,((A2)+(1))+(1)))=("U"),"false"),B2,U180),U180))</f>
        <v>#VALUE!</v>
      </c>
      <c r="V180" t="e">
        <f ca="1">IF((A1)=(2),"",IF((177)=(V3),IF(IF((INDEX(B1:XFD1,((A2)+(1))+(0)))=("store"),(INDEX(B1:XFD1,((A2)+(1))+(1)))=("V"),"false"),B2,V180),V180))</f>
        <v>#VALUE!</v>
      </c>
      <c r="W180" t="e">
        <f ca="1">IF((A1)=(2),"",IF((177)=(W3),IF(IF((INDEX(B1:XFD1,((A2)+(1))+(0)))=("store"),(INDEX(B1:XFD1,((A2)+(1))+(1)))=("W"),"false"),B2,W180),W180))</f>
        <v>#VALUE!</v>
      </c>
      <c r="X180" t="e">
        <f ca="1">IF((A1)=(2),"",IF((177)=(X3),IF(IF((INDEX(B1:XFD1,((A2)+(1))+(0)))=("store"),(INDEX(B1:XFD1,((A2)+(1))+(1)))=("X"),"false"),B2,X180),X180))</f>
        <v>#VALUE!</v>
      </c>
      <c r="Y180" t="e">
        <f ca="1">IF((A1)=(2),"",IF((177)=(Y3),IF(IF((INDEX(B1:XFD1,((A2)+(1))+(0)))=("store"),(INDEX(B1:XFD1,((A2)+(1))+(1)))=("Y"),"false"),B2,Y180),Y180))</f>
        <v>#VALUE!</v>
      </c>
      <c r="Z180" t="e">
        <f ca="1">IF((A1)=(2),"",IF((177)=(Z3),IF(IF((INDEX(B1:XFD1,((A2)+(1))+(0)))=("store"),(INDEX(B1:XFD1,((A2)+(1))+(1)))=("Z"),"false"),B2,Z180),Z180))</f>
        <v>#VALUE!</v>
      </c>
      <c r="AA180" t="e">
        <f ca="1">IF((A1)=(2),"",IF((177)=(AA3),IF(IF((INDEX(B1:XFD1,((A2)+(1))+(0)))=("store"),(INDEX(B1:XFD1,((A2)+(1))+(1)))=("AA"),"false"),B2,AA180),AA180))</f>
        <v>#VALUE!</v>
      </c>
      <c r="AB180" t="e">
        <f ca="1">IF((A1)=(2),"",IF((177)=(AB3),IF(IF((INDEX(B1:XFD1,((A2)+(1))+(0)))=("store"),(INDEX(B1:XFD1,((A2)+(1))+(1)))=("AB"),"false"),B2,AB180),AB180))</f>
        <v>#VALUE!</v>
      </c>
      <c r="AC180" t="e">
        <f ca="1">IF((A1)=(2),"",IF((177)=(AC3),IF(IF((INDEX(B1:XFD1,((A2)+(1))+(0)))=("store"),(INDEX(B1:XFD1,((A2)+(1))+(1)))=("AC"),"false"),B2,AC180),AC180))</f>
        <v>#VALUE!</v>
      </c>
      <c r="AD180" t="e">
        <f ca="1">IF((A1)=(2),"",IF((177)=(AD3),IF(IF((INDEX(B1:XFD1,((A2)+(1))+(0)))=("store"),(INDEX(B1:XFD1,((A2)+(1))+(1)))=("AD"),"false"),B2,AD180),AD180))</f>
        <v>#VALUE!</v>
      </c>
    </row>
    <row r="181" spans="1:30" x14ac:dyDescent="0.25">
      <c r="A181" t="e">
        <f ca="1">IF((A1)=(2),"",IF((178)=(A3),IF(("call")=(INDEX(B1:XFD1,((A2)+(1))+(0))),(B2)*(2),IF(("goto")=(INDEX(B1:XFD1,((A2)+(1))+(0))),(INDEX(B1:XFD1,((A2)+(1))+(1)))*(2),IF(("gotoiftrue")=(INDEX(B1:XFD1,((A2)+(1))+(0))),IF(B2,(INDEX(B1:XFD1,((A2)+(1))+(1)))*(2),(A181)+(2)),(A181)+(2)))),A181))</f>
        <v>#VALUE!</v>
      </c>
      <c r="B181" t="e">
        <f ca="1">IF((A1)=(2),"",IF((178)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181)+(1)),IF(("add")=(INDEX(B1:XFD1,((A2)+(1))+(0))),(INDEX(B4:B404,(B3)+(1)))+(B181),IF(("equals")=(INDEX(B1:XFD1,((A2)+(1))+(0))),(INDEX(B4:B404,(B3)+(1)))=(B181),IF(("leq")=(INDEX(B1:XFD1,((A2)+(1))+(0))),(INDEX(B4:B404,(B3)+(1)))&lt;=(B181),IF(("greater")=(INDEX(B1:XFD1,((A2)+(1))+(0))),(INDEX(B4:B404,(B3)+(1)))&gt;(B181),IF(("mod")=(INDEX(B1:XFD1,((A2)+(1))+(0))),MOD(INDEX(B4:B404,(B3)+(1)),B181),B181))))))))),B181))</f>
        <v>#VALUE!</v>
      </c>
      <c r="C181" t="e">
        <f ca="1">IF((A1)=(2),1,IF(AND((INDEX(B1:XFD1,((A2)+(1))+(0)))=("writeheap"),(INDEX(B4:B404,(B3)+(1)))=(177)),INDEX(B4:B404,(B3)+(2)),IF((A1)=(2),"",IF((178)=(C3),C181,C181))))</f>
        <v>#VALUE!</v>
      </c>
      <c r="E181" t="e">
        <f ca="1">IF((A1)=(2),"",IF((178)=(E3),IF(("outputline")=(INDEX(B1:XFD1,((A2)+(1))+(0))),B2,E181),E181))</f>
        <v>#VALUE!</v>
      </c>
      <c r="F181" t="e">
        <f ca="1">IF((A1)=(2),"",IF((178)=(F3),IF(IF((INDEX(B1:XFD1,((A2)+(1))+(0)))=("store"),(INDEX(B1:XFD1,((A2)+(1))+(1)))=("F"),"false"),B2,F181),F181))</f>
        <v>#VALUE!</v>
      </c>
      <c r="G181" t="e">
        <f ca="1">IF((A1)=(2),"",IF((178)=(G3),IF(IF((INDEX(B1:XFD1,((A2)+(1))+(0)))=("store"),(INDEX(B1:XFD1,((A2)+(1))+(1)))=("G"),"false"),B2,G181),G181))</f>
        <v>#VALUE!</v>
      </c>
      <c r="H181" t="e">
        <f ca="1">IF((A1)=(2),"",IF((178)=(H3),IF(IF((INDEX(B1:XFD1,((A2)+(1))+(0)))=("store"),(INDEX(B1:XFD1,((A2)+(1))+(1)))=("H"),"false"),B2,H181),H181))</f>
        <v>#VALUE!</v>
      </c>
      <c r="I181" t="e">
        <f ca="1">IF((A1)=(2),"",IF((178)=(I3),IF(IF((INDEX(B1:XFD1,((A2)+(1))+(0)))=("store"),(INDEX(B1:XFD1,((A2)+(1))+(1)))=("I"),"false"),B2,I181),I181))</f>
        <v>#VALUE!</v>
      </c>
      <c r="J181" t="e">
        <f ca="1">IF((A1)=(2),"",IF((178)=(J3),IF(IF((INDEX(B1:XFD1,((A2)+(1))+(0)))=("store"),(INDEX(B1:XFD1,((A2)+(1))+(1)))=("J"),"false"),B2,J181),J181))</f>
        <v>#VALUE!</v>
      </c>
      <c r="K181" t="e">
        <f ca="1">IF((A1)=(2),"",IF((178)=(K3),IF(IF((INDEX(B1:XFD1,((A2)+(1))+(0)))=("store"),(INDEX(B1:XFD1,((A2)+(1))+(1)))=("K"),"false"),B2,K181),K181))</f>
        <v>#VALUE!</v>
      </c>
      <c r="L181" t="e">
        <f ca="1">IF((A1)=(2),"",IF((178)=(L3),IF(IF((INDEX(B1:XFD1,((A2)+(1))+(0)))=("store"),(INDEX(B1:XFD1,((A2)+(1))+(1)))=("L"),"false"),B2,L181),L181))</f>
        <v>#VALUE!</v>
      </c>
      <c r="M181" t="e">
        <f ca="1">IF((A1)=(2),"",IF((178)=(M3),IF(IF((INDEX(B1:XFD1,((A2)+(1))+(0)))=("store"),(INDEX(B1:XFD1,((A2)+(1))+(1)))=("M"),"false"),B2,M181),M181))</f>
        <v>#VALUE!</v>
      </c>
      <c r="N181" t="e">
        <f ca="1">IF((A1)=(2),"",IF((178)=(N3),IF(IF((INDEX(B1:XFD1,((A2)+(1))+(0)))=("store"),(INDEX(B1:XFD1,((A2)+(1))+(1)))=("N"),"false"),B2,N181),N181))</f>
        <v>#VALUE!</v>
      </c>
      <c r="O181" t="e">
        <f ca="1">IF((A1)=(2),"",IF((178)=(O3),IF(IF((INDEX(B1:XFD1,((A2)+(1))+(0)))=("store"),(INDEX(B1:XFD1,((A2)+(1))+(1)))=("O"),"false"),B2,O181),O181))</f>
        <v>#VALUE!</v>
      </c>
      <c r="P181" t="e">
        <f ca="1">IF((A1)=(2),"",IF((178)=(P3),IF(IF((INDEX(B1:XFD1,((A2)+(1))+(0)))=("store"),(INDEX(B1:XFD1,((A2)+(1))+(1)))=("P"),"false"),B2,P181),P181))</f>
        <v>#VALUE!</v>
      </c>
      <c r="Q181" t="e">
        <f ca="1">IF((A1)=(2),"",IF((178)=(Q3),IF(IF((INDEX(B1:XFD1,((A2)+(1))+(0)))=("store"),(INDEX(B1:XFD1,((A2)+(1))+(1)))=("Q"),"false"),B2,Q181),Q181))</f>
        <v>#VALUE!</v>
      </c>
      <c r="R181" t="e">
        <f ca="1">IF((A1)=(2),"",IF((178)=(R3),IF(IF((INDEX(B1:XFD1,((A2)+(1))+(0)))=("store"),(INDEX(B1:XFD1,((A2)+(1))+(1)))=("R"),"false"),B2,R181),R181))</f>
        <v>#VALUE!</v>
      </c>
      <c r="S181" t="e">
        <f ca="1">IF((A1)=(2),"",IF((178)=(S3),IF(IF((INDEX(B1:XFD1,((A2)+(1))+(0)))=("store"),(INDEX(B1:XFD1,((A2)+(1))+(1)))=("S"),"false"),B2,S181),S181))</f>
        <v>#VALUE!</v>
      </c>
      <c r="T181" t="e">
        <f ca="1">IF((A1)=(2),"",IF((178)=(T3),IF(IF((INDEX(B1:XFD1,((A2)+(1))+(0)))=("store"),(INDEX(B1:XFD1,((A2)+(1))+(1)))=("T"),"false"),B2,T181),T181))</f>
        <v>#VALUE!</v>
      </c>
      <c r="U181" t="e">
        <f ca="1">IF((A1)=(2),"",IF((178)=(U3),IF(IF((INDEX(B1:XFD1,((A2)+(1))+(0)))=("store"),(INDEX(B1:XFD1,((A2)+(1))+(1)))=("U"),"false"),B2,U181),U181))</f>
        <v>#VALUE!</v>
      </c>
      <c r="V181" t="e">
        <f ca="1">IF((A1)=(2),"",IF((178)=(V3),IF(IF((INDEX(B1:XFD1,((A2)+(1))+(0)))=("store"),(INDEX(B1:XFD1,((A2)+(1))+(1)))=("V"),"false"),B2,V181),V181))</f>
        <v>#VALUE!</v>
      </c>
      <c r="W181" t="e">
        <f ca="1">IF((A1)=(2),"",IF((178)=(W3),IF(IF((INDEX(B1:XFD1,((A2)+(1))+(0)))=("store"),(INDEX(B1:XFD1,((A2)+(1))+(1)))=("W"),"false"),B2,W181),W181))</f>
        <v>#VALUE!</v>
      </c>
      <c r="X181" t="e">
        <f ca="1">IF((A1)=(2),"",IF((178)=(X3),IF(IF((INDEX(B1:XFD1,((A2)+(1))+(0)))=("store"),(INDEX(B1:XFD1,((A2)+(1))+(1)))=("X"),"false"),B2,X181),X181))</f>
        <v>#VALUE!</v>
      </c>
      <c r="Y181" t="e">
        <f ca="1">IF((A1)=(2),"",IF((178)=(Y3),IF(IF((INDEX(B1:XFD1,((A2)+(1))+(0)))=("store"),(INDEX(B1:XFD1,((A2)+(1))+(1)))=("Y"),"false"),B2,Y181),Y181))</f>
        <v>#VALUE!</v>
      </c>
      <c r="Z181" t="e">
        <f ca="1">IF((A1)=(2),"",IF((178)=(Z3),IF(IF((INDEX(B1:XFD1,((A2)+(1))+(0)))=("store"),(INDEX(B1:XFD1,((A2)+(1))+(1)))=("Z"),"false"),B2,Z181),Z181))</f>
        <v>#VALUE!</v>
      </c>
      <c r="AA181" t="e">
        <f ca="1">IF((A1)=(2),"",IF((178)=(AA3),IF(IF((INDEX(B1:XFD1,((A2)+(1))+(0)))=("store"),(INDEX(B1:XFD1,((A2)+(1))+(1)))=("AA"),"false"),B2,AA181),AA181))</f>
        <v>#VALUE!</v>
      </c>
      <c r="AB181" t="e">
        <f ca="1">IF((A1)=(2),"",IF((178)=(AB3),IF(IF((INDEX(B1:XFD1,((A2)+(1))+(0)))=("store"),(INDEX(B1:XFD1,((A2)+(1))+(1)))=("AB"),"false"),B2,AB181),AB181))</f>
        <v>#VALUE!</v>
      </c>
      <c r="AC181" t="e">
        <f ca="1">IF((A1)=(2),"",IF((178)=(AC3),IF(IF((INDEX(B1:XFD1,((A2)+(1))+(0)))=("store"),(INDEX(B1:XFD1,((A2)+(1))+(1)))=("AC"),"false"),B2,AC181),AC181))</f>
        <v>#VALUE!</v>
      </c>
      <c r="AD181" t="e">
        <f ca="1">IF((A1)=(2),"",IF((178)=(AD3),IF(IF((INDEX(B1:XFD1,((A2)+(1))+(0)))=("store"),(INDEX(B1:XFD1,((A2)+(1))+(1)))=("AD"),"false"),B2,AD181),AD181))</f>
        <v>#VALUE!</v>
      </c>
    </row>
    <row r="182" spans="1:30" x14ac:dyDescent="0.25">
      <c r="A182" t="e">
        <f ca="1">IF((A1)=(2),"",IF((179)=(A3),IF(("call")=(INDEX(B1:XFD1,((A2)+(1))+(0))),(B2)*(2),IF(("goto")=(INDEX(B1:XFD1,((A2)+(1))+(0))),(INDEX(B1:XFD1,((A2)+(1))+(1)))*(2),IF(("gotoiftrue")=(INDEX(B1:XFD1,((A2)+(1))+(0))),IF(B2,(INDEX(B1:XFD1,((A2)+(1))+(1)))*(2),(A182)+(2)),(A182)+(2)))),A182))</f>
        <v>#VALUE!</v>
      </c>
      <c r="B182" t="e">
        <f ca="1">IF((A1)=(2),"",IF((179)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182)+(1)),IF(("add")=(INDEX(B1:XFD1,((A2)+(1))+(0))),(INDEX(B4:B404,(B3)+(1)))+(B182),IF(("equals")=(INDEX(B1:XFD1,((A2)+(1))+(0))),(INDEX(B4:B404,(B3)+(1)))=(B182),IF(("leq")=(INDEX(B1:XFD1,((A2)+(1))+(0))),(INDEX(B4:B404,(B3)+(1)))&lt;=(B182),IF(("greater")=(INDEX(B1:XFD1,((A2)+(1))+(0))),(INDEX(B4:B404,(B3)+(1)))&gt;(B182),IF(("mod")=(INDEX(B1:XFD1,((A2)+(1))+(0))),MOD(INDEX(B4:B404,(B3)+(1)),B182),B182))))))))),B182))</f>
        <v>#VALUE!</v>
      </c>
      <c r="C182" t="e">
        <f ca="1">IF((A1)=(2),1,IF(AND((INDEX(B1:XFD1,((A2)+(1))+(0)))=("writeheap"),(INDEX(B4:B404,(B3)+(1)))=(178)),INDEX(B4:B404,(B3)+(2)),IF((A1)=(2),"",IF((179)=(C3),C182,C182))))</f>
        <v>#VALUE!</v>
      </c>
      <c r="E182" t="e">
        <f ca="1">IF((A1)=(2),"",IF((179)=(E3),IF(("outputline")=(INDEX(B1:XFD1,((A2)+(1))+(0))),B2,E182),E182))</f>
        <v>#VALUE!</v>
      </c>
      <c r="F182" t="e">
        <f ca="1">IF((A1)=(2),"",IF((179)=(F3),IF(IF((INDEX(B1:XFD1,((A2)+(1))+(0)))=("store"),(INDEX(B1:XFD1,((A2)+(1))+(1)))=("F"),"false"),B2,F182),F182))</f>
        <v>#VALUE!</v>
      </c>
      <c r="G182" t="e">
        <f ca="1">IF((A1)=(2),"",IF((179)=(G3),IF(IF((INDEX(B1:XFD1,((A2)+(1))+(0)))=("store"),(INDEX(B1:XFD1,((A2)+(1))+(1)))=("G"),"false"),B2,G182),G182))</f>
        <v>#VALUE!</v>
      </c>
      <c r="H182" t="e">
        <f ca="1">IF((A1)=(2),"",IF((179)=(H3),IF(IF((INDEX(B1:XFD1,((A2)+(1))+(0)))=("store"),(INDEX(B1:XFD1,((A2)+(1))+(1)))=("H"),"false"),B2,H182),H182))</f>
        <v>#VALUE!</v>
      </c>
      <c r="I182" t="e">
        <f ca="1">IF((A1)=(2),"",IF((179)=(I3),IF(IF((INDEX(B1:XFD1,((A2)+(1))+(0)))=("store"),(INDEX(B1:XFD1,((A2)+(1))+(1)))=("I"),"false"),B2,I182),I182))</f>
        <v>#VALUE!</v>
      </c>
      <c r="J182" t="e">
        <f ca="1">IF((A1)=(2),"",IF((179)=(J3),IF(IF((INDEX(B1:XFD1,((A2)+(1))+(0)))=("store"),(INDEX(B1:XFD1,((A2)+(1))+(1)))=("J"),"false"),B2,J182),J182))</f>
        <v>#VALUE!</v>
      </c>
      <c r="K182" t="e">
        <f ca="1">IF((A1)=(2),"",IF((179)=(K3),IF(IF((INDEX(B1:XFD1,((A2)+(1))+(0)))=("store"),(INDEX(B1:XFD1,((A2)+(1))+(1)))=("K"),"false"),B2,K182),K182))</f>
        <v>#VALUE!</v>
      </c>
      <c r="L182" t="e">
        <f ca="1">IF((A1)=(2),"",IF((179)=(L3),IF(IF((INDEX(B1:XFD1,((A2)+(1))+(0)))=("store"),(INDEX(B1:XFD1,((A2)+(1))+(1)))=("L"),"false"),B2,L182),L182))</f>
        <v>#VALUE!</v>
      </c>
      <c r="M182" t="e">
        <f ca="1">IF((A1)=(2),"",IF((179)=(M3),IF(IF((INDEX(B1:XFD1,((A2)+(1))+(0)))=("store"),(INDEX(B1:XFD1,((A2)+(1))+(1)))=("M"),"false"),B2,M182),M182))</f>
        <v>#VALUE!</v>
      </c>
      <c r="N182" t="e">
        <f ca="1">IF((A1)=(2),"",IF((179)=(N3),IF(IF((INDEX(B1:XFD1,((A2)+(1))+(0)))=("store"),(INDEX(B1:XFD1,((A2)+(1))+(1)))=("N"),"false"),B2,N182),N182))</f>
        <v>#VALUE!</v>
      </c>
      <c r="O182" t="e">
        <f ca="1">IF((A1)=(2),"",IF((179)=(O3),IF(IF((INDEX(B1:XFD1,((A2)+(1))+(0)))=("store"),(INDEX(B1:XFD1,((A2)+(1))+(1)))=("O"),"false"),B2,O182),O182))</f>
        <v>#VALUE!</v>
      </c>
      <c r="P182" t="e">
        <f ca="1">IF((A1)=(2),"",IF((179)=(P3),IF(IF((INDEX(B1:XFD1,((A2)+(1))+(0)))=("store"),(INDEX(B1:XFD1,((A2)+(1))+(1)))=("P"),"false"),B2,P182),P182))</f>
        <v>#VALUE!</v>
      </c>
      <c r="Q182" t="e">
        <f ca="1">IF((A1)=(2),"",IF((179)=(Q3),IF(IF((INDEX(B1:XFD1,((A2)+(1))+(0)))=("store"),(INDEX(B1:XFD1,((A2)+(1))+(1)))=("Q"),"false"),B2,Q182),Q182))</f>
        <v>#VALUE!</v>
      </c>
      <c r="R182" t="e">
        <f ca="1">IF((A1)=(2),"",IF((179)=(R3),IF(IF((INDEX(B1:XFD1,((A2)+(1))+(0)))=("store"),(INDEX(B1:XFD1,((A2)+(1))+(1)))=("R"),"false"),B2,R182),R182))</f>
        <v>#VALUE!</v>
      </c>
      <c r="S182" t="e">
        <f ca="1">IF((A1)=(2),"",IF((179)=(S3),IF(IF((INDEX(B1:XFD1,((A2)+(1))+(0)))=("store"),(INDEX(B1:XFD1,((A2)+(1))+(1)))=("S"),"false"),B2,S182),S182))</f>
        <v>#VALUE!</v>
      </c>
      <c r="T182" t="e">
        <f ca="1">IF((A1)=(2),"",IF((179)=(T3),IF(IF((INDEX(B1:XFD1,((A2)+(1))+(0)))=("store"),(INDEX(B1:XFD1,((A2)+(1))+(1)))=("T"),"false"),B2,T182),T182))</f>
        <v>#VALUE!</v>
      </c>
      <c r="U182" t="e">
        <f ca="1">IF((A1)=(2),"",IF((179)=(U3),IF(IF((INDEX(B1:XFD1,((A2)+(1))+(0)))=("store"),(INDEX(B1:XFD1,((A2)+(1))+(1)))=("U"),"false"),B2,U182),U182))</f>
        <v>#VALUE!</v>
      </c>
      <c r="V182" t="e">
        <f ca="1">IF((A1)=(2),"",IF((179)=(V3),IF(IF((INDEX(B1:XFD1,((A2)+(1))+(0)))=("store"),(INDEX(B1:XFD1,((A2)+(1))+(1)))=("V"),"false"),B2,V182),V182))</f>
        <v>#VALUE!</v>
      </c>
      <c r="W182" t="e">
        <f ca="1">IF((A1)=(2),"",IF((179)=(W3),IF(IF((INDEX(B1:XFD1,((A2)+(1))+(0)))=("store"),(INDEX(B1:XFD1,((A2)+(1))+(1)))=("W"),"false"),B2,W182),W182))</f>
        <v>#VALUE!</v>
      </c>
      <c r="X182" t="e">
        <f ca="1">IF((A1)=(2),"",IF((179)=(X3),IF(IF((INDEX(B1:XFD1,((A2)+(1))+(0)))=("store"),(INDEX(B1:XFD1,((A2)+(1))+(1)))=("X"),"false"),B2,X182),X182))</f>
        <v>#VALUE!</v>
      </c>
      <c r="Y182" t="e">
        <f ca="1">IF((A1)=(2),"",IF((179)=(Y3),IF(IF((INDEX(B1:XFD1,((A2)+(1))+(0)))=("store"),(INDEX(B1:XFD1,((A2)+(1))+(1)))=("Y"),"false"),B2,Y182),Y182))</f>
        <v>#VALUE!</v>
      </c>
      <c r="Z182" t="e">
        <f ca="1">IF((A1)=(2),"",IF((179)=(Z3),IF(IF((INDEX(B1:XFD1,((A2)+(1))+(0)))=("store"),(INDEX(B1:XFD1,((A2)+(1))+(1)))=("Z"),"false"),B2,Z182),Z182))</f>
        <v>#VALUE!</v>
      </c>
      <c r="AA182" t="e">
        <f ca="1">IF((A1)=(2),"",IF((179)=(AA3),IF(IF((INDEX(B1:XFD1,((A2)+(1))+(0)))=("store"),(INDEX(B1:XFD1,((A2)+(1))+(1)))=("AA"),"false"),B2,AA182),AA182))</f>
        <v>#VALUE!</v>
      </c>
      <c r="AB182" t="e">
        <f ca="1">IF((A1)=(2),"",IF((179)=(AB3),IF(IF((INDEX(B1:XFD1,((A2)+(1))+(0)))=("store"),(INDEX(B1:XFD1,((A2)+(1))+(1)))=("AB"),"false"),B2,AB182),AB182))</f>
        <v>#VALUE!</v>
      </c>
      <c r="AC182" t="e">
        <f ca="1">IF((A1)=(2),"",IF((179)=(AC3),IF(IF((INDEX(B1:XFD1,((A2)+(1))+(0)))=("store"),(INDEX(B1:XFD1,((A2)+(1))+(1)))=("AC"),"false"),B2,AC182),AC182))</f>
        <v>#VALUE!</v>
      </c>
      <c r="AD182" t="e">
        <f ca="1">IF((A1)=(2),"",IF((179)=(AD3),IF(IF((INDEX(B1:XFD1,((A2)+(1))+(0)))=("store"),(INDEX(B1:XFD1,((A2)+(1))+(1)))=("AD"),"false"),B2,AD182),AD182))</f>
        <v>#VALUE!</v>
      </c>
    </row>
    <row r="183" spans="1:30" x14ac:dyDescent="0.25">
      <c r="A183" t="e">
        <f ca="1">IF((A1)=(2),"",IF((180)=(A3),IF(("call")=(INDEX(B1:XFD1,((A2)+(1))+(0))),(B2)*(2),IF(("goto")=(INDEX(B1:XFD1,((A2)+(1))+(0))),(INDEX(B1:XFD1,((A2)+(1))+(1)))*(2),IF(("gotoiftrue")=(INDEX(B1:XFD1,((A2)+(1))+(0))),IF(B2,(INDEX(B1:XFD1,((A2)+(1))+(1)))*(2),(A183)+(2)),(A183)+(2)))),A183))</f>
        <v>#VALUE!</v>
      </c>
      <c r="B183" t="e">
        <f ca="1">IF((A1)=(2),"",IF((180)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183)+(1)),IF(("add")=(INDEX(B1:XFD1,((A2)+(1))+(0))),(INDEX(B4:B404,(B3)+(1)))+(B183),IF(("equals")=(INDEX(B1:XFD1,((A2)+(1))+(0))),(INDEX(B4:B404,(B3)+(1)))=(B183),IF(("leq")=(INDEX(B1:XFD1,((A2)+(1))+(0))),(INDEX(B4:B404,(B3)+(1)))&lt;=(B183),IF(("greater")=(INDEX(B1:XFD1,((A2)+(1))+(0))),(INDEX(B4:B404,(B3)+(1)))&gt;(B183),IF(("mod")=(INDEX(B1:XFD1,((A2)+(1))+(0))),MOD(INDEX(B4:B404,(B3)+(1)),B183),B183))))))))),B183))</f>
        <v>#VALUE!</v>
      </c>
      <c r="C183" t="e">
        <f ca="1">IF((A1)=(2),1,IF(AND((INDEX(B1:XFD1,((A2)+(1))+(0)))=("writeheap"),(INDEX(B4:B404,(B3)+(1)))=(179)),INDEX(B4:B404,(B3)+(2)),IF((A1)=(2),"",IF((180)=(C3),C183,C183))))</f>
        <v>#VALUE!</v>
      </c>
      <c r="E183" t="e">
        <f ca="1">IF((A1)=(2),"",IF((180)=(E3),IF(("outputline")=(INDEX(B1:XFD1,((A2)+(1))+(0))),B2,E183),E183))</f>
        <v>#VALUE!</v>
      </c>
      <c r="F183" t="e">
        <f ca="1">IF((A1)=(2),"",IF((180)=(F3),IF(IF((INDEX(B1:XFD1,((A2)+(1))+(0)))=("store"),(INDEX(B1:XFD1,((A2)+(1))+(1)))=("F"),"false"),B2,F183),F183))</f>
        <v>#VALUE!</v>
      </c>
      <c r="G183" t="e">
        <f ca="1">IF((A1)=(2),"",IF((180)=(G3),IF(IF((INDEX(B1:XFD1,((A2)+(1))+(0)))=("store"),(INDEX(B1:XFD1,((A2)+(1))+(1)))=("G"),"false"),B2,G183),G183))</f>
        <v>#VALUE!</v>
      </c>
      <c r="H183" t="e">
        <f ca="1">IF((A1)=(2),"",IF((180)=(H3),IF(IF((INDEX(B1:XFD1,((A2)+(1))+(0)))=("store"),(INDEX(B1:XFD1,((A2)+(1))+(1)))=("H"),"false"),B2,H183),H183))</f>
        <v>#VALUE!</v>
      </c>
      <c r="I183" t="e">
        <f ca="1">IF((A1)=(2),"",IF((180)=(I3),IF(IF((INDEX(B1:XFD1,((A2)+(1))+(0)))=("store"),(INDEX(B1:XFD1,((A2)+(1))+(1)))=("I"),"false"),B2,I183),I183))</f>
        <v>#VALUE!</v>
      </c>
      <c r="J183" t="e">
        <f ca="1">IF((A1)=(2),"",IF((180)=(J3),IF(IF((INDEX(B1:XFD1,((A2)+(1))+(0)))=("store"),(INDEX(B1:XFD1,((A2)+(1))+(1)))=("J"),"false"),B2,J183),J183))</f>
        <v>#VALUE!</v>
      </c>
      <c r="K183" t="e">
        <f ca="1">IF((A1)=(2),"",IF((180)=(K3),IF(IF((INDEX(B1:XFD1,((A2)+(1))+(0)))=("store"),(INDEX(B1:XFD1,((A2)+(1))+(1)))=("K"),"false"),B2,K183),K183))</f>
        <v>#VALUE!</v>
      </c>
      <c r="L183" t="e">
        <f ca="1">IF((A1)=(2),"",IF((180)=(L3),IF(IF((INDEX(B1:XFD1,((A2)+(1))+(0)))=("store"),(INDEX(B1:XFD1,((A2)+(1))+(1)))=("L"),"false"),B2,L183),L183))</f>
        <v>#VALUE!</v>
      </c>
      <c r="M183" t="e">
        <f ca="1">IF((A1)=(2),"",IF((180)=(M3),IF(IF((INDEX(B1:XFD1,((A2)+(1))+(0)))=("store"),(INDEX(B1:XFD1,((A2)+(1))+(1)))=("M"),"false"),B2,M183),M183))</f>
        <v>#VALUE!</v>
      </c>
      <c r="N183" t="e">
        <f ca="1">IF((A1)=(2),"",IF((180)=(N3),IF(IF((INDEX(B1:XFD1,((A2)+(1))+(0)))=("store"),(INDEX(B1:XFD1,((A2)+(1))+(1)))=("N"),"false"),B2,N183),N183))</f>
        <v>#VALUE!</v>
      </c>
      <c r="O183" t="e">
        <f ca="1">IF((A1)=(2),"",IF((180)=(O3),IF(IF((INDEX(B1:XFD1,((A2)+(1))+(0)))=("store"),(INDEX(B1:XFD1,((A2)+(1))+(1)))=("O"),"false"),B2,O183),O183))</f>
        <v>#VALUE!</v>
      </c>
      <c r="P183" t="e">
        <f ca="1">IF((A1)=(2),"",IF((180)=(P3),IF(IF((INDEX(B1:XFD1,((A2)+(1))+(0)))=("store"),(INDEX(B1:XFD1,((A2)+(1))+(1)))=("P"),"false"),B2,P183),P183))</f>
        <v>#VALUE!</v>
      </c>
      <c r="Q183" t="e">
        <f ca="1">IF((A1)=(2),"",IF((180)=(Q3),IF(IF((INDEX(B1:XFD1,((A2)+(1))+(0)))=("store"),(INDEX(B1:XFD1,((A2)+(1))+(1)))=("Q"),"false"),B2,Q183),Q183))</f>
        <v>#VALUE!</v>
      </c>
      <c r="R183" t="e">
        <f ca="1">IF((A1)=(2),"",IF((180)=(R3),IF(IF((INDEX(B1:XFD1,((A2)+(1))+(0)))=("store"),(INDEX(B1:XFD1,((A2)+(1))+(1)))=("R"),"false"),B2,R183),R183))</f>
        <v>#VALUE!</v>
      </c>
      <c r="S183" t="e">
        <f ca="1">IF((A1)=(2),"",IF((180)=(S3),IF(IF((INDEX(B1:XFD1,((A2)+(1))+(0)))=("store"),(INDEX(B1:XFD1,((A2)+(1))+(1)))=("S"),"false"),B2,S183),S183))</f>
        <v>#VALUE!</v>
      </c>
      <c r="T183" t="e">
        <f ca="1">IF((A1)=(2),"",IF((180)=(T3),IF(IF((INDEX(B1:XFD1,((A2)+(1))+(0)))=("store"),(INDEX(B1:XFD1,((A2)+(1))+(1)))=("T"),"false"),B2,T183),T183))</f>
        <v>#VALUE!</v>
      </c>
      <c r="U183" t="e">
        <f ca="1">IF((A1)=(2),"",IF((180)=(U3),IF(IF((INDEX(B1:XFD1,((A2)+(1))+(0)))=("store"),(INDEX(B1:XFD1,((A2)+(1))+(1)))=("U"),"false"),B2,U183),U183))</f>
        <v>#VALUE!</v>
      </c>
      <c r="V183" t="e">
        <f ca="1">IF((A1)=(2),"",IF((180)=(V3),IF(IF((INDEX(B1:XFD1,((A2)+(1))+(0)))=("store"),(INDEX(B1:XFD1,((A2)+(1))+(1)))=("V"),"false"),B2,V183),V183))</f>
        <v>#VALUE!</v>
      </c>
      <c r="W183" t="e">
        <f ca="1">IF((A1)=(2),"",IF((180)=(W3),IF(IF((INDEX(B1:XFD1,((A2)+(1))+(0)))=("store"),(INDEX(B1:XFD1,((A2)+(1))+(1)))=("W"),"false"),B2,W183),W183))</f>
        <v>#VALUE!</v>
      </c>
      <c r="X183" t="e">
        <f ca="1">IF((A1)=(2),"",IF((180)=(X3),IF(IF((INDEX(B1:XFD1,((A2)+(1))+(0)))=("store"),(INDEX(B1:XFD1,((A2)+(1))+(1)))=("X"),"false"),B2,X183),X183))</f>
        <v>#VALUE!</v>
      </c>
      <c r="Y183" t="e">
        <f ca="1">IF((A1)=(2),"",IF((180)=(Y3),IF(IF((INDEX(B1:XFD1,((A2)+(1))+(0)))=("store"),(INDEX(B1:XFD1,((A2)+(1))+(1)))=("Y"),"false"),B2,Y183),Y183))</f>
        <v>#VALUE!</v>
      </c>
      <c r="Z183" t="e">
        <f ca="1">IF((A1)=(2),"",IF((180)=(Z3),IF(IF((INDEX(B1:XFD1,((A2)+(1))+(0)))=("store"),(INDEX(B1:XFD1,((A2)+(1))+(1)))=("Z"),"false"),B2,Z183),Z183))</f>
        <v>#VALUE!</v>
      </c>
      <c r="AA183" t="e">
        <f ca="1">IF((A1)=(2),"",IF((180)=(AA3),IF(IF((INDEX(B1:XFD1,((A2)+(1))+(0)))=("store"),(INDEX(B1:XFD1,((A2)+(1))+(1)))=("AA"),"false"),B2,AA183),AA183))</f>
        <v>#VALUE!</v>
      </c>
      <c r="AB183" t="e">
        <f ca="1">IF((A1)=(2),"",IF((180)=(AB3),IF(IF((INDEX(B1:XFD1,((A2)+(1))+(0)))=("store"),(INDEX(B1:XFD1,((A2)+(1))+(1)))=("AB"),"false"),B2,AB183),AB183))</f>
        <v>#VALUE!</v>
      </c>
      <c r="AC183" t="e">
        <f ca="1">IF((A1)=(2),"",IF((180)=(AC3),IF(IF((INDEX(B1:XFD1,((A2)+(1))+(0)))=("store"),(INDEX(B1:XFD1,((A2)+(1))+(1)))=("AC"),"false"),B2,AC183),AC183))</f>
        <v>#VALUE!</v>
      </c>
      <c r="AD183" t="e">
        <f ca="1">IF((A1)=(2),"",IF((180)=(AD3),IF(IF((INDEX(B1:XFD1,((A2)+(1))+(0)))=("store"),(INDEX(B1:XFD1,((A2)+(1))+(1)))=("AD"),"false"),B2,AD183),AD183))</f>
        <v>#VALUE!</v>
      </c>
    </row>
    <row r="184" spans="1:30" x14ac:dyDescent="0.25">
      <c r="A184" t="e">
        <f ca="1">IF((A1)=(2),"",IF((181)=(A3),IF(("call")=(INDEX(B1:XFD1,((A2)+(1))+(0))),(B2)*(2),IF(("goto")=(INDEX(B1:XFD1,((A2)+(1))+(0))),(INDEX(B1:XFD1,((A2)+(1))+(1)))*(2),IF(("gotoiftrue")=(INDEX(B1:XFD1,((A2)+(1))+(0))),IF(B2,(INDEX(B1:XFD1,((A2)+(1))+(1)))*(2),(A184)+(2)),(A184)+(2)))),A184))</f>
        <v>#VALUE!</v>
      </c>
      <c r="B184" t="e">
        <f ca="1">IF((A1)=(2),"",IF((181)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184)+(1)),IF(("add")=(INDEX(B1:XFD1,((A2)+(1))+(0))),(INDEX(B4:B404,(B3)+(1)))+(B184),IF(("equals")=(INDEX(B1:XFD1,((A2)+(1))+(0))),(INDEX(B4:B404,(B3)+(1)))=(B184),IF(("leq")=(INDEX(B1:XFD1,((A2)+(1))+(0))),(INDEX(B4:B404,(B3)+(1)))&lt;=(B184),IF(("greater")=(INDEX(B1:XFD1,((A2)+(1))+(0))),(INDEX(B4:B404,(B3)+(1)))&gt;(B184),IF(("mod")=(INDEX(B1:XFD1,((A2)+(1))+(0))),MOD(INDEX(B4:B404,(B3)+(1)),B184),B184))))))))),B184))</f>
        <v>#VALUE!</v>
      </c>
      <c r="C184" t="e">
        <f ca="1">IF((A1)=(2),1,IF(AND((INDEX(B1:XFD1,((A2)+(1))+(0)))=("writeheap"),(INDEX(B4:B404,(B3)+(1)))=(180)),INDEX(B4:B404,(B3)+(2)),IF((A1)=(2),"",IF((181)=(C3),C184,C184))))</f>
        <v>#VALUE!</v>
      </c>
      <c r="E184" t="e">
        <f ca="1">IF((A1)=(2),"",IF((181)=(E3),IF(("outputline")=(INDEX(B1:XFD1,((A2)+(1))+(0))),B2,E184),E184))</f>
        <v>#VALUE!</v>
      </c>
      <c r="F184" t="e">
        <f ca="1">IF((A1)=(2),"",IF((181)=(F3),IF(IF((INDEX(B1:XFD1,((A2)+(1))+(0)))=("store"),(INDEX(B1:XFD1,((A2)+(1))+(1)))=("F"),"false"),B2,F184),F184))</f>
        <v>#VALUE!</v>
      </c>
      <c r="G184" t="e">
        <f ca="1">IF((A1)=(2),"",IF((181)=(G3),IF(IF((INDEX(B1:XFD1,((A2)+(1))+(0)))=("store"),(INDEX(B1:XFD1,((A2)+(1))+(1)))=("G"),"false"),B2,G184),G184))</f>
        <v>#VALUE!</v>
      </c>
      <c r="H184" t="e">
        <f ca="1">IF((A1)=(2),"",IF((181)=(H3),IF(IF((INDEX(B1:XFD1,((A2)+(1))+(0)))=("store"),(INDEX(B1:XFD1,((A2)+(1))+(1)))=("H"),"false"),B2,H184),H184))</f>
        <v>#VALUE!</v>
      </c>
      <c r="I184" t="e">
        <f ca="1">IF((A1)=(2),"",IF((181)=(I3),IF(IF((INDEX(B1:XFD1,((A2)+(1))+(0)))=("store"),(INDEX(B1:XFD1,((A2)+(1))+(1)))=("I"),"false"),B2,I184),I184))</f>
        <v>#VALUE!</v>
      </c>
      <c r="J184" t="e">
        <f ca="1">IF((A1)=(2),"",IF((181)=(J3),IF(IF((INDEX(B1:XFD1,((A2)+(1))+(0)))=("store"),(INDEX(B1:XFD1,((A2)+(1))+(1)))=("J"),"false"),B2,J184),J184))</f>
        <v>#VALUE!</v>
      </c>
      <c r="K184" t="e">
        <f ca="1">IF((A1)=(2),"",IF((181)=(K3),IF(IF((INDEX(B1:XFD1,((A2)+(1))+(0)))=("store"),(INDEX(B1:XFD1,((A2)+(1))+(1)))=("K"),"false"),B2,K184),K184))</f>
        <v>#VALUE!</v>
      </c>
      <c r="L184" t="e">
        <f ca="1">IF((A1)=(2),"",IF((181)=(L3),IF(IF((INDEX(B1:XFD1,((A2)+(1))+(0)))=("store"),(INDEX(B1:XFD1,((A2)+(1))+(1)))=("L"),"false"),B2,L184),L184))</f>
        <v>#VALUE!</v>
      </c>
      <c r="M184" t="e">
        <f ca="1">IF((A1)=(2),"",IF((181)=(M3),IF(IF((INDEX(B1:XFD1,((A2)+(1))+(0)))=("store"),(INDEX(B1:XFD1,((A2)+(1))+(1)))=("M"),"false"),B2,M184),M184))</f>
        <v>#VALUE!</v>
      </c>
      <c r="N184" t="e">
        <f ca="1">IF((A1)=(2),"",IF((181)=(N3),IF(IF((INDEX(B1:XFD1,((A2)+(1))+(0)))=("store"),(INDEX(B1:XFD1,((A2)+(1))+(1)))=("N"),"false"),B2,N184),N184))</f>
        <v>#VALUE!</v>
      </c>
      <c r="O184" t="e">
        <f ca="1">IF((A1)=(2),"",IF((181)=(O3),IF(IF((INDEX(B1:XFD1,((A2)+(1))+(0)))=("store"),(INDEX(B1:XFD1,((A2)+(1))+(1)))=("O"),"false"),B2,O184),O184))</f>
        <v>#VALUE!</v>
      </c>
      <c r="P184" t="e">
        <f ca="1">IF((A1)=(2),"",IF((181)=(P3),IF(IF((INDEX(B1:XFD1,((A2)+(1))+(0)))=("store"),(INDEX(B1:XFD1,((A2)+(1))+(1)))=("P"),"false"),B2,P184),P184))</f>
        <v>#VALUE!</v>
      </c>
      <c r="Q184" t="e">
        <f ca="1">IF((A1)=(2),"",IF((181)=(Q3),IF(IF((INDEX(B1:XFD1,((A2)+(1))+(0)))=("store"),(INDEX(B1:XFD1,((A2)+(1))+(1)))=("Q"),"false"),B2,Q184),Q184))</f>
        <v>#VALUE!</v>
      </c>
      <c r="R184" t="e">
        <f ca="1">IF((A1)=(2),"",IF((181)=(R3),IF(IF((INDEX(B1:XFD1,((A2)+(1))+(0)))=("store"),(INDEX(B1:XFD1,((A2)+(1))+(1)))=("R"),"false"),B2,R184),R184))</f>
        <v>#VALUE!</v>
      </c>
      <c r="S184" t="e">
        <f ca="1">IF((A1)=(2),"",IF((181)=(S3),IF(IF((INDEX(B1:XFD1,((A2)+(1))+(0)))=("store"),(INDEX(B1:XFD1,((A2)+(1))+(1)))=("S"),"false"),B2,S184),S184))</f>
        <v>#VALUE!</v>
      </c>
      <c r="T184" t="e">
        <f ca="1">IF((A1)=(2),"",IF((181)=(T3),IF(IF((INDEX(B1:XFD1,((A2)+(1))+(0)))=("store"),(INDEX(B1:XFD1,((A2)+(1))+(1)))=("T"),"false"),B2,T184),T184))</f>
        <v>#VALUE!</v>
      </c>
      <c r="U184" t="e">
        <f ca="1">IF((A1)=(2),"",IF((181)=(U3),IF(IF((INDEX(B1:XFD1,((A2)+(1))+(0)))=("store"),(INDEX(B1:XFD1,((A2)+(1))+(1)))=("U"),"false"),B2,U184),U184))</f>
        <v>#VALUE!</v>
      </c>
      <c r="V184" t="e">
        <f ca="1">IF((A1)=(2),"",IF((181)=(V3),IF(IF((INDEX(B1:XFD1,((A2)+(1))+(0)))=("store"),(INDEX(B1:XFD1,((A2)+(1))+(1)))=("V"),"false"),B2,V184),V184))</f>
        <v>#VALUE!</v>
      </c>
      <c r="W184" t="e">
        <f ca="1">IF((A1)=(2),"",IF((181)=(W3),IF(IF((INDEX(B1:XFD1,((A2)+(1))+(0)))=("store"),(INDEX(B1:XFD1,((A2)+(1))+(1)))=("W"),"false"),B2,W184),W184))</f>
        <v>#VALUE!</v>
      </c>
      <c r="X184" t="e">
        <f ca="1">IF((A1)=(2),"",IF((181)=(X3),IF(IF((INDEX(B1:XFD1,((A2)+(1))+(0)))=("store"),(INDEX(B1:XFD1,((A2)+(1))+(1)))=("X"),"false"),B2,X184),X184))</f>
        <v>#VALUE!</v>
      </c>
      <c r="Y184" t="e">
        <f ca="1">IF((A1)=(2),"",IF((181)=(Y3),IF(IF((INDEX(B1:XFD1,((A2)+(1))+(0)))=("store"),(INDEX(B1:XFD1,((A2)+(1))+(1)))=("Y"),"false"),B2,Y184),Y184))</f>
        <v>#VALUE!</v>
      </c>
      <c r="Z184" t="e">
        <f ca="1">IF((A1)=(2),"",IF((181)=(Z3),IF(IF((INDEX(B1:XFD1,((A2)+(1))+(0)))=("store"),(INDEX(B1:XFD1,((A2)+(1))+(1)))=("Z"),"false"),B2,Z184),Z184))</f>
        <v>#VALUE!</v>
      </c>
      <c r="AA184" t="e">
        <f ca="1">IF((A1)=(2),"",IF((181)=(AA3),IF(IF((INDEX(B1:XFD1,((A2)+(1))+(0)))=("store"),(INDEX(B1:XFD1,((A2)+(1))+(1)))=("AA"),"false"),B2,AA184),AA184))</f>
        <v>#VALUE!</v>
      </c>
      <c r="AB184" t="e">
        <f ca="1">IF((A1)=(2),"",IF((181)=(AB3),IF(IF((INDEX(B1:XFD1,((A2)+(1))+(0)))=("store"),(INDEX(B1:XFD1,((A2)+(1))+(1)))=("AB"),"false"),B2,AB184),AB184))</f>
        <v>#VALUE!</v>
      </c>
      <c r="AC184" t="e">
        <f ca="1">IF((A1)=(2),"",IF((181)=(AC3),IF(IF((INDEX(B1:XFD1,((A2)+(1))+(0)))=("store"),(INDEX(B1:XFD1,((A2)+(1))+(1)))=("AC"),"false"),B2,AC184),AC184))</f>
        <v>#VALUE!</v>
      </c>
      <c r="AD184" t="e">
        <f ca="1">IF((A1)=(2),"",IF((181)=(AD3),IF(IF((INDEX(B1:XFD1,((A2)+(1))+(0)))=("store"),(INDEX(B1:XFD1,((A2)+(1))+(1)))=("AD"),"false"),B2,AD184),AD184))</f>
        <v>#VALUE!</v>
      </c>
    </row>
    <row r="185" spans="1:30" x14ac:dyDescent="0.25">
      <c r="A185" t="e">
        <f ca="1">IF((A1)=(2),"",IF((182)=(A3),IF(("call")=(INDEX(B1:XFD1,((A2)+(1))+(0))),(B2)*(2),IF(("goto")=(INDEX(B1:XFD1,((A2)+(1))+(0))),(INDEX(B1:XFD1,((A2)+(1))+(1)))*(2),IF(("gotoiftrue")=(INDEX(B1:XFD1,((A2)+(1))+(0))),IF(B2,(INDEX(B1:XFD1,((A2)+(1))+(1)))*(2),(A185)+(2)),(A185)+(2)))),A185))</f>
        <v>#VALUE!</v>
      </c>
      <c r="B185" t="e">
        <f ca="1">IF((A1)=(2),"",IF((182)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185)+(1)),IF(("add")=(INDEX(B1:XFD1,((A2)+(1))+(0))),(INDEX(B4:B404,(B3)+(1)))+(B185),IF(("equals")=(INDEX(B1:XFD1,((A2)+(1))+(0))),(INDEX(B4:B404,(B3)+(1)))=(B185),IF(("leq")=(INDEX(B1:XFD1,((A2)+(1))+(0))),(INDEX(B4:B404,(B3)+(1)))&lt;=(B185),IF(("greater")=(INDEX(B1:XFD1,((A2)+(1))+(0))),(INDEX(B4:B404,(B3)+(1)))&gt;(B185),IF(("mod")=(INDEX(B1:XFD1,((A2)+(1))+(0))),MOD(INDEX(B4:B404,(B3)+(1)),B185),B185))))))))),B185))</f>
        <v>#VALUE!</v>
      </c>
      <c r="C185" t="e">
        <f ca="1">IF((A1)=(2),1,IF(AND((INDEX(B1:XFD1,((A2)+(1))+(0)))=("writeheap"),(INDEX(B4:B404,(B3)+(1)))=(181)),INDEX(B4:B404,(B3)+(2)),IF((A1)=(2),"",IF((182)=(C3),C185,C185))))</f>
        <v>#VALUE!</v>
      </c>
      <c r="E185" t="e">
        <f ca="1">IF((A1)=(2),"",IF((182)=(E3),IF(("outputline")=(INDEX(B1:XFD1,((A2)+(1))+(0))),B2,E185),E185))</f>
        <v>#VALUE!</v>
      </c>
      <c r="F185" t="e">
        <f ca="1">IF((A1)=(2),"",IF((182)=(F3),IF(IF((INDEX(B1:XFD1,((A2)+(1))+(0)))=("store"),(INDEX(B1:XFD1,((A2)+(1))+(1)))=("F"),"false"),B2,F185),F185))</f>
        <v>#VALUE!</v>
      </c>
      <c r="G185" t="e">
        <f ca="1">IF((A1)=(2),"",IF((182)=(G3),IF(IF((INDEX(B1:XFD1,((A2)+(1))+(0)))=("store"),(INDEX(B1:XFD1,((A2)+(1))+(1)))=("G"),"false"),B2,G185),G185))</f>
        <v>#VALUE!</v>
      </c>
      <c r="H185" t="e">
        <f ca="1">IF((A1)=(2),"",IF((182)=(H3),IF(IF((INDEX(B1:XFD1,((A2)+(1))+(0)))=("store"),(INDEX(B1:XFD1,((A2)+(1))+(1)))=("H"),"false"),B2,H185),H185))</f>
        <v>#VALUE!</v>
      </c>
      <c r="I185" t="e">
        <f ca="1">IF((A1)=(2),"",IF((182)=(I3),IF(IF((INDEX(B1:XFD1,((A2)+(1))+(0)))=("store"),(INDEX(B1:XFD1,((A2)+(1))+(1)))=("I"),"false"),B2,I185),I185))</f>
        <v>#VALUE!</v>
      </c>
      <c r="J185" t="e">
        <f ca="1">IF((A1)=(2),"",IF((182)=(J3),IF(IF((INDEX(B1:XFD1,((A2)+(1))+(0)))=("store"),(INDEX(B1:XFD1,((A2)+(1))+(1)))=("J"),"false"),B2,J185),J185))</f>
        <v>#VALUE!</v>
      </c>
      <c r="K185" t="e">
        <f ca="1">IF((A1)=(2),"",IF((182)=(K3),IF(IF((INDEX(B1:XFD1,((A2)+(1))+(0)))=("store"),(INDEX(B1:XFD1,((A2)+(1))+(1)))=("K"),"false"),B2,K185),K185))</f>
        <v>#VALUE!</v>
      </c>
      <c r="L185" t="e">
        <f ca="1">IF((A1)=(2),"",IF((182)=(L3),IF(IF((INDEX(B1:XFD1,((A2)+(1))+(0)))=("store"),(INDEX(B1:XFD1,((A2)+(1))+(1)))=("L"),"false"),B2,L185),L185))</f>
        <v>#VALUE!</v>
      </c>
      <c r="M185" t="e">
        <f ca="1">IF((A1)=(2),"",IF((182)=(M3),IF(IF((INDEX(B1:XFD1,((A2)+(1))+(0)))=("store"),(INDEX(B1:XFD1,((A2)+(1))+(1)))=("M"),"false"),B2,M185),M185))</f>
        <v>#VALUE!</v>
      </c>
      <c r="N185" t="e">
        <f ca="1">IF((A1)=(2),"",IF((182)=(N3),IF(IF((INDEX(B1:XFD1,((A2)+(1))+(0)))=("store"),(INDEX(B1:XFD1,((A2)+(1))+(1)))=("N"),"false"),B2,N185),N185))</f>
        <v>#VALUE!</v>
      </c>
      <c r="O185" t="e">
        <f ca="1">IF((A1)=(2),"",IF((182)=(O3),IF(IF((INDEX(B1:XFD1,((A2)+(1))+(0)))=("store"),(INDEX(B1:XFD1,((A2)+(1))+(1)))=("O"),"false"),B2,O185),O185))</f>
        <v>#VALUE!</v>
      </c>
      <c r="P185" t="e">
        <f ca="1">IF((A1)=(2),"",IF((182)=(P3),IF(IF((INDEX(B1:XFD1,((A2)+(1))+(0)))=("store"),(INDEX(B1:XFD1,((A2)+(1))+(1)))=("P"),"false"),B2,P185),P185))</f>
        <v>#VALUE!</v>
      </c>
      <c r="Q185" t="e">
        <f ca="1">IF((A1)=(2),"",IF((182)=(Q3),IF(IF((INDEX(B1:XFD1,((A2)+(1))+(0)))=("store"),(INDEX(B1:XFD1,((A2)+(1))+(1)))=("Q"),"false"),B2,Q185),Q185))</f>
        <v>#VALUE!</v>
      </c>
      <c r="R185" t="e">
        <f ca="1">IF((A1)=(2),"",IF((182)=(R3),IF(IF((INDEX(B1:XFD1,((A2)+(1))+(0)))=("store"),(INDEX(B1:XFD1,((A2)+(1))+(1)))=("R"),"false"),B2,R185),R185))</f>
        <v>#VALUE!</v>
      </c>
      <c r="S185" t="e">
        <f ca="1">IF((A1)=(2),"",IF((182)=(S3),IF(IF((INDEX(B1:XFD1,((A2)+(1))+(0)))=("store"),(INDEX(B1:XFD1,((A2)+(1))+(1)))=("S"),"false"),B2,S185),S185))</f>
        <v>#VALUE!</v>
      </c>
      <c r="T185" t="e">
        <f ca="1">IF((A1)=(2),"",IF((182)=(T3),IF(IF((INDEX(B1:XFD1,((A2)+(1))+(0)))=("store"),(INDEX(B1:XFD1,((A2)+(1))+(1)))=("T"),"false"),B2,T185),T185))</f>
        <v>#VALUE!</v>
      </c>
      <c r="U185" t="e">
        <f ca="1">IF((A1)=(2),"",IF((182)=(U3),IF(IF((INDEX(B1:XFD1,((A2)+(1))+(0)))=("store"),(INDEX(B1:XFD1,((A2)+(1))+(1)))=("U"),"false"),B2,U185),U185))</f>
        <v>#VALUE!</v>
      </c>
      <c r="V185" t="e">
        <f ca="1">IF((A1)=(2),"",IF((182)=(V3),IF(IF((INDEX(B1:XFD1,((A2)+(1))+(0)))=("store"),(INDEX(B1:XFD1,((A2)+(1))+(1)))=("V"),"false"),B2,V185),V185))</f>
        <v>#VALUE!</v>
      </c>
      <c r="W185" t="e">
        <f ca="1">IF((A1)=(2),"",IF((182)=(W3),IF(IF((INDEX(B1:XFD1,((A2)+(1))+(0)))=("store"),(INDEX(B1:XFD1,((A2)+(1))+(1)))=("W"),"false"),B2,W185),W185))</f>
        <v>#VALUE!</v>
      </c>
      <c r="X185" t="e">
        <f ca="1">IF((A1)=(2),"",IF((182)=(X3),IF(IF((INDEX(B1:XFD1,((A2)+(1))+(0)))=("store"),(INDEX(B1:XFD1,((A2)+(1))+(1)))=("X"),"false"),B2,X185),X185))</f>
        <v>#VALUE!</v>
      </c>
      <c r="Y185" t="e">
        <f ca="1">IF((A1)=(2),"",IF((182)=(Y3),IF(IF((INDEX(B1:XFD1,((A2)+(1))+(0)))=("store"),(INDEX(B1:XFD1,((A2)+(1))+(1)))=("Y"),"false"),B2,Y185),Y185))</f>
        <v>#VALUE!</v>
      </c>
      <c r="Z185" t="e">
        <f ca="1">IF((A1)=(2),"",IF((182)=(Z3),IF(IF((INDEX(B1:XFD1,((A2)+(1))+(0)))=("store"),(INDEX(B1:XFD1,((A2)+(1))+(1)))=("Z"),"false"),B2,Z185),Z185))</f>
        <v>#VALUE!</v>
      </c>
      <c r="AA185" t="e">
        <f ca="1">IF((A1)=(2),"",IF((182)=(AA3),IF(IF((INDEX(B1:XFD1,((A2)+(1))+(0)))=("store"),(INDEX(B1:XFD1,((A2)+(1))+(1)))=("AA"),"false"),B2,AA185),AA185))</f>
        <v>#VALUE!</v>
      </c>
      <c r="AB185" t="e">
        <f ca="1">IF((A1)=(2),"",IF((182)=(AB3),IF(IF((INDEX(B1:XFD1,((A2)+(1))+(0)))=("store"),(INDEX(B1:XFD1,((A2)+(1))+(1)))=("AB"),"false"),B2,AB185),AB185))</f>
        <v>#VALUE!</v>
      </c>
      <c r="AC185" t="e">
        <f ca="1">IF((A1)=(2),"",IF((182)=(AC3),IF(IF((INDEX(B1:XFD1,((A2)+(1))+(0)))=("store"),(INDEX(B1:XFD1,((A2)+(1))+(1)))=("AC"),"false"),B2,AC185),AC185))</f>
        <v>#VALUE!</v>
      </c>
      <c r="AD185" t="e">
        <f ca="1">IF((A1)=(2),"",IF((182)=(AD3),IF(IF((INDEX(B1:XFD1,((A2)+(1))+(0)))=("store"),(INDEX(B1:XFD1,((A2)+(1))+(1)))=("AD"),"false"),B2,AD185),AD185))</f>
        <v>#VALUE!</v>
      </c>
    </row>
    <row r="186" spans="1:30" x14ac:dyDescent="0.25">
      <c r="A186" t="e">
        <f ca="1">IF((A1)=(2),"",IF((183)=(A3),IF(("call")=(INDEX(B1:XFD1,((A2)+(1))+(0))),(B2)*(2),IF(("goto")=(INDEX(B1:XFD1,((A2)+(1))+(0))),(INDEX(B1:XFD1,((A2)+(1))+(1)))*(2),IF(("gotoiftrue")=(INDEX(B1:XFD1,((A2)+(1))+(0))),IF(B2,(INDEX(B1:XFD1,((A2)+(1))+(1)))*(2),(A186)+(2)),(A186)+(2)))),A186))</f>
        <v>#VALUE!</v>
      </c>
      <c r="B186" t="e">
        <f ca="1">IF((A1)=(2),"",IF((183)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186)+(1)),IF(("add")=(INDEX(B1:XFD1,((A2)+(1))+(0))),(INDEX(B4:B404,(B3)+(1)))+(B186),IF(("equals")=(INDEX(B1:XFD1,((A2)+(1))+(0))),(INDEX(B4:B404,(B3)+(1)))=(B186),IF(("leq")=(INDEX(B1:XFD1,((A2)+(1))+(0))),(INDEX(B4:B404,(B3)+(1)))&lt;=(B186),IF(("greater")=(INDEX(B1:XFD1,((A2)+(1))+(0))),(INDEX(B4:B404,(B3)+(1)))&gt;(B186),IF(("mod")=(INDEX(B1:XFD1,((A2)+(1))+(0))),MOD(INDEX(B4:B404,(B3)+(1)),B186),B186))))))))),B186))</f>
        <v>#VALUE!</v>
      </c>
      <c r="C186" t="e">
        <f ca="1">IF((A1)=(2),1,IF(AND((INDEX(B1:XFD1,((A2)+(1))+(0)))=("writeheap"),(INDEX(B4:B404,(B3)+(1)))=(182)),INDEX(B4:B404,(B3)+(2)),IF((A1)=(2),"",IF((183)=(C3),C186,C186))))</f>
        <v>#VALUE!</v>
      </c>
      <c r="E186" t="e">
        <f ca="1">IF((A1)=(2),"",IF((183)=(E3),IF(("outputline")=(INDEX(B1:XFD1,((A2)+(1))+(0))),B2,E186),E186))</f>
        <v>#VALUE!</v>
      </c>
      <c r="F186" t="e">
        <f ca="1">IF((A1)=(2),"",IF((183)=(F3),IF(IF((INDEX(B1:XFD1,((A2)+(1))+(0)))=("store"),(INDEX(B1:XFD1,((A2)+(1))+(1)))=("F"),"false"),B2,F186),F186))</f>
        <v>#VALUE!</v>
      </c>
      <c r="G186" t="e">
        <f ca="1">IF((A1)=(2),"",IF((183)=(G3),IF(IF((INDEX(B1:XFD1,((A2)+(1))+(0)))=("store"),(INDEX(B1:XFD1,((A2)+(1))+(1)))=("G"),"false"),B2,G186),G186))</f>
        <v>#VALUE!</v>
      </c>
      <c r="H186" t="e">
        <f ca="1">IF((A1)=(2),"",IF((183)=(H3),IF(IF((INDEX(B1:XFD1,((A2)+(1))+(0)))=("store"),(INDEX(B1:XFD1,((A2)+(1))+(1)))=("H"),"false"),B2,H186),H186))</f>
        <v>#VALUE!</v>
      </c>
      <c r="I186" t="e">
        <f ca="1">IF((A1)=(2),"",IF((183)=(I3),IF(IF((INDEX(B1:XFD1,((A2)+(1))+(0)))=("store"),(INDEX(B1:XFD1,((A2)+(1))+(1)))=("I"),"false"),B2,I186),I186))</f>
        <v>#VALUE!</v>
      </c>
      <c r="J186" t="e">
        <f ca="1">IF((A1)=(2),"",IF((183)=(J3),IF(IF((INDEX(B1:XFD1,((A2)+(1))+(0)))=("store"),(INDEX(B1:XFD1,((A2)+(1))+(1)))=("J"),"false"),B2,J186),J186))</f>
        <v>#VALUE!</v>
      </c>
      <c r="K186" t="e">
        <f ca="1">IF((A1)=(2),"",IF((183)=(K3),IF(IF((INDEX(B1:XFD1,((A2)+(1))+(0)))=("store"),(INDEX(B1:XFD1,((A2)+(1))+(1)))=("K"),"false"),B2,K186),K186))</f>
        <v>#VALUE!</v>
      </c>
      <c r="L186" t="e">
        <f ca="1">IF((A1)=(2),"",IF((183)=(L3),IF(IF((INDEX(B1:XFD1,((A2)+(1))+(0)))=("store"),(INDEX(B1:XFD1,((A2)+(1))+(1)))=("L"),"false"),B2,L186),L186))</f>
        <v>#VALUE!</v>
      </c>
      <c r="M186" t="e">
        <f ca="1">IF((A1)=(2),"",IF((183)=(M3),IF(IF((INDEX(B1:XFD1,((A2)+(1))+(0)))=("store"),(INDEX(B1:XFD1,((A2)+(1))+(1)))=("M"),"false"),B2,M186),M186))</f>
        <v>#VALUE!</v>
      </c>
      <c r="N186" t="e">
        <f ca="1">IF((A1)=(2),"",IF((183)=(N3),IF(IF((INDEX(B1:XFD1,((A2)+(1))+(0)))=("store"),(INDEX(B1:XFD1,((A2)+(1))+(1)))=("N"),"false"),B2,N186),N186))</f>
        <v>#VALUE!</v>
      </c>
      <c r="O186" t="e">
        <f ca="1">IF((A1)=(2),"",IF((183)=(O3),IF(IF((INDEX(B1:XFD1,((A2)+(1))+(0)))=("store"),(INDEX(B1:XFD1,((A2)+(1))+(1)))=("O"),"false"),B2,O186),O186))</f>
        <v>#VALUE!</v>
      </c>
      <c r="P186" t="e">
        <f ca="1">IF((A1)=(2),"",IF((183)=(P3),IF(IF((INDEX(B1:XFD1,((A2)+(1))+(0)))=("store"),(INDEX(B1:XFD1,((A2)+(1))+(1)))=("P"),"false"),B2,P186),P186))</f>
        <v>#VALUE!</v>
      </c>
      <c r="Q186" t="e">
        <f ca="1">IF((A1)=(2),"",IF((183)=(Q3),IF(IF((INDEX(B1:XFD1,((A2)+(1))+(0)))=("store"),(INDEX(B1:XFD1,((A2)+(1))+(1)))=("Q"),"false"),B2,Q186),Q186))</f>
        <v>#VALUE!</v>
      </c>
      <c r="R186" t="e">
        <f ca="1">IF((A1)=(2),"",IF((183)=(R3),IF(IF((INDEX(B1:XFD1,((A2)+(1))+(0)))=("store"),(INDEX(B1:XFD1,((A2)+(1))+(1)))=("R"),"false"),B2,R186),R186))</f>
        <v>#VALUE!</v>
      </c>
      <c r="S186" t="e">
        <f ca="1">IF((A1)=(2),"",IF((183)=(S3),IF(IF((INDEX(B1:XFD1,((A2)+(1))+(0)))=("store"),(INDEX(B1:XFD1,((A2)+(1))+(1)))=("S"),"false"),B2,S186),S186))</f>
        <v>#VALUE!</v>
      </c>
      <c r="T186" t="e">
        <f ca="1">IF((A1)=(2),"",IF((183)=(T3),IF(IF((INDEX(B1:XFD1,((A2)+(1))+(0)))=("store"),(INDEX(B1:XFD1,((A2)+(1))+(1)))=("T"),"false"),B2,T186),T186))</f>
        <v>#VALUE!</v>
      </c>
      <c r="U186" t="e">
        <f ca="1">IF((A1)=(2),"",IF((183)=(U3),IF(IF((INDEX(B1:XFD1,((A2)+(1))+(0)))=("store"),(INDEX(B1:XFD1,((A2)+(1))+(1)))=("U"),"false"),B2,U186),U186))</f>
        <v>#VALUE!</v>
      </c>
      <c r="V186" t="e">
        <f ca="1">IF((A1)=(2),"",IF((183)=(V3),IF(IF((INDEX(B1:XFD1,((A2)+(1))+(0)))=("store"),(INDEX(B1:XFD1,((A2)+(1))+(1)))=("V"),"false"),B2,V186),V186))</f>
        <v>#VALUE!</v>
      </c>
      <c r="W186" t="e">
        <f ca="1">IF((A1)=(2),"",IF((183)=(W3),IF(IF((INDEX(B1:XFD1,((A2)+(1))+(0)))=("store"),(INDEX(B1:XFD1,((A2)+(1))+(1)))=("W"),"false"),B2,W186),W186))</f>
        <v>#VALUE!</v>
      </c>
      <c r="X186" t="e">
        <f ca="1">IF((A1)=(2),"",IF((183)=(X3),IF(IF((INDEX(B1:XFD1,((A2)+(1))+(0)))=("store"),(INDEX(B1:XFD1,((A2)+(1))+(1)))=("X"),"false"),B2,X186),X186))</f>
        <v>#VALUE!</v>
      </c>
      <c r="Y186" t="e">
        <f ca="1">IF((A1)=(2),"",IF((183)=(Y3),IF(IF((INDEX(B1:XFD1,((A2)+(1))+(0)))=("store"),(INDEX(B1:XFD1,((A2)+(1))+(1)))=("Y"),"false"),B2,Y186),Y186))</f>
        <v>#VALUE!</v>
      </c>
      <c r="Z186" t="e">
        <f ca="1">IF((A1)=(2),"",IF((183)=(Z3),IF(IF((INDEX(B1:XFD1,((A2)+(1))+(0)))=("store"),(INDEX(B1:XFD1,((A2)+(1))+(1)))=("Z"),"false"),B2,Z186),Z186))</f>
        <v>#VALUE!</v>
      </c>
      <c r="AA186" t="e">
        <f ca="1">IF((A1)=(2),"",IF((183)=(AA3),IF(IF((INDEX(B1:XFD1,((A2)+(1))+(0)))=("store"),(INDEX(B1:XFD1,((A2)+(1))+(1)))=("AA"),"false"),B2,AA186),AA186))</f>
        <v>#VALUE!</v>
      </c>
      <c r="AB186" t="e">
        <f ca="1">IF((A1)=(2),"",IF((183)=(AB3),IF(IF((INDEX(B1:XFD1,((A2)+(1))+(0)))=("store"),(INDEX(B1:XFD1,((A2)+(1))+(1)))=("AB"),"false"),B2,AB186),AB186))</f>
        <v>#VALUE!</v>
      </c>
      <c r="AC186" t="e">
        <f ca="1">IF((A1)=(2),"",IF((183)=(AC3),IF(IF((INDEX(B1:XFD1,((A2)+(1))+(0)))=("store"),(INDEX(B1:XFD1,((A2)+(1))+(1)))=("AC"),"false"),B2,AC186),AC186))</f>
        <v>#VALUE!</v>
      </c>
      <c r="AD186" t="e">
        <f ca="1">IF((A1)=(2),"",IF((183)=(AD3),IF(IF((INDEX(B1:XFD1,((A2)+(1))+(0)))=("store"),(INDEX(B1:XFD1,((A2)+(1))+(1)))=("AD"),"false"),B2,AD186),AD186))</f>
        <v>#VALUE!</v>
      </c>
    </row>
    <row r="187" spans="1:30" x14ac:dyDescent="0.25">
      <c r="A187" t="e">
        <f ca="1">IF((A1)=(2),"",IF((184)=(A3),IF(("call")=(INDEX(B1:XFD1,((A2)+(1))+(0))),(B2)*(2),IF(("goto")=(INDEX(B1:XFD1,((A2)+(1))+(0))),(INDEX(B1:XFD1,((A2)+(1))+(1)))*(2),IF(("gotoiftrue")=(INDEX(B1:XFD1,((A2)+(1))+(0))),IF(B2,(INDEX(B1:XFD1,((A2)+(1))+(1)))*(2),(A187)+(2)),(A187)+(2)))),A187))</f>
        <v>#VALUE!</v>
      </c>
      <c r="B187" t="e">
        <f ca="1">IF((A1)=(2),"",IF((184)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187)+(1)),IF(("add")=(INDEX(B1:XFD1,((A2)+(1))+(0))),(INDEX(B4:B404,(B3)+(1)))+(B187),IF(("equals")=(INDEX(B1:XFD1,((A2)+(1))+(0))),(INDEX(B4:B404,(B3)+(1)))=(B187),IF(("leq")=(INDEX(B1:XFD1,((A2)+(1))+(0))),(INDEX(B4:B404,(B3)+(1)))&lt;=(B187),IF(("greater")=(INDEX(B1:XFD1,((A2)+(1))+(0))),(INDEX(B4:B404,(B3)+(1)))&gt;(B187),IF(("mod")=(INDEX(B1:XFD1,((A2)+(1))+(0))),MOD(INDEX(B4:B404,(B3)+(1)),B187),B187))))))))),B187))</f>
        <v>#VALUE!</v>
      </c>
      <c r="C187" t="e">
        <f ca="1">IF((A1)=(2),1,IF(AND((INDEX(B1:XFD1,((A2)+(1))+(0)))=("writeheap"),(INDEX(B4:B404,(B3)+(1)))=(183)),INDEX(B4:B404,(B3)+(2)),IF((A1)=(2),"",IF((184)=(C3),C187,C187))))</f>
        <v>#VALUE!</v>
      </c>
      <c r="E187" t="e">
        <f ca="1">IF((A1)=(2),"",IF((184)=(E3),IF(("outputline")=(INDEX(B1:XFD1,((A2)+(1))+(0))),B2,E187),E187))</f>
        <v>#VALUE!</v>
      </c>
      <c r="F187" t="e">
        <f ca="1">IF((A1)=(2),"",IF((184)=(F3),IF(IF((INDEX(B1:XFD1,((A2)+(1))+(0)))=("store"),(INDEX(B1:XFD1,((A2)+(1))+(1)))=("F"),"false"),B2,F187),F187))</f>
        <v>#VALUE!</v>
      </c>
      <c r="G187" t="e">
        <f ca="1">IF((A1)=(2),"",IF((184)=(G3),IF(IF((INDEX(B1:XFD1,((A2)+(1))+(0)))=("store"),(INDEX(B1:XFD1,((A2)+(1))+(1)))=("G"),"false"),B2,G187),G187))</f>
        <v>#VALUE!</v>
      </c>
      <c r="H187" t="e">
        <f ca="1">IF((A1)=(2),"",IF((184)=(H3),IF(IF((INDEX(B1:XFD1,((A2)+(1))+(0)))=("store"),(INDEX(B1:XFD1,((A2)+(1))+(1)))=("H"),"false"),B2,H187),H187))</f>
        <v>#VALUE!</v>
      </c>
      <c r="I187" t="e">
        <f ca="1">IF((A1)=(2),"",IF((184)=(I3),IF(IF((INDEX(B1:XFD1,((A2)+(1))+(0)))=("store"),(INDEX(B1:XFD1,((A2)+(1))+(1)))=("I"),"false"),B2,I187),I187))</f>
        <v>#VALUE!</v>
      </c>
      <c r="J187" t="e">
        <f ca="1">IF((A1)=(2),"",IF((184)=(J3),IF(IF((INDEX(B1:XFD1,((A2)+(1))+(0)))=("store"),(INDEX(B1:XFD1,((A2)+(1))+(1)))=("J"),"false"),B2,J187),J187))</f>
        <v>#VALUE!</v>
      </c>
      <c r="K187" t="e">
        <f ca="1">IF((A1)=(2),"",IF((184)=(K3),IF(IF((INDEX(B1:XFD1,((A2)+(1))+(0)))=("store"),(INDEX(B1:XFD1,((A2)+(1))+(1)))=("K"),"false"),B2,K187),K187))</f>
        <v>#VALUE!</v>
      </c>
      <c r="L187" t="e">
        <f ca="1">IF((A1)=(2),"",IF((184)=(L3),IF(IF((INDEX(B1:XFD1,((A2)+(1))+(0)))=("store"),(INDEX(B1:XFD1,((A2)+(1))+(1)))=("L"),"false"),B2,L187),L187))</f>
        <v>#VALUE!</v>
      </c>
      <c r="M187" t="e">
        <f ca="1">IF((A1)=(2),"",IF((184)=(M3),IF(IF((INDEX(B1:XFD1,((A2)+(1))+(0)))=("store"),(INDEX(B1:XFD1,((A2)+(1))+(1)))=("M"),"false"),B2,M187),M187))</f>
        <v>#VALUE!</v>
      </c>
      <c r="N187" t="e">
        <f ca="1">IF((A1)=(2),"",IF((184)=(N3),IF(IF((INDEX(B1:XFD1,((A2)+(1))+(0)))=("store"),(INDEX(B1:XFD1,((A2)+(1))+(1)))=("N"),"false"),B2,N187),N187))</f>
        <v>#VALUE!</v>
      </c>
      <c r="O187" t="e">
        <f ca="1">IF((A1)=(2),"",IF((184)=(O3),IF(IF((INDEX(B1:XFD1,((A2)+(1))+(0)))=("store"),(INDEX(B1:XFD1,((A2)+(1))+(1)))=("O"),"false"),B2,O187),O187))</f>
        <v>#VALUE!</v>
      </c>
      <c r="P187" t="e">
        <f ca="1">IF((A1)=(2),"",IF((184)=(P3),IF(IF((INDEX(B1:XFD1,((A2)+(1))+(0)))=("store"),(INDEX(B1:XFD1,((A2)+(1))+(1)))=("P"),"false"),B2,P187),P187))</f>
        <v>#VALUE!</v>
      </c>
      <c r="Q187" t="e">
        <f ca="1">IF((A1)=(2),"",IF((184)=(Q3),IF(IF((INDEX(B1:XFD1,((A2)+(1))+(0)))=("store"),(INDEX(B1:XFD1,((A2)+(1))+(1)))=("Q"),"false"),B2,Q187),Q187))</f>
        <v>#VALUE!</v>
      </c>
      <c r="R187" t="e">
        <f ca="1">IF((A1)=(2),"",IF((184)=(R3),IF(IF((INDEX(B1:XFD1,((A2)+(1))+(0)))=("store"),(INDEX(B1:XFD1,((A2)+(1))+(1)))=("R"),"false"),B2,R187),R187))</f>
        <v>#VALUE!</v>
      </c>
      <c r="S187" t="e">
        <f ca="1">IF((A1)=(2),"",IF((184)=(S3),IF(IF((INDEX(B1:XFD1,((A2)+(1))+(0)))=("store"),(INDEX(B1:XFD1,((A2)+(1))+(1)))=("S"),"false"),B2,S187),S187))</f>
        <v>#VALUE!</v>
      </c>
      <c r="T187" t="e">
        <f ca="1">IF((A1)=(2),"",IF((184)=(T3),IF(IF((INDEX(B1:XFD1,((A2)+(1))+(0)))=("store"),(INDEX(B1:XFD1,((A2)+(1))+(1)))=("T"),"false"),B2,T187),T187))</f>
        <v>#VALUE!</v>
      </c>
      <c r="U187" t="e">
        <f ca="1">IF((A1)=(2),"",IF((184)=(U3),IF(IF((INDEX(B1:XFD1,((A2)+(1))+(0)))=("store"),(INDEX(B1:XFD1,((A2)+(1))+(1)))=("U"),"false"),B2,U187),U187))</f>
        <v>#VALUE!</v>
      </c>
      <c r="V187" t="e">
        <f ca="1">IF((A1)=(2),"",IF((184)=(V3),IF(IF((INDEX(B1:XFD1,((A2)+(1))+(0)))=("store"),(INDEX(B1:XFD1,((A2)+(1))+(1)))=("V"),"false"),B2,V187),V187))</f>
        <v>#VALUE!</v>
      </c>
      <c r="W187" t="e">
        <f ca="1">IF((A1)=(2),"",IF((184)=(W3),IF(IF((INDEX(B1:XFD1,((A2)+(1))+(0)))=("store"),(INDEX(B1:XFD1,((A2)+(1))+(1)))=("W"),"false"),B2,W187),W187))</f>
        <v>#VALUE!</v>
      </c>
      <c r="X187" t="e">
        <f ca="1">IF((A1)=(2),"",IF((184)=(X3),IF(IF((INDEX(B1:XFD1,((A2)+(1))+(0)))=("store"),(INDEX(B1:XFD1,((A2)+(1))+(1)))=("X"),"false"),B2,X187),X187))</f>
        <v>#VALUE!</v>
      </c>
      <c r="Y187" t="e">
        <f ca="1">IF((A1)=(2),"",IF((184)=(Y3),IF(IF((INDEX(B1:XFD1,((A2)+(1))+(0)))=("store"),(INDEX(B1:XFD1,((A2)+(1))+(1)))=("Y"),"false"),B2,Y187),Y187))</f>
        <v>#VALUE!</v>
      </c>
      <c r="Z187" t="e">
        <f ca="1">IF((A1)=(2),"",IF((184)=(Z3),IF(IF((INDEX(B1:XFD1,((A2)+(1))+(0)))=("store"),(INDEX(B1:XFD1,((A2)+(1))+(1)))=("Z"),"false"),B2,Z187),Z187))</f>
        <v>#VALUE!</v>
      </c>
      <c r="AA187" t="e">
        <f ca="1">IF((A1)=(2),"",IF((184)=(AA3),IF(IF((INDEX(B1:XFD1,((A2)+(1))+(0)))=("store"),(INDEX(B1:XFD1,((A2)+(1))+(1)))=("AA"),"false"),B2,AA187),AA187))</f>
        <v>#VALUE!</v>
      </c>
      <c r="AB187" t="e">
        <f ca="1">IF((A1)=(2),"",IF((184)=(AB3),IF(IF((INDEX(B1:XFD1,((A2)+(1))+(0)))=("store"),(INDEX(B1:XFD1,((A2)+(1))+(1)))=("AB"),"false"),B2,AB187),AB187))</f>
        <v>#VALUE!</v>
      </c>
      <c r="AC187" t="e">
        <f ca="1">IF((A1)=(2),"",IF((184)=(AC3),IF(IF((INDEX(B1:XFD1,((A2)+(1))+(0)))=("store"),(INDEX(B1:XFD1,((A2)+(1))+(1)))=("AC"),"false"),B2,AC187),AC187))</f>
        <v>#VALUE!</v>
      </c>
      <c r="AD187" t="e">
        <f ca="1">IF((A1)=(2),"",IF((184)=(AD3),IF(IF((INDEX(B1:XFD1,((A2)+(1))+(0)))=("store"),(INDEX(B1:XFD1,((A2)+(1))+(1)))=("AD"),"false"),B2,AD187),AD187))</f>
        <v>#VALUE!</v>
      </c>
    </row>
    <row r="188" spans="1:30" x14ac:dyDescent="0.25">
      <c r="A188" t="e">
        <f ca="1">IF((A1)=(2),"",IF((185)=(A3),IF(("call")=(INDEX(B1:XFD1,((A2)+(1))+(0))),(B2)*(2),IF(("goto")=(INDEX(B1:XFD1,((A2)+(1))+(0))),(INDEX(B1:XFD1,((A2)+(1))+(1)))*(2),IF(("gotoiftrue")=(INDEX(B1:XFD1,((A2)+(1))+(0))),IF(B2,(INDEX(B1:XFD1,((A2)+(1))+(1)))*(2),(A188)+(2)),(A188)+(2)))),A188))</f>
        <v>#VALUE!</v>
      </c>
      <c r="B188" t="e">
        <f ca="1">IF((A1)=(2),"",IF((185)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188)+(1)),IF(("add")=(INDEX(B1:XFD1,((A2)+(1))+(0))),(INDEX(B4:B404,(B3)+(1)))+(B188),IF(("equals")=(INDEX(B1:XFD1,((A2)+(1))+(0))),(INDEX(B4:B404,(B3)+(1)))=(B188),IF(("leq")=(INDEX(B1:XFD1,((A2)+(1))+(0))),(INDEX(B4:B404,(B3)+(1)))&lt;=(B188),IF(("greater")=(INDEX(B1:XFD1,((A2)+(1))+(0))),(INDEX(B4:B404,(B3)+(1)))&gt;(B188),IF(("mod")=(INDEX(B1:XFD1,((A2)+(1))+(0))),MOD(INDEX(B4:B404,(B3)+(1)),B188),B188))))))))),B188))</f>
        <v>#VALUE!</v>
      </c>
      <c r="C188" t="e">
        <f ca="1">IF((A1)=(2),1,IF(AND((INDEX(B1:XFD1,((A2)+(1))+(0)))=("writeheap"),(INDEX(B4:B404,(B3)+(1)))=(184)),INDEX(B4:B404,(B3)+(2)),IF((A1)=(2),"",IF((185)=(C3),C188,C188))))</f>
        <v>#VALUE!</v>
      </c>
      <c r="E188" t="e">
        <f ca="1">IF((A1)=(2),"",IF((185)=(E3),IF(("outputline")=(INDEX(B1:XFD1,((A2)+(1))+(0))),B2,E188),E188))</f>
        <v>#VALUE!</v>
      </c>
      <c r="F188" t="e">
        <f ca="1">IF((A1)=(2),"",IF((185)=(F3),IF(IF((INDEX(B1:XFD1,((A2)+(1))+(0)))=("store"),(INDEX(B1:XFD1,((A2)+(1))+(1)))=("F"),"false"),B2,F188),F188))</f>
        <v>#VALUE!</v>
      </c>
      <c r="G188" t="e">
        <f ca="1">IF((A1)=(2),"",IF((185)=(G3),IF(IF((INDEX(B1:XFD1,((A2)+(1))+(0)))=("store"),(INDEX(B1:XFD1,((A2)+(1))+(1)))=("G"),"false"),B2,G188),G188))</f>
        <v>#VALUE!</v>
      </c>
      <c r="H188" t="e">
        <f ca="1">IF((A1)=(2),"",IF((185)=(H3),IF(IF((INDEX(B1:XFD1,((A2)+(1))+(0)))=("store"),(INDEX(B1:XFD1,((A2)+(1))+(1)))=("H"),"false"),B2,H188),H188))</f>
        <v>#VALUE!</v>
      </c>
      <c r="I188" t="e">
        <f ca="1">IF((A1)=(2),"",IF((185)=(I3),IF(IF((INDEX(B1:XFD1,((A2)+(1))+(0)))=("store"),(INDEX(B1:XFD1,((A2)+(1))+(1)))=("I"),"false"),B2,I188),I188))</f>
        <v>#VALUE!</v>
      </c>
      <c r="J188" t="e">
        <f ca="1">IF((A1)=(2),"",IF((185)=(J3),IF(IF((INDEX(B1:XFD1,((A2)+(1))+(0)))=("store"),(INDEX(B1:XFD1,((A2)+(1))+(1)))=("J"),"false"),B2,J188),J188))</f>
        <v>#VALUE!</v>
      </c>
      <c r="K188" t="e">
        <f ca="1">IF((A1)=(2),"",IF((185)=(K3),IF(IF((INDEX(B1:XFD1,((A2)+(1))+(0)))=("store"),(INDEX(B1:XFD1,((A2)+(1))+(1)))=("K"),"false"),B2,K188),K188))</f>
        <v>#VALUE!</v>
      </c>
      <c r="L188" t="e">
        <f ca="1">IF((A1)=(2),"",IF((185)=(L3),IF(IF((INDEX(B1:XFD1,((A2)+(1))+(0)))=("store"),(INDEX(B1:XFD1,((A2)+(1))+(1)))=("L"),"false"),B2,L188),L188))</f>
        <v>#VALUE!</v>
      </c>
      <c r="M188" t="e">
        <f ca="1">IF((A1)=(2),"",IF((185)=(M3),IF(IF((INDEX(B1:XFD1,((A2)+(1))+(0)))=("store"),(INDEX(B1:XFD1,((A2)+(1))+(1)))=("M"),"false"),B2,M188),M188))</f>
        <v>#VALUE!</v>
      </c>
      <c r="N188" t="e">
        <f ca="1">IF((A1)=(2),"",IF((185)=(N3),IF(IF((INDEX(B1:XFD1,((A2)+(1))+(0)))=("store"),(INDEX(B1:XFD1,((A2)+(1))+(1)))=("N"),"false"),B2,N188),N188))</f>
        <v>#VALUE!</v>
      </c>
      <c r="O188" t="e">
        <f ca="1">IF((A1)=(2),"",IF((185)=(O3),IF(IF((INDEX(B1:XFD1,((A2)+(1))+(0)))=("store"),(INDEX(B1:XFD1,((A2)+(1))+(1)))=("O"),"false"),B2,O188),O188))</f>
        <v>#VALUE!</v>
      </c>
      <c r="P188" t="e">
        <f ca="1">IF((A1)=(2),"",IF((185)=(P3),IF(IF((INDEX(B1:XFD1,((A2)+(1))+(0)))=("store"),(INDEX(B1:XFD1,((A2)+(1))+(1)))=("P"),"false"),B2,P188),P188))</f>
        <v>#VALUE!</v>
      </c>
      <c r="Q188" t="e">
        <f ca="1">IF((A1)=(2),"",IF((185)=(Q3),IF(IF((INDEX(B1:XFD1,((A2)+(1))+(0)))=("store"),(INDEX(B1:XFD1,((A2)+(1))+(1)))=("Q"),"false"),B2,Q188),Q188))</f>
        <v>#VALUE!</v>
      </c>
      <c r="R188" t="e">
        <f ca="1">IF((A1)=(2),"",IF((185)=(R3),IF(IF((INDEX(B1:XFD1,((A2)+(1))+(0)))=("store"),(INDEX(B1:XFD1,((A2)+(1))+(1)))=("R"),"false"),B2,R188),R188))</f>
        <v>#VALUE!</v>
      </c>
      <c r="S188" t="e">
        <f ca="1">IF((A1)=(2),"",IF((185)=(S3),IF(IF((INDEX(B1:XFD1,((A2)+(1))+(0)))=("store"),(INDEX(B1:XFD1,((A2)+(1))+(1)))=("S"),"false"),B2,S188),S188))</f>
        <v>#VALUE!</v>
      </c>
      <c r="T188" t="e">
        <f ca="1">IF((A1)=(2),"",IF((185)=(T3),IF(IF((INDEX(B1:XFD1,((A2)+(1))+(0)))=("store"),(INDEX(B1:XFD1,((A2)+(1))+(1)))=("T"),"false"),B2,T188),T188))</f>
        <v>#VALUE!</v>
      </c>
      <c r="U188" t="e">
        <f ca="1">IF((A1)=(2),"",IF((185)=(U3),IF(IF((INDEX(B1:XFD1,((A2)+(1))+(0)))=("store"),(INDEX(B1:XFD1,((A2)+(1))+(1)))=("U"),"false"),B2,U188),U188))</f>
        <v>#VALUE!</v>
      </c>
      <c r="V188" t="e">
        <f ca="1">IF((A1)=(2),"",IF((185)=(V3),IF(IF((INDEX(B1:XFD1,((A2)+(1))+(0)))=("store"),(INDEX(B1:XFD1,((A2)+(1))+(1)))=("V"),"false"),B2,V188),V188))</f>
        <v>#VALUE!</v>
      </c>
      <c r="W188" t="e">
        <f ca="1">IF((A1)=(2),"",IF((185)=(W3),IF(IF((INDEX(B1:XFD1,((A2)+(1))+(0)))=("store"),(INDEX(B1:XFD1,((A2)+(1))+(1)))=("W"),"false"),B2,W188),W188))</f>
        <v>#VALUE!</v>
      </c>
      <c r="X188" t="e">
        <f ca="1">IF((A1)=(2),"",IF((185)=(X3),IF(IF((INDEX(B1:XFD1,((A2)+(1))+(0)))=("store"),(INDEX(B1:XFD1,((A2)+(1))+(1)))=("X"),"false"),B2,X188),X188))</f>
        <v>#VALUE!</v>
      </c>
      <c r="Y188" t="e">
        <f ca="1">IF((A1)=(2),"",IF((185)=(Y3),IF(IF((INDEX(B1:XFD1,((A2)+(1))+(0)))=("store"),(INDEX(B1:XFD1,((A2)+(1))+(1)))=("Y"),"false"),B2,Y188),Y188))</f>
        <v>#VALUE!</v>
      </c>
      <c r="Z188" t="e">
        <f ca="1">IF((A1)=(2),"",IF((185)=(Z3),IF(IF((INDEX(B1:XFD1,((A2)+(1))+(0)))=("store"),(INDEX(B1:XFD1,((A2)+(1))+(1)))=("Z"),"false"),B2,Z188),Z188))</f>
        <v>#VALUE!</v>
      </c>
      <c r="AA188" t="e">
        <f ca="1">IF((A1)=(2),"",IF((185)=(AA3),IF(IF((INDEX(B1:XFD1,((A2)+(1))+(0)))=("store"),(INDEX(B1:XFD1,((A2)+(1))+(1)))=("AA"),"false"),B2,AA188),AA188))</f>
        <v>#VALUE!</v>
      </c>
      <c r="AB188" t="e">
        <f ca="1">IF((A1)=(2),"",IF((185)=(AB3),IF(IF((INDEX(B1:XFD1,((A2)+(1))+(0)))=("store"),(INDEX(B1:XFD1,((A2)+(1))+(1)))=("AB"),"false"),B2,AB188),AB188))</f>
        <v>#VALUE!</v>
      </c>
      <c r="AC188" t="e">
        <f ca="1">IF((A1)=(2),"",IF((185)=(AC3),IF(IF((INDEX(B1:XFD1,((A2)+(1))+(0)))=("store"),(INDEX(B1:XFD1,((A2)+(1))+(1)))=("AC"),"false"),B2,AC188),AC188))</f>
        <v>#VALUE!</v>
      </c>
      <c r="AD188" t="e">
        <f ca="1">IF((A1)=(2),"",IF((185)=(AD3),IF(IF((INDEX(B1:XFD1,((A2)+(1))+(0)))=("store"),(INDEX(B1:XFD1,((A2)+(1))+(1)))=("AD"),"false"),B2,AD188),AD188))</f>
        <v>#VALUE!</v>
      </c>
    </row>
    <row r="189" spans="1:30" x14ac:dyDescent="0.25">
      <c r="A189" t="e">
        <f ca="1">IF((A1)=(2),"",IF((186)=(A3),IF(("call")=(INDEX(B1:XFD1,((A2)+(1))+(0))),(B2)*(2),IF(("goto")=(INDEX(B1:XFD1,((A2)+(1))+(0))),(INDEX(B1:XFD1,((A2)+(1))+(1)))*(2),IF(("gotoiftrue")=(INDEX(B1:XFD1,((A2)+(1))+(0))),IF(B2,(INDEX(B1:XFD1,((A2)+(1))+(1)))*(2),(A189)+(2)),(A189)+(2)))),A189))</f>
        <v>#VALUE!</v>
      </c>
      <c r="B189" t="e">
        <f ca="1">IF((A1)=(2),"",IF((186)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189)+(1)),IF(("add")=(INDEX(B1:XFD1,((A2)+(1))+(0))),(INDEX(B4:B404,(B3)+(1)))+(B189),IF(("equals")=(INDEX(B1:XFD1,((A2)+(1))+(0))),(INDEX(B4:B404,(B3)+(1)))=(B189),IF(("leq")=(INDEX(B1:XFD1,((A2)+(1))+(0))),(INDEX(B4:B404,(B3)+(1)))&lt;=(B189),IF(("greater")=(INDEX(B1:XFD1,((A2)+(1))+(0))),(INDEX(B4:B404,(B3)+(1)))&gt;(B189),IF(("mod")=(INDEX(B1:XFD1,((A2)+(1))+(0))),MOD(INDEX(B4:B404,(B3)+(1)),B189),B189))))))))),B189))</f>
        <v>#VALUE!</v>
      </c>
      <c r="C189" t="e">
        <f ca="1">IF((A1)=(2),1,IF(AND((INDEX(B1:XFD1,((A2)+(1))+(0)))=("writeheap"),(INDEX(B4:B404,(B3)+(1)))=(185)),INDEX(B4:B404,(B3)+(2)),IF((A1)=(2),"",IF((186)=(C3),C189,C189))))</f>
        <v>#VALUE!</v>
      </c>
      <c r="E189" t="e">
        <f ca="1">IF((A1)=(2),"",IF((186)=(E3),IF(("outputline")=(INDEX(B1:XFD1,((A2)+(1))+(0))),B2,E189),E189))</f>
        <v>#VALUE!</v>
      </c>
      <c r="F189" t="e">
        <f ca="1">IF((A1)=(2),"",IF((186)=(F3),IF(IF((INDEX(B1:XFD1,((A2)+(1))+(0)))=("store"),(INDEX(B1:XFD1,((A2)+(1))+(1)))=("F"),"false"),B2,F189),F189))</f>
        <v>#VALUE!</v>
      </c>
      <c r="G189" t="e">
        <f ca="1">IF((A1)=(2),"",IF((186)=(G3),IF(IF((INDEX(B1:XFD1,((A2)+(1))+(0)))=("store"),(INDEX(B1:XFD1,((A2)+(1))+(1)))=("G"),"false"),B2,G189),G189))</f>
        <v>#VALUE!</v>
      </c>
      <c r="H189" t="e">
        <f ca="1">IF((A1)=(2),"",IF((186)=(H3),IF(IF((INDEX(B1:XFD1,((A2)+(1))+(0)))=("store"),(INDEX(B1:XFD1,((A2)+(1))+(1)))=("H"),"false"),B2,H189),H189))</f>
        <v>#VALUE!</v>
      </c>
      <c r="I189" t="e">
        <f ca="1">IF((A1)=(2),"",IF((186)=(I3),IF(IF((INDEX(B1:XFD1,((A2)+(1))+(0)))=("store"),(INDEX(B1:XFD1,((A2)+(1))+(1)))=("I"),"false"),B2,I189),I189))</f>
        <v>#VALUE!</v>
      </c>
      <c r="J189" t="e">
        <f ca="1">IF((A1)=(2),"",IF((186)=(J3),IF(IF((INDEX(B1:XFD1,((A2)+(1))+(0)))=("store"),(INDEX(B1:XFD1,((A2)+(1))+(1)))=("J"),"false"),B2,J189),J189))</f>
        <v>#VALUE!</v>
      </c>
      <c r="K189" t="e">
        <f ca="1">IF((A1)=(2),"",IF((186)=(K3),IF(IF((INDEX(B1:XFD1,((A2)+(1))+(0)))=("store"),(INDEX(B1:XFD1,((A2)+(1))+(1)))=("K"),"false"),B2,K189),K189))</f>
        <v>#VALUE!</v>
      </c>
      <c r="L189" t="e">
        <f ca="1">IF((A1)=(2),"",IF((186)=(L3),IF(IF((INDEX(B1:XFD1,((A2)+(1))+(0)))=("store"),(INDEX(B1:XFD1,((A2)+(1))+(1)))=("L"),"false"),B2,L189),L189))</f>
        <v>#VALUE!</v>
      </c>
      <c r="M189" t="e">
        <f ca="1">IF((A1)=(2),"",IF((186)=(M3),IF(IF((INDEX(B1:XFD1,((A2)+(1))+(0)))=("store"),(INDEX(B1:XFD1,((A2)+(1))+(1)))=("M"),"false"),B2,M189),M189))</f>
        <v>#VALUE!</v>
      </c>
      <c r="N189" t="e">
        <f ca="1">IF((A1)=(2),"",IF((186)=(N3),IF(IF((INDEX(B1:XFD1,((A2)+(1))+(0)))=("store"),(INDEX(B1:XFD1,((A2)+(1))+(1)))=("N"),"false"),B2,N189),N189))</f>
        <v>#VALUE!</v>
      </c>
      <c r="O189" t="e">
        <f ca="1">IF((A1)=(2),"",IF((186)=(O3),IF(IF((INDEX(B1:XFD1,((A2)+(1))+(0)))=("store"),(INDEX(B1:XFD1,((A2)+(1))+(1)))=("O"),"false"),B2,O189),O189))</f>
        <v>#VALUE!</v>
      </c>
      <c r="P189" t="e">
        <f ca="1">IF((A1)=(2),"",IF((186)=(P3),IF(IF((INDEX(B1:XFD1,((A2)+(1))+(0)))=("store"),(INDEX(B1:XFD1,((A2)+(1))+(1)))=("P"),"false"),B2,P189),P189))</f>
        <v>#VALUE!</v>
      </c>
      <c r="Q189" t="e">
        <f ca="1">IF((A1)=(2),"",IF((186)=(Q3),IF(IF((INDEX(B1:XFD1,((A2)+(1))+(0)))=("store"),(INDEX(B1:XFD1,((A2)+(1))+(1)))=("Q"),"false"),B2,Q189),Q189))</f>
        <v>#VALUE!</v>
      </c>
      <c r="R189" t="e">
        <f ca="1">IF((A1)=(2),"",IF((186)=(R3),IF(IF((INDEX(B1:XFD1,((A2)+(1))+(0)))=("store"),(INDEX(B1:XFD1,((A2)+(1))+(1)))=("R"),"false"),B2,R189),R189))</f>
        <v>#VALUE!</v>
      </c>
      <c r="S189" t="e">
        <f ca="1">IF((A1)=(2),"",IF((186)=(S3),IF(IF((INDEX(B1:XFD1,((A2)+(1))+(0)))=("store"),(INDEX(B1:XFD1,((A2)+(1))+(1)))=("S"),"false"),B2,S189),S189))</f>
        <v>#VALUE!</v>
      </c>
      <c r="T189" t="e">
        <f ca="1">IF((A1)=(2),"",IF((186)=(T3),IF(IF((INDEX(B1:XFD1,((A2)+(1))+(0)))=("store"),(INDEX(B1:XFD1,((A2)+(1))+(1)))=("T"),"false"),B2,T189),T189))</f>
        <v>#VALUE!</v>
      </c>
      <c r="U189" t="e">
        <f ca="1">IF((A1)=(2),"",IF((186)=(U3),IF(IF((INDEX(B1:XFD1,((A2)+(1))+(0)))=("store"),(INDEX(B1:XFD1,((A2)+(1))+(1)))=("U"),"false"),B2,U189),U189))</f>
        <v>#VALUE!</v>
      </c>
      <c r="V189" t="e">
        <f ca="1">IF((A1)=(2),"",IF((186)=(V3),IF(IF((INDEX(B1:XFD1,((A2)+(1))+(0)))=("store"),(INDEX(B1:XFD1,((A2)+(1))+(1)))=("V"),"false"),B2,V189),V189))</f>
        <v>#VALUE!</v>
      </c>
      <c r="W189" t="e">
        <f ca="1">IF((A1)=(2),"",IF((186)=(W3),IF(IF((INDEX(B1:XFD1,((A2)+(1))+(0)))=("store"),(INDEX(B1:XFD1,((A2)+(1))+(1)))=("W"),"false"),B2,W189),W189))</f>
        <v>#VALUE!</v>
      </c>
      <c r="X189" t="e">
        <f ca="1">IF((A1)=(2),"",IF((186)=(X3),IF(IF((INDEX(B1:XFD1,((A2)+(1))+(0)))=("store"),(INDEX(B1:XFD1,((A2)+(1))+(1)))=("X"),"false"),B2,X189),X189))</f>
        <v>#VALUE!</v>
      </c>
      <c r="Y189" t="e">
        <f ca="1">IF((A1)=(2),"",IF((186)=(Y3),IF(IF((INDEX(B1:XFD1,((A2)+(1))+(0)))=("store"),(INDEX(B1:XFD1,((A2)+(1))+(1)))=("Y"),"false"),B2,Y189),Y189))</f>
        <v>#VALUE!</v>
      </c>
      <c r="Z189" t="e">
        <f ca="1">IF((A1)=(2),"",IF((186)=(Z3),IF(IF((INDEX(B1:XFD1,((A2)+(1))+(0)))=("store"),(INDEX(B1:XFD1,((A2)+(1))+(1)))=("Z"),"false"),B2,Z189),Z189))</f>
        <v>#VALUE!</v>
      </c>
      <c r="AA189" t="e">
        <f ca="1">IF((A1)=(2),"",IF((186)=(AA3),IF(IF((INDEX(B1:XFD1,((A2)+(1))+(0)))=("store"),(INDEX(B1:XFD1,((A2)+(1))+(1)))=("AA"),"false"),B2,AA189),AA189))</f>
        <v>#VALUE!</v>
      </c>
      <c r="AB189" t="e">
        <f ca="1">IF((A1)=(2),"",IF((186)=(AB3),IF(IF((INDEX(B1:XFD1,((A2)+(1))+(0)))=("store"),(INDEX(B1:XFD1,((A2)+(1))+(1)))=("AB"),"false"),B2,AB189),AB189))</f>
        <v>#VALUE!</v>
      </c>
      <c r="AC189" t="e">
        <f ca="1">IF((A1)=(2),"",IF((186)=(AC3),IF(IF((INDEX(B1:XFD1,((A2)+(1))+(0)))=("store"),(INDEX(B1:XFD1,((A2)+(1))+(1)))=("AC"),"false"),B2,AC189),AC189))</f>
        <v>#VALUE!</v>
      </c>
      <c r="AD189" t="e">
        <f ca="1">IF((A1)=(2),"",IF((186)=(AD3),IF(IF((INDEX(B1:XFD1,((A2)+(1))+(0)))=("store"),(INDEX(B1:XFD1,((A2)+(1))+(1)))=("AD"),"false"),B2,AD189),AD189))</f>
        <v>#VALUE!</v>
      </c>
    </row>
    <row r="190" spans="1:30" x14ac:dyDescent="0.25">
      <c r="A190" t="e">
        <f ca="1">IF((A1)=(2),"",IF((187)=(A3),IF(("call")=(INDEX(B1:XFD1,((A2)+(1))+(0))),(B2)*(2),IF(("goto")=(INDEX(B1:XFD1,((A2)+(1))+(0))),(INDEX(B1:XFD1,((A2)+(1))+(1)))*(2),IF(("gotoiftrue")=(INDEX(B1:XFD1,((A2)+(1))+(0))),IF(B2,(INDEX(B1:XFD1,((A2)+(1))+(1)))*(2),(A190)+(2)),(A190)+(2)))),A190))</f>
        <v>#VALUE!</v>
      </c>
      <c r="B190" t="e">
        <f ca="1">IF((A1)=(2),"",IF((187)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190)+(1)),IF(("add")=(INDEX(B1:XFD1,((A2)+(1))+(0))),(INDEX(B4:B404,(B3)+(1)))+(B190),IF(("equals")=(INDEX(B1:XFD1,((A2)+(1))+(0))),(INDEX(B4:B404,(B3)+(1)))=(B190),IF(("leq")=(INDEX(B1:XFD1,((A2)+(1))+(0))),(INDEX(B4:B404,(B3)+(1)))&lt;=(B190),IF(("greater")=(INDEX(B1:XFD1,((A2)+(1))+(0))),(INDEX(B4:B404,(B3)+(1)))&gt;(B190),IF(("mod")=(INDEX(B1:XFD1,((A2)+(1))+(0))),MOD(INDEX(B4:B404,(B3)+(1)),B190),B190))))))))),B190))</f>
        <v>#VALUE!</v>
      </c>
      <c r="C190" t="e">
        <f ca="1">IF((A1)=(2),1,IF(AND((INDEX(B1:XFD1,((A2)+(1))+(0)))=("writeheap"),(INDEX(B4:B404,(B3)+(1)))=(186)),INDEX(B4:B404,(B3)+(2)),IF((A1)=(2),"",IF((187)=(C3),C190,C190))))</f>
        <v>#VALUE!</v>
      </c>
      <c r="E190" t="e">
        <f ca="1">IF((A1)=(2),"",IF((187)=(E3),IF(("outputline")=(INDEX(B1:XFD1,((A2)+(1))+(0))),B2,E190),E190))</f>
        <v>#VALUE!</v>
      </c>
      <c r="F190" t="e">
        <f ca="1">IF((A1)=(2),"",IF((187)=(F3),IF(IF((INDEX(B1:XFD1,((A2)+(1))+(0)))=("store"),(INDEX(B1:XFD1,((A2)+(1))+(1)))=("F"),"false"),B2,F190),F190))</f>
        <v>#VALUE!</v>
      </c>
      <c r="G190" t="e">
        <f ca="1">IF((A1)=(2),"",IF((187)=(G3),IF(IF((INDEX(B1:XFD1,((A2)+(1))+(0)))=("store"),(INDEX(B1:XFD1,((A2)+(1))+(1)))=("G"),"false"),B2,G190),G190))</f>
        <v>#VALUE!</v>
      </c>
      <c r="H190" t="e">
        <f ca="1">IF((A1)=(2),"",IF((187)=(H3),IF(IF((INDEX(B1:XFD1,((A2)+(1))+(0)))=("store"),(INDEX(B1:XFD1,((A2)+(1))+(1)))=("H"),"false"),B2,H190),H190))</f>
        <v>#VALUE!</v>
      </c>
      <c r="I190" t="e">
        <f ca="1">IF((A1)=(2),"",IF((187)=(I3),IF(IF((INDEX(B1:XFD1,((A2)+(1))+(0)))=("store"),(INDEX(B1:XFD1,((A2)+(1))+(1)))=("I"),"false"),B2,I190),I190))</f>
        <v>#VALUE!</v>
      </c>
      <c r="J190" t="e">
        <f ca="1">IF((A1)=(2),"",IF((187)=(J3),IF(IF((INDEX(B1:XFD1,((A2)+(1))+(0)))=("store"),(INDEX(B1:XFD1,((A2)+(1))+(1)))=("J"),"false"),B2,J190),J190))</f>
        <v>#VALUE!</v>
      </c>
      <c r="K190" t="e">
        <f ca="1">IF((A1)=(2),"",IF((187)=(K3),IF(IF((INDEX(B1:XFD1,((A2)+(1))+(0)))=("store"),(INDEX(B1:XFD1,((A2)+(1))+(1)))=("K"),"false"),B2,K190),K190))</f>
        <v>#VALUE!</v>
      </c>
      <c r="L190" t="e">
        <f ca="1">IF((A1)=(2),"",IF((187)=(L3),IF(IF((INDEX(B1:XFD1,((A2)+(1))+(0)))=("store"),(INDEX(B1:XFD1,((A2)+(1))+(1)))=("L"),"false"),B2,L190),L190))</f>
        <v>#VALUE!</v>
      </c>
      <c r="M190" t="e">
        <f ca="1">IF((A1)=(2),"",IF((187)=(M3),IF(IF((INDEX(B1:XFD1,((A2)+(1))+(0)))=("store"),(INDEX(B1:XFD1,((A2)+(1))+(1)))=("M"),"false"),B2,M190),M190))</f>
        <v>#VALUE!</v>
      </c>
      <c r="N190" t="e">
        <f ca="1">IF((A1)=(2),"",IF((187)=(N3),IF(IF((INDEX(B1:XFD1,((A2)+(1))+(0)))=("store"),(INDEX(B1:XFD1,((A2)+(1))+(1)))=("N"),"false"),B2,N190),N190))</f>
        <v>#VALUE!</v>
      </c>
      <c r="O190" t="e">
        <f ca="1">IF((A1)=(2),"",IF((187)=(O3),IF(IF((INDEX(B1:XFD1,((A2)+(1))+(0)))=("store"),(INDEX(B1:XFD1,((A2)+(1))+(1)))=("O"),"false"),B2,O190),O190))</f>
        <v>#VALUE!</v>
      </c>
      <c r="P190" t="e">
        <f ca="1">IF((A1)=(2),"",IF((187)=(P3),IF(IF((INDEX(B1:XFD1,((A2)+(1))+(0)))=("store"),(INDEX(B1:XFD1,((A2)+(1))+(1)))=("P"),"false"),B2,P190),P190))</f>
        <v>#VALUE!</v>
      </c>
      <c r="Q190" t="e">
        <f ca="1">IF((A1)=(2),"",IF((187)=(Q3),IF(IF((INDEX(B1:XFD1,((A2)+(1))+(0)))=("store"),(INDEX(B1:XFD1,((A2)+(1))+(1)))=("Q"),"false"),B2,Q190),Q190))</f>
        <v>#VALUE!</v>
      </c>
      <c r="R190" t="e">
        <f ca="1">IF((A1)=(2),"",IF((187)=(R3),IF(IF((INDEX(B1:XFD1,((A2)+(1))+(0)))=("store"),(INDEX(B1:XFD1,((A2)+(1))+(1)))=("R"),"false"),B2,R190),R190))</f>
        <v>#VALUE!</v>
      </c>
      <c r="S190" t="e">
        <f ca="1">IF((A1)=(2),"",IF((187)=(S3),IF(IF((INDEX(B1:XFD1,((A2)+(1))+(0)))=("store"),(INDEX(B1:XFD1,((A2)+(1))+(1)))=("S"),"false"),B2,S190),S190))</f>
        <v>#VALUE!</v>
      </c>
      <c r="T190" t="e">
        <f ca="1">IF((A1)=(2),"",IF((187)=(T3),IF(IF((INDEX(B1:XFD1,((A2)+(1))+(0)))=("store"),(INDEX(B1:XFD1,((A2)+(1))+(1)))=("T"),"false"),B2,T190),T190))</f>
        <v>#VALUE!</v>
      </c>
      <c r="U190" t="e">
        <f ca="1">IF((A1)=(2),"",IF((187)=(U3),IF(IF((INDEX(B1:XFD1,((A2)+(1))+(0)))=("store"),(INDEX(B1:XFD1,((A2)+(1))+(1)))=("U"),"false"),B2,U190),U190))</f>
        <v>#VALUE!</v>
      </c>
      <c r="V190" t="e">
        <f ca="1">IF((A1)=(2),"",IF((187)=(V3),IF(IF((INDEX(B1:XFD1,((A2)+(1))+(0)))=("store"),(INDEX(B1:XFD1,((A2)+(1))+(1)))=("V"),"false"),B2,V190),V190))</f>
        <v>#VALUE!</v>
      </c>
      <c r="W190" t="e">
        <f ca="1">IF((A1)=(2),"",IF((187)=(W3),IF(IF((INDEX(B1:XFD1,((A2)+(1))+(0)))=("store"),(INDEX(B1:XFD1,((A2)+(1))+(1)))=("W"),"false"),B2,W190),W190))</f>
        <v>#VALUE!</v>
      </c>
      <c r="X190" t="e">
        <f ca="1">IF((A1)=(2),"",IF((187)=(X3),IF(IF((INDEX(B1:XFD1,((A2)+(1))+(0)))=("store"),(INDEX(B1:XFD1,((A2)+(1))+(1)))=("X"),"false"),B2,X190),X190))</f>
        <v>#VALUE!</v>
      </c>
      <c r="Y190" t="e">
        <f ca="1">IF((A1)=(2),"",IF((187)=(Y3),IF(IF((INDEX(B1:XFD1,((A2)+(1))+(0)))=("store"),(INDEX(B1:XFD1,((A2)+(1))+(1)))=("Y"),"false"),B2,Y190),Y190))</f>
        <v>#VALUE!</v>
      </c>
      <c r="Z190" t="e">
        <f ca="1">IF((A1)=(2),"",IF((187)=(Z3),IF(IF((INDEX(B1:XFD1,((A2)+(1))+(0)))=("store"),(INDEX(B1:XFD1,((A2)+(1))+(1)))=("Z"),"false"),B2,Z190),Z190))</f>
        <v>#VALUE!</v>
      </c>
      <c r="AA190" t="e">
        <f ca="1">IF((A1)=(2),"",IF((187)=(AA3),IF(IF((INDEX(B1:XFD1,((A2)+(1))+(0)))=("store"),(INDEX(B1:XFD1,((A2)+(1))+(1)))=("AA"),"false"),B2,AA190),AA190))</f>
        <v>#VALUE!</v>
      </c>
      <c r="AB190" t="e">
        <f ca="1">IF((A1)=(2),"",IF((187)=(AB3),IF(IF((INDEX(B1:XFD1,((A2)+(1))+(0)))=("store"),(INDEX(B1:XFD1,((A2)+(1))+(1)))=("AB"),"false"),B2,AB190),AB190))</f>
        <v>#VALUE!</v>
      </c>
      <c r="AC190" t="e">
        <f ca="1">IF((A1)=(2),"",IF((187)=(AC3),IF(IF((INDEX(B1:XFD1,((A2)+(1))+(0)))=("store"),(INDEX(B1:XFD1,((A2)+(1))+(1)))=("AC"),"false"),B2,AC190),AC190))</f>
        <v>#VALUE!</v>
      </c>
      <c r="AD190" t="e">
        <f ca="1">IF((A1)=(2),"",IF((187)=(AD3),IF(IF((INDEX(B1:XFD1,((A2)+(1))+(0)))=("store"),(INDEX(B1:XFD1,((A2)+(1))+(1)))=("AD"),"false"),B2,AD190),AD190))</f>
        <v>#VALUE!</v>
      </c>
    </row>
    <row r="191" spans="1:30" x14ac:dyDescent="0.25">
      <c r="A191" t="e">
        <f ca="1">IF((A1)=(2),"",IF((188)=(A3),IF(("call")=(INDEX(B1:XFD1,((A2)+(1))+(0))),(B2)*(2),IF(("goto")=(INDEX(B1:XFD1,((A2)+(1))+(0))),(INDEX(B1:XFD1,((A2)+(1))+(1)))*(2),IF(("gotoiftrue")=(INDEX(B1:XFD1,((A2)+(1))+(0))),IF(B2,(INDEX(B1:XFD1,((A2)+(1))+(1)))*(2),(A191)+(2)),(A191)+(2)))),A191))</f>
        <v>#VALUE!</v>
      </c>
      <c r="B191" t="e">
        <f ca="1">IF((A1)=(2),"",IF((188)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191)+(1)),IF(("add")=(INDEX(B1:XFD1,((A2)+(1))+(0))),(INDEX(B4:B404,(B3)+(1)))+(B191),IF(("equals")=(INDEX(B1:XFD1,((A2)+(1))+(0))),(INDEX(B4:B404,(B3)+(1)))=(B191),IF(("leq")=(INDEX(B1:XFD1,((A2)+(1))+(0))),(INDEX(B4:B404,(B3)+(1)))&lt;=(B191),IF(("greater")=(INDEX(B1:XFD1,((A2)+(1))+(0))),(INDEX(B4:B404,(B3)+(1)))&gt;(B191),IF(("mod")=(INDEX(B1:XFD1,((A2)+(1))+(0))),MOD(INDEX(B4:B404,(B3)+(1)),B191),B191))))))))),B191))</f>
        <v>#VALUE!</v>
      </c>
      <c r="C191" t="e">
        <f ca="1">IF((A1)=(2),1,IF(AND((INDEX(B1:XFD1,((A2)+(1))+(0)))=("writeheap"),(INDEX(B4:B404,(B3)+(1)))=(187)),INDEX(B4:B404,(B3)+(2)),IF((A1)=(2),"",IF((188)=(C3),C191,C191))))</f>
        <v>#VALUE!</v>
      </c>
      <c r="E191" t="e">
        <f ca="1">IF((A1)=(2),"",IF((188)=(E3),IF(("outputline")=(INDEX(B1:XFD1,((A2)+(1))+(0))),B2,E191),E191))</f>
        <v>#VALUE!</v>
      </c>
      <c r="F191" t="e">
        <f ca="1">IF((A1)=(2),"",IF((188)=(F3),IF(IF((INDEX(B1:XFD1,((A2)+(1))+(0)))=("store"),(INDEX(B1:XFD1,((A2)+(1))+(1)))=("F"),"false"),B2,F191),F191))</f>
        <v>#VALUE!</v>
      </c>
      <c r="G191" t="e">
        <f ca="1">IF((A1)=(2),"",IF((188)=(G3),IF(IF((INDEX(B1:XFD1,((A2)+(1))+(0)))=("store"),(INDEX(B1:XFD1,((A2)+(1))+(1)))=("G"),"false"),B2,G191),G191))</f>
        <v>#VALUE!</v>
      </c>
      <c r="H191" t="e">
        <f ca="1">IF((A1)=(2),"",IF((188)=(H3),IF(IF((INDEX(B1:XFD1,((A2)+(1))+(0)))=("store"),(INDEX(B1:XFD1,((A2)+(1))+(1)))=("H"),"false"),B2,H191),H191))</f>
        <v>#VALUE!</v>
      </c>
      <c r="I191" t="e">
        <f ca="1">IF((A1)=(2),"",IF((188)=(I3),IF(IF((INDEX(B1:XFD1,((A2)+(1))+(0)))=("store"),(INDEX(B1:XFD1,((A2)+(1))+(1)))=("I"),"false"),B2,I191),I191))</f>
        <v>#VALUE!</v>
      </c>
      <c r="J191" t="e">
        <f ca="1">IF((A1)=(2),"",IF((188)=(J3),IF(IF((INDEX(B1:XFD1,((A2)+(1))+(0)))=("store"),(INDEX(B1:XFD1,((A2)+(1))+(1)))=("J"),"false"),B2,J191),J191))</f>
        <v>#VALUE!</v>
      </c>
      <c r="K191" t="e">
        <f ca="1">IF((A1)=(2),"",IF((188)=(K3),IF(IF((INDEX(B1:XFD1,((A2)+(1))+(0)))=("store"),(INDEX(B1:XFD1,((A2)+(1))+(1)))=("K"),"false"),B2,K191),K191))</f>
        <v>#VALUE!</v>
      </c>
      <c r="L191" t="e">
        <f ca="1">IF((A1)=(2),"",IF((188)=(L3),IF(IF((INDEX(B1:XFD1,((A2)+(1))+(0)))=("store"),(INDEX(B1:XFD1,((A2)+(1))+(1)))=("L"),"false"),B2,L191),L191))</f>
        <v>#VALUE!</v>
      </c>
      <c r="M191" t="e">
        <f ca="1">IF((A1)=(2),"",IF((188)=(M3),IF(IF((INDEX(B1:XFD1,((A2)+(1))+(0)))=("store"),(INDEX(B1:XFD1,((A2)+(1))+(1)))=("M"),"false"),B2,M191),M191))</f>
        <v>#VALUE!</v>
      </c>
      <c r="N191" t="e">
        <f ca="1">IF((A1)=(2),"",IF((188)=(N3),IF(IF((INDEX(B1:XFD1,((A2)+(1))+(0)))=("store"),(INDEX(B1:XFD1,((A2)+(1))+(1)))=("N"),"false"),B2,N191),N191))</f>
        <v>#VALUE!</v>
      </c>
      <c r="O191" t="e">
        <f ca="1">IF((A1)=(2),"",IF((188)=(O3),IF(IF((INDEX(B1:XFD1,((A2)+(1))+(0)))=("store"),(INDEX(B1:XFD1,((A2)+(1))+(1)))=("O"),"false"),B2,O191),O191))</f>
        <v>#VALUE!</v>
      </c>
      <c r="P191" t="e">
        <f ca="1">IF((A1)=(2),"",IF((188)=(P3),IF(IF((INDEX(B1:XFD1,((A2)+(1))+(0)))=("store"),(INDEX(B1:XFD1,((A2)+(1))+(1)))=("P"),"false"),B2,P191),P191))</f>
        <v>#VALUE!</v>
      </c>
      <c r="Q191" t="e">
        <f ca="1">IF((A1)=(2),"",IF((188)=(Q3),IF(IF((INDEX(B1:XFD1,((A2)+(1))+(0)))=("store"),(INDEX(B1:XFD1,((A2)+(1))+(1)))=("Q"),"false"),B2,Q191),Q191))</f>
        <v>#VALUE!</v>
      </c>
      <c r="R191" t="e">
        <f ca="1">IF((A1)=(2),"",IF((188)=(R3),IF(IF((INDEX(B1:XFD1,((A2)+(1))+(0)))=("store"),(INDEX(B1:XFD1,((A2)+(1))+(1)))=("R"),"false"),B2,R191),R191))</f>
        <v>#VALUE!</v>
      </c>
      <c r="S191" t="e">
        <f ca="1">IF((A1)=(2),"",IF((188)=(S3),IF(IF((INDEX(B1:XFD1,((A2)+(1))+(0)))=("store"),(INDEX(B1:XFD1,((A2)+(1))+(1)))=("S"),"false"),B2,S191),S191))</f>
        <v>#VALUE!</v>
      </c>
      <c r="T191" t="e">
        <f ca="1">IF((A1)=(2),"",IF((188)=(T3),IF(IF((INDEX(B1:XFD1,((A2)+(1))+(0)))=("store"),(INDEX(B1:XFD1,((A2)+(1))+(1)))=("T"),"false"),B2,T191),T191))</f>
        <v>#VALUE!</v>
      </c>
      <c r="U191" t="e">
        <f ca="1">IF((A1)=(2),"",IF((188)=(U3),IF(IF((INDEX(B1:XFD1,((A2)+(1))+(0)))=("store"),(INDEX(B1:XFD1,((A2)+(1))+(1)))=("U"),"false"),B2,U191),U191))</f>
        <v>#VALUE!</v>
      </c>
      <c r="V191" t="e">
        <f ca="1">IF((A1)=(2),"",IF((188)=(V3),IF(IF((INDEX(B1:XFD1,((A2)+(1))+(0)))=("store"),(INDEX(B1:XFD1,((A2)+(1))+(1)))=("V"),"false"),B2,V191),V191))</f>
        <v>#VALUE!</v>
      </c>
      <c r="W191" t="e">
        <f ca="1">IF((A1)=(2),"",IF((188)=(W3),IF(IF((INDEX(B1:XFD1,((A2)+(1))+(0)))=("store"),(INDEX(B1:XFD1,((A2)+(1))+(1)))=("W"),"false"),B2,W191),W191))</f>
        <v>#VALUE!</v>
      </c>
      <c r="X191" t="e">
        <f ca="1">IF((A1)=(2),"",IF((188)=(X3),IF(IF((INDEX(B1:XFD1,((A2)+(1))+(0)))=("store"),(INDEX(B1:XFD1,((A2)+(1))+(1)))=("X"),"false"),B2,X191),X191))</f>
        <v>#VALUE!</v>
      </c>
      <c r="Y191" t="e">
        <f ca="1">IF((A1)=(2),"",IF((188)=(Y3),IF(IF((INDEX(B1:XFD1,((A2)+(1))+(0)))=("store"),(INDEX(B1:XFD1,((A2)+(1))+(1)))=("Y"),"false"),B2,Y191),Y191))</f>
        <v>#VALUE!</v>
      </c>
      <c r="Z191" t="e">
        <f ca="1">IF((A1)=(2),"",IF((188)=(Z3),IF(IF((INDEX(B1:XFD1,((A2)+(1))+(0)))=("store"),(INDEX(B1:XFD1,((A2)+(1))+(1)))=("Z"),"false"),B2,Z191),Z191))</f>
        <v>#VALUE!</v>
      </c>
      <c r="AA191" t="e">
        <f ca="1">IF((A1)=(2),"",IF((188)=(AA3),IF(IF((INDEX(B1:XFD1,((A2)+(1))+(0)))=("store"),(INDEX(B1:XFD1,((A2)+(1))+(1)))=("AA"),"false"),B2,AA191),AA191))</f>
        <v>#VALUE!</v>
      </c>
      <c r="AB191" t="e">
        <f ca="1">IF((A1)=(2),"",IF((188)=(AB3),IF(IF((INDEX(B1:XFD1,((A2)+(1))+(0)))=("store"),(INDEX(B1:XFD1,((A2)+(1))+(1)))=("AB"),"false"),B2,AB191),AB191))</f>
        <v>#VALUE!</v>
      </c>
      <c r="AC191" t="e">
        <f ca="1">IF((A1)=(2),"",IF((188)=(AC3),IF(IF((INDEX(B1:XFD1,((A2)+(1))+(0)))=("store"),(INDEX(B1:XFD1,((A2)+(1))+(1)))=("AC"),"false"),B2,AC191),AC191))</f>
        <v>#VALUE!</v>
      </c>
      <c r="AD191" t="e">
        <f ca="1">IF((A1)=(2),"",IF((188)=(AD3),IF(IF((INDEX(B1:XFD1,((A2)+(1))+(0)))=("store"),(INDEX(B1:XFD1,((A2)+(1))+(1)))=("AD"),"false"),B2,AD191),AD191))</f>
        <v>#VALUE!</v>
      </c>
    </row>
    <row r="192" spans="1:30" x14ac:dyDescent="0.25">
      <c r="A192" t="e">
        <f ca="1">IF((A1)=(2),"",IF((189)=(A3),IF(("call")=(INDEX(B1:XFD1,((A2)+(1))+(0))),(B2)*(2),IF(("goto")=(INDEX(B1:XFD1,((A2)+(1))+(0))),(INDEX(B1:XFD1,((A2)+(1))+(1)))*(2),IF(("gotoiftrue")=(INDEX(B1:XFD1,((A2)+(1))+(0))),IF(B2,(INDEX(B1:XFD1,((A2)+(1))+(1)))*(2),(A192)+(2)),(A192)+(2)))),A192))</f>
        <v>#VALUE!</v>
      </c>
      <c r="B192" t="e">
        <f ca="1">IF((A1)=(2),"",IF((189)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192)+(1)),IF(("add")=(INDEX(B1:XFD1,((A2)+(1))+(0))),(INDEX(B4:B404,(B3)+(1)))+(B192),IF(("equals")=(INDEX(B1:XFD1,((A2)+(1))+(0))),(INDEX(B4:B404,(B3)+(1)))=(B192),IF(("leq")=(INDEX(B1:XFD1,((A2)+(1))+(0))),(INDEX(B4:B404,(B3)+(1)))&lt;=(B192),IF(("greater")=(INDEX(B1:XFD1,((A2)+(1))+(0))),(INDEX(B4:B404,(B3)+(1)))&gt;(B192),IF(("mod")=(INDEX(B1:XFD1,((A2)+(1))+(0))),MOD(INDEX(B4:B404,(B3)+(1)),B192),B192))))))))),B192))</f>
        <v>#VALUE!</v>
      </c>
      <c r="C192" t="e">
        <f ca="1">IF((A1)=(2),1,IF(AND((INDEX(B1:XFD1,((A2)+(1))+(0)))=("writeheap"),(INDEX(B4:B404,(B3)+(1)))=(188)),INDEX(B4:B404,(B3)+(2)),IF((A1)=(2),"",IF((189)=(C3),C192,C192))))</f>
        <v>#VALUE!</v>
      </c>
      <c r="E192" t="e">
        <f ca="1">IF((A1)=(2),"",IF((189)=(E3),IF(("outputline")=(INDEX(B1:XFD1,((A2)+(1))+(0))),B2,E192),E192))</f>
        <v>#VALUE!</v>
      </c>
      <c r="F192" t="e">
        <f ca="1">IF((A1)=(2),"",IF((189)=(F3),IF(IF((INDEX(B1:XFD1,((A2)+(1))+(0)))=("store"),(INDEX(B1:XFD1,((A2)+(1))+(1)))=("F"),"false"),B2,F192),F192))</f>
        <v>#VALUE!</v>
      </c>
      <c r="G192" t="e">
        <f ca="1">IF((A1)=(2),"",IF((189)=(G3),IF(IF((INDEX(B1:XFD1,((A2)+(1))+(0)))=("store"),(INDEX(B1:XFD1,((A2)+(1))+(1)))=("G"),"false"),B2,G192),G192))</f>
        <v>#VALUE!</v>
      </c>
      <c r="H192" t="e">
        <f ca="1">IF((A1)=(2),"",IF((189)=(H3),IF(IF((INDEX(B1:XFD1,((A2)+(1))+(0)))=("store"),(INDEX(B1:XFD1,((A2)+(1))+(1)))=("H"),"false"),B2,H192),H192))</f>
        <v>#VALUE!</v>
      </c>
      <c r="I192" t="e">
        <f ca="1">IF((A1)=(2),"",IF((189)=(I3),IF(IF((INDEX(B1:XFD1,((A2)+(1))+(0)))=("store"),(INDEX(B1:XFD1,((A2)+(1))+(1)))=("I"),"false"),B2,I192),I192))</f>
        <v>#VALUE!</v>
      </c>
      <c r="J192" t="e">
        <f ca="1">IF((A1)=(2),"",IF((189)=(J3),IF(IF((INDEX(B1:XFD1,((A2)+(1))+(0)))=("store"),(INDEX(B1:XFD1,((A2)+(1))+(1)))=("J"),"false"),B2,J192),J192))</f>
        <v>#VALUE!</v>
      </c>
      <c r="K192" t="e">
        <f ca="1">IF((A1)=(2),"",IF((189)=(K3),IF(IF((INDEX(B1:XFD1,((A2)+(1))+(0)))=("store"),(INDEX(B1:XFD1,((A2)+(1))+(1)))=("K"),"false"),B2,K192),K192))</f>
        <v>#VALUE!</v>
      </c>
      <c r="L192" t="e">
        <f ca="1">IF((A1)=(2),"",IF((189)=(L3),IF(IF((INDEX(B1:XFD1,((A2)+(1))+(0)))=("store"),(INDEX(B1:XFD1,((A2)+(1))+(1)))=("L"),"false"),B2,L192),L192))</f>
        <v>#VALUE!</v>
      </c>
      <c r="M192" t="e">
        <f ca="1">IF((A1)=(2),"",IF((189)=(M3),IF(IF((INDEX(B1:XFD1,((A2)+(1))+(0)))=("store"),(INDEX(B1:XFD1,((A2)+(1))+(1)))=("M"),"false"),B2,M192),M192))</f>
        <v>#VALUE!</v>
      </c>
      <c r="N192" t="e">
        <f ca="1">IF((A1)=(2),"",IF((189)=(N3),IF(IF((INDEX(B1:XFD1,((A2)+(1))+(0)))=("store"),(INDEX(B1:XFD1,((A2)+(1))+(1)))=("N"),"false"),B2,N192),N192))</f>
        <v>#VALUE!</v>
      </c>
      <c r="O192" t="e">
        <f ca="1">IF((A1)=(2),"",IF((189)=(O3),IF(IF((INDEX(B1:XFD1,((A2)+(1))+(0)))=("store"),(INDEX(B1:XFD1,((A2)+(1))+(1)))=("O"),"false"),B2,O192),O192))</f>
        <v>#VALUE!</v>
      </c>
      <c r="P192" t="e">
        <f ca="1">IF((A1)=(2),"",IF((189)=(P3),IF(IF((INDEX(B1:XFD1,((A2)+(1))+(0)))=("store"),(INDEX(B1:XFD1,((A2)+(1))+(1)))=("P"),"false"),B2,P192),P192))</f>
        <v>#VALUE!</v>
      </c>
      <c r="Q192" t="e">
        <f ca="1">IF((A1)=(2),"",IF((189)=(Q3),IF(IF((INDEX(B1:XFD1,((A2)+(1))+(0)))=("store"),(INDEX(B1:XFD1,((A2)+(1))+(1)))=("Q"),"false"),B2,Q192),Q192))</f>
        <v>#VALUE!</v>
      </c>
      <c r="R192" t="e">
        <f ca="1">IF((A1)=(2),"",IF((189)=(R3),IF(IF((INDEX(B1:XFD1,((A2)+(1))+(0)))=("store"),(INDEX(B1:XFD1,((A2)+(1))+(1)))=("R"),"false"),B2,R192),R192))</f>
        <v>#VALUE!</v>
      </c>
      <c r="S192" t="e">
        <f ca="1">IF((A1)=(2),"",IF((189)=(S3),IF(IF((INDEX(B1:XFD1,((A2)+(1))+(0)))=("store"),(INDEX(B1:XFD1,((A2)+(1))+(1)))=("S"),"false"),B2,S192),S192))</f>
        <v>#VALUE!</v>
      </c>
      <c r="T192" t="e">
        <f ca="1">IF((A1)=(2),"",IF((189)=(T3),IF(IF((INDEX(B1:XFD1,((A2)+(1))+(0)))=("store"),(INDEX(B1:XFD1,((A2)+(1))+(1)))=("T"),"false"),B2,T192),T192))</f>
        <v>#VALUE!</v>
      </c>
      <c r="U192" t="e">
        <f ca="1">IF((A1)=(2),"",IF((189)=(U3),IF(IF((INDEX(B1:XFD1,((A2)+(1))+(0)))=("store"),(INDEX(B1:XFD1,((A2)+(1))+(1)))=("U"),"false"),B2,U192),U192))</f>
        <v>#VALUE!</v>
      </c>
      <c r="V192" t="e">
        <f ca="1">IF((A1)=(2),"",IF((189)=(V3),IF(IF((INDEX(B1:XFD1,((A2)+(1))+(0)))=("store"),(INDEX(B1:XFD1,((A2)+(1))+(1)))=("V"),"false"),B2,V192),V192))</f>
        <v>#VALUE!</v>
      </c>
      <c r="W192" t="e">
        <f ca="1">IF((A1)=(2),"",IF((189)=(W3),IF(IF((INDEX(B1:XFD1,((A2)+(1))+(0)))=("store"),(INDEX(B1:XFD1,((A2)+(1))+(1)))=("W"),"false"),B2,W192),W192))</f>
        <v>#VALUE!</v>
      </c>
      <c r="X192" t="e">
        <f ca="1">IF((A1)=(2),"",IF((189)=(X3),IF(IF((INDEX(B1:XFD1,((A2)+(1))+(0)))=("store"),(INDEX(B1:XFD1,((A2)+(1))+(1)))=("X"),"false"),B2,X192),X192))</f>
        <v>#VALUE!</v>
      </c>
      <c r="Y192" t="e">
        <f ca="1">IF((A1)=(2),"",IF((189)=(Y3),IF(IF((INDEX(B1:XFD1,((A2)+(1))+(0)))=("store"),(INDEX(B1:XFD1,((A2)+(1))+(1)))=("Y"),"false"),B2,Y192),Y192))</f>
        <v>#VALUE!</v>
      </c>
      <c r="Z192" t="e">
        <f ca="1">IF((A1)=(2),"",IF((189)=(Z3),IF(IF((INDEX(B1:XFD1,((A2)+(1))+(0)))=("store"),(INDEX(B1:XFD1,((A2)+(1))+(1)))=("Z"),"false"),B2,Z192),Z192))</f>
        <v>#VALUE!</v>
      </c>
      <c r="AA192" t="e">
        <f ca="1">IF((A1)=(2),"",IF((189)=(AA3),IF(IF((INDEX(B1:XFD1,((A2)+(1))+(0)))=("store"),(INDEX(B1:XFD1,((A2)+(1))+(1)))=("AA"),"false"),B2,AA192),AA192))</f>
        <v>#VALUE!</v>
      </c>
      <c r="AB192" t="e">
        <f ca="1">IF((A1)=(2),"",IF((189)=(AB3),IF(IF((INDEX(B1:XFD1,((A2)+(1))+(0)))=("store"),(INDEX(B1:XFD1,((A2)+(1))+(1)))=("AB"),"false"),B2,AB192),AB192))</f>
        <v>#VALUE!</v>
      </c>
      <c r="AC192" t="e">
        <f ca="1">IF((A1)=(2),"",IF((189)=(AC3),IF(IF((INDEX(B1:XFD1,((A2)+(1))+(0)))=("store"),(INDEX(B1:XFD1,((A2)+(1))+(1)))=("AC"),"false"),B2,AC192),AC192))</f>
        <v>#VALUE!</v>
      </c>
      <c r="AD192" t="e">
        <f ca="1">IF((A1)=(2),"",IF((189)=(AD3),IF(IF((INDEX(B1:XFD1,((A2)+(1))+(0)))=("store"),(INDEX(B1:XFD1,((A2)+(1))+(1)))=("AD"),"false"),B2,AD192),AD192))</f>
        <v>#VALUE!</v>
      </c>
    </row>
    <row r="193" spans="1:30" x14ac:dyDescent="0.25">
      <c r="A193" t="e">
        <f ca="1">IF((A1)=(2),"",IF((190)=(A3),IF(("call")=(INDEX(B1:XFD1,((A2)+(1))+(0))),(B2)*(2),IF(("goto")=(INDEX(B1:XFD1,((A2)+(1))+(0))),(INDEX(B1:XFD1,((A2)+(1))+(1)))*(2),IF(("gotoiftrue")=(INDEX(B1:XFD1,((A2)+(1))+(0))),IF(B2,(INDEX(B1:XFD1,((A2)+(1))+(1)))*(2),(A193)+(2)),(A193)+(2)))),A193))</f>
        <v>#VALUE!</v>
      </c>
      <c r="B193" t="e">
        <f ca="1">IF((A1)=(2),"",IF((190)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193)+(1)),IF(("add")=(INDEX(B1:XFD1,((A2)+(1))+(0))),(INDEX(B4:B404,(B3)+(1)))+(B193),IF(("equals")=(INDEX(B1:XFD1,((A2)+(1))+(0))),(INDEX(B4:B404,(B3)+(1)))=(B193),IF(("leq")=(INDEX(B1:XFD1,((A2)+(1))+(0))),(INDEX(B4:B404,(B3)+(1)))&lt;=(B193),IF(("greater")=(INDEX(B1:XFD1,((A2)+(1))+(0))),(INDEX(B4:B404,(B3)+(1)))&gt;(B193),IF(("mod")=(INDEX(B1:XFD1,((A2)+(1))+(0))),MOD(INDEX(B4:B404,(B3)+(1)),B193),B193))))))))),B193))</f>
        <v>#VALUE!</v>
      </c>
      <c r="C193" t="e">
        <f ca="1">IF((A1)=(2),1,IF(AND((INDEX(B1:XFD1,((A2)+(1))+(0)))=("writeheap"),(INDEX(B4:B404,(B3)+(1)))=(189)),INDEX(B4:B404,(B3)+(2)),IF((A1)=(2),"",IF((190)=(C3),C193,C193))))</f>
        <v>#VALUE!</v>
      </c>
      <c r="E193" t="e">
        <f ca="1">IF((A1)=(2),"",IF((190)=(E3),IF(("outputline")=(INDEX(B1:XFD1,((A2)+(1))+(0))),B2,E193),E193))</f>
        <v>#VALUE!</v>
      </c>
      <c r="F193" t="e">
        <f ca="1">IF((A1)=(2),"",IF((190)=(F3),IF(IF((INDEX(B1:XFD1,((A2)+(1))+(0)))=("store"),(INDEX(B1:XFD1,((A2)+(1))+(1)))=("F"),"false"),B2,F193),F193))</f>
        <v>#VALUE!</v>
      </c>
      <c r="G193" t="e">
        <f ca="1">IF((A1)=(2),"",IF((190)=(G3),IF(IF((INDEX(B1:XFD1,((A2)+(1))+(0)))=("store"),(INDEX(B1:XFD1,((A2)+(1))+(1)))=("G"),"false"),B2,G193),G193))</f>
        <v>#VALUE!</v>
      </c>
      <c r="H193" t="e">
        <f ca="1">IF((A1)=(2),"",IF((190)=(H3),IF(IF((INDEX(B1:XFD1,((A2)+(1))+(0)))=("store"),(INDEX(B1:XFD1,((A2)+(1))+(1)))=("H"),"false"),B2,H193),H193))</f>
        <v>#VALUE!</v>
      </c>
      <c r="I193" t="e">
        <f ca="1">IF((A1)=(2),"",IF((190)=(I3),IF(IF((INDEX(B1:XFD1,((A2)+(1))+(0)))=("store"),(INDEX(B1:XFD1,((A2)+(1))+(1)))=("I"),"false"),B2,I193),I193))</f>
        <v>#VALUE!</v>
      </c>
      <c r="J193" t="e">
        <f ca="1">IF((A1)=(2),"",IF((190)=(J3),IF(IF((INDEX(B1:XFD1,((A2)+(1))+(0)))=("store"),(INDEX(B1:XFD1,((A2)+(1))+(1)))=("J"),"false"),B2,J193),J193))</f>
        <v>#VALUE!</v>
      </c>
      <c r="K193" t="e">
        <f ca="1">IF((A1)=(2),"",IF((190)=(K3),IF(IF((INDEX(B1:XFD1,((A2)+(1))+(0)))=("store"),(INDEX(B1:XFD1,((A2)+(1))+(1)))=("K"),"false"),B2,K193),K193))</f>
        <v>#VALUE!</v>
      </c>
      <c r="L193" t="e">
        <f ca="1">IF((A1)=(2),"",IF((190)=(L3),IF(IF((INDEX(B1:XFD1,((A2)+(1))+(0)))=("store"),(INDEX(B1:XFD1,((A2)+(1))+(1)))=("L"),"false"),B2,L193),L193))</f>
        <v>#VALUE!</v>
      </c>
      <c r="M193" t="e">
        <f ca="1">IF((A1)=(2),"",IF((190)=(M3),IF(IF((INDEX(B1:XFD1,((A2)+(1))+(0)))=("store"),(INDEX(B1:XFD1,((A2)+(1))+(1)))=("M"),"false"),B2,M193),M193))</f>
        <v>#VALUE!</v>
      </c>
      <c r="N193" t="e">
        <f ca="1">IF((A1)=(2),"",IF((190)=(N3),IF(IF((INDEX(B1:XFD1,((A2)+(1))+(0)))=("store"),(INDEX(B1:XFD1,((A2)+(1))+(1)))=("N"),"false"),B2,N193),N193))</f>
        <v>#VALUE!</v>
      </c>
      <c r="O193" t="e">
        <f ca="1">IF((A1)=(2),"",IF((190)=(O3),IF(IF((INDEX(B1:XFD1,((A2)+(1))+(0)))=("store"),(INDEX(B1:XFD1,((A2)+(1))+(1)))=("O"),"false"),B2,O193),O193))</f>
        <v>#VALUE!</v>
      </c>
      <c r="P193" t="e">
        <f ca="1">IF((A1)=(2),"",IF((190)=(P3),IF(IF((INDEX(B1:XFD1,((A2)+(1))+(0)))=("store"),(INDEX(B1:XFD1,((A2)+(1))+(1)))=("P"),"false"),B2,P193),P193))</f>
        <v>#VALUE!</v>
      </c>
      <c r="Q193" t="e">
        <f ca="1">IF((A1)=(2),"",IF((190)=(Q3),IF(IF((INDEX(B1:XFD1,((A2)+(1))+(0)))=("store"),(INDEX(B1:XFD1,((A2)+(1))+(1)))=("Q"),"false"),B2,Q193),Q193))</f>
        <v>#VALUE!</v>
      </c>
      <c r="R193" t="e">
        <f ca="1">IF((A1)=(2),"",IF((190)=(R3),IF(IF((INDEX(B1:XFD1,((A2)+(1))+(0)))=("store"),(INDEX(B1:XFD1,((A2)+(1))+(1)))=("R"),"false"),B2,R193),R193))</f>
        <v>#VALUE!</v>
      </c>
      <c r="S193" t="e">
        <f ca="1">IF((A1)=(2),"",IF((190)=(S3),IF(IF((INDEX(B1:XFD1,((A2)+(1))+(0)))=("store"),(INDEX(B1:XFD1,((A2)+(1))+(1)))=("S"),"false"),B2,S193),S193))</f>
        <v>#VALUE!</v>
      </c>
      <c r="T193" t="e">
        <f ca="1">IF((A1)=(2),"",IF((190)=(T3),IF(IF((INDEX(B1:XFD1,((A2)+(1))+(0)))=("store"),(INDEX(B1:XFD1,((A2)+(1))+(1)))=("T"),"false"),B2,T193),T193))</f>
        <v>#VALUE!</v>
      </c>
      <c r="U193" t="e">
        <f ca="1">IF((A1)=(2),"",IF((190)=(U3),IF(IF((INDEX(B1:XFD1,((A2)+(1))+(0)))=("store"),(INDEX(B1:XFD1,((A2)+(1))+(1)))=("U"),"false"),B2,U193),U193))</f>
        <v>#VALUE!</v>
      </c>
      <c r="V193" t="e">
        <f ca="1">IF((A1)=(2),"",IF((190)=(V3),IF(IF((INDEX(B1:XFD1,((A2)+(1))+(0)))=("store"),(INDEX(B1:XFD1,((A2)+(1))+(1)))=("V"),"false"),B2,V193),V193))</f>
        <v>#VALUE!</v>
      </c>
      <c r="W193" t="e">
        <f ca="1">IF((A1)=(2),"",IF((190)=(W3),IF(IF((INDEX(B1:XFD1,((A2)+(1))+(0)))=("store"),(INDEX(B1:XFD1,((A2)+(1))+(1)))=("W"),"false"),B2,W193),W193))</f>
        <v>#VALUE!</v>
      </c>
      <c r="X193" t="e">
        <f ca="1">IF((A1)=(2),"",IF((190)=(X3),IF(IF((INDEX(B1:XFD1,((A2)+(1))+(0)))=("store"),(INDEX(B1:XFD1,((A2)+(1))+(1)))=("X"),"false"),B2,X193),X193))</f>
        <v>#VALUE!</v>
      </c>
      <c r="Y193" t="e">
        <f ca="1">IF((A1)=(2),"",IF((190)=(Y3),IF(IF((INDEX(B1:XFD1,((A2)+(1))+(0)))=("store"),(INDEX(B1:XFD1,((A2)+(1))+(1)))=("Y"),"false"),B2,Y193),Y193))</f>
        <v>#VALUE!</v>
      </c>
      <c r="Z193" t="e">
        <f ca="1">IF((A1)=(2),"",IF((190)=(Z3),IF(IF((INDEX(B1:XFD1,((A2)+(1))+(0)))=("store"),(INDEX(B1:XFD1,((A2)+(1))+(1)))=("Z"),"false"),B2,Z193),Z193))</f>
        <v>#VALUE!</v>
      </c>
      <c r="AA193" t="e">
        <f ca="1">IF((A1)=(2),"",IF((190)=(AA3),IF(IF((INDEX(B1:XFD1,((A2)+(1))+(0)))=("store"),(INDEX(B1:XFD1,((A2)+(1))+(1)))=("AA"),"false"),B2,AA193),AA193))</f>
        <v>#VALUE!</v>
      </c>
      <c r="AB193" t="e">
        <f ca="1">IF((A1)=(2),"",IF((190)=(AB3),IF(IF((INDEX(B1:XFD1,((A2)+(1))+(0)))=("store"),(INDEX(B1:XFD1,((A2)+(1))+(1)))=("AB"),"false"),B2,AB193),AB193))</f>
        <v>#VALUE!</v>
      </c>
      <c r="AC193" t="e">
        <f ca="1">IF((A1)=(2),"",IF((190)=(AC3),IF(IF((INDEX(B1:XFD1,((A2)+(1))+(0)))=("store"),(INDEX(B1:XFD1,((A2)+(1))+(1)))=("AC"),"false"),B2,AC193),AC193))</f>
        <v>#VALUE!</v>
      </c>
      <c r="AD193" t="e">
        <f ca="1">IF((A1)=(2),"",IF((190)=(AD3),IF(IF((INDEX(B1:XFD1,((A2)+(1))+(0)))=("store"),(INDEX(B1:XFD1,((A2)+(1))+(1)))=("AD"),"false"),B2,AD193),AD193))</f>
        <v>#VALUE!</v>
      </c>
    </row>
    <row r="194" spans="1:30" x14ac:dyDescent="0.25">
      <c r="A194" t="e">
        <f ca="1">IF((A1)=(2),"",IF((191)=(A3),IF(("call")=(INDEX(B1:XFD1,((A2)+(1))+(0))),(B2)*(2),IF(("goto")=(INDEX(B1:XFD1,((A2)+(1))+(0))),(INDEX(B1:XFD1,((A2)+(1))+(1)))*(2),IF(("gotoiftrue")=(INDEX(B1:XFD1,((A2)+(1))+(0))),IF(B2,(INDEX(B1:XFD1,((A2)+(1))+(1)))*(2),(A194)+(2)),(A194)+(2)))),A194))</f>
        <v>#VALUE!</v>
      </c>
      <c r="B194" t="e">
        <f ca="1">IF((A1)=(2),"",IF((191)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194)+(1)),IF(("add")=(INDEX(B1:XFD1,((A2)+(1))+(0))),(INDEX(B4:B404,(B3)+(1)))+(B194),IF(("equals")=(INDEX(B1:XFD1,((A2)+(1))+(0))),(INDEX(B4:B404,(B3)+(1)))=(B194),IF(("leq")=(INDEX(B1:XFD1,((A2)+(1))+(0))),(INDEX(B4:B404,(B3)+(1)))&lt;=(B194),IF(("greater")=(INDEX(B1:XFD1,((A2)+(1))+(0))),(INDEX(B4:B404,(B3)+(1)))&gt;(B194),IF(("mod")=(INDEX(B1:XFD1,((A2)+(1))+(0))),MOD(INDEX(B4:B404,(B3)+(1)),B194),B194))))))))),B194))</f>
        <v>#VALUE!</v>
      </c>
      <c r="C194" t="e">
        <f ca="1">IF((A1)=(2),1,IF(AND((INDEX(B1:XFD1,((A2)+(1))+(0)))=("writeheap"),(INDEX(B4:B404,(B3)+(1)))=(190)),INDEX(B4:B404,(B3)+(2)),IF((A1)=(2),"",IF((191)=(C3),C194,C194))))</f>
        <v>#VALUE!</v>
      </c>
      <c r="E194" t="e">
        <f ca="1">IF((A1)=(2),"",IF((191)=(E3),IF(("outputline")=(INDEX(B1:XFD1,((A2)+(1))+(0))),B2,E194),E194))</f>
        <v>#VALUE!</v>
      </c>
      <c r="F194" t="e">
        <f ca="1">IF((A1)=(2),"",IF((191)=(F3),IF(IF((INDEX(B1:XFD1,((A2)+(1))+(0)))=("store"),(INDEX(B1:XFD1,((A2)+(1))+(1)))=("F"),"false"),B2,F194),F194))</f>
        <v>#VALUE!</v>
      </c>
      <c r="G194" t="e">
        <f ca="1">IF((A1)=(2),"",IF((191)=(G3),IF(IF((INDEX(B1:XFD1,((A2)+(1))+(0)))=("store"),(INDEX(B1:XFD1,((A2)+(1))+(1)))=("G"),"false"),B2,G194),G194))</f>
        <v>#VALUE!</v>
      </c>
      <c r="H194" t="e">
        <f ca="1">IF((A1)=(2),"",IF((191)=(H3),IF(IF((INDEX(B1:XFD1,((A2)+(1))+(0)))=("store"),(INDEX(B1:XFD1,((A2)+(1))+(1)))=("H"),"false"),B2,H194),H194))</f>
        <v>#VALUE!</v>
      </c>
      <c r="I194" t="e">
        <f ca="1">IF((A1)=(2),"",IF((191)=(I3),IF(IF((INDEX(B1:XFD1,((A2)+(1))+(0)))=("store"),(INDEX(B1:XFD1,((A2)+(1))+(1)))=("I"),"false"),B2,I194),I194))</f>
        <v>#VALUE!</v>
      </c>
      <c r="J194" t="e">
        <f ca="1">IF((A1)=(2),"",IF((191)=(J3),IF(IF((INDEX(B1:XFD1,((A2)+(1))+(0)))=("store"),(INDEX(B1:XFD1,((A2)+(1))+(1)))=("J"),"false"),B2,J194),J194))</f>
        <v>#VALUE!</v>
      </c>
      <c r="K194" t="e">
        <f ca="1">IF((A1)=(2),"",IF((191)=(K3),IF(IF((INDEX(B1:XFD1,((A2)+(1))+(0)))=("store"),(INDEX(B1:XFD1,((A2)+(1))+(1)))=("K"),"false"),B2,K194),K194))</f>
        <v>#VALUE!</v>
      </c>
      <c r="L194" t="e">
        <f ca="1">IF((A1)=(2),"",IF((191)=(L3),IF(IF((INDEX(B1:XFD1,((A2)+(1))+(0)))=("store"),(INDEX(B1:XFD1,((A2)+(1))+(1)))=("L"),"false"),B2,L194),L194))</f>
        <v>#VALUE!</v>
      </c>
      <c r="M194" t="e">
        <f ca="1">IF((A1)=(2),"",IF((191)=(M3),IF(IF((INDEX(B1:XFD1,((A2)+(1))+(0)))=("store"),(INDEX(B1:XFD1,((A2)+(1))+(1)))=("M"),"false"),B2,M194),M194))</f>
        <v>#VALUE!</v>
      </c>
      <c r="N194" t="e">
        <f ca="1">IF((A1)=(2),"",IF((191)=(N3),IF(IF((INDEX(B1:XFD1,((A2)+(1))+(0)))=("store"),(INDEX(B1:XFD1,((A2)+(1))+(1)))=("N"),"false"),B2,N194),N194))</f>
        <v>#VALUE!</v>
      </c>
      <c r="O194" t="e">
        <f ca="1">IF((A1)=(2),"",IF((191)=(O3),IF(IF((INDEX(B1:XFD1,((A2)+(1))+(0)))=("store"),(INDEX(B1:XFD1,((A2)+(1))+(1)))=("O"),"false"),B2,O194),O194))</f>
        <v>#VALUE!</v>
      </c>
      <c r="P194" t="e">
        <f ca="1">IF((A1)=(2),"",IF((191)=(P3),IF(IF((INDEX(B1:XFD1,((A2)+(1))+(0)))=("store"),(INDEX(B1:XFD1,((A2)+(1))+(1)))=("P"),"false"),B2,P194),P194))</f>
        <v>#VALUE!</v>
      </c>
      <c r="Q194" t="e">
        <f ca="1">IF((A1)=(2),"",IF((191)=(Q3),IF(IF((INDEX(B1:XFD1,((A2)+(1))+(0)))=("store"),(INDEX(B1:XFD1,((A2)+(1))+(1)))=("Q"),"false"),B2,Q194),Q194))</f>
        <v>#VALUE!</v>
      </c>
      <c r="R194" t="e">
        <f ca="1">IF((A1)=(2),"",IF((191)=(R3),IF(IF((INDEX(B1:XFD1,((A2)+(1))+(0)))=("store"),(INDEX(B1:XFD1,((A2)+(1))+(1)))=("R"),"false"),B2,R194),R194))</f>
        <v>#VALUE!</v>
      </c>
      <c r="S194" t="e">
        <f ca="1">IF((A1)=(2),"",IF((191)=(S3),IF(IF((INDEX(B1:XFD1,((A2)+(1))+(0)))=("store"),(INDEX(B1:XFD1,((A2)+(1))+(1)))=("S"),"false"),B2,S194),S194))</f>
        <v>#VALUE!</v>
      </c>
      <c r="T194" t="e">
        <f ca="1">IF((A1)=(2),"",IF((191)=(T3),IF(IF((INDEX(B1:XFD1,((A2)+(1))+(0)))=("store"),(INDEX(B1:XFD1,((A2)+(1))+(1)))=("T"),"false"),B2,T194),T194))</f>
        <v>#VALUE!</v>
      </c>
      <c r="U194" t="e">
        <f ca="1">IF((A1)=(2),"",IF((191)=(U3),IF(IF((INDEX(B1:XFD1,((A2)+(1))+(0)))=("store"),(INDEX(B1:XFD1,((A2)+(1))+(1)))=("U"),"false"),B2,U194),U194))</f>
        <v>#VALUE!</v>
      </c>
      <c r="V194" t="e">
        <f ca="1">IF((A1)=(2),"",IF((191)=(V3),IF(IF((INDEX(B1:XFD1,((A2)+(1))+(0)))=("store"),(INDEX(B1:XFD1,((A2)+(1))+(1)))=("V"),"false"),B2,V194),V194))</f>
        <v>#VALUE!</v>
      </c>
      <c r="W194" t="e">
        <f ca="1">IF((A1)=(2),"",IF((191)=(W3),IF(IF((INDEX(B1:XFD1,((A2)+(1))+(0)))=("store"),(INDEX(B1:XFD1,((A2)+(1))+(1)))=("W"),"false"),B2,W194),W194))</f>
        <v>#VALUE!</v>
      </c>
      <c r="X194" t="e">
        <f ca="1">IF((A1)=(2),"",IF((191)=(X3),IF(IF((INDEX(B1:XFD1,((A2)+(1))+(0)))=("store"),(INDEX(B1:XFD1,((A2)+(1))+(1)))=("X"),"false"),B2,X194),X194))</f>
        <v>#VALUE!</v>
      </c>
      <c r="Y194" t="e">
        <f ca="1">IF((A1)=(2),"",IF((191)=(Y3),IF(IF((INDEX(B1:XFD1,((A2)+(1))+(0)))=("store"),(INDEX(B1:XFD1,((A2)+(1))+(1)))=("Y"),"false"),B2,Y194),Y194))</f>
        <v>#VALUE!</v>
      </c>
      <c r="Z194" t="e">
        <f ca="1">IF((A1)=(2),"",IF((191)=(Z3),IF(IF((INDEX(B1:XFD1,((A2)+(1))+(0)))=("store"),(INDEX(B1:XFD1,((A2)+(1))+(1)))=("Z"),"false"),B2,Z194),Z194))</f>
        <v>#VALUE!</v>
      </c>
      <c r="AA194" t="e">
        <f ca="1">IF((A1)=(2),"",IF((191)=(AA3),IF(IF((INDEX(B1:XFD1,((A2)+(1))+(0)))=("store"),(INDEX(B1:XFD1,((A2)+(1))+(1)))=("AA"),"false"),B2,AA194),AA194))</f>
        <v>#VALUE!</v>
      </c>
      <c r="AB194" t="e">
        <f ca="1">IF((A1)=(2),"",IF((191)=(AB3),IF(IF((INDEX(B1:XFD1,((A2)+(1))+(0)))=("store"),(INDEX(B1:XFD1,((A2)+(1))+(1)))=("AB"),"false"),B2,AB194),AB194))</f>
        <v>#VALUE!</v>
      </c>
      <c r="AC194" t="e">
        <f ca="1">IF((A1)=(2),"",IF((191)=(AC3),IF(IF((INDEX(B1:XFD1,((A2)+(1))+(0)))=("store"),(INDEX(B1:XFD1,((A2)+(1))+(1)))=("AC"),"false"),B2,AC194),AC194))</f>
        <v>#VALUE!</v>
      </c>
      <c r="AD194" t="e">
        <f ca="1">IF((A1)=(2),"",IF((191)=(AD3),IF(IF((INDEX(B1:XFD1,((A2)+(1))+(0)))=("store"),(INDEX(B1:XFD1,((A2)+(1))+(1)))=("AD"),"false"),B2,AD194),AD194))</f>
        <v>#VALUE!</v>
      </c>
    </row>
    <row r="195" spans="1:30" x14ac:dyDescent="0.25">
      <c r="A195" t="e">
        <f ca="1">IF((A1)=(2),"",IF((192)=(A3),IF(("call")=(INDEX(B1:XFD1,((A2)+(1))+(0))),(B2)*(2),IF(("goto")=(INDEX(B1:XFD1,((A2)+(1))+(0))),(INDEX(B1:XFD1,((A2)+(1))+(1)))*(2),IF(("gotoiftrue")=(INDEX(B1:XFD1,((A2)+(1))+(0))),IF(B2,(INDEX(B1:XFD1,((A2)+(1))+(1)))*(2),(A195)+(2)),(A195)+(2)))),A195))</f>
        <v>#VALUE!</v>
      </c>
      <c r="B195" t="e">
        <f ca="1">IF((A1)=(2),"",IF((192)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195)+(1)),IF(("add")=(INDEX(B1:XFD1,((A2)+(1))+(0))),(INDEX(B4:B404,(B3)+(1)))+(B195),IF(("equals")=(INDEX(B1:XFD1,((A2)+(1))+(0))),(INDEX(B4:B404,(B3)+(1)))=(B195),IF(("leq")=(INDEX(B1:XFD1,((A2)+(1))+(0))),(INDEX(B4:B404,(B3)+(1)))&lt;=(B195),IF(("greater")=(INDEX(B1:XFD1,((A2)+(1))+(0))),(INDEX(B4:B404,(B3)+(1)))&gt;(B195),IF(("mod")=(INDEX(B1:XFD1,((A2)+(1))+(0))),MOD(INDEX(B4:B404,(B3)+(1)),B195),B195))))))))),B195))</f>
        <v>#VALUE!</v>
      </c>
      <c r="C195" t="e">
        <f ca="1">IF((A1)=(2),1,IF(AND((INDEX(B1:XFD1,((A2)+(1))+(0)))=("writeheap"),(INDEX(B4:B404,(B3)+(1)))=(191)),INDEX(B4:B404,(B3)+(2)),IF((A1)=(2),"",IF((192)=(C3),C195,C195))))</f>
        <v>#VALUE!</v>
      </c>
      <c r="E195" t="e">
        <f ca="1">IF((A1)=(2),"",IF((192)=(E3),IF(("outputline")=(INDEX(B1:XFD1,((A2)+(1))+(0))),B2,E195),E195))</f>
        <v>#VALUE!</v>
      </c>
      <c r="F195" t="e">
        <f ca="1">IF((A1)=(2),"",IF((192)=(F3),IF(IF((INDEX(B1:XFD1,((A2)+(1))+(0)))=("store"),(INDEX(B1:XFD1,((A2)+(1))+(1)))=("F"),"false"),B2,F195),F195))</f>
        <v>#VALUE!</v>
      </c>
      <c r="G195" t="e">
        <f ca="1">IF((A1)=(2),"",IF((192)=(G3),IF(IF((INDEX(B1:XFD1,((A2)+(1))+(0)))=("store"),(INDEX(B1:XFD1,((A2)+(1))+(1)))=("G"),"false"),B2,G195),G195))</f>
        <v>#VALUE!</v>
      </c>
      <c r="H195" t="e">
        <f ca="1">IF((A1)=(2),"",IF((192)=(H3),IF(IF((INDEX(B1:XFD1,((A2)+(1))+(0)))=("store"),(INDEX(B1:XFD1,((A2)+(1))+(1)))=("H"),"false"),B2,H195),H195))</f>
        <v>#VALUE!</v>
      </c>
      <c r="I195" t="e">
        <f ca="1">IF((A1)=(2),"",IF((192)=(I3),IF(IF((INDEX(B1:XFD1,((A2)+(1))+(0)))=("store"),(INDEX(B1:XFD1,((A2)+(1))+(1)))=("I"),"false"),B2,I195),I195))</f>
        <v>#VALUE!</v>
      </c>
      <c r="J195" t="e">
        <f ca="1">IF((A1)=(2),"",IF((192)=(J3),IF(IF((INDEX(B1:XFD1,((A2)+(1))+(0)))=("store"),(INDEX(B1:XFD1,((A2)+(1))+(1)))=("J"),"false"),B2,J195),J195))</f>
        <v>#VALUE!</v>
      </c>
      <c r="K195" t="e">
        <f ca="1">IF((A1)=(2),"",IF((192)=(K3),IF(IF((INDEX(B1:XFD1,((A2)+(1))+(0)))=("store"),(INDEX(B1:XFD1,((A2)+(1))+(1)))=("K"),"false"),B2,K195),K195))</f>
        <v>#VALUE!</v>
      </c>
      <c r="L195" t="e">
        <f ca="1">IF((A1)=(2),"",IF((192)=(L3),IF(IF((INDEX(B1:XFD1,((A2)+(1))+(0)))=("store"),(INDEX(B1:XFD1,((A2)+(1))+(1)))=("L"),"false"),B2,L195),L195))</f>
        <v>#VALUE!</v>
      </c>
      <c r="M195" t="e">
        <f ca="1">IF((A1)=(2),"",IF((192)=(M3),IF(IF((INDEX(B1:XFD1,((A2)+(1))+(0)))=("store"),(INDEX(B1:XFD1,((A2)+(1))+(1)))=("M"),"false"),B2,M195),M195))</f>
        <v>#VALUE!</v>
      </c>
      <c r="N195" t="e">
        <f ca="1">IF((A1)=(2),"",IF((192)=(N3),IF(IF((INDEX(B1:XFD1,((A2)+(1))+(0)))=("store"),(INDEX(B1:XFD1,((A2)+(1))+(1)))=("N"),"false"),B2,N195),N195))</f>
        <v>#VALUE!</v>
      </c>
      <c r="O195" t="e">
        <f ca="1">IF((A1)=(2),"",IF((192)=(O3),IF(IF((INDEX(B1:XFD1,((A2)+(1))+(0)))=("store"),(INDEX(B1:XFD1,((A2)+(1))+(1)))=("O"),"false"),B2,O195),O195))</f>
        <v>#VALUE!</v>
      </c>
      <c r="P195" t="e">
        <f ca="1">IF((A1)=(2),"",IF((192)=(P3),IF(IF((INDEX(B1:XFD1,((A2)+(1))+(0)))=("store"),(INDEX(B1:XFD1,((A2)+(1))+(1)))=("P"),"false"),B2,P195),P195))</f>
        <v>#VALUE!</v>
      </c>
      <c r="Q195" t="e">
        <f ca="1">IF((A1)=(2),"",IF((192)=(Q3),IF(IF((INDEX(B1:XFD1,((A2)+(1))+(0)))=("store"),(INDEX(B1:XFD1,((A2)+(1))+(1)))=("Q"),"false"),B2,Q195),Q195))</f>
        <v>#VALUE!</v>
      </c>
      <c r="R195" t="e">
        <f ca="1">IF((A1)=(2),"",IF((192)=(R3),IF(IF((INDEX(B1:XFD1,((A2)+(1))+(0)))=("store"),(INDEX(B1:XFD1,((A2)+(1))+(1)))=("R"),"false"),B2,R195),R195))</f>
        <v>#VALUE!</v>
      </c>
      <c r="S195" t="e">
        <f ca="1">IF((A1)=(2),"",IF((192)=(S3),IF(IF((INDEX(B1:XFD1,((A2)+(1))+(0)))=("store"),(INDEX(B1:XFD1,((A2)+(1))+(1)))=("S"),"false"),B2,S195),S195))</f>
        <v>#VALUE!</v>
      </c>
      <c r="T195" t="e">
        <f ca="1">IF((A1)=(2),"",IF((192)=(T3),IF(IF((INDEX(B1:XFD1,((A2)+(1))+(0)))=("store"),(INDEX(B1:XFD1,((A2)+(1))+(1)))=("T"),"false"),B2,T195),T195))</f>
        <v>#VALUE!</v>
      </c>
      <c r="U195" t="e">
        <f ca="1">IF((A1)=(2),"",IF((192)=(U3),IF(IF((INDEX(B1:XFD1,((A2)+(1))+(0)))=("store"),(INDEX(B1:XFD1,((A2)+(1))+(1)))=("U"),"false"),B2,U195),U195))</f>
        <v>#VALUE!</v>
      </c>
      <c r="V195" t="e">
        <f ca="1">IF((A1)=(2),"",IF((192)=(V3),IF(IF((INDEX(B1:XFD1,((A2)+(1))+(0)))=("store"),(INDEX(B1:XFD1,((A2)+(1))+(1)))=("V"),"false"),B2,V195),V195))</f>
        <v>#VALUE!</v>
      </c>
      <c r="W195" t="e">
        <f ca="1">IF((A1)=(2),"",IF((192)=(W3),IF(IF((INDEX(B1:XFD1,((A2)+(1))+(0)))=("store"),(INDEX(B1:XFD1,((A2)+(1))+(1)))=("W"),"false"),B2,W195),W195))</f>
        <v>#VALUE!</v>
      </c>
      <c r="X195" t="e">
        <f ca="1">IF((A1)=(2),"",IF((192)=(X3),IF(IF((INDEX(B1:XFD1,((A2)+(1))+(0)))=("store"),(INDEX(B1:XFD1,((A2)+(1))+(1)))=("X"),"false"),B2,X195),X195))</f>
        <v>#VALUE!</v>
      </c>
      <c r="Y195" t="e">
        <f ca="1">IF((A1)=(2),"",IF((192)=(Y3),IF(IF((INDEX(B1:XFD1,((A2)+(1))+(0)))=("store"),(INDEX(B1:XFD1,((A2)+(1))+(1)))=("Y"),"false"),B2,Y195),Y195))</f>
        <v>#VALUE!</v>
      </c>
      <c r="Z195" t="e">
        <f ca="1">IF((A1)=(2),"",IF((192)=(Z3),IF(IF((INDEX(B1:XFD1,((A2)+(1))+(0)))=("store"),(INDEX(B1:XFD1,((A2)+(1))+(1)))=("Z"),"false"),B2,Z195),Z195))</f>
        <v>#VALUE!</v>
      </c>
      <c r="AA195" t="e">
        <f ca="1">IF((A1)=(2),"",IF((192)=(AA3),IF(IF((INDEX(B1:XFD1,((A2)+(1))+(0)))=("store"),(INDEX(B1:XFD1,((A2)+(1))+(1)))=("AA"),"false"),B2,AA195),AA195))</f>
        <v>#VALUE!</v>
      </c>
      <c r="AB195" t="e">
        <f ca="1">IF((A1)=(2),"",IF((192)=(AB3),IF(IF((INDEX(B1:XFD1,((A2)+(1))+(0)))=("store"),(INDEX(B1:XFD1,((A2)+(1))+(1)))=("AB"),"false"),B2,AB195),AB195))</f>
        <v>#VALUE!</v>
      </c>
      <c r="AC195" t="e">
        <f ca="1">IF((A1)=(2),"",IF((192)=(AC3),IF(IF((INDEX(B1:XFD1,((A2)+(1))+(0)))=("store"),(INDEX(B1:XFD1,((A2)+(1))+(1)))=("AC"),"false"),B2,AC195),AC195))</f>
        <v>#VALUE!</v>
      </c>
      <c r="AD195" t="e">
        <f ca="1">IF((A1)=(2),"",IF((192)=(AD3),IF(IF((INDEX(B1:XFD1,((A2)+(1))+(0)))=("store"),(INDEX(B1:XFD1,((A2)+(1))+(1)))=("AD"),"false"),B2,AD195),AD195))</f>
        <v>#VALUE!</v>
      </c>
    </row>
    <row r="196" spans="1:30" x14ac:dyDescent="0.25">
      <c r="A196" t="e">
        <f ca="1">IF((A1)=(2),"",IF((193)=(A3),IF(("call")=(INDEX(B1:XFD1,((A2)+(1))+(0))),(B2)*(2),IF(("goto")=(INDEX(B1:XFD1,((A2)+(1))+(0))),(INDEX(B1:XFD1,((A2)+(1))+(1)))*(2),IF(("gotoiftrue")=(INDEX(B1:XFD1,((A2)+(1))+(0))),IF(B2,(INDEX(B1:XFD1,((A2)+(1))+(1)))*(2),(A196)+(2)),(A196)+(2)))),A196))</f>
        <v>#VALUE!</v>
      </c>
      <c r="B196" t="e">
        <f ca="1">IF((A1)=(2),"",IF((193)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196)+(1)),IF(("add")=(INDEX(B1:XFD1,((A2)+(1))+(0))),(INDEX(B4:B404,(B3)+(1)))+(B196),IF(("equals")=(INDEX(B1:XFD1,((A2)+(1))+(0))),(INDEX(B4:B404,(B3)+(1)))=(B196),IF(("leq")=(INDEX(B1:XFD1,((A2)+(1))+(0))),(INDEX(B4:B404,(B3)+(1)))&lt;=(B196),IF(("greater")=(INDEX(B1:XFD1,((A2)+(1))+(0))),(INDEX(B4:B404,(B3)+(1)))&gt;(B196),IF(("mod")=(INDEX(B1:XFD1,((A2)+(1))+(0))),MOD(INDEX(B4:B404,(B3)+(1)),B196),B196))))))))),B196))</f>
        <v>#VALUE!</v>
      </c>
      <c r="C196" t="e">
        <f ca="1">IF((A1)=(2),1,IF(AND((INDEX(B1:XFD1,((A2)+(1))+(0)))=("writeheap"),(INDEX(B4:B404,(B3)+(1)))=(192)),INDEX(B4:B404,(B3)+(2)),IF((A1)=(2),"",IF((193)=(C3),C196,C196))))</f>
        <v>#VALUE!</v>
      </c>
      <c r="E196" t="e">
        <f ca="1">IF((A1)=(2),"",IF((193)=(E3),IF(("outputline")=(INDEX(B1:XFD1,((A2)+(1))+(0))),B2,E196),E196))</f>
        <v>#VALUE!</v>
      </c>
      <c r="F196" t="e">
        <f ca="1">IF((A1)=(2),"",IF((193)=(F3),IF(IF((INDEX(B1:XFD1,((A2)+(1))+(0)))=("store"),(INDEX(B1:XFD1,((A2)+(1))+(1)))=("F"),"false"),B2,F196),F196))</f>
        <v>#VALUE!</v>
      </c>
      <c r="G196" t="e">
        <f ca="1">IF((A1)=(2),"",IF((193)=(G3),IF(IF((INDEX(B1:XFD1,((A2)+(1))+(0)))=("store"),(INDEX(B1:XFD1,((A2)+(1))+(1)))=("G"),"false"),B2,G196),G196))</f>
        <v>#VALUE!</v>
      </c>
      <c r="H196" t="e">
        <f ca="1">IF((A1)=(2),"",IF((193)=(H3),IF(IF((INDEX(B1:XFD1,((A2)+(1))+(0)))=("store"),(INDEX(B1:XFD1,((A2)+(1))+(1)))=("H"),"false"),B2,H196),H196))</f>
        <v>#VALUE!</v>
      </c>
      <c r="I196" t="e">
        <f ca="1">IF((A1)=(2),"",IF((193)=(I3),IF(IF((INDEX(B1:XFD1,((A2)+(1))+(0)))=("store"),(INDEX(B1:XFD1,((A2)+(1))+(1)))=("I"),"false"),B2,I196),I196))</f>
        <v>#VALUE!</v>
      </c>
      <c r="J196" t="e">
        <f ca="1">IF((A1)=(2),"",IF((193)=(J3),IF(IF((INDEX(B1:XFD1,((A2)+(1))+(0)))=("store"),(INDEX(B1:XFD1,((A2)+(1))+(1)))=("J"),"false"),B2,J196),J196))</f>
        <v>#VALUE!</v>
      </c>
      <c r="K196" t="e">
        <f ca="1">IF((A1)=(2),"",IF((193)=(K3),IF(IF((INDEX(B1:XFD1,((A2)+(1))+(0)))=("store"),(INDEX(B1:XFD1,((A2)+(1))+(1)))=("K"),"false"),B2,K196),K196))</f>
        <v>#VALUE!</v>
      </c>
      <c r="L196" t="e">
        <f ca="1">IF((A1)=(2),"",IF((193)=(L3),IF(IF((INDEX(B1:XFD1,((A2)+(1))+(0)))=("store"),(INDEX(B1:XFD1,((A2)+(1))+(1)))=("L"),"false"),B2,L196),L196))</f>
        <v>#VALUE!</v>
      </c>
      <c r="M196" t="e">
        <f ca="1">IF((A1)=(2),"",IF((193)=(M3),IF(IF((INDEX(B1:XFD1,((A2)+(1))+(0)))=("store"),(INDEX(B1:XFD1,((A2)+(1))+(1)))=("M"),"false"),B2,M196),M196))</f>
        <v>#VALUE!</v>
      </c>
      <c r="N196" t="e">
        <f ca="1">IF((A1)=(2),"",IF((193)=(N3),IF(IF((INDEX(B1:XFD1,((A2)+(1))+(0)))=("store"),(INDEX(B1:XFD1,((A2)+(1))+(1)))=("N"),"false"),B2,N196),N196))</f>
        <v>#VALUE!</v>
      </c>
      <c r="O196" t="e">
        <f ca="1">IF((A1)=(2),"",IF((193)=(O3),IF(IF((INDEX(B1:XFD1,((A2)+(1))+(0)))=("store"),(INDEX(B1:XFD1,((A2)+(1))+(1)))=("O"),"false"),B2,O196),O196))</f>
        <v>#VALUE!</v>
      </c>
      <c r="P196" t="e">
        <f ca="1">IF((A1)=(2),"",IF((193)=(P3),IF(IF((INDEX(B1:XFD1,((A2)+(1))+(0)))=("store"),(INDEX(B1:XFD1,((A2)+(1))+(1)))=("P"),"false"),B2,P196),P196))</f>
        <v>#VALUE!</v>
      </c>
      <c r="Q196" t="e">
        <f ca="1">IF((A1)=(2),"",IF((193)=(Q3),IF(IF((INDEX(B1:XFD1,((A2)+(1))+(0)))=("store"),(INDEX(B1:XFD1,((A2)+(1))+(1)))=("Q"),"false"),B2,Q196),Q196))</f>
        <v>#VALUE!</v>
      </c>
      <c r="R196" t="e">
        <f ca="1">IF((A1)=(2),"",IF((193)=(R3),IF(IF((INDEX(B1:XFD1,((A2)+(1))+(0)))=("store"),(INDEX(B1:XFD1,((A2)+(1))+(1)))=("R"),"false"),B2,R196),R196))</f>
        <v>#VALUE!</v>
      </c>
      <c r="S196" t="e">
        <f ca="1">IF((A1)=(2),"",IF((193)=(S3),IF(IF((INDEX(B1:XFD1,((A2)+(1))+(0)))=("store"),(INDEX(B1:XFD1,((A2)+(1))+(1)))=("S"),"false"),B2,S196),S196))</f>
        <v>#VALUE!</v>
      </c>
      <c r="T196" t="e">
        <f ca="1">IF((A1)=(2),"",IF((193)=(T3),IF(IF((INDEX(B1:XFD1,((A2)+(1))+(0)))=("store"),(INDEX(B1:XFD1,((A2)+(1))+(1)))=("T"),"false"),B2,T196),T196))</f>
        <v>#VALUE!</v>
      </c>
      <c r="U196" t="e">
        <f ca="1">IF((A1)=(2),"",IF((193)=(U3),IF(IF((INDEX(B1:XFD1,((A2)+(1))+(0)))=("store"),(INDEX(B1:XFD1,((A2)+(1))+(1)))=("U"),"false"),B2,U196),U196))</f>
        <v>#VALUE!</v>
      </c>
      <c r="V196" t="e">
        <f ca="1">IF((A1)=(2),"",IF((193)=(V3),IF(IF((INDEX(B1:XFD1,((A2)+(1))+(0)))=("store"),(INDEX(B1:XFD1,((A2)+(1))+(1)))=("V"),"false"),B2,V196),V196))</f>
        <v>#VALUE!</v>
      </c>
      <c r="W196" t="e">
        <f ca="1">IF((A1)=(2),"",IF((193)=(W3),IF(IF((INDEX(B1:XFD1,((A2)+(1))+(0)))=("store"),(INDEX(B1:XFD1,((A2)+(1))+(1)))=("W"),"false"),B2,W196),W196))</f>
        <v>#VALUE!</v>
      </c>
      <c r="X196" t="e">
        <f ca="1">IF((A1)=(2),"",IF((193)=(X3),IF(IF((INDEX(B1:XFD1,((A2)+(1))+(0)))=("store"),(INDEX(B1:XFD1,((A2)+(1))+(1)))=("X"),"false"),B2,X196),X196))</f>
        <v>#VALUE!</v>
      </c>
      <c r="Y196" t="e">
        <f ca="1">IF((A1)=(2),"",IF((193)=(Y3),IF(IF((INDEX(B1:XFD1,((A2)+(1))+(0)))=("store"),(INDEX(B1:XFD1,((A2)+(1))+(1)))=("Y"),"false"),B2,Y196),Y196))</f>
        <v>#VALUE!</v>
      </c>
      <c r="Z196" t="e">
        <f ca="1">IF((A1)=(2),"",IF((193)=(Z3),IF(IF((INDEX(B1:XFD1,((A2)+(1))+(0)))=("store"),(INDEX(B1:XFD1,((A2)+(1))+(1)))=("Z"),"false"),B2,Z196),Z196))</f>
        <v>#VALUE!</v>
      </c>
      <c r="AA196" t="e">
        <f ca="1">IF((A1)=(2),"",IF((193)=(AA3),IF(IF((INDEX(B1:XFD1,((A2)+(1))+(0)))=("store"),(INDEX(B1:XFD1,((A2)+(1))+(1)))=("AA"),"false"),B2,AA196),AA196))</f>
        <v>#VALUE!</v>
      </c>
      <c r="AB196" t="e">
        <f ca="1">IF((A1)=(2),"",IF((193)=(AB3),IF(IF((INDEX(B1:XFD1,((A2)+(1))+(0)))=("store"),(INDEX(B1:XFD1,((A2)+(1))+(1)))=("AB"),"false"),B2,AB196),AB196))</f>
        <v>#VALUE!</v>
      </c>
      <c r="AC196" t="e">
        <f ca="1">IF((A1)=(2),"",IF((193)=(AC3),IF(IF((INDEX(B1:XFD1,((A2)+(1))+(0)))=("store"),(INDEX(B1:XFD1,((A2)+(1))+(1)))=("AC"),"false"),B2,AC196),AC196))</f>
        <v>#VALUE!</v>
      </c>
      <c r="AD196" t="e">
        <f ca="1">IF((A1)=(2),"",IF((193)=(AD3),IF(IF((INDEX(B1:XFD1,((A2)+(1))+(0)))=("store"),(INDEX(B1:XFD1,((A2)+(1))+(1)))=("AD"),"false"),B2,AD196),AD196))</f>
        <v>#VALUE!</v>
      </c>
    </row>
    <row r="197" spans="1:30" x14ac:dyDescent="0.25">
      <c r="A197" t="e">
        <f ca="1">IF((A1)=(2),"",IF((194)=(A3),IF(("call")=(INDEX(B1:XFD1,((A2)+(1))+(0))),(B2)*(2),IF(("goto")=(INDEX(B1:XFD1,((A2)+(1))+(0))),(INDEX(B1:XFD1,((A2)+(1))+(1)))*(2),IF(("gotoiftrue")=(INDEX(B1:XFD1,((A2)+(1))+(0))),IF(B2,(INDEX(B1:XFD1,((A2)+(1))+(1)))*(2),(A197)+(2)),(A197)+(2)))),A197))</f>
        <v>#VALUE!</v>
      </c>
      <c r="B197" t="e">
        <f ca="1">IF((A1)=(2),"",IF((194)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197)+(1)),IF(("add")=(INDEX(B1:XFD1,((A2)+(1))+(0))),(INDEX(B4:B404,(B3)+(1)))+(B197),IF(("equals")=(INDEX(B1:XFD1,((A2)+(1))+(0))),(INDEX(B4:B404,(B3)+(1)))=(B197),IF(("leq")=(INDEX(B1:XFD1,((A2)+(1))+(0))),(INDEX(B4:B404,(B3)+(1)))&lt;=(B197),IF(("greater")=(INDEX(B1:XFD1,((A2)+(1))+(0))),(INDEX(B4:B404,(B3)+(1)))&gt;(B197),IF(("mod")=(INDEX(B1:XFD1,((A2)+(1))+(0))),MOD(INDEX(B4:B404,(B3)+(1)),B197),B197))))))))),B197))</f>
        <v>#VALUE!</v>
      </c>
      <c r="C197" t="e">
        <f ca="1">IF((A1)=(2),1,IF(AND((INDEX(B1:XFD1,((A2)+(1))+(0)))=("writeheap"),(INDEX(B4:B404,(B3)+(1)))=(193)),INDEX(B4:B404,(B3)+(2)),IF((A1)=(2),"",IF((194)=(C3),C197,C197))))</f>
        <v>#VALUE!</v>
      </c>
      <c r="E197" t="e">
        <f ca="1">IF((A1)=(2),"",IF((194)=(E3),IF(("outputline")=(INDEX(B1:XFD1,((A2)+(1))+(0))),B2,E197),E197))</f>
        <v>#VALUE!</v>
      </c>
      <c r="F197" t="e">
        <f ca="1">IF((A1)=(2),"",IF((194)=(F3),IF(IF((INDEX(B1:XFD1,((A2)+(1))+(0)))=("store"),(INDEX(B1:XFD1,((A2)+(1))+(1)))=("F"),"false"),B2,F197),F197))</f>
        <v>#VALUE!</v>
      </c>
      <c r="G197" t="e">
        <f ca="1">IF((A1)=(2),"",IF((194)=(G3),IF(IF((INDEX(B1:XFD1,((A2)+(1))+(0)))=("store"),(INDEX(B1:XFD1,((A2)+(1))+(1)))=("G"),"false"),B2,G197),G197))</f>
        <v>#VALUE!</v>
      </c>
      <c r="H197" t="e">
        <f ca="1">IF((A1)=(2),"",IF((194)=(H3),IF(IF((INDEX(B1:XFD1,((A2)+(1))+(0)))=("store"),(INDEX(B1:XFD1,((A2)+(1))+(1)))=("H"),"false"),B2,H197),H197))</f>
        <v>#VALUE!</v>
      </c>
      <c r="I197" t="e">
        <f ca="1">IF((A1)=(2),"",IF((194)=(I3),IF(IF((INDEX(B1:XFD1,((A2)+(1))+(0)))=("store"),(INDEX(B1:XFD1,((A2)+(1))+(1)))=("I"),"false"),B2,I197),I197))</f>
        <v>#VALUE!</v>
      </c>
      <c r="J197" t="e">
        <f ca="1">IF((A1)=(2),"",IF((194)=(J3),IF(IF((INDEX(B1:XFD1,((A2)+(1))+(0)))=("store"),(INDEX(B1:XFD1,((A2)+(1))+(1)))=("J"),"false"),B2,J197),J197))</f>
        <v>#VALUE!</v>
      </c>
      <c r="K197" t="e">
        <f ca="1">IF((A1)=(2),"",IF((194)=(K3),IF(IF((INDEX(B1:XFD1,((A2)+(1))+(0)))=("store"),(INDEX(B1:XFD1,((A2)+(1))+(1)))=("K"),"false"),B2,K197),K197))</f>
        <v>#VALUE!</v>
      </c>
      <c r="L197" t="e">
        <f ca="1">IF((A1)=(2),"",IF((194)=(L3),IF(IF((INDEX(B1:XFD1,((A2)+(1))+(0)))=("store"),(INDEX(B1:XFD1,((A2)+(1))+(1)))=("L"),"false"),B2,L197),L197))</f>
        <v>#VALUE!</v>
      </c>
      <c r="M197" t="e">
        <f ca="1">IF((A1)=(2),"",IF((194)=(M3),IF(IF((INDEX(B1:XFD1,((A2)+(1))+(0)))=("store"),(INDEX(B1:XFD1,((A2)+(1))+(1)))=("M"),"false"),B2,M197),M197))</f>
        <v>#VALUE!</v>
      </c>
      <c r="N197" t="e">
        <f ca="1">IF((A1)=(2),"",IF((194)=(N3),IF(IF((INDEX(B1:XFD1,((A2)+(1))+(0)))=("store"),(INDEX(B1:XFD1,((A2)+(1))+(1)))=("N"),"false"),B2,N197),N197))</f>
        <v>#VALUE!</v>
      </c>
      <c r="O197" t="e">
        <f ca="1">IF((A1)=(2),"",IF((194)=(O3),IF(IF((INDEX(B1:XFD1,((A2)+(1))+(0)))=("store"),(INDEX(B1:XFD1,((A2)+(1))+(1)))=("O"),"false"),B2,O197),O197))</f>
        <v>#VALUE!</v>
      </c>
      <c r="P197" t="e">
        <f ca="1">IF((A1)=(2),"",IF((194)=(P3),IF(IF((INDEX(B1:XFD1,((A2)+(1))+(0)))=("store"),(INDEX(B1:XFD1,((A2)+(1))+(1)))=("P"),"false"),B2,P197),P197))</f>
        <v>#VALUE!</v>
      </c>
      <c r="Q197" t="e">
        <f ca="1">IF((A1)=(2),"",IF((194)=(Q3),IF(IF((INDEX(B1:XFD1,((A2)+(1))+(0)))=("store"),(INDEX(B1:XFD1,((A2)+(1))+(1)))=("Q"),"false"),B2,Q197),Q197))</f>
        <v>#VALUE!</v>
      </c>
      <c r="R197" t="e">
        <f ca="1">IF((A1)=(2),"",IF((194)=(R3),IF(IF((INDEX(B1:XFD1,((A2)+(1))+(0)))=("store"),(INDEX(B1:XFD1,((A2)+(1))+(1)))=("R"),"false"),B2,R197),R197))</f>
        <v>#VALUE!</v>
      </c>
      <c r="S197" t="e">
        <f ca="1">IF((A1)=(2),"",IF((194)=(S3),IF(IF((INDEX(B1:XFD1,((A2)+(1))+(0)))=("store"),(INDEX(B1:XFD1,((A2)+(1))+(1)))=("S"),"false"),B2,S197),S197))</f>
        <v>#VALUE!</v>
      </c>
      <c r="T197" t="e">
        <f ca="1">IF((A1)=(2),"",IF((194)=(T3),IF(IF((INDEX(B1:XFD1,((A2)+(1))+(0)))=("store"),(INDEX(B1:XFD1,((A2)+(1))+(1)))=("T"),"false"),B2,T197),T197))</f>
        <v>#VALUE!</v>
      </c>
      <c r="U197" t="e">
        <f ca="1">IF((A1)=(2),"",IF((194)=(U3),IF(IF((INDEX(B1:XFD1,((A2)+(1))+(0)))=("store"),(INDEX(B1:XFD1,((A2)+(1))+(1)))=("U"),"false"),B2,U197),U197))</f>
        <v>#VALUE!</v>
      </c>
      <c r="V197" t="e">
        <f ca="1">IF((A1)=(2),"",IF((194)=(V3),IF(IF((INDEX(B1:XFD1,((A2)+(1))+(0)))=("store"),(INDEX(B1:XFD1,((A2)+(1))+(1)))=("V"),"false"),B2,V197),V197))</f>
        <v>#VALUE!</v>
      </c>
      <c r="W197" t="e">
        <f ca="1">IF((A1)=(2),"",IF((194)=(W3),IF(IF((INDEX(B1:XFD1,((A2)+(1))+(0)))=("store"),(INDEX(B1:XFD1,((A2)+(1))+(1)))=("W"),"false"),B2,W197),W197))</f>
        <v>#VALUE!</v>
      </c>
      <c r="X197" t="e">
        <f ca="1">IF((A1)=(2),"",IF((194)=(X3),IF(IF((INDEX(B1:XFD1,((A2)+(1))+(0)))=("store"),(INDEX(B1:XFD1,((A2)+(1))+(1)))=("X"),"false"),B2,X197),X197))</f>
        <v>#VALUE!</v>
      </c>
      <c r="Y197" t="e">
        <f ca="1">IF((A1)=(2),"",IF((194)=(Y3),IF(IF((INDEX(B1:XFD1,((A2)+(1))+(0)))=("store"),(INDEX(B1:XFD1,((A2)+(1))+(1)))=("Y"),"false"),B2,Y197),Y197))</f>
        <v>#VALUE!</v>
      </c>
      <c r="Z197" t="e">
        <f ca="1">IF((A1)=(2),"",IF((194)=(Z3),IF(IF((INDEX(B1:XFD1,((A2)+(1))+(0)))=("store"),(INDEX(B1:XFD1,((A2)+(1))+(1)))=("Z"),"false"),B2,Z197),Z197))</f>
        <v>#VALUE!</v>
      </c>
      <c r="AA197" t="e">
        <f ca="1">IF((A1)=(2),"",IF((194)=(AA3),IF(IF((INDEX(B1:XFD1,((A2)+(1))+(0)))=("store"),(INDEX(B1:XFD1,((A2)+(1))+(1)))=("AA"),"false"),B2,AA197),AA197))</f>
        <v>#VALUE!</v>
      </c>
      <c r="AB197" t="e">
        <f ca="1">IF((A1)=(2),"",IF((194)=(AB3),IF(IF((INDEX(B1:XFD1,((A2)+(1))+(0)))=("store"),(INDEX(B1:XFD1,((A2)+(1))+(1)))=("AB"),"false"),B2,AB197),AB197))</f>
        <v>#VALUE!</v>
      </c>
      <c r="AC197" t="e">
        <f ca="1">IF((A1)=(2),"",IF((194)=(AC3),IF(IF((INDEX(B1:XFD1,((A2)+(1))+(0)))=("store"),(INDEX(B1:XFD1,((A2)+(1))+(1)))=("AC"),"false"),B2,AC197),AC197))</f>
        <v>#VALUE!</v>
      </c>
      <c r="AD197" t="e">
        <f ca="1">IF((A1)=(2),"",IF((194)=(AD3),IF(IF((INDEX(B1:XFD1,((A2)+(1))+(0)))=("store"),(INDEX(B1:XFD1,((A2)+(1))+(1)))=("AD"),"false"),B2,AD197),AD197))</f>
        <v>#VALUE!</v>
      </c>
    </row>
    <row r="198" spans="1:30" x14ac:dyDescent="0.25">
      <c r="A198" t="e">
        <f ca="1">IF((A1)=(2),"",IF((195)=(A3),IF(("call")=(INDEX(B1:XFD1,((A2)+(1))+(0))),(B2)*(2),IF(("goto")=(INDEX(B1:XFD1,((A2)+(1))+(0))),(INDEX(B1:XFD1,((A2)+(1))+(1)))*(2),IF(("gotoiftrue")=(INDEX(B1:XFD1,((A2)+(1))+(0))),IF(B2,(INDEX(B1:XFD1,((A2)+(1))+(1)))*(2),(A198)+(2)),(A198)+(2)))),A198))</f>
        <v>#VALUE!</v>
      </c>
      <c r="B198" t="e">
        <f ca="1">IF((A1)=(2),"",IF((195)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198)+(1)),IF(("add")=(INDEX(B1:XFD1,((A2)+(1))+(0))),(INDEX(B4:B404,(B3)+(1)))+(B198),IF(("equals")=(INDEX(B1:XFD1,((A2)+(1))+(0))),(INDEX(B4:B404,(B3)+(1)))=(B198),IF(("leq")=(INDEX(B1:XFD1,((A2)+(1))+(0))),(INDEX(B4:B404,(B3)+(1)))&lt;=(B198),IF(("greater")=(INDEX(B1:XFD1,((A2)+(1))+(0))),(INDEX(B4:B404,(B3)+(1)))&gt;(B198),IF(("mod")=(INDEX(B1:XFD1,((A2)+(1))+(0))),MOD(INDEX(B4:B404,(B3)+(1)),B198),B198))))))))),B198))</f>
        <v>#VALUE!</v>
      </c>
      <c r="C198" t="e">
        <f ca="1">IF((A1)=(2),1,IF(AND((INDEX(B1:XFD1,((A2)+(1))+(0)))=("writeheap"),(INDEX(B4:B404,(B3)+(1)))=(194)),INDEX(B4:B404,(B3)+(2)),IF((A1)=(2),"",IF((195)=(C3),C198,C198))))</f>
        <v>#VALUE!</v>
      </c>
      <c r="E198" t="e">
        <f ca="1">IF((A1)=(2),"",IF((195)=(E3),IF(("outputline")=(INDEX(B1:XFD1,((A2)+(1))+(0))),B2,E198),E198))</f>
        <v>#VALUE!</v>
      </c>
      <c r="F198" t="e">
        <f ca="1">IF((A1)=(2),"",IF((195)=(F3),IF(IF((INDEX(B1:XFD1,((A2)+(1))+(0)))=("store"),(INDEX(B1:XFD1,((A2)+(1))+(1)))=("F"),"false"),B2,F198),F198))</f>
        <v>#VALUE!</v>
      </c>
      <c r="G198" t="e">
        <f ca="1">IF((A1)=(2),"",IF((195)=(G3),IF(IF((INDEX(B1:XFD1,((A2)+(1))+(0)))=("store"),(INDEX(B1:XFD1,((A2)+(1))+(1)))=("G"),"false"),B2,G198),G198))</f>
        <v>#VALUE!</v>
      </c>
      <c r="H198" t="e">
        <f ca="1">IF((A1)=(2),"",IF((195)=(H3),IF(IF((INDEX(B1:XFD1,((A2)+(1))+(0)))=("store"),(INDEX(B1:XFD1,((A2)+(1))+(1)))=("H"),"false"),B2,H198),H198))</f>
        <v>#VALUE!</v>
      </c>
      <c r="I198" t="e">
        <f ca="1">IF((A1)=(2),"",IF((195)=(I3),IF(IF((INDEX(B1:XFD1,((A2)+(1))+(0)))=("store"),(INDEX(B1:XFD1,((A2)+(1))+(1)))=("I"),"false"),B2,I198),I198))</f>
        <v>#VALUE!</v>
      </c>
      <c r="J198" t="e">
        <f ca="1">IF((A1)=(2),"",IF((195)=(J3),IF(IF((INDEX(B1:XFD1,((A2)+(1))+(0)))=("store"),(INDEX(B1:XFD1,((A2)+(1))+(1)))=("J"),"false"),B2,J198),J198))</f>
        <v>#VALUE!</v>
      </c>
      <c r="K198" t="e">
        <f ca="1">IF((A1)=(2),"",IF((195)=(K3),IF(IF((INDEX(B1:XFD1,((A2)+(1))+(0)))=("store"),(INDEX(B1:XFD1,((A2)+(1))+(1)))=("K"),"false"),B2,K198),K198))</f>
        <v>#VALUE!</v>
      </c>
      <c r="L198" t="e">
        <f ca="1">IF((A1)=(2),"",IF((195)=(L3),IF(IF((INDEX(B1:XFD1,((A2)+(1))+(0)))=("store"),(INDEX(B1:XFD1,((A2)+(1))+(1)))=("L"),"false"),B2,L198),L198))</f>
        <v>#VALUE!</v>
      </c>
      <c r="M198" t="e">
        <f ca="1">IF((A1)=(2),"",IF((195)=(M3),IF(IF((INDEX(B1:XFD1,((A2)+(1))+(0)))=("store"),(INDEX(B1:XFD1,((A2)+(1))+(1)))=("M"),"false"),B2,M198),M198))</f>
        <v>#VALUE!</v>
      </c>
      <c r="N198" t="e">
        <f ca="1">IF((A1)=(2),"",IF((195)=(N3),IF(IF((INDEX(B1:XFD1,((A2)+(1))+(0)))=("store"),(INDEX(B1:XFD1,((A2)+(1))+(1)))=("N"),"false"),B2,N198),N198))</f>
        <v>#VALUE!</v>
      </c>
      <c r="O198" t="e">
        <f ca="1">IF((A1)=(2),"",IF((195)=(O3),IF(IF((INDEX(B1:XFD1,((A2)+(1))+(0)))=("store"),(INDEX(B1:XFD1,((A2)+(1))+(1)))=("O"),"false"),B2,O198),O198))</f>
        <v>#VALUE!</v>
      </c>
      <c r="P198" t="e">
        <f ca="1">IF((A1)=(2),"",IF((195)=(P3),IF(IF((INDEX(B1:XFD1,((A2)+(1))+(0)))=("store"),(INDEX(B1:XFD1,((A2)+(1))+(1)))=("P"),"false"),B2,P198),P198))</f>
        <v>#VALUE!</v>
      </c>
      <c r="Q198" t="e">
        <f ca="1">IF((A1)=(2),"",IF((195)=(Q3),IF(IF((INDEX(B1:XFD1,((A2)+(1))+(0)))=("store"),(INDEX(B1:XFD1,((A2)+(1))+(1)))=("Q"),"false"),B2,Q198),Q198))</f>
        <v>#VALUE!</v>
      </c>
      <c r="R198" t="e">
        <f ca="1">IF((A1)=(2),"",IF((195)=(R3),IF(IF((INDEX(B1:XFD1,((A2)+(1))+(0)))=("store"),(INDEX(B1:XFD1,((A2)+(1))+(1)))=("R"),"false"),B2,R198),R198))</f>
        <v>#VALUE!</v>
      </c>
      <c r="S198" t="e">
        <f ca="1">IF((A1)=(2),"",IF((195)=(S3),IF(IF((INDEX(B1:XFD1,((A2)+(1))+(0)))=("store"),(INDEX(B1:XFD1,((A2)+(1))+(1)))=("S"),"false"),B2,S198),S198))</f>
        <v>#VALUE!</v>
      </c>
      <c r="T198" t="e">
        <f ca="1">IF((A1)=(2),"",IF((195)=(T3),IF(IF((INDEX(B1:XFD1,((A2)+(1))+(0)))=("store"),(INDEX(B1:XFD1,((A2)+(1))+(1)))=("T"),"false"),B2,T198),T198))</f>
        <v>#VALUE!</v>
      </c>
      <c r="U198" t="e">
        <f ca="1">IF((A1)=(2),"",IF((195)=(U3),IF(IF((INDEX(B1:XFD1,((A2)+(1))+(0)))=("store"),(INDEX(B1:XFD1,((A2)+(1))+(1)))=("U"),"false"),B2,U198),U198))</f>
        <v>#VALUE!</v>
      </c>
      <c r="V198" t="e">
        <f ca="1">IF((A1)=(2),"",IF((195)=(V3),IF(IF((INDEX(B1:XFD1,((A2)+(1))+(0)))=("store"),(INDEX(B1:XFD1,((A2)+(1))+(1)))=("V"),"false"),B2,V198),V198))</f>
        <v>#VALUE!</v>
      </c>
      <c r="W198" t="e">
        <f ca="1">IF((A1)=(2),"",IF((195)=(W3),IF(IF((INDEX(B1:XFD1,((A2)+(1))+(0)))=("store"),(INDEX(B1:XFD1,((A2)+(1))+(1)))=("W"),"false"),B2,W198),W198))</f>
        <v>#VALUE!</v>
      </c>
      <c r="X198" t="e">
        <f ca="1">IF((A1)=(2),"",IF((195)=(X3),IF(IF((INDEX(B1:XFD1,((A2)+(1))+(0)))=("store"),(INDEX(B1:XFD1,((A2)+(1))+(1)))=("X"),"false"),B2,X198),X198))</f>
        <v>#VALUE!</v>
      </c>
      <c r="Y198" t="e">
        <f ca="1">IF((A1)=(2),"",IF((195)=(Y3),IF(IF((INDEX(B1:XFD1,((A2)+(1))+(0)))=("store"),(INDEX(B1:XFD1,((A2)+(1))+(1)))=("Y"),"false"),B2,Y198),Y198))</f>
        <v>#VALUE!</v>
      </c>
      <c r="Z198" t="e">
        <f ca="1">IF((A1)=(2),"",IF((195)=(Z3),IF(IF((INDEX(B1:XFD1,((A2)+(1))+(0)))=("store"),(INDEX(B1:XFD1,((A2)+(1))+(1)))=("Z"),"false"),B2,Z198),Z198))</f>
        <v>#VALUE!</v>
      </c>
      <c r="AA198" t="e">
        <f ca="1">IF((A1)=(2),"",IF((195)=(AA3),IF(IF((INDEX(B1:XFD1,((A2)+(1))+(0)))=("store"),(INDEX(B1:XFD1,((A2)+(1))+(1)))=("AA"),"false"),B2,AA198),AA198))</f>
        <v>#VALUE!</v>
      </c>
      <c r="AB198" t="e">
        <f ca="1">IF((A1)=(2),"",IF((195)=(AB3),IF(IF((INDEX(B1:XFD1,((A2)+(1))+(0)))=("store"),(INDEX(B1:XFD1,((A2)+(1))+(1)))=("AB"),"false"),B2,AB198),AB198))</f>
        <v>#VALUE!</v>
      </c>
      <c r="AC198" t="e">
        <f ca="1">IF((A1)=(2),"",IF((195)=(AC3),IF(IF((INDEX(B1:XFD1,((A2)+(1))+(0)))=("store"),(INDEX(B1:XFD1,((A2)+(1))+(1)))=("AC"),"false"),B2,AC198),AC198))</f>
        <v>#VALUE!</v>
      </c>
      <c r="AD198" t="e">
        <f ca="1">IF((A1)=(2),"",IF((195)=(AD3),IF(IF((INDEX(B1:XFD1,((A2)+(1))+(0)))=("store"),(INDEX(B1:XFD1,((A2)+(1))+(1)))=("AD"),"false"),B2,AD198),AD198))</f>
        <v>#VALUE!</v>
      </c>
    </row>
    <row r="199" spans="1:30" x14ac:dyDescent="0.25">
      <c r="A199" t="e">
        <f ca="1">IF((A1)=(2),"",IF((196)=(A3),IF(("call")=(INDEX(B1:XFD1,((A2)+(1))+(0))),(B2)*(2),IF(("goto")=(INDEX(B1:XFD1,((A2)+(1))+(0))),(INDEX(B1:XFD1,((A2)+(1))+(1)))*(2),IF(("gotoiftrue")=(INDEX(B1:XFD1,((A2)+(1))+(0))),IF(B2,(INDEX(B1:XFD1,((A2)+(1))+(1)))*(2),(A199)+(2)),(A199)+(2)))),A199))</f>
        <v>#VALUE!</v>
      </c>
      <c r="B199" t="e">
        <f ca="1">IF((A1)=(2),"",IF((196)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199)+(1)),IF(("add")=(INDEX(B1:XFD1,((A2)+(1))+(0))),(INDEX(B4:B404,(B3)+(1)))+(B199),IF(("equals")=(INDEX(B1:XFD1,((A2)+(1))+(0))),(INDEX(B4:B404,(B3)+(1)))=(B199),IF(("leq")=(INDEX(B1:XFD1,((A2)+(1))+(0))),(INDEX(B4:B404,(B3)+(1)))&lt;=(B199),IF(("greater")=(INDEX(B1:XFD1,((A2)+(1))+(0))),(INDEX(B4:B404,(B3)+(1)))&gt;(B199),IF(("mod")=(INDEX(B1:XFD1,((A2)+(1))+(0))),MOD(INDEX(B4:B404,(B3)+(1)),B199),B199))))))))),B199))</f>
        <v>#VALUE!</v>
      </c>
      <c r="C199" t="e">
        <f ca="1">IF((A1)=(2),1,IF(AND((INDEX(B1:XFD1,((A2)+(1))+(0)))=("writeheap"),(INDEX(B4:B404,(B3)+(1)))=(195)),INDEX(B4:B404,(B3)+(2)),IF((A1)=(2),"",IF((196)=(C3),C199,C199))))</f>
        <v>#VALUE!</v>
      </c>
      <c r="E199" t="e">
        <f ca="1">IF((A1)=(2),"",IF((196)=(E3),IF(("outputline")=(INDEX(B1:XFD1,((A2)+(1))+(0))),B2,E199),E199))</f>
        <v>#VALUE!</v>
      </c>
      <c r="F199" t="e">
        <f ca="1">IF((A1)=(2),"",IF((196)=(F3),IF(IF((INDEX(B1:XFD1,((A2)+(1))+(0)))=("store"),(INDEX(B1:XFD1,((A2)+(1))+(1)))=("F"),"false"),B2,F199),F199))</f>
        <v>#VALUE!</v>
      </c>
      <c r="G199" t="e">
        <f ca="1">IF((A1)=(2),"",IF((196)=(G3),IF(IF((INDEX(B1:XFD1,((A2)+(1))+(0)))=("store"),(INDEX(B1:XFD1,((A2)+(1))+(1)))=("G"),"false"),B2,G199),G199))</f>
        <v>#VALUE!</v>
      </c>
      <c r="H199" t="e">
        <f ca="1">IF((A1)=(2),"",IF((196)=(H3),IF(IF((INDEX(B1:XFD1,((A2)+(1))+(0)))=("store"),(INDEX(B1:XFD1,((A2)+(1))+(1)))=("H"),"false"),B2,H199),H199))</f>
        <v>#VALUE!</v>
      </c>
      <c r="I199" t="e">
        <f ca="1">IF((A1)=(2),"",IF((196)=(I3),IF(IF((INDEX(B1:XFD1,((A2)+(1))+(0)))=("store"),(INDEX(B1:XFD1,((A2)+(1))+(1)))=("I"),"false"),B2,I199),I199))</f>
        <v>#VALUE!</v>
      </c>
      <c r="J199" t="e">
        <f ca="1">IF((A1)=(2),"",IF((196)=(J3),IF(IF((INDEX(B1:XFD1,((A2)+(1))+(0)))=("store"),(INDEX(B1:XFD1,((A2)+(1))+(1)))=("J"),"false"),B2,J199),J199))</f>
        <v>#VALUE!</v>
      </c>
      <c r="K199" t="e">
        <f ca="1">IF((A1)=(2),"",IF((196)=(K3),IF(IF((INDEX(B1:XFD1,((A2)+(1))+(0)))=("store"),(INDEX(B1:XFD1,((A2)+(1))+(1)))=("K"),"false"),B2,K199),K199))</f>
        <v>#VALUE!</v>
      </c>
      <c r="L199" t="e">
        <f ca="1">IF((A1)=(2),"",IF((196)=(L3),IF(IF((INDEX(B1:XFD1,((A2)+(1))+(0)))=("store"),(INDEX(B1:XFD1,((A2)+(1))+(1)))=("L"),"false"),B2,L199),L199))</f>
        <v>#VALUE!</v>
      </c>
      <c r="M199" t="e">
        <f ca="1">IF((A1)=(2),"",IF((196)=(M3),IF(IF((INDEX(B1:XFD1,((A2)+(1))+(0)))=("store"),(INDEX(B1:XFD1,((A2)+(1))+(1)))=("M"),"false"),B2,M199),M199))</f>
        <v>#VALUE!</v>
      </c>
      <c r="N199" t="e">
        <f ca="1">IF((A1)=(2),"",IF((196)=(N3),IF(IF((INDEX(B1:XFD1,((A2)+(1))+(0)))=("store"),(INDEX(B1:XFD1,((A2)+(1))+(1)))=("N"),"false"),B2,N199),N199))</f>
        <v>#VALUE!</v>
      </c>
      <c r="O199" t="e">
        <f ca="1">IF((A1)=(2),"",IF((196)=(O3),IF(IF((INDEX(B1:XFD1,((A2)+(1))+(0)))=("store"),(INDEX(B1:XFD1,((A2)+(1))+(1)))=("O"),"false"),B2,O199),O199))</f>
        <v>#VALUE!</v>
      </c>
      <c r="P199" t="e">
        <f ca="1">IF((A1)=(2),"",IF((196)=(P3),IF(IF((INDEX(B1:XFD1,((A2)+(1))+(0)))=("store"),(INDEX(B1:XFD1,((A2)+(1))+(1)))=("P"),"false"),B2,P199),P199))</f>
        <v>#VALUE!</v>
      </c>
      <c r="Q199" t="e">
        <f ca="1">IF((A1)=(2),"",IF((196)=(Q3),IF(IF((INDEX(B1:XFD1,((A2)+(1))+(0)))=("store"),(INDEX(B1:XFD1,((A2)+(1))+(1)))=("Q"),"false"),B2,Q199),Q199))</f>
        <v>#VALUE!</v>
      </c>
      <c r="R199" t="e">
        <f ca="1">IF((A1)=(2),"",IF((196)=(R3),IF(IF((INDEX(B1:XFD1,((A2)+(1))+(0)))=("store"),(INDEX(B1:XFD1,((A2)+(1))+(1)))=("R"),"false"),B2,R199),R199))</f>
        <v>#VALUE!</v>
      </c>
      <c r="S199" t="e">
        <f ca="1">IF((A1)=(2),"",IF((196)=(S3),IF(IF((INDEX(B1:XFD1,((A2)+(1))+(0)))=("store"),(INDEX(B1:XFD1,((A2)+(1))+(1)))=("S"),"false"),B2,S199),S199))</f>
        <v>#VALUE!</v>
      </c>
      <c r="T199" t="e">
        <f ca="1">IF((A1)=(2),"",IF((196)=(T3),IF(IF((INDEX(B1:XFD1,((A2)+(1))+(0)))=("store"),(INDEX(B1:XFD1,((A2)+(1))+(1)))=("T"),"false"),B2,T199),T199))</f>
        <v>#VALUE!</v>
      </c>
      <c r="U199" t="e">
        <f ca="1">IF((A1)=(2),"",IF((196)=(U3),IF(IF((INDEX(B1:XFD1,((A2)+(1))+(0)))=("store"),(INDEX(B1:XFD1,((A2)+(1))+(1)))=("U"),"false"),B2,U199),U199))</f>
        <v>#VALUE!</v>
      </c>
      <c r="V199" t="e">
        <f ca="1">IF((A1)=(2),"",IF((196)=(V3),IF(IF((INDEX(B1:XFD1,((A2)+(1))+(0)))=("store"),(INDEX(B1:XFD1,((A2)+(1))+(1)))=("V"),"false"),B2,V199),V199))</f>
        <v>#VALUE!</v>
      </c>
      <c r="W199" t="e">
        <f ca="1">IF((A1)=(2),"",IF((196)=(W3),IF(IF((INDEX(B1:XFD1,((A2)+(1))+(0)))=("store"),(INDEX(B1:XFD1,((A2)+(1))+(1)))=("W"),"false"),B2,W199),W199))</f>
        <v>#VALUE!</v>
      </c>
      <c r="X199" t="e">
        <f ca="1">IF((A1)=(2),"",IF((196)=(X3),IF(IF((INDEX(B1:XFD1,((A2)+(1))+(0)))=("store"),(INDEX(B1:XFD1,((A2)+(1))+(1)))=("X"),"false"),B2,X199),X199))</f>
        <v>#VALUE!</v>
      </c>
      <c r="Y199" t="e">
        <f ca="1">IF((A1)=(2),"",IF((196)=(Y3),IF(IF((INDEX(B1:XFD1,((A2)+(1))+(0)))=("store"),(INDEX(B1:XFD1,((A2)+(1))+(1)))=("Y"),"false"),B2,Y199),Y199))</f>
        <v>#VALUE!</v>
      </c>
      <c r="Z199" t="e">
        <f ca="1">IF((A1)=(2),"",IF((196)=(Z3),IF(IF((INDEX(B1:XFD1,((A2)+(1))+(0)))=("store"),(INDEX(B1:XFD1,((A2)+(1))+(1)))=("Z"),"false"),B2,Z199),Z199))</f>
        <v>#VALUE!</v>
      </c>
      <c r="AA199" t="e">
        <f ca="1">IF((A1)=(2),"",IF((196)=(AA3),IF(IF((INDEX(B1:XFD1,((A2)+(1))+(0)))=("store"),(INDEX(B1:XFD1,((A2)+(1))+(1)))=("AA"),"false"),B2,AA199),AA199))</f>
        <v>#VALUE!</v>
      </c>
      <c r="AB199" t="e">
        <f ca="1">IF((A1)=(2),"",IF((196)=(AB3),IF(IF((INDEX(B1:XFD1,((A2)+(1))+(0)))=("store"),(INDEX(B1:XFD1,((A2)+(1))+(1)))=("AB"),"false"),B2,AB199),AB199))</f>
        <v>#VALUE!</v>
      </c>
      <c r="AC199" t="e">
        <f ca="1">IF((A1)=(2),"",IF((196)=(AC3),IF(IF((INDEX(B1:XFD1,((A2)+(1))+(0)))=("store"),(INDEX(B1:XFD1,((A2)+(1))+(1)))=("AC"),"false"),B2,AC199),AC199))</f>
        <v>#VALUE!</v>
      </c>
      <c r="AD199" t="e">
        <f ca="1">IF((A1)=(2),"",IF((196)=(AD3),IF(IF((INDEX(B1:XFD1,((A2)+(1))+(0)))=("store"),(INDEX(B1:XFD1,((A2)+(1))+(1)))=("AD"),"false"),B2,AD199),AD199))</f>
        <v>#VALUE!</v>
      </c>
    </row>
    <row r="200" spans="1:30" x14ac:dyDescent="0.25">
      <c r="A200" t="e">
        <f ca="1">IF((A1)=(2),"",IF((197)=(A3),IF(("call")=(INDEX(B1:XFD1,((A2)+(1))+(0))),(B2)*(2),IF(("goto")=(INDEX(B1:XFD1,((A2)+(1))+(0))),(INDEX(B1:XFD1,((A2)+(1))+(1)))*(2),IF(("gotoiftrue")=(INDEX(B1:XFD1,((A2)+(1))+(0))),IF(B2,(INDEX(B1:XFD1,((A2)+(1))+(1)))*(2),(A200)+(2)),(A200)+(2)))),A200))</f>
        <v>#VALUE!</v>
      </c>
      <c r="B200" t="e">
        <f ca="1">IF((A1)=(2),"",IF((197)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200)+(1)),IF(("add")=(INDEX(B1:XFD1,((A2)+(1))+(0))),(INDEX(B4:B404,(B3)+(1)))+(B200),IF(("equals")=(INDEX(B1:XFD1,((A2)+(1))+(0))),(INDEX(B4:B404,(B3)+(1)))=(B200),IF(("leq")=(INDEX(B1:XFD1,((A2)+(1))+(0))),(INDEX(B4:B404,(B3)+(1)))&lt;=(B200),IF(("greater")=(INDEX(B1:XFD1,((A2)+(1))+(0))),(INDEX(B4:B404,(B3)+(1)))&gt;(B200),IF(("mod")=(INDEX(B1:XFD1,((A2)+(1))+(0))),MOD(INDEX(B4:B404,(B3)+(1)),B200),B200))))))))),B200))</f>
        <v>#VALUE!</v>
      </c>
      <c r="C200" t="e">
        <f ca="1">IF((A1)=(2),1,IF(AND((INDEX(B1:XFD1,((A2)+(1))+(0)))=("writeheap"),(INDEX(B4:B404,(B3)+(1)))=(196)),INDEX(B4:B404,(B3)+(2)),IF((A1)=(2),"",IF((197)=(C3),C200,C200))))</f>
        <v>#VALUE!</v>
      </c>
      <c r="E200" t="e">
        <f ca="1">IF((A1)=(2),"",IF((197)=(E3),IF(("outputline")=(INDEX(B1:XFD1,((A2)+(1))+(0))),B2,E200),E200))</f>
        <v>#VALUE!</v>
      </c>
      <c r="F200" t="e">
        <f ca="1">IF((A1)=(2),"",IF((197)=(F3),IF(IF((INDEX(B1:XFD1,((A2)+(1))+(0)))=("store"),(INDEX(B1:XFD1,((A2)+(1))+(1)))=("F"),"false"),B2,F200),F200))</f>
        <v>#VALUE!</v>
      </c>
      <c r="G200" t="e">
        <f ca="1">IF((A1)=(2),"",IF((197)=(G3),IF(IF((INDEX(B1:XFD1,((A2)+(1))+(0)))=("store"),(INDEX(B1:XFD1,((A2)+(1))+(1)))=("G"),"false"),B2,G200),G200))</f>
        <v>#VALUE!</v>
      </c>
      <c r="H200" t="e">
        <f ca="1">IF((A1)=(2),"",IF((197)=(H3),IF(IF((INDEX(B1:XFD1,((A2)+(1))+(0)))=("store"),(INDEX(B1:XFD1,((A2)+(1))+(1)))=("H"),"false"),B2,H200),H200))</f>
        <v>#VALUE!</v>
      </c>
      <c r="I200" t="e">
        <f ca="1">IF((A1)=(2),"",IF((197)=(I3),IF(IF((INDEX(B1:XFD1,((A2)+(1))+(0)))=("store"),(INDEX(B1:XFD1,((A2)+(1))+(1)))=("I"),"false"),B2,I200),I200))</f>
        <v>#VALUE!</v>
      </c>
      <c r="J200" t="e">
        <f ca="1">IF((A1)=(2),"",IF((197)=(J3),IF(IF((INDEX(B1:XFD1,((A2)+(1))+(0)))=("store"),(INDEX(B1:XFD1,((A2)+(1))+(1)))=("J"),"false"),B2,J200),J200))</f>
        <v>#VALUE!</v>
      </c>
      <c r="K200" t="e">
        <f ca="1">IF((A1)=(2),"",IF((197)=(K3),IF(IF((INDEX(B1:XFD1,((A2)+(1))+(0)))=("store"),(INDEX(B1:XFD1,((A2)+(1))+(1)))=("K"),"false"),B2,K200),K200))</f>
        <v>#VALUE!</v>
      </c>
      <c r="L200" t="e">
        <f ca="1">IF((A1)=(2),"",IF((197)=(L3),IF(IF((INDEX(B1:XFD1,((A2)+(1))+(0)))=("store"),(INDEX(B1:XFD1,((A2)+(1))+(1)))=("L"),"false"),B2,L200),L200))</f>
        <v>#VALUE!</v>
      </c>
      <c r="M200" t="e">
        <f ca="1">IF((A1)=(2),"",IF((197)=(M3),IF(IF((INDEX(B1:XFD1,((A2)+(1))+(0)))=("store"),(INDEX(B1:XFD1,((A2)+(1))+(1)))=("M"),"false"),B2,M200),M200))</f>
        <v>#VALUE!</v>
      </c>
      <c r="N200" t="e">
        <f ca="1">IF((A1)=(2),"",IF((197)=(N3),IF(IF((INDEX(B1:XFD1,((A2)+(1))+(0)))=("store"),(INDEX(B1:XFD1,((A2)+(1))+(1)))=("N"),"false"),B2,N200),N200))</f>
        <v>#VALUE!</v>
      </c>
      <c r="O200" t="e">
        <f ca="1">IF((A1)=(2),"",IF((197)=(O3),IF(IF((INDEX(B1:XFD1,((A2)+(1))+(0)))=("store"),(INDEX(B1:XFD1,((A2)+(1))+(1)))=("O"),"false"),B2,O200),O200))</f>
        <v>#VALUE!</v>
      </c>
      <c r="P200" t="e">
        <f ca="1">IF((A1)=(2),"",IF((197)=(P3),IF(IF((INDEX(B1:XFD1,((A2)+(1))+(0)))=("store"),(INDEX(B1:XFD1,((A2)+(1))+(1)))=("P"),"false"),B2,P200),P200))</f>
        <v>#VALUE!</v>
      </c>
      <c r="Q200" t="e">
        <f ca="1">IF((A1)=(2),"",IF((197)=(Q3),IF(IF((INDEX(B1:XFD1,((A2)+(1))+(0)))=("store"),(INDEX(B1:XFD1,((A2)+(1))+(1)))=("Q"),"false"),B2,Q200),Q200))</f>
        <v>#VALUE!</v>
      </c>
      <c r="R200" t="e">
        <f ca="1">IF((A1)=(2),"",IF((197)=(R3),IF(IF((INDEX(B1:XFD1,((A2)+(1))+(0)))=("store"),(INDEX(B1:XFD1,((A2)+(1))+(1)))=("R"),"false"),B2,R200),R200))</f>
        <v>#VALUE!</v>
      </c>
      <c r="S200" t="e">
        <f ca="1">IF((A1)=(2),"",IF((197)=(S3),IF(IF((INDEX(B1:XFD1,((A2)+(1))+(0)))=("store"),(INDEX(B1:XFD1,((A2)+(1))+(1)))=("S"),"false"),B2,S200),S200))</f>
        <v>#VALUE!</v>
      </c>
      <c r="T200" t="e">
        <f ca="1">IF((A1)=(2),"",IF((197)=(T3),IF(IF((INDEX(B1:XFD1,((A2)+(1))+(0)))=("store"),(INDEX(B1:XFD1,((A2)+(1))+(1)))=("T"),"false"),B2,T200),T200))</f>
        <v>#VALUE!</v>
      </c>
      <c r="U200" t="e">
        <f ca="1">IF((A1)=(2),"",IF((197)=(U3),IF(IF((INDEX(B1:XFD1,((A2)+(1))+(0)))=("store"),(INDEX(B1:XFD1,((A2)+(1))+(1)))=("U"),"false"),B2,U200),U200))</f>
        <v>#VALUE!</v>
      </c>
      <c r="V200" t="e">
        <f ca="1">IF((A1)=(2),"",IF((197)=(V3),IF(IF((INDEX(B1:XFD1,((A2)+(1))+(0)))=("store"),(INDEX(B1:XFD1,((A2)+(1))+(1)))=("V"),"false"),B2,V200),V200))</f>
        <v>#VALUE!</v>
      </c>
      <c r="W200" t="e">
        <f ca="1">IF((A1)=(2),"",IF((197)=(W3),IF(IF((INDEX(B1:XFD1,((A2)+(1))+(0)))=("store"),(INDEX(B1:XFD1,((A2)+(1))+(1)))=("W"),"false"),B2,W200),W200))</f>
        <v>#VALUE!</v>
      </c>
      <c r="X200" t="e">
        <f ca="1">IF((A1)=(2),"",IF((197)=(X3),IF(IF((INDEX(B1:XFD1,((A2)+(1))+(0)))=("store"),(INDEX(B1:XFD1,((A2)+(1))+(1)))=("X"),"false"),B2,X200),X200))</f>
        <v>#VALUE!</v>
      </c>
      <c r="Y200" t="e">
        <f ca="1">IF((A1)=(2),"",IF((197)=(Y3),IF(IF((INDEX(B1:XFD1,((A2)+(1))+(0)))=("store"),(INDEX(B1:XFD1,((A2)+(1))+(1)))=("Y"),"false"),B2,Y200),Y200))</f>
        <v>#VALUE!</v>
      </c>
      <c r="Z200" t="e">
        <f ca="1">IF((A1)=(2),"",IF((197)=(Z3),IF(IF((INDEX(B1:XFD1,((A2)+(1))+(0)))=("store"),(INDEX(B1:XFD1,((A2)+(1))+(1)))=("Z"),"false"),B2,Z200),Z200))</f>
        <v>#VALUE!</v>
      </c>
      <c r="AA200" t="e">
        <f ca="1">IF((A1)=(2),"",IF((197)=(AA3),IF(IF((INDEX(B1:XFD1,((A2)+(1))+(0)))=("store"),(INDEX(B1:XFD1,((A2)+(1))+(1)))=("AA"),"false"),B2,AA200),AA200))</f>
        <v>#VALUE!</v>
      </c>
      <c r="AB200" t="e">
        <f ca="1">IF((A1)=(2),"",IF((197)=(AB3),IF(IF((INDEX(B1:XFD1,((A2)+(1))+(0)))=("store"),(INDEX(B1:XFD1,((A2)+(1))+(1)))=("AB"),"false"),B2,AB200),AB200))</f>
        <v>#VALUE!</v>
      </c>
      <c r="AC200" t="e">
        <f ca="1">IF((A1)=(2),"",IF((197)=(AC3),IF(IF((INDEX(B1:XFD1,((A2)+(1))+(0)))=("store"),(INDEX(B1:XFD1,((A2)+(1))+(1)))=("AC"),"false"),B2,AC200),AC200))</f>
        <v>#VALUE!</v>
      </c>
      <c r="AD200" t="e">
        <f ca="1">IF((A1)=(2),"",IF((197)=(AD3),IF(IF((INDEX(B1:XFD1,((A2)+(1))+(0)))=("store"),(INDEX(B1:XFD1,((A2)+(1))+(1)))=("AD"),"false"),B2,AD200),AD200))</f>
        <v>#VALUE!</v>
      </c>
    </row>
    <row r="201" spans="1:30" x14ac:dyDescent="0.25">
      <c r="A201" t="e">
        <f ca="1">IF((A1)=(2),"",IF((198)=(A3),IF(("call")=(INDEX(B1:XFD1,((A2)+(1))+(0))),(B2)*(2),IF(("goto")=(INDEX(B1:XFD1,((A2)+(1))+(0))),(INDEX(B1:XFD1,((A2)+(1))+(1)))*(2),IF(("gotoiftrue")=(INDEX(B1:XFD1,((A2)+(1))+(0))),IF(B2,(INDEX(B1:XFD1,((A2)+(1))+(1)))*(2),(A201)+(2)),(A201)+(2)))),A201))</f>
        <v>#VALUE!</v>
      </c>
      <c r="B201" t="e">
        <f ca="1">IF((A1)=(2),"",IF((198)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201)+(1)),IF(("add")=(INDEX(B1:XFD1,((A2)+(1))+(0))),(INDEX(B4:B404,(B3)+(1)))+(B201),IF(("equals")=(INDEX(B1:XFD1,((A2)+(1))+(0))),(INDEX(B4:B404,(B3)+(1)))=(B201),IF(("leq")=(INDEX(B1:XFD1,((A2)+(1))+(0))),(INDEX(B4:B404,(B3)+(1)))&lt;=(B201),IF(("greater")=(INDEX(B1:XFD1,((A2)+(1))+(0))),(INDEX(B4:B404,(B3)+(1)))&gt;(B201),IF(("mod")=(INDEX(B1:XFD1,((A2)+(1))+(0))),MOD(INDEX(B4:B404,(B3)+(1)),B201),B201))))))))),B201))</f>
        <v>#VALUE!</v>
      </c>
      <c r="C201" t="e">
        <f ca="1">IF((A1)=(2),1,IF(AND((INDEX(B1:XFD1,((A2)+(1))+(0)))=("writeheap"),(INDEX(B4:B404,(B3)+(1)))=(197)),INDEX(B4:B404,(B3)+(2)),IF((A1)=(2),"",IF((198)=(C3),C201,C201))))</f>
        <v>#VALUE!</v>
      </c>
      <c r="E201" t="e">
        <f ca="1">IF((A1)=(2),"",IF((198)=(E3),IF(("outputline")=(INDEX(B1:XFD1,((A2)+(1))+(0))),B2,E201),E201))</f>
        <v>#VALUE!</v>
      </c>
      <c r="F201" t="e">
        <f ca="1">IF((A1)=(2),"",IF((198)=(F3),IF(IF((INDEX(B1:XFD1,((A2)+(1))+(0)))=("store"),(INDEX(B1:XFD1,((A2)+(1))+(1)))=("F"),"false"),B2,F201),F201))</f>
        <v>#VALUE!</v>
      </c>
      <c r="G201" t="e">
        <f ca="1">IF((A1)=(2),"",IF((198)=(G3),IF(IF((INDEX(B1:XFD1,((A2)+(1))+(0)))=("store"),(INDEX(B1:XFD1,((A2)+(1))+(1)))=("G"),"false"),B2,G201),G201))</f>
        <v>#VALUE!</v>
      </c>
      <c r="H201" t="e">
        <f ca="1">IF((A1)=(2),"",IF((198)=(H3),IF(IF((INDEX(B1:XFD1,((A2)+(1))+(0)))=("store"),(INDEX(B1:XFD1,((A2)+(1))+(1)))=("H"),"false"),B2,H201),H201))</f>
        <v>#VALUE!</v>
      </c>
      <c r="I201" t="e">
        <f ca="1">IF((A1)=(2),"",IF((198)=(I3),IF(IF((INDEX(B1:XFD1,((A2)+(1))+(0)))=("store"),(INDEX(B1:XFD1,((A2)+(1))+(1)))=("I"),"false"),B2,I201),I201))</f>
        <v>#VALUE!</v>
      </c>
      <c r="J201" t="e">
        <f ca="1">IF((A1)=(2),"",IF((198)=(J3),IF(IF((INDEX(B1:XFD1,((A2)+(1))+(0)))=("store"),(INDEX(B1:XFD1,((A2)+(1))+(1)))=("J"),"false"),B2,J201),J201))</f>
        <v>#VALUE!</v>
      </c>
      <c r="K201" t="e">
        <f ca="1">IF((A1)=(2),"",IF((198)=(K3),IF(IF((INDEX(B1:XFD1,((A2)+(1))+(0)))=("store"),(INDEX(B1:XFD1,((A2)+(1))+(1)))=("K"),"false"),B2,K201),K201))</f>
        <v>#VALUE!</v>
      </c>
      <c r="L201" t="e">
        <f ca="1">IF((A1)=(2),"",IF((198)=(L3),IF(IF((INDEX(B1:XFD1,((A2)+(1))+(0)))=("store"),(INDEX(B1:XFD1,((A2)+(1))+(1)))=("L"),"false"),B2,L201),L201))</f>
        <v>#VALUE!</v>
      </c>
      <c r="M201" t="e">
        <f ca="1">IF((A1)=(2),"",IF((198)=(M3),IF(IF((INDEX(B1:XFD1,((A2)+(1))+(0)))=("store"),(INDEX(B1:XFD1,((A2)+(1))+(1)))=("M"),"false"),B2,M201),M201))</f>
        <v>#VALUE!</v>
      </c>
      <c r="N201" t="e">
        <f ca="1">IF((A1)=(2),"",IF((198)=(N3),IF(IF((INDEX(B1:XFD1,((A2)+(1))+(0)))=("store"),(INDEX(B1:XFD1,((A2)+(1))+(1)))=("N"),"false"),B2,N201),N201))</f>
        <v>#VALUE!</v>
      </c>
      <c r="O201" t="e">
        <f ca="1">IF((A1)=(2),"",IF((198)=(O3),IF(IF((INDEX(B1:XFD1,((A2)+(1))+(0)))=("store"),(INDEX(B1:XFD1,((A2)+(1))+(1)))=("O"),"false"),B2,O201),O201))</f>
        <v>#VALUE!</v>
      </c>
      <c r="P201" t="e">
        <f ca="1">IF((A1)=(2),"",IF((198)=(P3),IF(IF((INDEX(B1:XFD1,((A2)+(1))+(0)))=("store"),(INDEX(B1:XFD1,((A2)+(1))+(1)))=("P"),"false"),B2,P201),P201))</f>
        <v>#VALUE!</v>
      </c>
      <c r="Q201" t="e">
        <f ca="1">IF((A1)=(2),"",IF((198)=(Q3),IF(IF((INDEX(B1:XFD1,((A2)+(1))+(0)))=("store"),(INDEX(B1:XFD1,((A2)+(1))+(1)))=("Q"),"false"),B2,Q201),Q201))</f>
        <v>#VALUE!</v>
      </c>
      <c r="R201" t="e">
        <f ca="1">IF((A1)=(2),"",IF((198)=(R3),IF(IF((INDEX(B1:XFD1,((A2)+(1))+(0)))=("store"),(INDEX(B1:XFD1,((A2)+(1))+(1)))=("R"),"false"),B2,R201),R201))</f>
        <v>#VALUE!</v>
      </c>
      <c r="S201" t="e">
        <f ca="1">IF((A1)=(2),"",IF((198)=(S3),IF(IF((INDEX(B1:XFD1,((A2)+(1))+(0)))=("store"),(INDEX(B1:XFD1,((A2)+(1))+(1)))=("S"),"false"),B2,S201),S201))</f>
        <v>#VALUE!</v>
      </c>
      <c r="T201" t="e">
        <f ca="1">IF((A1)=(2),"",IF((198)=(T3),IF(IF((INDEX(B1:XFD1,((A2)+(1))+(0)))=("store"),(INDEX(B1:XFD1,((A2)+(1))+(1)))=("T"),"false"),B2,T201),T201))</f>
        <v>#VALUE!</v>
      </c>
      <c r="U201" t="e">
        <f ca="1">IF((A1)=(2),"",IF((198)=(U3),IF(IF((INDEX(B1:XFD1,((A2)+(1))+(0)))=("store"),(INDEX(B1:XFD1,((A2)+(1))+(1)))=("U"),"false"),B2,U201),U201))</f>
        <v>#VALUE!</v>
      </c>
      <c r="V201" t="e">
        <f ca="1">IF((A1)=(2),"",IF((198)=(V3),IF(IF((INDEX(B1:XFD1,((A2)+(1))+(0)))=("store"),(INDEX(B1:XFD1,((A2)+(1))+(1)))=("V"),"false"),B2,V201),V201))</f>
        <v>#VALUE!</v>
      </c>
      <c r="W201" t="e">
        <f ca="1">IF((A1)=(2),"",IF((198)=(W3),IF(IF((INDEX(B1:XFD1,((A2)+(1))+(0)))=("store"),(INDEX(B1:XFD1,((A2)+(1))+(1)))=("W"),"false"),B2,W201),W201))</f>
        <v>#VALUE!</v>
      </c>
      <c r="X201" t="e">
        <f ca="1">IF((A1)=(2),"",IF((198)=(X3),IF(IF((INDEX(B1:XFD1,((A2)+(1))+(0)))=("store"),(INDEX(B1:XFD1,((A2)+(1))+(1)))=("X"),"false"),B2,X201),X201))</f>
        <v>#VALUE!</v>
      </c>
      <c r="Y201" t="e">
        <f ca="1">IF((A1)=(2),"",IF((198)=(Y3),IF(IF((INDEX(B1:XFD1,((A2)+(1))+(0)))=("store"),(INDEX(B1:XFD1,((A2)+(1))+(1)))=("Y"),"false"),B2,Y201),Y201))</f>
        <v>#VALUE!</v>
      </c>
      <c r="Z201" t="e">
        <f ca="1">IF((A1)=(2),"",IF((198)=(Z3),IF(IF((INDEX(B1:XFD1,((A2)+(1))+(0)))=("store"),(INDEX(B1:XFD1,((A2)+(1))+(1)))=("Z"),"false"),B2,Z201),Z201))</f>
        <v>#VALUE!</v>
      </c>
      <c r="AA201" t="e">
        <f ca="1">IF((A1)=(2),"",IF((198)=(AA3),IF(IF((INDEX(B1:XFD1,((A2)+(1))+(0)))=("store"),(INDEX(B1:XFD1,((A2)+(1))+(1)))=("AA"),"false"),B2,AA201),AA201))</f>
        <v>#VALUE!</v>
      </c>
      <c r="AB201" t="e">
        <f ca="1">IF((A1)=(2),"",IF((198)=(AB3),IF(IF((INDEX(B1:XFD1,((A2)+(1))+(0)))=("store"),(INDEX(B1:XFD1,((A2)+(1))+(1)))=("AB"),"false"),B2,AB201),AB201))</f>
        <v>#VALUE!</v>
      </c>
      <c r="AC201" t="e">
        <f ca="1">IF((A1)=(2),"",IF((198)=(AC3),IF(IF((INDEX(B1:XFD1,((A2)+(1))+(0)))=("store"),(INDEX(B1:XFD1,((A2)+(1))+(1)))=("AC"),"false"),B2,AC201),AC201))</f>
        <v>#VALUE!</v>
      </c>
      <c r="AD201" t="e">
        <f ca="1">IF((A1)=(2),"",IF((198)=(AD3),IF(IF((INDEX(B1:XFD1,((A2)+(1))+(0)))=("store"),(INDEX(B1:XFD1,((A2)+(1))+(1)))=("AD"),"false"),B2,AD201),AD201))</f>
        <v>#VALUE!</v>
      </c>
    </row>
    <row r="202" spans="1:30" x14ac:dyDescent="0.25">
      <c r="A202" t="e">
        <f ca="1">IF((A1)=(2),"",IF((199)=(A3),IF(("call")=(INDEX(B1:XFD1,((A2)+(1))+(0))),(B2)*(2),IF(("goto")=(INDEX(B1:XFD1,((A2)+(1))+(0))),(INDEX(B1:XFD1,((A2)+(1))+(1)))*(2),IF(("gotoiftrue")=(INDEX(B1:XFD1,((A2)+(1))+(0))),IF(B2,(INDEX(B1:XFD1,((A2)+(1))+(1)))*(2),(A202)+(2)),(A202)+(2)))),A202))</f>
        <v>#VALUE!</v>
      </c>
      <c r="B202" t="e">
        <f ca="1">IF((A1)=(2),"",IF((199)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202)+(1)),IF(("add")=(INDEX(B1:XFD1,((A2)+(1))+(0))),(INDEX(B4:B404,(B3)+(1)))+(B202),IF(("equals")=(INDEX(B1:XFD1,((A2)+(1))+(0))),(INDEX(B4:B404,(B3)+(1)))=(B202),IF(("leq")=(INDEX(B1:XFD1,((A2)+(1))+(0))),(INDEX(B4:B404,(B3)+(1)))&lt;=(B202),IF(("greater")=(INDEX(B1:XFD1,((A2)+(1))+(0))),(INDEX(B4:B404,(B3)+(1)))&gt;(B202),IF(("mod")=(INDEX(B1:XFD1,((A2)+(1))+(0))),MOD(INDEX(B4:B404,(B3)+(1)),B202),B202))))))))),B202))</f>
        <v>#VALUE!</v>
      </c>
      <c r="C202" t="e">
        <f ca="1">IF((A1)=(2),1,IF(AND((INDEX(B1:XFD1,((A2)+(1))+(0)))=("writeheap"),(INDEX(B4:B404,(B3)+(1)))=(198)),INDEX(B4:B404,(B3)+(2)),IF((A1)=(2),"",IF((199)=(C3),C202,C202))))</f>
        <v>#VALUE!</v>
      </c>
      <c r="E202" t="e">
        <f ca="1">IF((A1)=(2),"",IF((199)=(E3),IF(("outputline")=(INDEX(B1:XFD1,((A2)+(1))+(0))),B2,E202),E202))</f>
        <v>#VALUE!</v>
      </c>
      <c r="F202" t="e">
        <f ca="1">IF((A1)=(2),"",IF((199)=(F3),IF(IF((INDEX(B1:XFD1,((A2)+(1))+(0)))=("store"),(INDEX(B1:XFD1,((A2)+(1))+(1)))=("F"),"false"),B2,F202),F202))</f>
        <v>#VALUE!</v>
      </c>
      <c r="G202" t="e">
        <f ca="1">IF((A1)=(2),"",IF((199)=(G3),IF(IF((INDEX(B1:XFD1,((A2)+(1))+(0)))=("store"),(INDEX(B1:XFD1,((A2)+(1))+(1)))=("G"),"false"),B2,G202),G202))</f>
        <v>#VALUE!</v>
      </c>
      <c r="H202" t="e">
        <f ca="1">IF((A1)=(2),"",IF((199)=(H3),IF(IF((INDEX(B1:XFD1,((A2)+(1))+(0)))=("store"),(INDEX(B1:XFD1,((A2)+(1))+(1)))=("H"),"false"),B2,H202),H202))</f>
        <v>#VALUE!</v>
      </c>
      <c r="I202" t="e">
        <f ca="1">IF((A1)=(2),"",IF((199)=(I3),IF(IF((INDEX(B1:XFD1,((A2)+(1))+(0)))=("store"),(INDEX(B1:XFD1,((A2)+(1))+(1)))=("I"),"false"),B2,I202),I202))</f>
        <v>#VALUE!</v>
      </c>
      <c r="J202" t="e">
        <f ca="1">IF((A1)=(2),"",IF((199)=(J3),IF(IF((INDEX(B1:XFD1,((A2)+(1))+(0)))=("store"),(INDEX(B1:XFD1,((A2)+(1))+(1)))=("J"),"false"),B2,J202),J202))</f>
        <v>#VALUE!</v>
      </c>
      <c r="K202" t="e">
        <f ca="1">IF((A1)=(2),"",IF((199)=(K3),IF(IF((INDEX(B1:XFD1,((A2)+(1))+(0)))=("store"),(INDEX(B1:XFD1,((A2)+(1))+(1)))=("K"),"false"),B2,K202),K202))</f>
        <v>#VALUE!</v>
      </c>
      <c r="L202" t="e">
        <f ca="1">IF((A1)=(2),"",IF((199)=(L3),IF(IF((INDEX(B1:XFD1,((A2)+(1))+(0)))=("store"),(INDEX(B1:XFD1,((A2)+(1))+(1)))=("L"),"false"),B2,L202),L202))</f>
        <v>#VALUE!</v>
      </c>
      <c r="M202" t="e">
        <f ca="1">IF((A1)=(2),"",IF((199)=(M3),IF(IF((INDEX(B1:XFD1,((A2)+(1))+(0)))=("store"),(INDEX(B1:XFD1,((A2)+(1))+(1)))=("M"),"false"),B2,M202),M202))</f>
        <v>#VALUE!</v>
      </c>
      <c r="N202" t="e">
        <f ca="1">IF((A1)=(2),"",IF((199)=(N3),IF(IF((INDEX(B1:XFD1,((A2)+(1))+(0)))=("store"),(INDEX(B1:XFD1,((A2)+(1))+(1)))=("N"),"false"),B2,N202),N202))</f>
        <v>#VALUE!</v>
      </c>
      <c r="O202" t="e">
        <f ca="1">IF((A1)=(2),"",IF((199)=(O3),IF(IF((INDEX(B1:XFD1,((A2)+(1))+(0)))=("store"),(INDEX(B1:XFD1,((A2)+(1))+(1)))=("O"),"false"),B2,O202),O202))</f>
        <v>#VALUE!</v>
      </c>
      <c r="P202" t="e">
        <f ca="1">IF((A1)=(2),"",IF((199)=(P3),IF(IF((INDEX(B1:XFD1,((A2)+(1))+(0)))=("store"),(INDEX(B1:XFD1,((A2)+(1))+(1)))=("P"),"false"),B2,P202),P202))</f>
        <v>#VALUE!</v>
      </c>
      <c r="Q202" t="e">
        <f ca="1">IF((A1)=(2),"",IF((199)=(Q3),IF(IF((INDEX(B1:XFD1,((A2)+(1))+(0)))=("store"),(INDEX(B1:XFD1,((A2)+(1))+(1)))=("Q"),"false"),B2,Q202),Q202))</f>
        <v>#VALUE!</v>
      </c>
      <c r="R202" t="e">
        <f ca="1">IF((A1)=(2),"",IF((199)=(R3),IF(IF((INDEX(B1:XFD1,((A2)+(1))+(0)))=("store"),(INDEX(B1:XFD1,((A2)+(1))+(1)))=("R"),"false"),B2,R202),R202))</f>
        <v>#VALUE!</v>
      </c>
      <c r="S202" t="e">
        <f ca="1">IF((A1)=(2),"",IF((199)=(S3),IF(IF((INDEX(B1:XFD1,((A2)+(1))+(0)))=("store"),(INDEX(B1:XFD1,((A2)+(1))+(1)))=("S"),"false"),B2,S202),S202))</f>
        <v>#VALUE!</v>
      </c>
      <c r="T202" t="e">
        <f ca="1">IF((A1)=(2),"",IF((199)=(T3),IF(IF((INDEX(B1:XFD1,((A2)+(1))+(0)))=("store"),(INDEX(B1:XFD1,((A2)+(1))+(1)))=("T"),"false"),B2,T202),T202))</f>
        <v>#VALUE!</v>
      </c>
      <c r="U202" t="e">
        <f ca="1">IF((A1)=(2),"",IF((199)=(U3),IF(IF((INDEX(B1:XFD1,((A2)+(1))+(0)))=("store"),(INDEX(B1:XFD1,((A2)+(1))+(1)))=("U"),"false"),B2,U202),U202))</f>
        <v>#VALUE!</v>
      </c>
      <c r="V202" t="e">
        <f ca="1">IF((A1)=(2),"",IF((199)=(V3),IF(IF((INDEX(B1:XFD1,((A2)+(1))+(0)))=("store"),(INDEX(B1:XFD1,((A2)+(1))+(1)))=("V"),"false"),B2,V202),V202))</f>
        <v>#VALUE!</v>
      </c>
      <c r="W202" t="e">
        <f ca="1">IF((A1)=(2),"",IF((199)=(W3),IF(IF((INDEX(B1:XFD1,((A2)+(1))+(0)))=("store"),(INDEX(B1:XFD1,((A2)+(1))+(1)))=("W"),"false"),B2,W202),W202))</f>
        <v>#VALUE!</v>
      </c>
      <c r="X202" t="e">
        <f ca="1">IF((A1)=(2),"",IF((199)=(X3),IF(IF((INDEX(B1:XFD1,((A2)+(1))+(0)))=("store"),(INDEX(B1:XFD1,((A2)+(1))+(1)))=("X"),"false"),B2,X202),X202))</f>
        <v>#VALUE!</v>
      </c>
      <c r="Y202" t="e">
        <f ca="1">IF((A1)=(2),"",IF((199)=(Y3),IF(IF((INDEX(B1:XFD1,((A2)+(1))+(0)))=("store"),(INDEX(B1:XFD1,((A2)+(1))+(1)))=("Y"),"false"),B2,Y202),Y202))</f>
        <v>#VALUE!</v>
      </c>
      <c r="Z202" t="e">
        <f ca="1">IF((A1)=(2),"",IF((199)=(Z3),IF(IF((INDEX(B1:XFD1,((A2)+(1))+(0)))=("store"),(INDEX(B1:XFD1,((A2)+(1))+(1)))=("Z"),"false"),B2,Z202),Z202))</f>
        <v>#VALUE!</v>
      </c>
      <c r="AA202" t="e">
        <f ca="1">IF((A1)=(2),"",IF((199)=(AA3),IF(IF((INDEX(B1:XFD1,((A2)+(1))+(0)))=("store"),(INDEX(B1:XFD1,((A2)+(1))+(1)))=("AA"),"false"),B2,AA202),AA202))</f>
        <v>#VALUE!</v>
      </c>
      <c r="AB202" t="e">
        <f ca="1">IF((A1)=(2),"",IF((199)=(AB3),IF(IF((INDEX(B1:XFD1,((A2)+(1))+(0)))=("store"),(INDEX(B1:XFD1,((A2)+(1))+(1)))=("AB"),"false"),B2,AB202),AB202))</f>
        <v>#VALUE!</v>
      </c>
      <c r="AC202" t="e">
        <f ca="1">IF((A1)=(2),"",IF((199)=(AC3),IF(IF((INDEX(B1:XFD1,((A2)+(1))+(0)))=("store"),(INDEX(B1:XFD1,((A2)+(1))+(1)))=("AC"),"false"),B2,AC202),AC202))</f>
        <v>#VALUE!</v>
      </c>
      <c r="AD202" t="e">
        <f ca="1">IF((A1)=(2),"",IF((199)=(AD3),IF(IF((INDEX(B1:XFD1,((A2)+(1))+(0)))=("store"),(INDEX(B1:XFD1,((A2)+(1))+(1)))=("AD"),"false"),B2,AD202),AD202))</f>
        <v>#VALUE!</v>
      </c>
    </row>
    <row r="203" spans="1:30" x14ac:dyDescent="0.25">
      <c r="A203" t="e">
        <f ca="1">IF((A1)=(2),"",IF((200)=(A3),IF(("call")=(INDEX(B1:XFD1,((A2)+(1))+(0))),(B2)*(2),IF(("goto")=(INDEX(B1:XFD1,((A2)+(1))+(0))),(INDEX(B1:XFD1,((A2)+(1))+(1)))*(2),IF(("gotoiftrue")=(INDEX(B1:XFD1,((A2)+(1))+(0))),IF(B2,(INDEX(B1:XFD1,((A2)+(1))+(1)))*(2),(A203)+(2)),(A203)+(2)))),A203))</f>
        <v>#VALUE!</v>
      </c>
      <c r="B203" t="e">
        <f ca="1">IF((A1)=(2),"",IF((200)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203)+(1)),IF(("add")=(INDEX(B1:XFD1,((A2)+(1))+(0))),(INDEX(B4:B404,(B3)+(1)))+(B203),IF(("equals")=(INDEX(B1:XFD1,((A2)+(1))+(0))),(INDEX(B4:B404,(B3)+(1)))=(B203),IF(("leq")=(INDEX(B1:XFD1,((A2)+(1))+(0))),(INDEX(B4:B404,(B3)+(1)))&lt;=(B203),IF(("greater")=(INDEX(B1:XFD1,((A2)+(1))+(0))),(INDEX(B4:B404,(B3)+(1)))&gt;(B203),IF(("mod")=(INDEX(B1:XFD1,((A2)+(1))+(0))),MOD(INDEX(B4:B404,(B3)+(1)),B203),B203))))))))),B203))</f>
        <v>#VALUE!</v>
      </c>
      <c r="C203" t="e">
        <f ca="1">IF((A1)=(2),1,IF(AND((INDEX(B1:XFD1,((A2)+(1))+(0)))=("writeheap"),(INDEX(B4:B404,(B3)+(1)))=(199)),INDEX(B4:B404,(B3)+(2)),IF((A1)=(2),"",IF((200)=(C3),C203,C203))))</f>
        <v>#VALUE!</v>
      </c>
      <c r="E203" t="e">
        <f ca="1">IF((A1)=(2),"",IF((200)=(E3),IF(("outputline")=(INDEX(B1:XFD1,((A2)+(1))+(0))),B2,E203),E203))</f>
        <v>#VALUE!</v>
      </c>
      <c r="F203" t="e">
        <f ca="1">IF((A1)=(2),"",IF((200)=(F3),IF(IF((INDEX(B1:XFD1,((A2)+(1))+(0)))=("store"),(INDEX(B1:XFD1,((A2)+(1))+(1)))=("F"),"false"),B2,F203),F203))</f>
        <v>#VALUE!</v>
      </c>
      <c r="G203" t="e">
        <f ca="1">IF((A1)=(2),"",IF((200)=(G3),IF(IF((INDEX(B1:XFD1,((A2)+(1))+(0)))=("store"),(INDEX(B1:XFD1,((A2)+(1))+(1)))=("G"),"false"),B2,G203),G203))</f>
        <v>#VALUE!</v>
      </c>
      <c r="H203" t="e">
        <f ca="1">IF((A1)=(2),"",IF((200)=(H3),IF(IF((INDEX(B1:XFD1,((A2)+(1))+(0)))=("store"),(INDEX(B1:XFD1,((A2)+(1))+(1)))=("H"),"false"),B2,H203),H203))</f>
        <v>#VALUE!</v>
      </c>
      <c r="I203" t="e">
        <f ca="1">IF((A1)=(2),"",IF((200)=(I3),IF(IF((INDEX(B1:XFD1,((A2)+(1))+(0)))=("store"),(INDEX(B1:XFD1,((A2)+(1))+(1)))=("I"),"false"),B2,I203),I203))</f>
        <v>#VALUE!</v>
      </c>
      <c r="J203" t="e">
        <f ca="1">IF((A1)=(2),"",IF((200)=(J3),IF(IF((INDEX(B1:XFD1,((A2)+(1))+(0)))=("store"),(INDEX(B1:XFD1,((A2)+(1))+(1)))=("J"),"false"),B2,J203),J203))</f>
        <v>#VALUE!</v>
      </c>
      <c r="K203" t="e">
        <f ca="1">IF((A1)=(2),"",IF((200)=(K3),IF(IF((INDEX(B1:XFD1,((A2)+(1))+(0)))=("store"),(INDEX(B1:XFD1,((A2)+(1))+(1)))=("K"),"false"),B2,K203),K203))</f>
        <v>#VALUE!</v>
      </c>
      <c r="L203" t="e">
        <f ca="1">IF((A1)=(2),"",IF((200)=(L3),IF(IF((INDEX(B1:XFD1,((A2)+(1))+(0)))=("store"),(INDEX(B1:XFD1,((A2)+(1))+(1)))=("L"),"false"),B2,L203),L203))</f>
        <v>#VALUE!</v>
      </c>
      <c r="M203" t="e">
        <f ca="1">IF((A1)=(2),"",IF((200)=(M3),IF(IF((INDEX(B1:XFD1,((A2)+(1))+(0)))=("store"),(INDEX(B1:XFD1,((A2)+(1))+(1)))=("M"),"false"),B2,M203),M203))</f>
        <v>#VALUE!</v>
      </c>
      <c r="N203" t="e">
        <f ca="1">IF((A1)=(2),"",IF((200)=(N3),IF(IF((INDEX(B1:XFD1,((A2)+(1))+(0)))=("store"),(INDEX(B1:XFD1,((A2)+(1))+(1)))=("N"),"false"),B2,N203),N203))</f>
        <v>#VALUE!</v>
      </c>
      <c r="O203" t="e">
        <f ca="1">IF((A1)=(2),"",IF((200)=(O3),IF(IF((INDEX(B1:XFD1,((A2)+(1))+(0)))=("store"),(INDEX(B1:XFD1,((A2)+(1))+(1)))=("O"),"false"),B2,O203),O203))</f>
        <v>#VALUE!</v>
      </c>
      <c r="P203" t="e">
        <f ca="1">IF((A1)=(2),"",IF((200)=(P3),IF(IF((INDEX(B1:XFD1,((A2)+(1))+(0)))=("store"),(INDEX(B1:XFD1,((A2)+(1))+(1)))=("P"),"false"),B2,P203),P203))</f>
        <v>#VALUE!</v>
      </c>
      <c r="Q203" t="e">
        <f ca="1">IF((A1)=(2),"",IF((200)=(Q3),IF(IF((INDEX(B1:XFD1,((A2)+(1))+(0)))=("store"),(INDEX(B1:XFD1,((A2)+(1))+(1)))=("Q"),"false"),B2,Q203),Q203))</f>
        <v>#VALUE!</v>
      </c>
      <c r="R203" t="e">
        <f ca="1">IF((A1)=(2),"",IF((200)=(R3),IF(IF((INDEX(B1:XFD1,((A2)+(1))+(0)))=("store"),(INDEX(B1:XFD1,((A2)+(1))+(1)))=("R"),"false"),B2,R203),R203))</f>
        <v>#VALUE!</v>
      </c>
      <c r="S203" t="e">
        <f ca="1">IF((A1)=(2),"",IF((200)=(S3),IF(IF((INDEX(B1:XFD1,((A2)+(1))+(0)))=("store"),(INDEX(B1:XFD1,((A2)+(1))+(1)))=("S"),"false"),B2,S203),S203))</f>
        <v>#VALUE!</v>
      </c>
      <c r="T203" t="e">
        <f ca="1">IF((A1)=(2),"",IF((200)=(T3),IF(IF((INDEX(B1:XFD1,((A2)+(1))+(0)))=("store"),(INDEX(B1:XFD1,((A2)+(1))+(1)))=("T"),"false"),B2,T203),T203))</f>
        <v>#VALUE!</v>
      </c>
      <c r="U203" t="e">
        <f ca="1">IF((A1)=(2),"",IF((200)=(U3),IF(IF((INDEX(B1:XFD1,((A2)+(1))+(0)))=("store"),(INDEX(B1:XFD1,((A2)+(1))+(1)))=("U"),"false"),B2,U203),U203))</f>
        <v>#VALUE!</v>
      </c>
      <c r="V203" t="e">
        <f ca="1">IF((A1)=(2),"",IF((200)=(V3),IF(IF((INDEX(B1:XFD1,((A2)+(1))+(0)))=("store"),(INDEX(B1:XFD1,((A2)+(1))+(1)))=("V"),"false"),B2,V203),V203))</f>
        <v>#VALUE!</v>
      </c>
      <c r="W203" t="e">
        <f ca="1">IF((A1)=(2),"",IF((200)=(W3),IF(IF((INDEX(B1:XFD1,((A2)+(1))+(0)))=("store"),(INDEX(B1:XFD1,((A2)+(1))+(1)))=("W"),"false"),B2,W203),W203))</f>
        <v>#VALUE!</v>
      </c>
      <c r="X203" t="e">
        <f ca="1">IF((A1)=(2),"",IF((200)=(X3),IF(IF((INDEX(B1:XFD1,((A2)+(1))+(0)))=("store"),(INDEX(B1:XFD1,((A2)+(1))+(1)))=("X"),"false"),B2,X203),X203))</f>
        <v>#VALUE!</v>
      </c>
      <c r="Y203" t="e">
        <f ca="1">IF((A1)=(2),"",IF((200)=(Y3),IF(IF((INDEX(B1:XFD1,((A2)+(1))+(0)))=("store"),(INDEX(B1:XFD1,((A2)+(1))+(1)))=("Y"),"false"),B2,Y203),Y203))</f>
        <v>#VALUE!</v>
      </c>
      <c r="Z203" t="e">
        <f ca="1">IF((A1)=(2),"",IF((200)=(Z3),IF(IF((INDEX(B1:XFD1,((A2)+(1))+(0)))=("store"),(INDEX(B1:XFD1,((A2)+(1))+(1)))=("Z"),"false"),B2,Z203),Z203))</f>
        <v>#VALUE!</v>
      </c>
      <c r="AA203" t="e">
        <f ca="1">IF((A1)=(2),"",IF((200)=(AA3),IF(IF((INDEX(B1:XFD1,((A2)+(1))+(0)))=("store"),(INDEX(B1:XFD1,((A2)+(1))+(1)))=("AA"),"false"),B2,AA203),AA203))</f>
        <v>#VALUE!</v>
      </c>
      <c r="AB203" t="e">
        <f ca="1">IF((A1)=(2),"",IF((200)=(AB3),IF(IF((INDEX(B1:XFD1,((A2)+(1))+(0)))=("store"),(INDEX(B1:XFD1,((A2)+(1))+(1)))=("AB"),"false"),B2,AB203),AB203))</f>
        <v>#VALUE!</v>
      </c>
      <c r="AC203" t="e">
        <f ca="1">IF((A1)=(2),"",IF((200)=(AC3),IF(IF((INDEX(B1:XFD1,((A2)+(1))+(0)))=("store"),(INDEX(B1:XFD1,((A2)+(1))+(1)))=("AC"),"false"),B2,AC203),AC203))</f>
        <v>#VALUE!</v>
      </c>
      <c r="AD203" t="e">
        <f ca="1">IF((A1)=(2),"",IF((200)=(AD3),IF(IF((INDEX(B1:XFD1,((A2)+(1))+(0)))=("store"),(INDEX(B1:XFD1,((A2)+(1))+(1)))=("AD"),"false"),B2,AD203),AD203))</f>
        <v>#VALUE!</v>
      </c>
    </row>
    <row r="204" spans="1:30" x14ac:dyDescent="0.25">
      <c r="A204" t="e">
        <f ca="1">IF((A1)=(2),"",IF((201)=(A3),IF(("call")=(INDEX(B1:XFD1,((A2)+(1))+(0))),(B2)*(2),IF(("goto")=(INDEX(B1:XFD1,((A2)+(1))+(0))),(INDEX(B1:XFD1,((A2)+(1))+(1)))*(2),IF(("gotoiftrue")=(INDEX(B1:XFD1,((A2)+(1))+(0))),IF(B2,(INDEX(B1:XFD1,((A2)+(1))+(1)))*(2),(A204)+(2)),(A204)+(2)))),A204))</f>
        <v>#VALUE!</v>
      </c>
      <c r="B204" t="e">
        <f ca="1">IF((A1)=(2),"",IF((201)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204)+(1)),IF(("add")=(INDEX(B1:XFD1,((A2)+(1))+(0))),(INDEX(B4:B404,(B3)+(1)))+(B204),IF(("equals")=(INDEX(B1:XFD1,((A2)+(1))+(0))),(INDEX(B4:B404,(B3)+(1)))=(B204),IF(("leq")=(INDEX(B1:XFD1,((A2)+(1))+(0))),(INDEX(B4:B404,(B3)+(1)))&lt;=(B204),IF(("greater")=(INDEX(B1:XFD1,((A2)+(1))+(0))),(INDEX(B4:B404,(B3)+(1)))&gt;(B204),IF(("mod")=(INDEX(B1:XFD1,((A2)+(1))+(0))),MOD(INDEX(B4:B404,(B3)+(1)),B204),B204))))))))),B204))</f>
        <v>#VALUE!</v>
      </c>
      <c r="C204" t="e">
        <f ca="1">IF((A1)=(2),1,IF(AND((INDEX(B1:XFD1,((A2)+(1))+(0)))=("writeheap"),(INDEX(B4:B404,(B3)+(1)))=(200)),INDEX(B4:B404,(B3)+(2)),IF((A1)=(2),"",IF((201)=(C3),C204,C204))))</f>
        <v>#VALUE!</v>
      </c>
      <c r="E204" t="e">
        <f ca="1">IF((A1)=(2),"",IF((201)=(E3),IF(("outputline")=(INDEX(B1:XFD1,((A2)+(1))+(0))),B2,E204),E204))</f>
        <v>#VALUE!</v>
      </c>
      <c r="F204" t="e">
        <f ca="1">IF((A1)=(2),"",IF((201)=(F3),IF(IF((INDEX(B1:XFD1,((A2)+(1))+(0)))=("store"),(INDEX(B1:XFD1,((A2)+(1))+(1)))=("F"),"false"),B2,F204),F204))</f>
        <v>#VALUE!</v>
      </c>
      <c r="G204" t="e">
        <f ca="1">IF((A1)=(2),"",IF((201)=(G3),IF(IF((INDEX(B1:XFD1,((A2)+(1))+(0)))=("store"),(INDEX(B1:XFD1,((A2)+(1))+(1)))=("G"),"false"),B2,G204),G204))</f>
        <v>#VALUE!</v>
      </c>
      <c r="H204" t="e">
        <f ca="1">IF((A1)=(2),"",IF((201)=(H3),IF(IF((INDEX(B1:XFD1,((A2)+(1))+(0)))=("store"),(INDEX(B1:XFD1,((A2)+(1))+(1)))=("H"),"false"),B2,H204),H204))</f>
        <v>#VALUE!</v>
      </c>
      <c r="I204" t="e">
        <f ca="1">IF((A1)=(2),"",IF((201)=(I3),IF(IF((INDEX(B1:XFD1,((A2)+(1))+(0)))=("store"),(INDEX(B1:XFD1,((A2)+(1))+(1)))=("I"),"false"),B2,I204),I204))</f>
        <v>#VALUE!</v>
      </c>
      <c r="J204" t="e">
        <f ca="1">IF((A1)=(2),"",IF((201)=(J3),IF(IF((INDEX(B1:XFD1,((A2)+(1))+(0)))=("store"),(INDEX(B1:XFD1,((A2)+(1))+(1)))=("J"),"false"),B2,J204),J204))</f>
        <v>#VALUE!</v>
      </c>
      <c r="K204" t="e">
        <f ca="1">IF((A1)=(2),"",IF((201)=(K3),IF(IF((INDEX(B1:XFD1,((A2)+(1))+(0)))=("store"),(INDEX(B1:XFD1,((A2)+(1))+(1)))=("K"),"false"),B2,K204),K204))</f>
        <v>#VALUE!</v>
      </c>
      <c r="L204" t="e">
        <f ca="1">IF((A1)=(2),"",IF((201)=(L3),IF(IF((INDEX(B1:XFD1,((A2)+(1))+(0)))=("store"),(INDEX(B1:XFD1,((A2)+(1))+(1)))=("L"),"false"),B2,L204),L204))</f>
        <v>#VALUE!</v>
      </c>
      <c r="M204" t="e">
        <f ca="1">IF((A1)=(2),"",IF((201)=(M3),IF(IF((INDEX(B1:XFD1,((A2)+(1))+(0)))=("store"),(INDEX(B1:XFD1,((A2)+(1))+(1)))=("M"),"false"),B2,M204),M204))</f>
        <v>#VALUE!</v>
      </c>
      <c r="N204" t="e">
        <f ca="1">IF((A1)=(2),"",IF((201)=(N3),IF(IF((INDEX(B1:XFD1,((A2)+(1))+(0)))=("store"),(INDEX(B1:XFD1,((A2)+(1))+(1)))=("N"),"false"),B2,N204),N204))</f>
        <v>#VALUE!</v>
      </c>
      <c r="O204" t="e">
        <f ca="1">IF((A1)=(2),"",IF((201)=(O3),IF(IF((INDEX(B1:XFD1,((A2)+(1))+(0)))=("store"),(INDEX(B1:XFD1,((A2)+(1))+(1)))=("O"),"false"),B2,O204),O204))</f>
        <v>#VALUE!</v>
      </c>
      <c r="P204" t="e">
        <f ca="1">IF((A1)=(2),"",IF((201)=(P3),IF(IF((INDEX(B1:XFD1,((A2)+(1))+(0)))=("store"),(INDEX(B1:XFD1,((A2)+(1))+(1)))=("P"),"false"),B2,P204),P204))</f>
        <v>#VALUE!</v>
      </c>
      <c r="Q204" t="e">
        <f ca="1">IF((A1)=(2),"",IF((201)=(Q3),IF(IF((INDEX(B1:XFD1,((A2)+(1))+(0)))=("store"),(INDEX(B1:XFD1,((A2)+(1))+(1)))=("Q"),"false"),B2,Q204),Q204))</f>
        <v>#VALUE!</v>
      </c>
      <c r="R204" t="e">
        <f ca="1">IF((A1)=(2),"",IF((201)=(R3),IF(IF((INDEX(B1:XFD1,((A2)+(1))+(0)))=("store"),(INDEX(B1:XFD1,((A2)+(1))+(1)))=("R"),"false"),B2,R204),R204))</f>
        <v>#VALUE!</v>
      </c>
      <c r="S204" t="e">
        <f ca="1">IF((A1)=(2),"",IF((201)=(S3),IF(IF((INDEX(B1:XFD1,((A2)+(1))+(0)))=("store"),(INDEX(B1:XFD1,((A2)+(1))+(1)))=("S"),"false"),B2,S204),S204))</f>
        <v>#VALUE!</v>
      </c>
      <c r="T204" t="e">
        <f ca="1">IF((A1)=(2),"",IF((201)=(T3),IF(IF((INDEX(B1:XFD1,((A2)+(1))+(0)))=("store"),(INDEX(B1:XFD1,((A2)+(1))+(1)))=("T"),"false"),B2,T204),T204))</f>
        <v>#VALUE!</v>
      </c>
      <c r="U204" t="e">
        <f ca="1">IF((A1)=(2),"",IF((201)=(U3),IF(IF((INDEX(B1:XFD1,((A2)+(1))+(0)))=("store"),(INDEX(B1:XFD1,((A2)+(1))+(1)))=("U"),"false"),B2,U204),U204))</f>
        <v>#VALUE!</v>
      </c>
      <c r="V204" t="e">
        <f ca="1">IF((A1)=(2),"",IF((201)=(V3),IF(IF((INDEX(B1:XFD1,((A2)+(1))+(0)))=("store"),(INDEX(B1:XFD1,((A2)+(1))+(1)))=("V"),"false"),B2,V204),V204))</f>
        <v>#VALUE!</v>
      </c>
      <c r="W204" t="e">
        <f ca="1">IF((A1)=(2),"",IF((201)=(W3),IF(IF((INDEX(B1:XFD1,((A2)+(1))+(0)))=("store"),(INDEX(B1:XFD1,((A2)+(1))+(1)))=("W"),"false"),B2,W204),W204))</f>
        <v>#VALUE!</v>
      </c>
      <c r="X204" t="e">
        <f ca="1">IF((A1)=(2),"",IF((201)=(X3),IF(IF((INDEX(B1:XFD1,((A2)+(1))+(0)))=("store"),(INDEX(B1:XFD1,((A2)+(1))+(1)))=("X"),"false"),B2,X204),X204))</f>
        <v>#VALUE!</v>
      </c>
      <c r="Y204" t="e">
        <f ca="1">IF((A1)=(2),"",IF((201)=(Y3),IF(IF((INDEX(B1:XFD1,((A2)+(1))+(0)))=("store"),(INDEX(B1:XFD1,((A2)+(1))+(1)))=("Y"),"false"),B2,Y204),Y204))</f>
        <v>#VALUE!</v>
      </c>
      <c r="Z204" t="e">
        <f ca="1">IF((A1)=(2),"",IF((201)=(Z3),IF(IF((INDEX(B1:XFD1,((A2)+(1))+(0)))=("store"),(INDEX(B1:XFD1,((A2)+(1))+(1)))=("Z"),"false"),B2,Z204),Z204))</f>
        <v>#VALUE!</v>
      </c>
      <c r="AA204" t="e">
        <f ca="1">IF((A1)=(2),"",IF((201)=(AA3),IF(IF((INDEX(B1:XFD1,((A2)+(1))+(0)))=("store"),(INDEX(B1:XFD1,((A2)+(1))+(1)))=("AA"),"false"),B2,AA204),AA204))</f>
        <v>#VALUE!</v>
      </c>
      <c r="AB204" t="e">
        <f ca="1">IF((A1)=(2),"",IF((201)=(AB3),IF(IF((INDEX(B1:XFD1,((A2)+(1))+(0)))=("store"),(INDEX(B1:XFD1,((A2)+(1))+(1)))=("AB"),"false"),B2,AB204),AB204))</f>
        <v>#VALUE!</v>
      </c>
      <c r="AC204" t="e">
        <f ca="1">IF((A1)=(2),"",IF((201)=(AC3),IF(IF((INDEX(B1:XFD1,((A2)+(1))+(0)))=("store"),(INDEX(B1:XFD1,((A2)+(1))+(1)))=("AC"),"false"),B2,AC204),AC204))</f>
        <v>#VALUE!</v>
      </c>
      <c r="AD204" t="e">
        <f ca="1">IF((A1)=(2),"",IF((201)=(AD3),IF(IF((INDEX(B1:XFD1,((A2)+(1))+(0)))=("store"),(INDEX(B1:XFD1,((A2)+(1))+(1)))=("AD"),"false"),B2,AD204),AD204))</f>
        <v>#VALUE!</v>
      </c>
    </row>
    <row r="205" spans="1:30" x14ac:dyDescent="0.25">
      <c r="A205" t="e">
        <f ca="1">IF((A1)=(2),"",IF((202)=(A3),IF(("call")=(INDEX(B1:XFD1,((A2)+(1))+(0))),(B2)*(2),IF(("goto")=(INDEX(B1:XFD1,((A2)+(1))+(0))),(INDEX(B1:XFD1,((A2)+(1))+(1)))*(2),IF(("gotoiftrue")=(INDEX(B1:XFD1,((A2)+(1))+(0))),IF(B2,(INDEX(B1:XFD1,((A2)+(1))+(1)))*(2),(A205)+(2)),(A205)+(2)))),A205))</f>
        <v>#VALUE!</v>
      </c>
      <c r="B205" t="e">
        <f ca="1">IF((A1)=(2),"",IF((202)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205)+(1)),IF(("add")=(INDEX(B1:XFD1,((A2)+(1))+(0))),(INDEX(B4:B404,(B3)+(1)))+(B205),IF(("equals")=(INDEX(B1:XFD1,((A2)+(1))+(0))),(INDEX(B4:B404,(B3)+(1)))=(B205),IF(("leq")=(INDEX(B1:XFD1,((A2)+(1))+(0))),(INDEX(B4:B404,(B3)+(1)))&lt;=(B205),IF(("greater")=(INDEX(B1:XFD1,((A2)+(1))+(0))),(INDEX(B4:B404,(B3)+(1)))&gt;(B205),IF(("mod")=(INDEX(B1:XFD1,((A2)+(1))+(0))),MOD(INDEX(B4:B404,(B3)+(1)),B205),B205))))))))),B205))</f>
        <v>#VALUE!</v>
      </c>
      <c r="C205" t="e">
        <f ca="1">IF((A1)=(2),1,IF(AND((INDEX(B1:XFD1,((A2)+(1))+(0)))=("writeheap"),(INDEX(B4:B404,(B3)+(1)))=(201)),INDEX(B4:B404,(B3)+(2)),IF((A1)=(2),"",IF((202)=(C3),C205,C205))))</f>
        <v>#VALUE!</v>
      </c>
      <c r="E205" t="e">
        <f ca="1">IF((A1)=(2),"",IF((202)=(E3),IF(("outputline")=(INDEX(B1:XFD1,((A2)+(1))+(0))),B2,E205),E205))</f>
        <v>#VALUE!</v>
      </c>
      <c r="F205" t="e">
        <f ca="1">IF((A1)=(2),"",IF((202)=(F3),IF(IF((INDEX(B1:XFD1,((A2)+(1))+(0)))=("store"),(INDEX(B1:XFD1,((A2)+(1))+(1)))=("F"),"false"),B2,F205),F205))</f>
        <v>#VALUE!</v>
      </c>
      <c r="G205" t="e">
        <f ca="1">IF((A1)=(2),"",IF((202)=(G3),IF(IF((INDEX(B1:XFD1,((A2)+(1))+(0)))=("store"),(INDEX(B1:XFD1,((A2)+(1))+(1)))=("G"),"false"),B2,G205),G205))</f>
        <v>#VALUE!</v>
      </c>
      <c r="H205" t="e">
        <f ca="1">IF((A1)=(2),"",IF((202)=(H3),IF(IF((INDEX(B1:XFD1,((A2)+(1))+(0)))=("store"),(INDEX(B1:XFD1,((A2)+(1))+(1)))=("H"),"false"),B2,H205),H205))</f>
        <v>#VALUE!</v>
      </c>
      <c r="I205" t="e">
        <f ca="1">IF((A1)=(2),"",IF((202)=(I3),IF(IF((INDEX(B1:XFD1,((A2)+(1))+(0)))=("store"),(INDEX(B1:XFD1,((A2)+(1))+(1)))=("I"),"false"),B2,I205),I205))</f>
        <v>#VALUE!</v>
      </c>
      <c r="J205" t="e">
        <f ca="1">IF((A1)=(2),"",IF((202)=(J3),IF(IF((INDEX(B1:XFD1,((A2)+(1))+(0)))=("store"),(INDEX(B1:XFD1,((A2)+(1))+(1)))=("J"),"false"),B2,J205),J205))</f>
        <v>#VALUE!</v>
      </c>
      <c r="K205" t="e">
        <f ca="1">IF((A1)=(2),"",IF((202)=(K3),IF(IF((INDEX(B1:XFD1,((A2)+(1))+(0)))=("store"),(INDEX(B1:XFD1,((A2)+(1))+(1)))=("K"),"false"),B2,K205),K205))</f>
        <v>#VALUE!</v>
      </c>
      <c r="L205" t="e">
        <f ca="1">IF((A1)=(2),"",IF((202)=(L3),IF(IF((INDEX(B1:XFD1,((A2)+(1))+(0)))=("store"),(INDEX(B1:XFD1,((A2)+(1))+(1)))=("L"),"false"),B2,L205),L205))</f>
        <v>#VALUE!</v>
      </c>
      <c r="M205" t="e">
        <f ca="1">IF((A1)=(2),"",IF((202)=(M3),IF(IF((INDEX(B1:XFD1,((A2)+(1))+(0)))=("store"),(INDEX(B1:XFD1,((A2)+(1))+(1)))=("M"),"false"),B2,M205),M205))</f>
        <v>#VALUE!</v>
      </c>
      <c r="N205" t="e">
        <f ca="1">IF((A1)=(2),"",IF((202)=(N3),IF(IF((INDEX(B1:XFD1,((A2)+(1))+(0)))=("store"),(INDEX(B1:XFD1,((A2)+(1))+(1)))=("N"),"false"),B2,N205),N205))</f>
        <v>#VALUE!</v>
      </c>
      <c r="O205" t="e">
        <f ca="1">IF((A1)=(2),"",IF((202)=(O3),IF(IF((INDEX(B1:XFD1,((A2)+(1))+(0)))=("store"),(INDEX(B1:XFD1,((A2)+(1))+(1)))=("O"),"false"),B2,O205),O205))</f>
        <v>#VALUE!</v>
      </c>
      <c r="P205" t="e">
        <f ca="1">IF((A1)=(2),"",IF((202)=(P3),IF(IF((INDEX(B1:XFD1,((A2)+(1))+(0)))=("store"),(INDEX(B1:XFD1,((A2)+(1))+(1)))=("P"),"false"),B2,P205),P205))</f>
        <v>#VALUE!</v>
      </c>
      <c r="Q205" t="e">
        <f ca="1">IF((A1)=(2),"",IF((202)=(Q3),IF(IF((INDEX(B1:XFD1,((A2)+(1))+(0)))=("store"),(INDEX(B1:XFD1,((A2)+(1))+(1)))=("Q"),"false"),B2,Q205),Q205))</f>
        <v>#VALUE!</v>
      </c>
      <c r="R205" t="e">
        <f ca="1">IF((A1)=(2),"",IF((202)=(R3),IF(IF((INDEX(B1:XFD1,((A2)+(1))+(0)))=("store"),(INDEX(B1:XFD1,((A2)+(1))+(1)))=("R"),"false"),B2,R205),R205))</f>
        <v>#VALUE!</v>
      </c>
      <c r="S205" t="e">
        <f ca="1">IF((A1)=(2),"",IF((202)=(S3),IF(IF((INDEX(B1:XFD1,((A2)+(1))+(0)))=("store"),(INDEX(B1:XFD1,((A2)+(1))+(1)))=("S"),"false"),B2,S205),S205))</f>
        <v>#VALUE!</v>
      </c>
      <c r="T205" t="e">
        <f ca="1">IF((A1)=(2),"",IF((202)=(T3),IF(IF((INDEX(B1:XFD1,((A2)+(1))+(0)))=("store"),(INDEX(B1:XFD1,((A2)+(1))+(1)))=("T"),"false"),B2,T205),T205))</f>
        <v>#VALUE!</v>
      </c>
      <c r="U205" t="e">
        <f ca="1">IF((A1)=(2),"",IF((202)=(U3),IF(IF((INDEX(B1:XFD1,((A2)+(1))+(0)))=("store"),(INDEX(B1:XFD1,((A2)+(1))+(1)))=("U"),"false"),B2,U205),U205))</f>
        <v>#VALUE!</v>
      </c>
      <c r="V205" t="e">
        <f ca="1">IF((A1)=(2),"",IF((202)=(V3),IF(IF((INDEX(B1:XFD1,((A2)+(1))+(0)))=("store"),(INDEX(B1:XFD1,((A2)+(1))+(1)))=("V"),"false"),B2,V205),V205))</f>
        <v>#VALUE!</v>
      </c>
      <c r="W205" t="e">
        <f ca="1">IF((A1)=(2),"",IF((202)=(W3),IF(IF((INDEX(B1:XFD1,((A2)+(1))+(0)))=("store"),(INDEX(B1:XFD1,((A2)+(1))+(1)))=("W"),"false"),B2,W205),W205))</f>
        <v>#VALUE!</v>
      </c>
      <c r="X205" t="e">
        <f ca="1">IF((A1)=(2),"",IF((202)=(X3),IF(IF((INDEX(B1:XFD1,((A2)+(1))+(0)))=("store"),(INDEX(B1:XFD1,((A2)+(1))+(1)))=("X"),"false"),B2,X205),X205))</f>
        <v>#VALUE!</v>
      </c>
      <c r="Y205" t="e">
        <f ca="1">IF((A1)=(2),"",IF((202)=(Y3),IF(IF((INDEX(B1:XFD1,((A2)+(1))+(0)))=("store"),(INDEX(B1:XFD1,((A2)+(1))+(1)))=("Y"),"false"),B2,Y205),Y205))</f>
        <v>#VALUE!</v>
      </c>
      <c r="Z205" t="e">
        <f ca="1">IF((A1)=(2),"",IF((202)=(Z3),IF(IF((INDEX(B1:XFD1,((A2)+(1))+(0)))=("store"),(INDEX(B1:XFD1,((A2)+(1))+(1)))=("Z"),"false"),B2,Z205),Z205))</f>
        <v>#VALUE!</v>
      </c>
      <c r="AA205" t="e">
        <f ca="1">IF((A1)=(2),"",IF((202)=(AA3),IF(IF((INDEX(B1:XFD1,((A2)+(1))+(0)))=("store"),(INDEX(B1:XFD1,((A2)+(1))+(1)))=("AA"),"false"),B2,AA205),AA205))</f>
        <v>#VALUE!</v>
      </c>
      <c r="AB205" t="e">
        <f ca="1">IF((A1)=(2),"",IF((202)=(AB3),IF(IF((INDEX(B1:XFD1,((A2)+(1))+(0)))=("store"),(INDEX(B1:XFD1,((A2)+(1))+(1)))=("AB"),"false"),B2,AB205),AB205))</f>
        <v>#VALUE!</v>
      </c>
      <c r="AC205" t="e">
        <f ca="1">IF((A1)=(2),"",IF((202)=(AC3),IF(IF((INDEX(B1:XFD1,((A2)+(1))+(0)))=("store"),(INDEX(B1:XFD1,((A2)+(1))+(1)))=("AC"),"false"),B2,AC205),AC205))</f>
        <v>#VALUE!</v>
      </c>
      <c r="AD205" t="e">
        <f ca="1">IF((A1)=(2),"",IF((202)=(AD3),IF(IF((INDEX(B1:XFD1,((A2)+(1))+(0)))=("store"),(INDEX(B1:XFD1,((A2)+(1))+(1)))=("AD"),"false"),B2,AD205),AD205))</f>
        <v>#VALUE!</v>
      </c>
    </row>
    <row r="206" spans="1:30" x14ac:dyDescent="0.25">
      <c r="A206" t="e">
        <f ca="1">IF((A1)=(2),"",IF((203)=(A3),IF(("call")=(INDEX(B1:XFD1,((A2)+(1))+(0))),(B2)*(2),IF(("goto")=(INDEX(B1:XFD1,((A2)+(1))+(0))),(INDEX(B1:XFD1,((A2)+(1))+(1)))*(2),IF(("gotoiftrue")=(INDEX(B1:XFD1,((A2)+(1))+(0))),IF(B2,(INDEX(B1:XFD1,((A2)+(1))+(1)))*(2),(A206)+(2)),(A206)+(2)))),A206))</f>
        <v>#VALUE!</v>
      </c>
      <c r="B206" t="e">
        <f ca="1">IF((A1)=(2),"",IF((203)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206)+(1)),IF(("add")=(INDEX(B1:XFD1,((A2)+(1))+(0))),(INDEX(B4:B404,(B3)+(1)))+(B206),IF(("equals")=(INDEX(B1:XFD1,((A2)+(1))+(0))),(INDEX(B4:B404,(B3)+(1)))=(B206),IF(("leq")=(INDEX(B1:XFD1,((A2)+(1))+(0))),(INDEX(B4:B404,(B3)+(1)))&lt;=(B206),IF(("greater")=(INDEX(B1:XFD1,((A2)+(1))+(0))),(INDEX(B4:B404,(B3)+(1)))&gt;(B206),IF(("mod")=(INDEX(B1:XFD1,((A2)+(1))+(0))),MOD(INDEX(B4:B404,(B3)+(1)),B206),B206))))))))),B206))</f>
        <v>#VALUE!</v>
      </c>
      <c r="C206" t="e">
        <f ca="1">IF((A1)=(2),1,IF(AND((INDEX(B1:XFD1,((A2)+(1))+(0)))=("writeheap"),(INDEX(B4:B404,(B3)+(1)))=(202)),INDEX(B4:B404,(B3)+(2)),IF((A1)=(2),"",IF((203)=(C3),C206,C206))))</f>
        <v>#VALUE!</v>
      </c>
      <c r="E206" t="e">
        <f ca="1">IF((A1)=(2),"",IF((203)=(E3),IF(("outputline")=(INDEX(B1:XFD1,((A2)+(1))+(0))),B2,E206),E206))</f>
        <v>#VALUE!</v>
      </c>
      <c r="F206" t="e">
        <f ca="1">IF((A1)=(2),"",IF((203)=(F3),IF(IF((INDEX(B1:XFD1,((A2)+(1))+(0)))=("store"),(INDEX(B1:XFD1,((A2)+(1))+(1)))=("F"),"false"),B2,F206),F206))</f>
        <v>#VALUE!</v>
      </c>
      <c r="G206" t="e">
        <f ca="1">IF((A1)=(2),"",IF((203)=(G3),IF(IF((INDEX(B1:XFD1,((A2)+(1))+(0)))=("store"),(INDEX(B1:XFD1,((A2)+(1))+(1)))=("G"),"false"),B2,G206),G206))</f>
        <v>#VALUE!</v>
      </c>
      <c r="H206" t="e">
        <f ca="1">IF((A1)=(2),"",IF((203)=(H3),IF(IF((INDEX(B1:XFD1,((A2)+(1))+(0)))=("store"),(INDEX(B1:XFD1,((A2)+(1))+(1)))=("H"),"false"),B2,H206),H206))</f>
        <v>#VALUE!</v>
      </c>
      <c r="I206" t="e">
        <f ca="1">IF((A1)=(2),"",IF((203)=(I3),IF(IF((INDEX(B1:XFD1,((A2)+(1))+(0)))=("store"),(INDEX(B1:XFD1,((A2)+(1))+(1)))=("I"),"false"),B2,I206),I206))</f>
        <v>#VALUE!</v>
      </c>
      <c r="J206" t="e">
        <f ca="1">IF((A1)=(2),"",IF((203)=(J3),IF(IF((INDEX(B1:XFD1,((A2)+(1))+(0)))=("store"),(INDEX(B1:XFD1,((A2)+(1))+(1)))=("J"),"false"),B2,J206),J206))</f>
        <v>#VALUE!</v>
      </c>
      <c r="K206" t="e">
        <f ca="1">IF((A1)=(2),"",IF((203)=(K3),IF(IF((INDEX(B1:XFD1,((A2)+(1))+(0)))=("store"),(INDEX(B1:XFD1,((A2)+(1))+(1)))=("K"),"false"),B2,K206),K206))</f>
        <v>#VALUE!</v>
      </c>
      <c r="L206" t="e">
        <f ca="1">IF((A1)=(2),"",IF((203)=(L3),IF(IF((INDEX(B1:XFD1,((A2)+(1))+(0)))=("store"),(INDEX(B1:XFD1,((A2)+(1))+(1)))=("L"),"false"),B2,L206),L206))</f>
        <v>#VALUE!</v>
      </c>
      <c r="M206" t="e">
        <f ca="1">IF((A1)=(2),"",IF((203)=(M3),IF(IF((INDEX(B1:XFD1,((A2)+(1))+(0)))=("store"),(INDEX(B1:XFD1,((A2)+(1))+(1)))=("M"),"false"),B2,M206),M206))</f>
        <v>#VALUE!</v>
      </c>
      <c r="N206" t="e">
        <f ca="1">IF((A1)=(2),"",IF((203)=(N3),IF(IF((INDEX(B1:XFD1,((A2)+(1))+(0)))=("store"),(INDEX(B1:XFD1,((A2)+(1))+(1)))=("N"),"false"),B2,N206),N206))</f>
        <v>#VALUE!</v>
      </c>
      <c r="O206" t="e">
        <f ca="1">IF((A1)=(2),"",IF((203)=(O3),IF(IF((INDEX(B1:XFD1,((A2)+(1))+(0)))=("store"),(INDEX(B1:XFD1,((A2)+(1))+(1)))=("O"),"false"),B2,O206),O206))</f>
        <v>#VALUE!</v>
      </c>
      <c r="P206" t="e">
        <f ca="1">IF((A1)=(2),"",IF((203)=(P3),IF(IF((INDEX(B1:XFD1,((A2)+(1))+(0)))=("store"),(INDEX(B1:XFD1,((A2)+(1))+(1)))=("P"),"false"),B2,P206),P206))</f>
        <v>#VALUE!</v>
      </c>
      <c r="Q206" t="e">
        <f ca="1">IF((A1)=(2),"",IF((203)=(Q3),IF(IF((INDEX(B1:XFD1,((A2)+(1))+(0)))=("store"),(INDEX(B1:XFD1,((A2)+(1))+(1)))=("Q"),"false"),B2,Q206),Q206))</f>
        <v>#VALUE!</v>
      </c>
      <c r="R206" t="e">
        <f ca="1">IF((A1)=(2),"",IF((203)=(R3),IF(IF((INDEX(B1:XFD1,((A2)+(1))+(0)))=("store"),(INDEX(B1:XFD1,((A2)+(1))+(1)))=("R"),"false"),B2,R206),R206))</f>
        <v>#VALUE!</v>
      </c>
      <c r="S206" t="e">
        <f ca="1">IF((A1)=(2),"",IF((203)=(S3),IF(IF((INDEX(B1:XFD1,((A2)+(1))+(0)))=("store"),(INDEX(B1:XFD1,((A2)+(1))+(1)))=("S"),"false"),B2,S206),S206))</f>
        <v>#VALUE!</v>
      </c>
      <c r="T206" t="e">
        <f ca="1">IF((A1)=(2),"",IF((203)=(T3),IF(IF((INDEX(B1:XFD1,((A2)+(1))+(0)))=("store"),(INDEX(B1:XFD1,((A2)+(1))+(1)))=("T"),"false"),B2,T206),T206))</f>
        <v>#VALUE!</v>
      </c>
      <c r="U206" t="e">
        <f ca="1">IF((A1)=(2),"",IF((203)=(U3),IF(IF((INDEX(B1:XFD1,((A2)+(1))+(0)))=("store"),(INDEX(B1:XFD1,((A2)+(1))+(1)))=("U"),"false"),B2,U206),U206))</f>
        <v>#VALUE!</v>
      </c>
      <c r="V206" t="e">
        <f ca="1">IF((A1)=(2),"",IF((203)=(V3),IF(IF((INDEX(B1:XFD1,((A2)+(1))+(0)))=("store"),(INDEX(B1:XFD1,((A2)+(1))+(1)))=("V"),"false"),B2,V206),V206))</f>
        <v>#VALUE!</v>
      </c>
      <c r="W206" t="e">
        <f ca="1">IF((A1)=(2),"",IF((203)=(W3),IF(IF((INDEX(B1:XFD1,((A2)+(1))+(0)))=("store"),(INDEX(B1:XFD1,((A2)+(1))+(1)))=("W"),"false"),B2,W206),W206))</f>
        <v>#VALUE!</v>
      </c>
      <c r="X206" t="e">
        <f ca="1">IF((A1)=(2),"",IF((203)=(X3),IF(IF((INDEX(B1:XFD1,((A2)+(1))+(0)))=("store"),(INDEX(B1:XFD1,((A2)+(1))+(1)))=("X"),"false"),B2,X206),X206))</f>
        <v>#VALUE!</v>
      </c>
      <c r="Y206" t="e">
        <f ca="1">IF((A1)=(2),"",IF((203)=(Y3),IF(IF((INDEX(B1:XFD1,((A2)+(1))+(0)))=("store"),(INDEX(B1:XFD1,((A2)+(1))+(1)))=("Y"),"false"),B2,Y206),Y206))</f>
        <v>#VALUE!</v>
      </c>
      <c r="Z206" t="e">
        <f ca="1">IF((A1)=(2),"",IF((203)=(Z3),IF(IF((INDEX(B1:XFD1,((A2)+(1))+(0)))=("store"),(INDEX(B1:XFD1,((A2)+(1))+(1)))=("Z"),"false"),B2,Z206),Z206))</f>
        <v>#VALUE!</v>
      </c>
      <c r="AA206" t="e">
        <f ca="1">IF((A1)=(2),"",IF((203)=(AA3),IF(IF((INDEX(B1:XFD1,((A2)+(1))+(0)))=("store"),(INDEX(B1:XFD1,((A2)+(1))+(1)))=("AA"),"false"),B2,AA206),AA206))</f>
        <v>#VALUE!</v>
      </c>
      <c r="AB206" t="e">
        <f ca="1">IF((A1)=(2),"",IF((203)=(AB3),IF(IF((INDEX(B1:XFD1,((A2)+(1))+(0)))=("store"),(INDEX(B1:XFD1,((A2)+(1))+(1)))=("AB"),"false"),B2,AB206),AB206))</f>
        <v>#VALUE!</v>
      </c>
      <c r="AC206" t="e">
        <f ca="1">IF((A1)=(2),"",IF((203)=(AC3),IF(IF((INDEX(B1:XFD1,((A2)+(1))+(0)))=("store"),(INDEX(B1:XFD1,((A2)+(1))+(1)))=("AC"),"false"),B2,AC206),AC206))</f>
        <v>#VALUE!</v>
      </c>
      <c r="AD206" t="e">
        <f ca="1">IF((A1)=(2),"",IF((203)=(AD3),IF(IF((INDEX(B1:XFD1,((A2)+(1))+(0)))=("store"),(INDEX(B1:XFD1,((A2)+(1))+(1)))=("AD"),"false"),B2,AD206),AD206))</f>
        <v>#VALUE!</v>
      </c>
    </row>
    <row r="207" spans="1:30" x14ac:dyDescent="0.25">
      <c r="A207" t="e">
        <f ca="1">IF((A1)=(2),"",IF((204)=(A3),IF(("call")=(INDEX(B1:XFD1,((A2)+(1))+(0))),(B2)*(2),IF(("goto")=(INDEX(B1:XFD1,((A2)+(1))+(0))),(INDEX(B1:XFD1,((A2)+(1))+(1)))*(2),IF(("gotoiftrue")=(INDEX(B1:XFD1,((A2)+(1))+(0))),IF(B2,(INDEX(B1:XFD1,((A2)+(1))+(1)))*(2),(A207)+(2)),(A207)+(2)))),A207))</f>
        <v>#VALUE!</v>
      </c>
      <c r="B207" t="e">
        <f ca="1">IF((A1)=(2),"",IF((204)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207)+(1)),IF(("add")=(INDEX(B1:XFD1,((A2)+(1))+(0))),(INDEX(B4:B404,(B3)+(1)))+(B207),IF(("equals")=(INDEX(B1:XFD1,((A2)+(1))+(0))),(INDEX(B4:B404,(B3)+(1)))=(B207),IF(("leq")=(INDEX(B1:XFD1,((A2)+(1))+(0))),(INDEX(B4:B404,(B3)+(1)))&lt;=(B207),IF(("greater")=(INDEX(B1:XFD1,((A2)+(1))+(0))),(INDEX(B4:B404,(B3)+(1)))&gt;(B207),IF(("mod")=(INDEX(B1:XFD1,((A2)+(1))+(0))),MOD(INDEX(B4:B404,(B3)+(1)),B207),B207))))))))),B207))</f>
        <v>#VALUE!</v>
      </c>
      <c r="C207" t="e">
        <f ca="1">IF((A1)=(2),1,IF(AND((INDEX(B1:XFD1,((A2)+(1))+(0)))=("writeheap"),(INDEX(B4:B404,(B3)+(1)))=(203)),INDEX(B4:B404,(B3)+(2)),IF((A1)=(2),"",IF((204)=(C3),C207,C207))))</f>
        <v>#VALUE!</v>
      </c>
      <c r="E207" t="e">
        <f ca="1">IF((A1)=(2),"",IF((204)=(E3),IF(("outputline")=(INDEX(B1:XFD1,((A2)+(1))+(0))),B2,E207),E207))</f>
        <v>#VALUE!</v>
      </c>
      <c r="F207" t="e">
        <f ca="1">IF((A1)=(2),"",IF((204)=(F3),IF(IF((INDEX(B1:XFD1,((A2)+(1))+(0)))=("store"),(INDEX(B1:XFD1,((A2)+(1))+(1)))=("F"),"false"),B2,F207),F207))</f>
        <v>#VALUE!</v>
      </c>
      <c r="G207" t="e">
        <f ca="1">IF((A1)=(2),"",IF((204)=(G3),IF(IF((INDEX(B1:XFD1,((A2)+(1))+(0)))=("store"),(INDEX(B1:XFD1,((A2)+(1))+(1)))=("G"),"false"),B2,G207),G207))</f>
        <v>#VALUE!</v>
      </c>
      <c r="H207" t="e">
        <f ca="1">IF((A1)=(2),"",IF((204)=(H3),IF(IF((INDEX(B1:XFD1,((A2)+(1))+(0)))=("store"),(INDEX(B1:XFD1,((A2)+(1))+(1)))=("H"),"false"),B2,H207),H207))</f>
        <v>#VALUE!</v>
      </c>
      <c r="I207" t="e">
        <f ca="1">IF((A1)=(2),"",IF((204)=(I3),IF(IF((INDEX(B1:XFD1,((A2)+(1))+(0)))=("store"),(INDEX(B1:XFD1,((A2)+(1))+(1)))=("I"),"false"),B2,I207),I207))</f>
        <v>#VALUE!</v>
      </c>
      <c r="J207" t="e">
        <f ca="1">IF((A1)=(2),"",IF((204)=(J3),IF(IF((INDEX(B1:XFD1,((A2)+(1))+(0)))=("store"),(INDEX(B1:XFD1,((A2)+(1))+(1)))=("J"),"false"),B2,J207),J207))</f>
        <v>#VALUE!</v>
      </c>
      <c r="K207" t="e">
        <f ca="1">IF((A1)=(2),"",IF((204)=(K3),IF(IF((INDEX(B1:XFD1,((A2)+(1))+(0)))=("store"),(INDEX(B1:XFD1,((A2)+(1))+(1)))=("K"),"false"),B2,K207),K207))</f>
        <v>#VALUE!</v>
      </c>
      <c r="L207" t="e">
        <f ca="1">IF((A1)=(2),"",IF((204)=(L3),IF(IF((INDEX(B1:XFD1,((A2)+(1))+(0)))=("store"),(INDEX(B1:XFD1,((A2)+(1))+(1)))=("L"),"false"),B2,L207),L207))</f>
        <v>#VALUE!</v>
      </c>
      <c r="M207" t="e">
        <f ca="1">IF((A1)=(2),"",IF((204)=(M3),IF(IF((INDEX(B1:XFD1,((A2)+(1))+(0)))=("store"),(INDEX(B1:XFD1,((A2)+(1))+(1)))=("M"),"false"),B2,M207),M207))</f>
        <v>#VALUE!</v>
      </c>
      <c r="N207" t="e">
        <f ca="1">IF((A1)=(2),"",IF((204)=(N3),IF(IF((INDEX(B1:XFD1,((A2)+(1))+(0)))=("store"),(INDEX(B1:XFD1,((A2)+(1))+(1)))=("N"),"false"),B2,N207),N207))</f>
        <v>#VALUE!</v>
      </c>
      <c r="O207" t="e">
        <f ca="1">IF((A1)=(2),"",IF((204)=(O3),IF(IF((INDEX(B1:XFD1,((A2)+(1))+(0)))=("store"),(INDEX(B1:XFD1,((A2)+(1))+(1)))=("O"),"false"),B2,O207),O207))</f>
        <v>#VALUE!</v>
      </c>
      <c r="P207" t="e">
        <f ca="1">IF((A1)=(2),"",IF((204)=(P3),IF(IF((INDEX(B1:XFD1,((A2)+(1))+(0)))=("store"),(INDEX(B1:XFD1,((A2)+(1))+(1)))=("P"),"false"),B2,P207),P207))</f>
        <v>#VALUE!</v>
      </c>
      <c r="Q207" t="e">
        <f ca="1">IF((A1)=(2),"",IF((204)=(Q3),IF(IF((INDEX(B1:XFD1,((A2)+(1))+(0)))=("store"),(INDEX(B1:XFD1,((A2)+(1))+(1)))=("Q"),"false"),B2,Q207),Q207))</f>
        <v>#VALUE!</v>
      </c>
      <c r="R207" t="e">
        <f ca="1">IF((A1)=(2),"",IF((204)=(R3),IF(IF((INDEX(B1:XFD1,((A2)+(1))+(0)))=("store"),(INDEX(B1:XFD1,((A2)+(1))+(1)))=("R"),"false"),B2,R207),R207))</f>
        <v>#VALUE!</v>
      </c>
      <c r="S207" t="e">
        <f ca="1">IF((A1)=(2),"",IF((204)=(S3),IF(IF((INDEX(B1:XFD1,((A2)+(1))+(0)))=("store"),(INDEX(B1:XFD1,((A2)+(1))+(1)))=("S"),"false"),B2,S207),S207))</f>
        <v>#VALUE!</v>
      </c>
      <c r="T207" t="e">
        <f ca="1">IF((A1)=(2),"",IF((204)=(T3),IF(IF((INDEX(B1:XFD1,((A2)+(1))+(0)))=("store"),(INDEX(B1:XFD1,((A2)+(1))+(1)))=("T"),"false"),B2,T207),T207))</f>
        <v>#VALUE!</v>
      </c>
      <c r="U207" t="e">
        <f ca="1">IF((A1)=(2),"",IF((204)=(U3),IF(IF((INDEX(B1:XFD1,((A2)+(1))+(0)))=("store"),(INDEX(B1:XFD1,((A2)+(1))+(1)))=("U"),"false"),B2,U207),U207))</f>
        <v>#VALUE!</v>
      </c>
      <c r="V207" t="e">
        <f ca="1">IF((A1)=(2),"",IF((204)=(V3),IF(IF((INDEX(B1:XFD1,((A2)+(1))+(0)))=("store"),(INDEX(B1:XFD1,((A2)+(1))+(1)))=("V"),"false"),B2,V207),V207))</f>
        <v>#VALUE!</v>
      </c>
      <c r="W207" t="e">
        <f ca="1">IF((A1)=(2),"",IF((204)=(W3),IF(IF((INDEX(B1:XFD1,((A2)+(1))+(0)))=("store"),(INDEX(B1:XFD1,((A2)+(1))+(1)))=("W"),"false"),B2,W207),W207))</f>
        <v>#VALUE!</v>
      </c>
      <c r="X207" t="e">
        <f ca="1">IF((A1)=(2),"",IF((204)=(X3),IF(IF((INDEX(B1:XFD1,((A2)+(1))+(0)))=("store"),(INDEX(B1:XFD1,((A2)+(1))+(1)))=("X"),"false"),B2,X207),X207))</f>
        <v>#VALUE!</v>
      </c>
      <c r="Y207" t="e">
        <f ca="1">IF((A1)=(2),"",IF((204)=(Y3),IF(IF((INDEX(B1:XFD1,((A2)+(1))+(0)))=("store"),(INDEX(B1:XFD1,((A2)+(1))+(1)))=("Y"),"false"),B2,Y207),Y207))</f>
        <v>#VALUE!</v>
      </c>
      <c r="Z207" t="e">
        <f ca="1">IF((A1)=(2),"",IF((204)=(Z3),IF(IF((INDEX(B1:XFD1,((A2)+(1))+(0)))=("store"),(INDEX(B1:XFD1,((A2)+(1))+(1)))=("Z"),"false"),B2,Z207),Z207))</f>
        <v>#VALUE!</v>
      </c>
      <c r="AA207" t="e">
        <f ca="1">IF((A1)=(2),"",IF((204)=(AA3),IF(IF((INDEX(B1:XFD1,((A2)+(1))+(0)))=("store"),(INDEX(B1:XFD1,((A2)+(1))+(1)))=("AA"),"false"),B2,AA207),AA207))</f>
        <v>#VALUE!</v>
      </c>
      <c r="AB207" t="e">
        <f ca="1">IF((A1)=(2),"",IF((204)=(AB3),IF(IF((INDEX(B1:XFD1,((A2)+(1))+(0)))=("store"),(INDEX(B1:XFD1,((A2)+(1))+(1)))=("AB"),"false"),B2,AB207),AB207))</f>
        <v>#VALUE!</v>
      </c>
      <c r="AC207" t="e">
        <f ca="1">IF((A1)=(2),"",IF((204)=(AC3),IF(IF((INDEX(B1:XFD1,((A2)+(1))+(0)))=("store"),(INDEX(B1:XFD1,((A2)+(1))+(1)))=("AC"),"false"),B2,AC207),AC207))</f>
        <v>#VALUE!</v>
      </c>
      <c r="AD207" t="e">
        <f ca="1">IF((A1)=(2),"",IF((204)=(AD3),IF(IF((INDEX(B1:XFD1,((A2)+(1))+(0)))=("store"),(INDEX(B1:XFD1,((A2)+(1))+(1)))=("AD"),"false"),B2,AD207),AD207))</f>
        <v>#VALUE!</v>
      </c>
    </row>
    <row r="208" spans="1:30" x14ac:dyDescent="0.25">
      <c r="A208" t="e">
        <f ca="1">IF((A1)=(2),"",IF((205)=(A3),IF(("call")=(INDEX(B1:XFD1,((A2)+(1))+(0))),(B2)*(2),IF(("goto")=(INDEX(B1:XFD1,((A2)+(1))+(0))),(INDEX(B1:XFD1,((A2)+(1))+(1)))*(2),IF(("gotoiftrue")=(INDEX(B1:XFD1,((A2)+(1))+(0))),IF(B2,(INDEX(B1:XFD1,((A2)+(1))+(1)))*(2),(A208)+(2)),(A208)+(2)))),A208))</f>
        <v>#VALUE!</v>
      </c>
      <c r="B208" t="e">
        <f ca="1">IF((A1)=(2),"",IF((205)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208)+(1)),IF(("add")=(INDEX(B1:XFD1,((A2)+(1))+(0))),(INDEX(B4:B404,(B3)+(1)))+(B208),IF(("equals")=(INDEX(B1:XFD1,((A2)+(1))+(0))),(INDEX(B4:B404,(B3)+(1)))=(B208),IF(("leq")=(INDEX(B1:XFD1,((A2)+(1))+(0))),(INDEX(B4:B404,(B3)+(1)))&lt;=(B208),IF(("greater")=(INDEX(B1:XFD1,((A2)+(1))+(0))),(INDEX(B4:B404,(B3)+(1)))&gt;(B208),IF(("mod")=(INDEX(B1:XFD1,((A2)+(1))+(0))),MOD(INDEX(B4:B404,(B3)+(1)),B208),B208))))))))),B208))</f>
        <v>#VALUE!</v>
      </c>
      <c r="C208" t="e">
        <f ca="1">IF((A1)=(2),1,IF(AND((INDEX(B1:XFD1,((A2)+(1))+(0)))=("writeheap"),(INDEX(B4:B404,(B3)+(1)))=(204)),INDEX(B4:B404,(B3)+(2)),IF((A1)=(2),"",IF((205)=(C3),C208,C208))))</f>
        <v>#VALUE!</v>
      </c>
      <c r="E208" t="e">
        <f ca="1">IF((A1)=(2),"",IF((205)=(E3),IF(("outputline")=(INDEX(B1:XFD1,((A2)+(1))+(0))),B2,E208),E208))</f>
        <v>#VALUE!</v>
      </c>
      <c r="F208" t="e">
        <f ca="1">IF((A1)=(2),"",IF((205)=(F3),IF(IF((INDEX(B1:XFD1,((A2)+(1))+(0)))=("store"),(INDEX(B1:XFD1,((A2)+(1))+(1)))=("F"),"false"),B2,F208),F208))</f>
        <v>#VALUE!</v>
      </c>
      <c r="G208" t="e">
        <f ca="1">IF((A1)=(2),"",IF((205)=(G3),IF(IF((INDEX(B1:XFD1,((A2)+(1))+(0)))=("store"),(INDEX(B1:XFD1,((A2)+(1))+(1)))=("G"),"false"),B2,G208),G208))</f>
        <v>#VALUE!</v>
      </c>
      <c r="H208" t="e">
        <f ca="1">IF((A1)=(2),"",IF((205)=(H3),IF(IF((INDEX(B1:XFD1,((A2)+(1))+(0)))=("store"),(INDEX(B1:XFD1,((A2)+(1))+(1)))=("H"),"false"),B2,H208),H208))</f>
        <v>#VALUE!</v>
      </c>
      <c r="I208" t="e">
        <f ca="1">IF((A1)=(2),"",IF((205)=(I3),IF(IF((INDEX(B1:XFD1,((A2)+(1))+(0)))=("store"),(INDEX(B1:XFD1,((A2)+(1))+(1)))=("I"),"false"),B2,I208),I208))</f>
        <v>#VALUE!</v>
      </c>
      <c r="J208" t="e">
        <f ca="1">IF((A1)=(2),"",IF((205)=(J3),IF(IF((INDEX(B1:XFD1,((A2)+(1))+(0)))=("store"),(INDEX(B1:XFD1,((A2)+(1))+(1)))=("J"),"false"),B2,J208),J208))</f>
        <v>#VALUE!</v>
      </c>
      <c r="K208" t="e">
        <f ca="1">IF((A1)=(2),"",IF((205)=(K3),IF(IF((INDEX(B1:XFD1,((A2)+(1))+(0)))=("store"),(INDEX(B1:XFD1,((A2)+(1))+(1)))=("K"),"false"),B2,K208),K208))</f>
        <v>#VALUE!</v>
      </c>
      <c r="L208" t="e">
        <f ca="1">IF((A1)=(2),"",IF((205)=(L3),IF(IF((INDEX(B1:XFD1,((A2)+(1))+(0)))=("store"),(INDEX(B1:XFD1,((A2)+(1))+(1)))=("L"),"false"),B2,L208),L208))</f>
        <v>#VALUE!</v>
      </c>
      <c r="M208" t="e">
        <f ca="1">IF((A1)=(2),"",IF((205)=(M3),IF(IF((INDEX(B1:XFD1,((A2)+(1))+(0)))=("store"),(INDEX(B1:XFD1,((A2)+(1))+(1)))=("M"),"false"),B2,M208),M208))</f>
        <v>#VALUE!</v>
      </c>
      <c r="N208" t="e">
        <f ca="1">IF((A1)=(2),"",IF((205)=(N3),IF(IF((INDEX(B1:XFD1,((A2)+(1))+(0)))=("store"),(INDEX(B1:XFD1,((A2)+(1))+(1)))=("N"),"false"),B2,N208),N208))</f>
        <v>#VALUE!</v>
      </c>
      <c r="O208" t="e">
        <f ca="1">IF((A1)=(2),"",IF((205)=(O3),IF(IF((INDEX(B1:XFD1,((A2)+(1))+(0)))=("store"),(INDEX(B1:XFD1,((A2)+(1))+(1)))=("O"),"false"),B2,O208),O208))</f>
        <v>#VALUE!</v>
      </c>
      <c r="P208" t="e">
        <f ca="1">IF((A1)=(2),"",IF((205)=(P3),IF(IF((INDEX(B1:XFD1,((A2)+(1))+(0)))=("store"),(INDEX(B1:XFD1,((A2)+(1))+(1)))=("P"),"false"),B2,P208),P208))</f>
        <v>#VALUE!</v>
      </c>
      <c r="Q208" t="e">
        <f ca="1">IF((A1)=(2),"",IF((205)=(Q3),IF(IF((INDEX(B1:XFD1,((A2)+(1))+(0)))=("store"),(INDEX(B1:XFD1,((A2)+(1))+(1)))=("Q"),"false"),B2,Q208),Q208))</f>
        <v>#VALUE!</v>
      </c>
      <c r="R208" t="e">
        <f ca="1">IF((A1)=(2),"",IF((205)=(R3),IF(IF((INDEX(B1:XFD1,((A2)+(1))+(0)))=("store"),(INDEX(B1:XFD1,((A2)+(1))+(1)))=("R"),"false"),B2,R208),R208))</f>
        <v>#VALUE!</v>
      </c>
      <c r="S208" t="e">
        <f ca="1">IF((A1)=(2),"",IF((205)=(S3),IF(IF((INDEX(B1:XFD1,((A2)+(1))+(0)))=("store"),(INDEX(B1:XFD1,((A2)+(1))+(1)))=("S"),"false"),B2,S208),S208))</f>
        <v>#VALUE!</v>
      </c>
      <c r="T208" t="e">
        <f ca="1">IF((A1)=(2),"",IF((205)=(T3),IF(IF((INDEX(B1:XFD1,((A2)+(1))+(0)))=("store"),(INDEX(B1:XFD1,((A2)+(1))+(1)))=("T"),"false"),B2,T208),T208))</f>
        <v>#VALUE!</v>
      </c>
      <c r="U208" t="e">
        <f ca="1">IF((A1)=(2),"",IF((205)=(U3),IF(IF((INDEX(B1:XFD1,((A2)+(1))+(0)))=("store"),(INDEX(B1:XFD1,((A2)+(1))+(1)))=("U"),"false"),B2,U208),U208))</f>
        <v>#VALUE!</v>
      </c>
      <c r="V208" t="e">
        <f ca="1">IF((A1)=(2),"",IF((205)=(V3),IF(IF((INDEX(B1:XFD1,((A2)+(1))+(0)))=("store"),(INDEX(B1:XFD1,((A2)+(1))+(1)))=("V"),"false"),B2,V208),V208))</f>
        <v>#VALUE!</v>
      </c>
      <c r="W208" t="e">
        <f ca="1">IF((A1)=(2),"",IF((205)=(W3),IF(IF((INDEX(B1:XFD1,((A2)+(1))+(0)))=("store"),(INDEX(B1:XFD1,((A2)+(1))+(1)))=("W"),"false"),B2,W208),W208))</f>
        <v>#VALUE!</v>
      </c>
      <c r="X208" t="e">
        <f ca="1">IF((A1)=(2),"",IF((205)=(X3),IF(IF((INDEX(B1:XFD1,((A2)+(1))+(0)))=("store"),(INDEX(B1:XFD1,((A2)+(1))+(1)))=("X"),"false"),B2,X208),X208))</f>
        <v>#VALUE!</v>
      </c>
      <c r="Y208" t="e">
        <f ca="1">IF((A1)=(2),"",IF((205)=(Y3),IF(IF((INDEX(B1:XFD1,((A2)+(1))+(0)))=("store"),(INDEX(B1:XFD1,((A2)+(1))+(1)))=("Y"),"false"),B2,Y208),Y208))</f>
        <v>#VALUE!</v>
      </c>
      <c r="Z208" t="e">
        <f ca="1">IF((A1)=(2),"",IF((205)=(Z3),IF(IF((INDEX(B1:XFD1,((A2)+(1))+(0)))=("store"),(INDEX(B1:XFD1,((A2)+(1))+(1)))=("Z"),"false"),B2,Z208),Z208))</f>
        <v>#VALUE!</v>
      </c>
      <c r="AA208" t="e">
        <f ca="1">IF((A1)=(2),"",IF((205)=(AA3),IF(IF((INDEX(B1:XFD1,((A2)+(1))+(0)))=("store"),(INDEX(B1:XFD1,((A2)+(1))+(1)))=("AA"),"false"),B2,AA208),AA208))</f>
        <v>#VALUE!</v>
      </c>
      <c r="AB208" t="e">
        <f ca="1">IF((A1)=(2),"",IF((205)=(AB3),IF(IF((INDEX(B1:XFD1,((A2)+(1))+(0)))=("store"),(INDEX(B1:XFD1,((A2)+(1))+(1)))=("AB"),"false"),B2,AB208),AB208))</f>
        <v>#VALUE!</v>
      </c>
      <c r="AC208" t="e">
        <f ca="1">IF((A1)=(2),"",IF((205)=(AC3),IF(IF((INDEX(B1:XFD1,((A2)+(1))+(0)))=("store"),(INDEX(B1:XFD1,((A2)+(1))+(1)))=("AC"),"false"),B2,AC208),AC208))</f>
        <v>#VALUE!</v>
      </c>
      <c r="AD208" t="e">
        <f ca="1">IF((A1)=(2),"",IF((205)=(AD3),IF(IF((INDEX(B1:XFD1,((A2)+(1))+(0)))=("store"),(INDEX(B1:XFD1,((A2)+(1))+(1)))=("AD"),"false"),B2,AD208),AD208))</f>
        <v>#VALUE!</v>
      </c>
    </row>
    <row r="209" spans="1:30" x14ac:dyDescent="0.25">
      <c r="A209" t="e">
        <f ca="1">IF((A1)=(2),"",IF((206)=(A3),IF(("call")=(INDEX(B1:XFD1,((A2)+(1))+(0))),(B2)*(2),IF(("goto")=(INDEX(B1:XFD1,((A2)+(1))+(0))),(INDEX(B1:XFD1,((A2)+(1))+(1)))*(2),IF(("gotoiftrue")=(INDEX(B1:XFD1,((A2)+(1))+(0))),IF(B2,(INDEX(B1:XFD1,((A2)+(1))+(1)))*(2),(A209)+(2)),(A209)+(2)))),A209))</f>
        <v>#VALUE!</v>
      </c>
      <c r="B209" t="e">
        <f ca="1">IF((A1)=(2),"",IF((206)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209)+(1)),IF(("add")=(INDEX(B1:XFD1,((A2)+(1))+(0))),(INDEX(B4:B404,(B3)+(1)))+(B209),IF(("equals")=(INDEX(B1:XFD1,((A2)+(1))+(0))),(INDEX(B4:B404,(B3)+(1)))=(B209),IF(("leq")=(INDEX(B1:XFD1,((A2)+(1))+(0))),(INDEX(B4:B404,(B3)+(1)))&lt;=(B209),IF(("greater")=(INDEX(B1:XFD1,((A2)+(1))+(0))),(INDEX(B4:B404,(B3)+(1)))&gt;(B209),IF(("mod")=(INDEX(B1:XFD1,((A2)+(1))+(0))),MOD(INDEX(B4:B404,(B3)+(1)),B209),B209))))))))),B209))</f>
        <v>#VALUE!</v>
      </c>
      <c r="C209" t="e">
        <f ca="1">IF((A1)=(2),1,IF(AND((INDEX(B1:XFD1,((A2)+(1))+(0)))=("writeheap"),(INDEX(B4:B404,(B3)+(1)))=(205)),INDEX(B4:B404,(B3)+(2)),IF((A1)=(2),"",IF((206)=(C3),C209,C209))))</f>
        <v>#VALUE!</v>
      </c>
      <c r="E209" t="e">
        <f ca="1">IF((A1)=(2),"",IF((206)=(E3),IF(("outputline")=(INDEX(B1:XFD1,((A2)+(1))+(0))),B2,E209),E209))</f>
        <v>#VALUE!</v>
      </c>
      <c r="F209" t="e">
        <f ca="1">IF((A1)=(2),"",IF((206)=(F3),IF(IF((INDEX(B1:XFD1,((A2)+(1))+(0)))=("store"),(INDEX(B1:XFD1,((A2)+(1))+(1)))=("F"),"false"),B2,F209),F209))</f>
        <v>#VALUE!</v>
      </c>
      <c r="G209" t="e">
        <f ca="1">IF((A1)=(2),"",IF((206)=(G3),IF(IF((INDEX(B1:XFD1,((A2)+(1))+(0)))=("store"),(INDEX(B1:XFD1,((A2)+(1))+(1)))=("G"),"false"),B2,G209),G209))</f>
        <v>#VALUE!</v>
      </c>
      <c r="H209" t="e">
        <f ca="1">IF((A1)=(2),"",IF((206)=(H3),IF(IF((INDEX(B1:XFD1,((A2)+(1))+(0)))=("store"),(INDEX(B1:XFD1,((A2)+(1))+(1)))=("H"),"false"),B2,H209),H209))</f>
        <v>#VALUE!</v>
      </c>
      <c r="I209" t="e">
        <f ca="1">IF((A1)=(2),"",IF((206)=(I3),IF(IF((INDEX(B1:XFD1,((A2)+(1))+(0)))=("store"),(INDEX(B1:XFD1,((A2)+(1))+(1)))=("I"),"false"),B2,I209),I209))</f>
        <v>#VALUE!</v>
      </c>
      <c r="J209" t="e">
        <f ca="1">IF((A1)=(2),"",IF((206)=(J3),IF(IF((INDEX(B1:XFD1,((A2)+(1))+(0)))=("store"),(INDEX(B1:XFD1,((A2)+(1))+(1)))=("J"),"false"),B2,J209),J209))</f>
        <v>#VALUE!</v>
      </c>
      <c r="K209" t="e">
        <f ca="1">IF((A1)=(2),"",IF((206)=(K3),IF(IF((INDEX(B1:XFD1,((A2)+(1))+(0)))=("store"),(INDEX(B1:XFD1,((A2)+(1))+(1)))=("K"),"false"),B2,K209),K209))</f>
        <v>#VALUE!</v>
      </c>
      <c r="L209" t="e">
        <f ca="1">IF((A1)=(2),"",IF((206)=(L3),IF(IF((INDEX(B1:XFD1,((A2)+(1))+(0)))=("store"),(INDEX(B1:XFD1,((A2)+(1))+(1)))=("L"),"false"),B2,L209),L209))</f>
        <v>#VALUE!</v>
      </c>
      <c r="M209" t="e">
        <f ca="1">IF((A1)=(2),"",IF((206)=(M3),IF(IF((INDEX(B1:XFD1,((A2)+(1))+(0)))=("store"),(INDEX(B1:XFD1,((A2)+(1))+(1)))=("M"),"false"),B2,M209),M209))</f>
        <v>#VALUE!</v>
      </c>
      <c r="N209" t="e">
        <f ca="1">IF((A1)=(2),"",IF((206)=(N3),IF(IF((INDEX(B1:XFD1,((A2)+(1))+(0)))=("store"),(INDEX(B1:XFD1,((A2)+(1))+(1)))=("N"),"false"),B2,N209),N209))</f>
        <v>#VALUE!</v>
      </c>
      <c r="O209" t="e">
        <f ca="1">IF((A1)=(2),"",IF((206)=(O3),IF(IF((INDEX(B1:XFD1,((A2)+(1))+(0)))=("store"),(INDEX(B1:XFD1,((A2)+(1))+(1)))=("O"),"false"),B2,O209),O209))</f>
        <v>#VALUE!</v>
      </c>
      <c r="P209" t="e">
        <f ca="1">IF((A1)=(2),"",IF((206)=(P3),IF(IF((INDEX(B1:XFD1,((A2)+(1))+(0)))=("store"),(INDEX(B1:XFD1,((A2)+(1))+(1)))=("P"),"false"),B2,P209),P209))</f>
        <v>#VALUE!</v>
      </c>
      <c r="Q209" t="e">
        <f ca="1">IF((A1)=(2),"",IF((206)=(Q3),IF(IF((INDEX(B1:XFD1,((A2)+(1))+(0)))=("store"),(INDEX(B1:XFD1,((A2)+(1))+(1)))=("Q"),"false"),B2,Q209),Q209))</f>
        <v>#VALUE!</v>
      </c>
      <c r="R209" t="e">
        <f ca="1">IF((A1)=(2),"",IF((206)=(R3),IF(IF((INDEX(B1:XFD1,((A2)+(1))+(0)))=("store"),(INDEX(B1:XFD1,((A2)+(1))+(1)))=("R"),"false"),B2,R209),R209))</f>
        <v>#VALUE!</v>
      </c>
      <c r="S209" t="e">
        <f ca="1">IF((A1)=(2),"",IF((206)=(S3),IF(IF((INDEX(B1:XFD1,((A2)+(1))+(0)))=("store"),(INDEX(B1:XFD1,((A2)+(1))+(1)))=("S"),"false"),B2,S209),S209))</f>
        <v>#VALUE!</v>
      </c>
      <c r="T209" t="e">
        <f ca="1">IF((A1)=(2),"",IF((206)=(T3),IF(IF((INDEX(B1:XFD1,((A2)+(1))+(0)))=("store"),(INDEX(B1:XFD1,((A2)+(1))+(1)))=("T"),"false"),B2,T209),T209))</f>
        <v>#VALUE!</v>
      </c>
      <c r="U209" t="e">
        <f ca="1">IF((A1)=(2),"",IF((206)=(U3),IF(IF((INDEX(B1:XFD1,((A2)+(1))+(0)))=("store"),(INDEX(B1:XFD1,((A2)+(1))+(1)))=("U"),"false"),B2,U209),U209))</f>
        <v>#VALUE!</v>
      </c>
      <c r="V209" t="e">
        <f ca="1">IF((A1)=(2),"",IF((206)=(V3),IF(IF((INDEX(B1:XFD1,((A2)+(1))+(0)))=("store"),(INDEX(B1:XFD1,((A2)+(1))+(1)))=("V"),"false"),B2,V209),V209))</f>
        <v>#VALUE!</v>
      </c>
      <c r="W209" t="e">
        <f ca="1">IF((A1)=(2),"",IF((206)=(W3),IF(IF((INDEX(B1:XFD1,((A2)+(1))+(0)))=("store"),(INDEX(B1:XFD1,((A2)+(1))+(1)))=("W"),"false"),B2,W209),W209))</f>
        <v>#VALUE!</v>
      </c>
      <c r="X209" t="e">
        <f ca="1">IF((A1)=(2),"",IF((206)=(X3),IF(IF((INDEX(B1:XFD1,((A2)+(1))+(0)))=("store"),(INDEX(B1:XFD1,((A2)+(1))+(1)))=("X"),"false"),B2,X209),X209))</f>
        <v>#VALUE!</v>
      </c>
      <c r="Y209" t="e">
        <f ca="1">IF((A1)=(2),"",IF((206)=(Y3),IF(IF((INDEX(B1:XFD1,((A2)+(1))+(0)))=("store"),(INDEX(B1:XFD1,((A2)+(1))+(1)))=("Y"),"false"),B2,Y209),Y209))</f>
        <v>#VALUE!</v>
      </c>
      <c r="Z209" t="e">
        <f ca="1">IF((A1)=(2),"",IF((206)=(Z3),IF(IF((INDEX(B1:XFD1,((A2)+(1))+(0)))=("store"),(INDEX(B1:XFD1,((A2)+(1))+(1)))=("Z"),"false"),B2,Z209),Z209))</f>
        <v>#VALUE!</v>
      </c>
      <c r="AA209" t="e">
        <f ca="1">IF((A1)=(2),"",IF((206)=(AA3),IF(IF((INDEX(B1:XFD1,((A2)+(1))+(0)))=("store"),(INDEX(B1:XFD1,((A2)+(1))+(1)))=("AA"),"false"),B2,AA209),AA209))</f>
        <v>#VALUE!</v>
      </c>
      <c r="AB209" t="e">
        <f ca="1">IF((A1)=(2),"",IF((206)=(AB3),IF(IF((INDEX(B1:XFD1,((A2)+(1))+(0)))=("store"),(INDEX(B1:XFD1,((A2)+(1))+(1)))=("AB"),"false"),B2,AB209),AB209))</f>
        <v>#VALUE!</v>
      </c>
      <c r="AC209" t="e">
        <f ca="1">IF((A1)=(2),"",IF((206)=(AC3),IF(IF((INDEX(B1:XFD1,((A2)+(1))+(0)))=("store"),(INDEX(B1:XFD1,((A2)+(1))+(1)))=("AC"),"false"),B2,AC209),AC209))</f>
        <v>#VALUE!</v>
      </c>
      <c r="AD209" t="e">
        <f ca="1">IF((A1)=(2),"",IF((206)=(AD3),IF(IF((INDEX(B1:XFD1,((A2)+(1))+(0)))=("store"),(INDEX(B1:XFD1,((A2)+(1))+(1)))=("AD"),"false"),B2,AD209),AD209))</f>
        <v>#VALUE!</v>
      </c>
    </row>
    <row r="210" spans="1:30" x14ac:dyDescent="0.25">
      <c r="A210" t="e">
        <f ca="1">IF((A1)=(2),"",IF((207)=(A3),IF(("call")=(INDEX(B1:XFD1,((A2)+(1))+(0))),(B2)*(2),IF(("goto")=(INDEX(B1:XFD1,((A2)+(1))+(0))),(INDEX(B1:XFD1,((A2)+(1))+(1)))*(2),IF(("gotoiftrue")=(INDEX(B1:XFD1,((A2)+(1))+(0))),IF(B2,(INDEX(B1:XFD1,((A2)+(1))+(1)))*(2),(A210)+(2)),(A210)+(2)))),A210))</f>
        <v>#VALUE!</v>
      </c>
      <c r="B210" t="e">
        <f ca="1">IF((A1)=(2),"",IF((207)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210)+(1)),IF(("add")=(INDEX(B1:XFD1,((A2)+(1))+(0))),(INDEX(B4:B404,(B3)+(1)))+(B210),IF(("equals")=(INDEX(B1:XFD1,((A2)+(1))+(0))),(INDEX(B4:B404,(B3)+(1)))=(B210),IF(("leq")=(INDEX(B1:XFD1,((A2)+(1))+(0))),(INDEX(B4:B404,(B3)+(1)))&lt;=(B210),IF(("greater")=(INDEX(B1:XFD1,((A2)+(1))+(0))),(INDEX(B4:B404,(B3)+(1)))&gt;(B210),IF(("mod")=(INDEX(B1:XFD1,((A2)+(1))+(0))),MOD(INDEX(B4:B404,(B3)+(1)),B210),B210))))))))),B210))</f>
        <v>#VALUE!</v>
      </c>
      <c r="C210" t="e">
        <f ca="1">IF((A1)=(2),1,IF(AND((INDEX(B1:XFD1,((A2)+(1))+(0)))=("writeheap"),(INDEX(B4:B404,(B3)+(1)))=(206)),INDEX(B4:B404,(B3)+(2)),IF((A1)=(2),"",IF((207)=(C3),C210,C210))))</f>
        <v>#VALUE!</v>
      </c>
      <c r="E210" t="e">
        <f ca="1">IF((A1)=(2),"",IF((207)=(E3),IF(("outputline")=(INDEX(B1:XFD1,((A2)+(1))+(0))),B2,E210),E210))</f>
        <v>#VALUE!</v>
      </c>
      <c r="F210" t="e">
        <f ca="1">IF((A1)=(2),"",IF((207)=(F3),IF(IF((INDEX(B1:XFD1,((A2)+(1))+(0)))=("store"),(INDEX(B1:XFD1,((A2)+(1))+(1)))=("F"),"false"),B2,F210),F210))</f>
        <v>#VALUE!</v>
      </c>
      <c r="G210" t="e">
        <f ca="1">IF((A1)=(2),"",IF((207)=(G3),IF(IF((INDEX(B1:XFD1,((A2)+(1))+(0)))=("store"),(INDEX(B1:XFD1,((A2)+(1))+(1)))=("G"),"false"),B2,G210),G210))</f>
        <v>#VALUE!</v>
      </c>
      <c r="H210" t="e">
        <f ca="1">IF((A1)=(2),"",IF((207)=(H3),IF(IF((INDEX(B1:XFD1,((A2)+(1))+(0)))=("store"),(INDEX(B1:XFD1,((A2)+(1))+(1)))=("H"),"false"),B2,H210),H210))</f>
        <v>#VALUE!</v>
      </c>
      <c r="I210" t="e">
        <f ca="1">IF((A1)=(2),"",IF((207)=(I3),IF(IF((INDEX(B1:XFD1,((A2)+(1))+(0)))=("store"),(INDEX(B1:XFD1,((A2)+(1))+(1)))=("I"),"false"),B2,I210),I210))</f>
        <v>#VALUE!</v>
      </c>
      <c r="J210" t="e">
        <f ca="1">IF((A1)=(2),"",IF((207)=(J3),IF(IF((INDEX(B1:XFD1,((A2)+(1))+(0)))=("store"),(INDEX(B1:XFD1,((A2)+(1))+(1)))=("J"),"false"),B2,J210),J210))</f>
        <v>#VALUE!</v>
      </c>
      <c r="K210" t="e">
        <f ca="1">IF((A1)=(2),"",IF((207)=(K3),IF(IF((INDEX(B1:XFD1,((A2)+(1))+(0)))=("store"),(INDEX(B1:XFD1,((A2)+(1))+(1)))=("K"),"false"),B2,K210),K210))</f>
        <v>#VALUE!</v>
      </c>
      <c r="L210" t="e">
        <f ca="1">IF((A1)=(2),"",IF((207)=(L3),IF(IF((INDEX(B1:XFD1,((A2)+(1))+(0)))=("store"),(INDEX(B1:XFD1,((A2)+(1))+(1)))=("L"),"false"),B2,L210),L210))</f>
        <v>#VALUE!</v>
      </c>
      <c r="M210" t="e">
        <f ca="1">IF((A1)=(2),"",IF((207)=(M3),IF(IF((INDEX(B1:XFD1,((A2)+(1))+(0)))=("store"),(INDEX(B1:XFD1,((A2)+(1))+(1)))=("M"),"false"),B2,M210),M210))</f>
        <v>#VALUE!</v>
      </c>
      <c r="N210" t="e">
        <f ca="1">IF((A1)=(2),"",IF((207)=(N3),IF(IF((INDEX(B1:XFD1,((A2)+(1))+(0)))=("store"),(INDEX(B1:XFD1,((A2)+(1))+(1)))=("N"),"false"),B2,N210),N210))</f>
        <v>#VALUE!</v>
      </c>
      <c r="O210" t="e">
        <f ca="1">IF((A1)=(2),"",IF((207)=(O3),IF(IF((INDEX(B1:XFD1,((A2)+(1))+(0)))=("store"),(INDEX(B1:XFD1,((A2)+(1))+(1)))=("O"),"false"),B2,O210),O210))</f>
        <v>#VALUE!</v>
      </c>
      <c r="P210" t="e">
        <f ca="1">IF((A1)=(2),"",IF((207)=(P3),IF(IF((INDEX(B1:XFD1,((A2)+(1))+(0)))=("store"),(INDEX(B1:XFD1,((A2)+(1))+(1)))=("P"),"false"),B2,P210),P210))</f>
        <v>#VALUE!</v>
      </c>
      <c r="Q210" t="e">
        <f ca="1">IF((A1)=(2),"",IF((207)=(Q3),IF(IF((INDEX(B1:XFD1,((A2)+(1))+(0)))=("store"),(INDEX(B1:XFD1,((A2)+(1))+(1)))=("Q"),"false"),B2,Q210),Q210))</f>
        <v>#VALUE!</v>
      </c>
      <c r="R210" t="e">
        <f ca="1">IF((A1)=(2),"",IF((207)=(R3),IF(IF((INDEX(B1:XFD1,((A2)+(1))+(0)))=("store"),(INDEX(B1:XFD1,((A2)+(1))+(1)))=("R"),"false"),B2,R210),R210))</f>
        <v>#VALUE!</v>
      </c>
      <c r="S210" t="e">
        <f ca="1">IF((A1)=(2),"",IF((207)=(S3),IF(IF((INDEX(B1:XFD1,((A2)+(1))+(0)))=("store"),(INDEX(B1:XFD1,((A2)+(1))+(1)))=("S"),"false"),B2,S210),S210))</f>
        <v>#VALUE!</v>
      </c>
      <c r="T210" t="e">
        <f ca="1">IF((A1)=(2),"",IF((207)=(T3),IF(IF((INDEX(B1:XFD1,((A2)+(1))+(0)))=("store"),(INDEX(B1:XFD1,((A2)+(1))+(1)))=("T"),"false"),B2,T210),T210))</f>
        <v>#VALUE!</v>
      </c>
      <c r="U210" t="e">
        <f ca="1">IF((A1)=(2),"",IF((207)=(U3),IF(IF((INDEX(B1:XFD1,((A2)+(1))+(0)))=("store"),(INDEX(B1:XFD1,((A2)+(1))+(1)))=("U"),"false"),B2,U210),U210))</f>
        <v>#VALUE!</v>
      </c>
      <c r="V210" t="e">
        <f ca="1">IF((A1)=(2),"",IF((207)=(V3),IF(IF((INDEX(B1:XFD1,((A2)+(1))+(0)))=("store"),(INDEX(B1:XFD1,((A2)+(1))+(1)))=("V"),"false"),B2,V210),V210))</f>
        <v>#VALUE!</v>
      </c>
      <c r="W210" t="e">
        <f ca="1">IF((A1)=(2),"",IF((207)=(W3),IF(IF((INDEX(B1:XFD1,((A2)+(1))+(0)))=("store"),(INDEX(B1:XFD1,((A2)+(1))+(1)))=("W"),"false"),B2,W210),W210))</f>
        <v>#VALUE!</v>
      </c>
      <c r="X210" t="e">
        <f ca="1">IF((A1)=(2),"",IF((207)=(X3),IF(IF((INDEX(B1:XFD1,((A2)+(1))+(0)))=("store"),(INDEX(B1:XFD1,((A2)+(1))+(1)))=("X"),"false"),B2,X210),X210))</f>
        <v>#VALUE!</v>
      </c>
      <c r="Y210" t="e">
        <f ca="1">IF((A1)=(2),"",IF((207)=(Y3),IF(IF((INDEX(B1:XFD1,((A2)+(1))+(0)))=("store"),(INDEX(B1:XFD1,((A2)+(1))+(1)))=("Y"),"false"),B2,Y210),Y210))</f>
        <v>#VALUE!</v>
      </c>
      <c r="Z210" t="e">
        <f ca="1">IF((A1)=(2),"",IF((207)=(Z3),IF(IF((INDEX(B1:XFD1,((A2)+(1))+(0)))=("store"),(INDEX(B1:XFD1,((A2)+(1))+(1)))=("Z"),"false"),B2,Z210),Z210))</f>
        <v>#VALUE!</v>
      </c>
      <c r="AA210" t="e">
        <f ca="1">IF((A1)=(2),"",IF((207)=(AA3),IF(IF((INDEX(B1:XFD1,((A2)+(1))+(0)))=("store"),(INDEX(B1:XFD1,((A2)+(1))+(1)))=("AA"),"false"),B2,AA210),AA210))</f>
        <v>#VALUE!</v>
      </c>
      <c r="AB210" t="e">
        <f ca="1">IF((A1)=(2),"",IF((207)=(AB3),IF(IF((INDEX(B1:XFD1,((A2)+(1))+(0)))=("store"),(INDEX(B1:XFD1,((A2)+(1))+(1)))=("AB"),"false"),B2,AB210),AB210))</f>
        <v>#VALUE!</v>
      </c>
      <c r="AC210" t="e">
        <f ca="1">IF((A1)=(2),"",IF((207)=(AC3),IF(IF((INDEX(B1:XFD1,((A2)+(1))+(0)))=("store"),(INDEX(B1:XFD1,((A2)+(1))+(1)))=("AC"),"false"),B2,AC210),AC210))</f>
        <v>#VALUE!</v>
      </c>
      <c r="AD210" t="e">
        <f ca="1">IF((A1)=(2),"",IF((207)=(AD3),IF(IF((INDEX(B1:XFD1,((A2)+(1))+(0)))=("store"),(INDEX(B1:XFD1,((A2)+(1))+(1)))=("AD"),"false"),B2,AD210),AD210))</f>
        <v>#VALUE!</v>
      </c>
    </row>
    <row r="211" spans="1:30" x14ac:dyDescent="0.25">
      <c r="A211" t="e">
        <f ca="1">IF((A1)=(2),"",IF((208)=(A3),IF(("call")=(INDEX(B1:XFD1,((A2)+(1))+(0))),(B2)*(2),IF(("goto")=(INDEX(B1:XFD1,((A2)+(1))+(0))),(INDEX(B1:XFD1,((A2)+(1))+(1)))*(2),IF(("gotoiftrue")=(INDEX(B1:XFD1,((A2)+(1))+(0))),IF(B2,(INDEX(B1:XFD1,((A2)+(1))+(1)))*(2),(A211)+(2)),(A211)+(2)))),A211))</f>
        <v>#VALUE!</v>
      </c>
      <c r="B211" t="e">
        <f ca="1">IF((A1)=(2),"",IF((208)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211)+(1)),IF(("add")=(INDEX(B1:XFD1,((A2)+(1))+(0))),(INDEX(B4:B404,(B3)+(1)))+(B211),IF(("equals")=(INDEX(B1:XFD1,((A2)+(1))+(0))),(INDEX(B4:B404,(B3)+(1)))=(B211),IF(("leq")=(INDEX(B1:XFD1,((A2)+(1))+(0))),(INDEX(B4:B404,(B3)+(1)))&lt;=(B211),IF(("greater")=(INDEX(B1:XFD1,((A2)+(1))+(0))),(INDEX(B4:B404,(B3)+(1)))&gt;(B211),IF(("mod")=(INDEX(B1:XFD1,((A2)+(1))+(0))),MOD(INDEX(B4:B404,(B3)+(1)),B211),B211))))))))),B211))</f>
        <v>#VALUE!</v>
      </c>
      <c r="C211" t="e">
        <f ca="1">IF((A1)=(2),1,IF(AND((INDEX(B1:XFD1,((A2)+(1))+(0)))=("writeheap"),(INDEX(B4:B404,(B3)+(1)))=(207)),INDEX(B4:B404,(B3)+(2)),IF((A1)=(2),"",IF((208)=(C3),C211,C211))))</f>
        <v>#VALUE!</v>
      </c>
      <c r="E211" t="e">
        <f ca="1">IF((A1)=(2),"",IF((208)=(E3),IF(("outputline")=(INDEX(B1:XFD1,((A2)+(1))+(0))),B2,E211),E211))</f>
        <v>#VALUE!</v>
      </c>
      <c r="F211" t="e">
        <f ca="1">IF((A1)=(2),"",IF((208)=(F3),IF(IF((INDEX(B1:XFD1,((A2)+(1))+(0)))=("store"),(INDEX(B1:XFD1,((A2)+(1))+(1)))=("F"),"false"),B2,F211),F211))</f>
        <v>#VALUE!</v>
      </c>
      <c r="G211" t="e">
        <f ca="1">IF((A1)=(2),"",IF((208)=(G3),IF(IF((INDEX(B1:XFD1,((A2)+(1))+(0)))=("store"),(INDEX(B1:XFD1,((A2)+(1))+(1)))=("G"),"false"),B2,G211),G211))</f>
        <v>#VALUE!</v>
      </c>
      <c r="H211" t="e">
        <f ca="1">IF((A1)=(2),"",IF((208)=(H3),IF(IF((INDEX(B1:XFD1,((A2)+(1))+(0)))=("store"),(INDEX(B1:XFD1,((A2)+(1))+(1)))=("H"),"false"),B2,H211),H211))</f>
        <v>#VALUE!</v>
      </c>
      <c r="I211" t="e">
        <f ca="1">IF((A1)=(2),"",IF((208)=(I3),IF(IF((INDEX(B1:XFD1,((A2)+(1))+(0)))=("store"),(INDEX(B1:XFD1,((A2)+(1))+(1)))=("I"),"false"),B2,I211),I211))</f>
        <v>#VALUE!</v>
      </c>
      <c r="J211" t="e">
        <f ca="1">IF((A1)=(2),"",IF((208)=(J3),IF(IF((INDEX(B1:XFD1,((A2)+(1))+(0)))=("store"),(INDEX(B1:XFD1,((A2)+(1))+(1)))=("J"),"false"),B2,J211),J211))</f>
        <v>#VALUE!</v>
      </c>
      <c r="K211" t="e">
        <f ca="1">IF((A1)=(2),"",IF((208)=(K3),IF(IF((INDEX(B1:XFD1,((A2)+(1))+(0)))=("store"),(INDEX(B1:XFD1,((A2)+(1))+(1)))=("K"),"false"),B2,K211),K211))</f>
        <v>#VALUE!</v>
      </c>
      <c r="L211" t="e">
        <f ca="1">IF((A1)=(2),"",IF((208)=(L3),IF(IF((INDEX(B1:XFD1,((A2)+(1))+(0)))=("store"),(INDEX(B1:XFD1,((A2)+(1))+(1)))=("L"),"false"),B2,L211),L211))</f>
        <v>#VALUE!</v>
      </c>
      <c r="M211" t="e">
        <f ca="1">IF((A1)=(2),"",IF((208)=(M3),IF(IF((INDEX(B1:XFD1,((A2)+(1))+(0)))=("store"),(INDEX(B1:XFD1,((A2)+(1))+(1)))=("M"),"false"),B2,M211),M211))</f>
        <v>#VALUE!</v>
      </c>
      <c r="N211" t="e">
        <f ca="1">IF((A1)=(2),"",IF((208)=(N3),IF(IF((INDEX(B1:XFD1,((A2)+(1))+(0)))=("store"),(INDEX(B1:XFD1,((A2)+(1))+(1)))=("N"),"false"),B2,N211),N211))</f>
        <v>#VALUE!</v>
      </c>
      <c r="O211" t="e">
        <f ca="1">IF((A1)=(2),"",IF((208)=(O3),IF(IF((INDEX(B1:XFD1,((A2)+(1))+(0)))=("store"),(INDEX(B1:XFD1,((A2)+(1))+(1)))=("O"),"false"),B2,O211),O211))</f>
        <v>#VALUE!</v>
      </c>
      <c r="P211" t="e">
        <f ca="1">IF((A1)=(2),"",IF((208)=(P3),IF(IF((INDEX(B1:XFD1,((A2)+(1))+(0)))=("store"),(INDEX(B1:XFD1,((A2)+(1))+(1)))=("P"),"false"),B2,P211),P211))</f>
        <v>#VALUE!</v>
      </c>
      <c r="Q211" t="e">
        <f ca="1">IF((A1)=(2),"",IF((208)=(Q3),IF(IF((INDEX(B1:XFD1,((A2)+(1))+(0)))=("store"),(INDEX(B1:XFD1,((A2)+(1))+(1)))=("Q"),"false"),B2,Q211),Q211))</f>
        <v>#VALUE!</v>
      </c>
      <c r="R211" t="e">
        <f ca="1">IF((A1)=(2),"",IF((208)=(R3),IF(IF((INDEX(B1:XFD1,((A2)+(1))+(0)))=("store"),(INDEX(B1:XFD1,((A2)+(1))+(1)))=("R"),"false"),B2,R211),R211))</f>
        <v>#VALUE!</v>
      </c>
      <c r="S211" t="e">
        <f ca="1">IF((A1)=(2),"",IF((208)=(S3),IF(IF((INDEX(B1:XFD1,((A2)+(1))+(0)))=("store"),(INDEX(B1:XFD1,((A2)+(1))+(1)))=("S"),"false"),B2,S211),S211))</f>
        <v>#VALUE!</v>
      </c>
      <c r="T211" t="e">
        <f ca="1">IF((A1)=(2),"",IF((208)=(T3),IF(IF((INDEX(B1:XFD1,((A2)+(1))+(0)))=("store"),(INDEX(B1:XFD1,((A2)+(1))+(1)))=("T"),"false"),B2,T211),T211))</f>
        <v>#VALUE!</v>
      </c>
      <c r="U211" t="e">
        <f ca="1">IF((A1)=(2),"",IF((208)=(U3),IF(IF((INDEX(B1:XFD1,((A2)+(1))+(0)))=("store"),(INDEX(B1:XFD1,((A2)+(1))+(1)))=("U"),"false"),B2,U211),U211))</f>
        <v>#VALUE!</v>
      </c>
      <c r="V211" t="e">
        <f ca="1">IF((A1)=(2),"",IF((208)=(V3),IF(IF((INDEX(B1:XFD1,((A2)+(1))+(0)))=("store"),(INDEX(B1:XFD1,((A2)+(1))+(1)))=("V"),"false"),B2,V211),V211))</f>
        <v>#VALUE!</v>
      </c>
      <c r="W211" t="e">
        <f ca="1">IF((A1)=(2),"",IF((208)=(W3),IF(IF((INDEX(B1:XFD1,((A2)+(1))+(0)))=("store"),(INDEX(B1:XFD1,((A2)+(1))+(1)))=("W"),"false"),B2,W211),W211))</f>
        <v>#VALUE!</v>
      </c>
      <c r="X211" t="e">
        <f ca="1">IF((A1)=(2),"",IF((208)=(X3),IF(IF((INDEX(B1:XFD1,((A2)+(1))+(0)))=("store"),(INDEX(B1:XFD1,((A2)+(1))+(1)))=("X"),"false"),B2,X211),X211))</f>
        <v>#VALUE!</v>
      </c>
      <c r="Y211" t="e">
        <f ca="1">IF((A1)=(2),"",IF((208)=(Y3),IF(IF((INDEX(B1:XFD1,((A2)+(1))+(0)))=("store"),(INDEX(B1:XFD1,((A2)+(1))+(1)))=("Y"),"false"),B2,Y211),Y211))</f>
        <v>#VALUE!</v>
      </c>
      <c r="Z211" t="e">
        <f ca="1">IF((A1)=(2),"",IF((208)=(Z3),IF(IF((INDEX(B1:XFD1,((A2)+(1))+(0)))=("store"),(INDEX(B1:XFD1,((A2)+(1))+(1)))=("Z"),"false"),B2,Z211),Z211))</f>
        <v>#VALUE!</v>
      </c>
      <c r="AA211" t="e">
        <f ca="1">IF((A1)=(2),"",IF((208)=(AA3),IF(IF((INDEX(B1:XFD1,((A2)+(1))+(0)))=("store"),(INDEX(B1:XFD1,((A2)+(1))+(1)))=("AA"),"false"),B2,AA211),AA211))</f>
        <v>#VALUE!</v>
      </c>
      <c r="AB211" t="e">
        <f ca="1">IF((A1)=(2),"",IF((208)=(AB3),IF(IF((INDEX(B1:XFD1,((A2)+(1))+(0)))=("store"),(INDEX(B1:XFD1,((A2)+(1))+(1)))=("AB"),"false"),B2,AB211),AB211))</f>
        <v>#VALUE!</v>
      </c>
      <c r="AC211" t="e">
        <f ca="1">IF((A1)=(2),"",IF((208)=(AC3),IF(IF((INDEX(B1:XFD1,((A2)+(1))+(0)))=("store"),(INDEX(B1:XFD1,((A2)+(1))+(1)))=("AC"),"false"),B2,AC211),AC211))</f>
        <v>#VALUE!</v>
      </c>
      <c r="AD211" t="e">
        <f ca="1">IF((A1)=(2),"",IF((208)=(AD3),IF(IF((INDEX(B1:XFD1,((A2)+(1))+(0)))=("store"),(INDEX(B1:XFD1,((A2)+(1))+(1)))=("AD"),"false"),B2,AD211),AD211))</f>
        <v>#VALUE!</v>
      </c>
    </row>
    <row r="212" spans="1:30" x14ac:dyDescent="0.25">
      <c r="A212" t="e">
        <f ca="1">IF((A1)=(2),"",IF((209)=(A3),IF(("call")=(INDEX(B1:XFD1,((A2)+(1))+(0))),(B2)*(2),IF(("goto")=(INDEX(B1:XFD1,((A2)+(1))+(0))),(INDEX(B1:XFD1,((A2)+(1))+(1)))*(2),IF(("gotoiftrue")=(INDEX(B1:XFD1,((A2)+(1))+(0))),IF(B2,(INDEX(B1:XFD1,((A2)+(1))+(1)))*(2),(A212)+(2)),(A212)+(2)))),A212))</f>
        <v>#VALUE!</v>
      </c>
      <c r="B212" t="e">
        <f ca="1">IF((A1)=(2),"",IF((209)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212)+(1)),IF(("add")=(INDEX(B1:XFD1,((A2)+(1))+(0))),(INDEX(B4:B404,(B3)+(1)))+(B212),IF(("equals")=(INDEX(B1:XFD1,((A2)+(1))+(0))),(INDEX(B4:B404,(B3)+(1)))=(B212),IF(("leq")=(INDEX(B1:XFD1,((A2)+(1))+(0))),(INDEX(B4:B404,(B3)+(1)))&lt;=(B212),IF(("greater")=(INDEX(B1:XFD1,((A2)+(1))+(0))),(INDEX(B4:B404,(B3)+(1)))&gt;(B212),IF(("mod")=(INDEX(B1:XFD1,((A2)+(1))+(0))),MOD(INDEX(B4:B404,(B3)+(1)),B212),B212))))))))),B212))</f>
        <v>#VALUE!</v>
      </c>
      <c r="C212" t="e">
        <f ca="1">IF((A1)=(2),1,IF(AND((INDEX(B1:XFD1,((A2)+(1))+(0)))=("writeheap"),(INDEX(B4:B404,(B3)+(1)))=(208)),INDEX(B4:B404,(B3)+(2)),IF((A1)=(2),"",IF((209)=(C3),C212,C212))))</f>
        <v>#VALUE!</v>
      </c>
      <c r="E212" t="e">
        <f ca="1">IF((A1)=(2),"",IF((209)=(E3),IF(("outputline")=(INDEX(B1:XFD1,((A2)+(1))+(0))),B2,E212),E212))</f>
        <v>#VALUE!</v>
      </c>
      <c r="F212" t="e">
        <f ca="1">IF((A1)=(2),"",IF((209)=(F3),IF(IF((INDEX(B1:XFD1,((A2)+(1))+(0)))=("store"),(INDEX(B1:XFD1,((A2)+(1))+(1)))=("F"),"false"),B2,F212),F212))</f>
        <v>#VALUE!</v>
      </c>
      <c r="G212" t="e">
        <f ca="1">IF((A1)=(2),"",IF((209)=(G3),IF(IF((INDEX(B1:XFD1,((A2)+(1))+(0)))=("store"),(INDEX(B1:XFD1,((A2)+(1))+(1)))=("G"),"false"),B2,G212),G212))</f>
        <v>#VALUE!</v>
      </c>
      <c r="H212" t="e">
        <f ca="1">IF((A1)=(2),"",IF((209)=(H3),IF(IF((INDEX(B1:XFD1,((A2)+(1))+(0)))=("store"),(INDEX(B1:XFD1,((A2)+(1))+(1)))=("H"),"false"),B2,H212),H212))</f>
        <v>#VALUE!</v>
      </c>
      <c r="I212" t="e">
        <f ca="1">IF((A1)=(2),"",IF((209)=(I3),IF(IF((INDEX(B1:XFD1,((A2)+(1))+(0)))=("store"),(INDEX(B1:XFD1,((A2)+(1))+(1)))=("I"),"false"),B2,I212),I212))</f>
        <v>#VALUE!</v>
      </c>
      <c r="J212" t="e">
        <f ca="1">IF((A1)=(2),"",IF((209)=(J3),IF(IF((INDEX(B1:XFD1,((A2)+(1))+(0)))=("store"),(INDEX(B1:XFD1,((A2)+(1))+(1)))=("J"),"false"),B2,J212),J212))</f>
        <v>#VALUE!</v>
      </c>
      <c r="K212" t="e">
        <f ca="1">IF((A1)=(2),"",IF((209)=(K3),IF(IF((INDEX(B1:XFD1,((A2)+(1))+(0)))=("store"),(INDEX(B1:XFD1,((A2)+(1))+(1)))=("K"),"false"),B2,K212),K212))</f>
        <v>#VALUE!</v>
      </c>
      <c r="L212" t="e">
        <f ca="1">IF((A1)=(2),"",IF((209)=(L3),IF(IF((INDEX(B1:XFD1,((A2)+(1))+(0)))=("store"),(INDEX(B1:XFD1,((A2)+(1))+(1)))=("L"),"false"),B2,L212),L212))</f>
        <v>#VALUE!</v>
      </c>
      <c r="M212" t="e">
        <f ca="1">IF((A1)=(2),"",IF((209)=(M3),IF(IF((INDEX(B1:XFD1,((A2)+(1))+(0)))=("store"),(INDEX(B1:XFD1,((A2)+(1))+(1)))=("M"),"false"),B2,M212),M212))</f>
        <v>#VALUE!</v>
      </c>
      <c r="N212" t="e">
        <f ca="1">IF((A1)=(2),"",IF((209)=(N3),IF(IF((INDEX(B1:XFD1,((A2)+(1))+(0)))=("store"),(INDEX(B1:XFD1,((A2)+(1))+(1)))=("N"),"false"),B2,N212),N212))</f>
        <v>#VALUE!</v>
      </c>
      <c r="O212" t="e">
        <f ca="1">IF((A1)=(2),"",IF((209)=(O3),IF(IF((INDEX(B1:XFD1,((A2)+(1))+(0)))=("store"),(INDEX(B1:XFD1,((A2)+(1))+(1)))=("O"),"false"),B2,O212),O212))</f>
        <v>#VALUE!</v>
      </c>
      <c r="P212" t="e">
        <f ca="1">IF((A1)=(2),"",IF((209)=(P3),IF(IF((INDEX(B1:XFD1,((A2)+(1))+(0)))=("store"),(INDEX(B1:XFD1,((A2)+(1))+(1)))=("P"),"false"),B2,P212),P212))</f>
        <v>#VALUE!</v>
      </c>
      <c r="Q212" t="e">
        <f ca="1">IF((A1)=(2),"",IF((209)=(Q3),IF(IF((INDEX(B1:XFD1,((A2)+(1))+(0)))=("store"),(INDEX(B1:XFD1,((A2)+(1))+(1)))=("Q"),"false"),B2,Q212),Q212))</f>
        <v>#VALUE!</v>
      </c>
      <c r="R212" t="e">
        <f ca="1">IF((A1)=(2),"",IF((209)=(R3),IF(IF((INDEX(B1:XFD1,((A2)+(1))+(0)))=("store"),(INDEX(B1:XFD1,((A2)+(1))+(1)))=("R"),"false"),B2,R212),R212))</f>
        <v>#VALUE!</v>
      </c>
      <c r="S212" t="e">
        <f ca="1">IF((A1)=(2),"",IF((209)=(S3),IF(IF((INDEX(B1:XFD1,((A2)+(1))+(0)))=("store"),(INDEX(B1:XFD1,((A2)+(1))+(1)))=("S"),"false"),B2,S212),S212))</f>
        <v>#VALUE!</v>
      </c>
      <c r="T212" t="e">
        <f ca="1">IF((A1)=(2),"",IF((209)=(T3),IF(IF((INDEX(B1:XFD1,((A2)+(1))+(0)))=("store"),(INDEX(B1:XFD1,((A2)+(1))+(1)))=("T"),"false"),B2,T212),T212))</f>
        <v>#VALUE!</v>
      </c>
      <c r="U212" t="e">
        <f ca="1">IF((A1)=(2),"",IF((209)=(U3),IF(IF((INDEX(B1:XFD1,((A2)+(1))+(0)))=("store"),(INDEX(B1:XFD1,((A2)+(1))+(1)))=("U"),"false"),B2,U212),U212))</f>
        <v>#VALUE!</v>
      </c>
      <c r="V212" t="e">
        <f ca="1">IF((A1)=(2),"",IF((209)=(V3),IF(IF((INDEX(B1:XFD1,((A2)+(1))+(0)))=("store"),(INDEX(B1:XFD1,((A2)+(1))+(1)))=("V"),"false"),B2,V212),V212))</f>
        <v>#VALUE!</v>
      </c>
      <c r="W212" t="e">
        <f ca="1">IF((A1)=(2),"",IF((209)=(W3),IF(IF((INDEX(B1:XFD1,((A2)+(1))+(0)))=("store"),(INDEX(B1:XFD1,((A2)+(1))+(1)))=("W"),"false"),B2,W212),W212))</f>
        <v>#VALUE!</v>
      </c>
      <c r="X212" t="e">
        <f ca="1">IF((A1)=(2),"",IF((209)=(X3),IF(IF((INDEX(B1:XFD1,((A2)+(1))+(0)))=("store"),(INDEX(B1:XFD1,((A2)+(1))+(1)))=("X"),"false"),B2,X212),X212))</f>
        <v>#VALUE!</v>
      </c>
      <c r="Y212" t="e">
        <f ca="1">IF((A1)=(2),"",IF((209)=(Y3),IF(IF((INDEX(B1:XFD1,((A2)+(1))+(0)))=("store"),(INDEX(B1:XFD1,((A2)+(1))+(1)))=("Y"),"false"),B2,Y212),Y212))</f>
        <v>#VALUE!</v>
      </c>
      <c r="Z212" t="e">
        <f ca="1">IF((A1)=(2),"",IF((209)=(Z3),IF(IF((INDEX(B1:XFD1,((A2)+(1))+(0)))=("store"),(INDEX(B1:XFD1,((A2)+(1))+(1)))=("Z"),"false"),B2,Z212),Z212))</f>
        <v>#VALUE!</v>
      </c>
      <c r="AA212" t="e">
        <f ca="1">IF((A1)=(2),"",IF((209)=(AA3),IF(IF((INDEX(B1:XFD1,((A2)+(1))+(0)))=("store"),(INDEX(B1:XFD1,((A2)+(1))+(1)))=("AA"),"false"),B2,AA212),AA212))</f>
        <v>#VALUE!</v>
      </c>
      <c r="AB212" t="e">
        <f ca="1">IF((A1)=(2),"",IF((209)=(AB3),IF(IF((INDEX(B1:XFD1,((A2)+(1))+(0)))=("store"),(INDEX(B1:XFD1,((A2)+(1))+(1)))=("AB"),"false"),B2,AB212),AB212))</f>
        <v>#VALUE!</v>
      </c>
      <c r="AC212" t="e">
        <f ca="1">IF((A1)=(2),"",IF((209)=(AC3),IF(IF((INDEX(B1:XFD1,((A2)+(1))+(0)))=("store"),(INDEX(B1:XFD1,((A2)+(1))+(1)))=("AC"),"false"),B2,AC212),AC212))</f>
        <v>#VALUE!</v>
      </c>
      <c r="AD212" t="e">
        <f ca="1">IF((A1)=(2),"",IF((209)=(AD3),IF(IF((INDEX(B1:XFD1,((A2)+(1))+(0)))=("store"),(INDEX(B1:XFD1,((A2)+(1))+(1)))=("AD"),"false"),B2,AD212),AD212))</f>
        <v>#VALUE!</v>
      </c>
    </row>
    <row r="213" spans="1:30" x14ac:dyDescent="0.25">
      <c r="A213" t="e">
        <f ca="1">IF((A1)=(2),"",IF((210)=(A3),IF(("call")=(INDEX(B1:XFD1,((A2)+(1))+(0))),(B2)*(2),IF(("goto")=(INDEX(B1:XFD1,((A2)+(1))+(0))),(INDEX(B1:XFD1,((A2)+(1))+(1)))*(2),IF(("gotoiftrue")=(INDEX(B1:XFD1,((A2)+(1))+(0))),IF(B2,(INDEX(B1:XFD1,((A2)+(1))+(1)))*(2),(A213)+(2)),(A213)+(2)))),A213))</f>
        <v>#VALUE!</v>
      </c>
      <c r="B213" t="e">
        <f ca="1">IF((A1)=(2),"",IF((210)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213)+(1)),IF(("add")=(INDEX(B1:XFD1,((A2)+(1))+(0))),(INDEX(B4:B404,(B3)+(1)))+(B213),IF(("equals")=(INDEX(B1:XFD1,((A2)+(1))+(0))),(INDEX(B4:B404,(B3)+(1)))=(B213),IF(("leq")=(INDEX(B1:XFD1,((A2)+(1))+(0))),(INDEX(B4:B404,(B3)+(1)))&lt;=(B213),IF(("greater")=(INDEX(B1:XFD1,((A2)+(1))+(0))),(INDEX(B4:B404,(B3)+(1)))&gt;(B213),IF(("mod")=(INDEX(B1:XFD1,((A2)+(1))+(0))),MOD(INDEX(B4:B404,(B3)+(1)),B213),B213))))))))),B213))</f>
        <v>#VALUE!</v>
      </c>
      <c r="C213" t="e">
        <f ca="1">IF((A1)=(2),1,IF(AND((INDEX(B1:XFD1,((A2)+(1))+(0)))=("writeheap"),(INDEX(B4:B404,(B3)+(1)))=(209)),INDEX(B4:B404,(B3)+(2)),IF((A1)=(2),"",IF((210)=(C3),C213,C213))))</f>
        <v>#VALUE!</v>
      </c>
      <c r="E213" t="e">
        <f ca="1">IF((A1)=(2),"",IF((210)=(E3),IF(("outputline")=(INDEX(B1:XFD1,((A2)+(1))+(0))),B2,E213),E213))</f>
        <v>#VALUE!</v>
      </c>
      <c r="F213" t="e">
        <f ca="1">IF((A1)=(2),"",IF((210)=(F3),IF(IF((INDEX(B1:XFD1,((A2)+(1))+(0)))=("store"),(INDEX(B1:XFD1,((A2)+(1))+(1)))=("F"),"false"),B2,F213),F213))</f>
        <v>#VALUE!</v>
      </c>
      <c r="G213" t="e">
        <f ca="1">IF((A1)=(2),"",IF((210)=(G3),IF(IF((INDEX(B1:XFD1,((A2)+(1))+(0)))=("store"),(INDEX(B1:XFD1,((A2)+(1))+(1)))=("G"),"false"),B2,G213),G213))</f>
        <v>#VALUE!</v>
      </c>
      <c r="H213" t="e">
        <f ca="1">IF((A1)=(2),"",IF((210)=(H3),IF(IF((INDEX(B1:XFD1,((A2)+(1))+(0)))=("store"),(INDEX(B1:XFD1,((A2)+(1))+(1)))=("H"),"false"),B2,H213),H213))</f>
        <v>#VALUE!</v>
      </c>
      <c r="I213" t="e">
        <f ca="1">IF((A1)=(2),"",IF((210)=(I3),IF(IF((INDEX(B1:XFD1,((A2)+(1))+(0)))=("store"),(INDEX(B1:XFD1,((A2)+(1))+(1)))=("I"),"false"),B2,I213),I213))</f>
        <v>#VALUE!</v>
      </c>
      <c r="J213" t="e">
        <f ca="1">IF((A1)=(2),"",IF((210)=(J3),IF(IF((INDEX(B1:XFD1,((A2)+(1))+(0)))=("store"),(INDEX(B1:XFD1,((A2)+(1))+(1)))=("J"),"false"),B2,J213),J213))</f>
        <v>#VALUE!</v>
      </c>
      <c r="K213" t="e">
        <f ca="1">IF((A1)=(2),"",IF((210)=(K3),IF(IF((INDEX(B1:XFD1,((A2)+(1))+(0)))=("store"),(INDEX(B1:XFD1,((A2)+(1))+(1)))=("K"),"false"),B2,K213),K213))</f>
        <v>#VALUE!</v>
      </c>
      <c r="L213" t="e">
        <f ca="1">IF((A1)=(2),"",IF((210)=(L3),IF(IF((INDEX(B1:XFD1,((A2)+(1))+(0)))=("store"),(INDEX(B1:XFD1,((A2)+(1))+(1)))=("L"),"false"),B2,L213),L213))</f>
        <v>#VALUE!</v>
      </c>
      <c r="M213" t="e">
        <f ca="1">IF((A1)=(2),"",IF((210)=(M3),IF(IF((INDEX(B1:XFD1,((A2)+(1))+(0)))=("store"),(INDEX(B1:XFD1,((A2)+(1))+(1)))=("M"),"false"),B2,M213),M213))</f>
        <v>#VALUE!</v>
      </c>
      <c r="N213" t="e">
        <f ca="1">IF((A1)=(2),"",IF((210)=(N3),IF(IF((INDEX(B1:XFD1,((A2)+(1))+(0)))=("store"),(INDEX(B1:XFD1,((A2)+(1))+(1)))=("N"),"false"),B2,N213),N213))</f>
        <v>#VALUE!</v>
      </c>
      <c r="O213" t="e">
        <f ca="1">IF((A1)=(2),"",IF((210)=(O3),IF(IF((INDEX(B1:XFD1,((A2)+(1))+(0)))=("store"),(INDEX(B1:XFD1,((A2)+(1))+(1)))=("O"),"false"),B2,O213),O213))</f>
        <v>#VALUE!</v>
      </c>
      <c r="P213" t="e">
        <f ca="1">IF((A1)=(2),"",IF((210)=(P3),IF(IF((INDEX(B1:XFD1,((A2)+(1))+(0)))=("store"),(INDEX(B1:XFD1,((A2)+(1))+(1)))=("P"),"false"),B2,P213),P213))</f>
        <v>#VALUE!</v>
      </c>
      <c r="Q213" t="e">
        <f ca="1">IF((A1)=(2),"",IF((210)=(Q3),IF(IF((INDEX(B1:XFD1,((A2)+(1))+(0)))=("store"),(INDEX(B1:XFD1,((A2)+(1))+(1)))=("Q"),"false"),B2,Q213),Q213))</f>
        <v>#VALUE!</v>
      </c>
      <c r="R213" t="e">
        <f ca="1">IF((A1)=(2),"",IF((210)=(R3),IF(IF((INDEX(B1:XFD1,((A2)+(1))+(0)))=("store"),(INDEX(B1:XFD1,((A2)+(1))+(1)))=("R"),"false"),B2,R213),R213))</f>
        <v>#VALUE!</v>
      </c>
      <c r="S213" t="e">
        <f ca="1">IF((A1)=(2),"",IF((210)=(S3),IF(IF((INDEX(B1:XFD1,((A2)+(1))+(0)))=("store"),(INDEX(B1:XFD1,((A2)+(1))+(1)))=("S"),"false"),B2,S213),S213))</f>
        <v>#VALUE!</v>
      </c>
      <c r="T213" t="e">
        <f ca="1">IF((A1)=(2),"",IF((210)=(T3),IF(IF((INDEX(B1:XFD1,((A2)+(1))+(0)))=("store"),(INDEX(B1:XFD1,((A2)+(1))+(1)))=("T"),"false"),B2,T213),T213))</f>
        <v>#VALUE!</v>
      </c>
      <c r="U213" t="e">
        <f ca="1">IF((A1)=(2),"",IF((210)=(U3),IF(IF((INDEX(B1:XFD1,((A2)+(1))+(0)))=("store"),(INDEX(B1:XFD1,((A2)+(1))+(1)))=("U"),"false"),B2,U213),U213))</f>
        <v>#VALUE!</v>
      </c>
      <c r="V213" t="e">
        <f ca="1">IF((A1)=(2),"",IF((210)=(V3),IF(IF((INDEX(B1:XFD1,((A2)+(1))+(0)))=("store"),(INDEX(B1:XFD1,((A2)+(1))+(1)))=("V"),"false"),B2,V213),V213))</f>
        <v>#VALUE!</v>
      </c>
      <c r="W213" t="e">
        <f ca="1">IF((A1)=(2),"",IF((210)=(W3),IF(IF((INDEX(B1:XFD1,((A2)+(1))+(0)))=("store"),(INDEX(B1:XFD1,((A2)+(1))+(1)))=("W"),"false"),B2,W213),W213))</f>
        <v>#VALUE!</v>
      </c>
      <c r="X213" t="e">
        <f ca="1">IF((A1)=(2),"",IF((210)=(X3),IF(IF((INDEX(B1:XFD1,((A2)+(1))+(0)))=("store"),(INDEX(B1:XFD1,((A2)+(1))+(1)))=("X"),"false"),B2,X213),X213))</f>
        <v>#VALUE!</v>
      </c>
      <c r="Y213" t="e">
        <f ca="1">IF((A1)=(2),"",IF((210)=(Y3),IF(IF((INDEX(B1:XFD1,((A2)+(1))+(0)))=("store"),(INDEX(B1:XFD1,((A2)+(1))+(1)))=("Y"),"false"),B2,Y213),Y213))</f>
        <v>#VALUE!</v>
      </c>
      <c r="Z213" t="e">
        <f ca="1">IF((A1)=(2),"",IF((210)=(Z3),IF(IF((INDEX(B1:XFD1,((A2)+(1))+(0)))=("store"),(INDEX(B1:XFD1,((A2)+(1))+(1)))=("Z"),"false"),B2,Z213),Z213))</f>
        <v>#VALUE!</v>
      </c>
      <c r="AA213" t="e">
        <f ca="1">IF((A1)=(2),"",IF((210)=(AA3),IF(IF((INDEX(B1:XFD1,((A2)+(1))+(0)))=("store"),(INDEX(B1:XFD1,((A2)+(1))+(1)))=("AA"),"false"),B2,AA213),AA213))</f>
        <v>#VALUE!</v>
      </c>
      <c r="AB213" t="e">
        <f ca="1">IF((A1)=(2),"",IF((210)=(AB3),IF(IF((INDEX(B1:XFD1,((A2)+(1))+(0)))=("store"),(INDEX(B1:XFD1,((A2)+(1))+(1)))=("AB"),"false"),B2,AB213),AB213))</f>
        <v>#VALUE!</v>
      </c>
      <c r="AC213" t="e">
        <f ca="1">IF((A1)=(2),"",IF((210)=(AC3),IF(IF((INDEX(B1:XFD1,((A2)+(1))+(0)))=("store"),(INDEX(B1:XFD1,((A2)+(1))+(1)))=("AC"),"false"),B2,AC213),AC213))</f>
        <v>#VALUE!</v>
      </c>
      <c r="AD213" t="e">
        <f ca="1">IF((A1)=(2),"",IF((210)=(AD3),IF(IF((INDEX(B1:XFD1,((A2)+(1))+(0)))=("store"),(INDEX(B1:XFD1,((A2)+(1))+(1)))=("AD"),"false"),B2,AD213),AD213))</f>
        <v>#VALUE!</v>
      </c>
    </row>
    <row r="214" spans="1:30" x14ac:dyDescent="0.25">
      <c r="A214" t="e">
        <f ca="1">IF((A1)=(2),"",IF((211)=(A3),IF(("call")=(INDEX(B1:XFD1,((A2)+(1))+(0))),(B2)*(2),IF(("goto")=(INDEX(B1:XFD1,((A2)+(1))+(0))),(INDEX(B1:XFD1,((A2)+(1))+(1)))*(2),IF(("gotoiftrue")=(INDEX(B1:XFD1,((A2)+(1))+(0))),IF(B2,(INDEX(B1:XFD1,((A2)+(1))+(1)))*(2),(A214)+(2)),(A214)+(2)))),A214))</f>
        <v>#VALUE!</v>
      </c>
      <c r="B214" t="e">
        <f ca="1">IF((A1)=(2),"",IF((211)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214)+(1)),IF(("add")=(INDEX(B1:XFD1,((A2)+(1))+(0))),(INDEX(B4:B404,(B3)+(1)))+(B214),IF(("equals")=(INDEX(B1:XFD1,((A2)+(1))+(0))),(INDEX(B4:B404,(B3)+(1)))=(B214),IF(("leq")=(INDEX(B1:XFD1,((A2)+(1))+(0))),(INDEX(B4:B404,(B3)+(1)))&lt;=(B214),IF(("greater")=(INDEX(B1:XFD1,((A2)+(1))+(0))),(INDEX(B4:B404,(B3)+(1)))&gt;(B214),IF(("mod")=(INDEX(B1:XFD1,((A2)+(1))+(0))),MOD(INDEX(B4:B404,(B3)+(1)),B214),B214))))))))),B214))</f>
        <v>#VALUE!</v>
      </c>
      <c r="C214" t="e">
        <f ca="1">IF((A1)=(2),1,IF(AND((INDEX(B1:XFD1,((A2)+(1))+(0)))=("writeheap"),(INDEX(B4:B404,(B3)+(1)))=(210)),INDEX(B4:B404,(B3)+(2)),IF((A1)=(2),"",IF((211)=(C3),C214,C214))))</f>
        <v>#VALUE!</v>
      </c>
      <c r="E214" t="e">
        <f ca="1">IF((A1)=(2),"",IF((211)=(E3),IF(("outputline")=(INDEX(B1:XFD1,((A2)+(1))+(0))),B2,E214),E214))</f>
        <v>#VALUE!</v>
      </c>
      <c r="F214" t="e">
        <f ca="1">IF((A1)=(2),"",IF((211)=(F3),IF(IF((INDEX(B1:XFD1,((A2)+(1))+(0)))=("store"),(INDEX(B1:XFD1,((A2)+(1))+(1)))=("F"),"false"),B2,F214),F214))</f>
        <v>#VALUE!</v>
      </c>
      <c r="G214" t="e">
        <f ca="1">IF((A1)=(2),"",IF((211)=(G3),IF(IF((INDEX(B1:XFD1,((A2)+(1))+(0)))=("store"),(INDEX(B1:XFD1,((A2)+(1))+(1)))=("G"),"false"),B2,G214),G214))</f>
        <v>#VALUE!</v>
      </c>
      <c r="H214" t="e">
        <f ca="1">IF((A1)=(2),"",IF((211)=(H3),IF(IF((INDEX(B1:XFD1,((A2)+(1))+(0)))=("store"),(INDEX(B1:XFD1,((A2)+(1))+(1)))=("H"),"false"),B2,H214),H214))</f>
        <v>#VALUE!</v>
      </c>
      <c r="I214" t="e">
        <f ca="1">IF((A1)=(2),"",IF((211)=(I3),IF(IF((INDEX(B1:XFD1,((A2)+(1))+(0)))=("store"),(INDEX(B1:XFD1,((A2)+(1))+(1)))=("I"),"false"),B2,I214),I214))</f>
        <v>#VALUE!</v>
      </c>
      <c r="J214" t="e">
        <f ca="1">IF((A1)=(2),"",IF((211)=(J3),IF(IF((INDEX(B1:XFD1,((A2)+(1))+(0)))=("store"),(INDEX(B1:XFD1,((A2)+(1))+(1)))=("J"),"false"),B2,J214),J214))</f>
        <v>#VALUE!</v>
      </c>
      <c r="K214" t="e">
        <f ca="1">IF((A1)=(2),"",IF((211)=(K3),IF(IF((INDEX(B1:XFD1,((A2)+(1))+(0)))=("store"),(INDEX(B1:XFD1,((A2)+(1))+(1)))=("K"),"false"),B2,K214),K214))</f>
        <v>#VALUE!</v>
      </c>
      <c r="L214" t="e">
        <f ca="1">IF((A1)=(2),"",IF((211)=(L3),IF(IF((INDEX(B1:XFD1,((A2)+(1))+(0)))=("store"),(INDEX(B1:XFD1,((A2)+(1))+(1)))=("L"),"false"),B2,L214),L214))</f>
        <v>#VALUE!</v>
      </c>
      <c r="M214" t="e">
        <f ca="1">IF((A1)=(2),"",IF((211)=(M3),IF(IF((INDEX(B1:XFD1,((A2)+(1))+(0)))=("store"),(INDEX(B1:XFD1,((A2)+(1))+(1)))=("M"),"false"),B2,M214),M214))</f>
        <v>#VALUE!</v>
      </c>
      <c r="N214" t="e">
        <f ca="1">IF((A1)=(2),"",IF((211)=(N3),IF(IF((INDEX(B1:XFD1,((A2)+(1))+(0)))=("store"),(INDEX(B1:XFD1,((A2)+(1))+(1)))=("N"),"false"),B2,N214),N214))</f>
        <v>#VALUE!</v>
      </c>
      <c r="O214" t="e">
        <f ca="1">IF((A1)=(2),"",IF((211)=(O3),IF(IF((INDEX(B1:XFD1,((A2)+(1))+(0)))=("store"),(INDEX(B1:XFD1,((A2)+(1))+(1)))=("O"),"false"),B2,O214),O214))</f>
        <v>#VALUE!</v>
      </c>
      <c r="P214" t="e">
        <f ca="1">IF((A1)=(2),"",IF((211)=(P3),IF(IF((INDEX(B1:XFD1,((A2)+(1))+(0)))=("store"),(INDEX(B1:XFD1,((A2)+(1))+(1)))=("P"),"false"),B2,P214),P214))</f>
        <v>#VALUE!</v>
      </c>
      <c r="Q214" t="e">
        <f ca="1">IF((A1)=(2),"",IF((211)=(Q3),IF(IF((INDEX(B1:XFD1,((A2)+(1))+(0)))=("store"),(INDEX(B1:XFD1,((A2)+(1))+(1)))=("Q"),"false"),B2,Q214),Q214))</f>
        <v>#VALUE!</v>
      </c>
      <c r="R214" t="e">
        <f ca="1">IF((A1)=(2),"",IF((211)=(R3),IF(IF((INDEX(B1:XFD1,((A2)+(1))+(0)))=("store"),(INDEX(B1:XFD1,((A2)+(1))+(1)))=("R"),"false"),B2,R214),R214))</f>
        <v>#VALUE!</v>
      </c>
      <c r="S214" t="e">
        <f ca="1">IF((A1)=(2),"",IF((211)=(S3),IF(IF((INDEX(B1:XFD1,((A2)+(1))+(0)))=("store"),(INDEX(B1:XFD1,((A2)+(1))+(1)))=("S"),"false"),B2,S214),S214))</f>
        <v>#VALUE!</v>
      </c>
      <c r="T214" t="e">
        <f ca="1">IF((A1)=(2),"",IF((211)=(T3),IF(IF((INDEX(B1:XFD1,((A2)+(1))+(0)))=("store"),(INDEX(B1:XFD1,((A2)+(1))+(1)))=("T"),"false"),B2,T214),T214))</f>
        <v>#VALUE!</v>
      </c>
      <c r="U214" t="e">
        <f ca="1">IF((A1)=(2),"",IF((211)=(U3),IF(IF((INDEX(B1:XFD1,((A2)+(1))+(0)))=("store"),(INDEX(B1:XFD1,((A2)+(1))+(1)))=("U"),"false"),B2,U214),U214))</f>
        <v>#VALUE!</v>
      </c>
      <c r="V214" t="e">
        <f ca="1">IF((A1)=(2),"",IF((211)=(V3),IF(IF((INDEX(B1:XFD1,((A2)+(1))+(0)))=("store"),(INDEX(B1:XFD1,((A2)+(1))+(1)))=("V"),"false"),B2,V214),V214))</f>
        <v>#VALUE!</v>
      </c>
      <c r="W214" t="e">
        <f ca="1">IF((A1)=(2),"",IF((211)=(W3),IF(IF((INDEX(B1:XFD1,((A2)+(1))+(0)))=("store"),(INDEX(B1:XFD1,((A2)+(1))+(1)))=("W"),"false"),B2,W214),W214))</f>
        <v>#VALUE!</v>
      </c>
      <c r="X214" t="e">
        <f ca="1">IF((A1)=(2),"",IF((211)=(X3),IF(IF((INDEX(B1:XFD1,((A2)+(1))+(0)))=("store"),(INDEX(B1:XFD1,((A2)+(1))+(1)))=("X"),"false"),B2,X214),X214))</f>
        <v>#VALUE!</v>
      </c>
      <c r="Y214" t="e">
        <f ca="1">IF((A1)=(2),"",IF((211)=(Y3),IF(IF((INDEX(B1:XFD1,((A2)+(1))+(0)))=("store"),(INDEX(B1:XFD1,((A2)+(1))+(1)))=("Y"),"false"),B2,Y214),Y214))</f>
        <v>#VALUE!</v>
      </c>
      <c r="Z214" t="e">
        <f ca="1">IF((A1)=(2),"",IF((211)=(Z3),IF(IF((INDEX(B1:XFD1,((A2)+(1))+(0)))=("store"),(INDEX(B1:XFD1,((A2)+(1))+(1)))=("Z"),"false"),B2,Z214),Z214))</f>
        <v>#VALUE!</v>
      </c>
      <c r="AA214" t="e">
        <f ca="1">IF((A1)=(2),"",IF((211)=(AA3),IF(IF((INDEX(B1:XFD1,((A2)+(1))+(0)))=("store"),(INDEX(B1:XFD1,((A2)+(1))+(1)))=("AA"),"false"),B2,AA214),AA214))</f>
        <v>#VALUE!</v>
      </c>
      <c r="AB214" t="e">
        <f ca="1">IF((A1)=(2),"",IF((211)=(AB3),IF(IF((INDEX(B1:XFD1,((A2)+(1))+(0)))=("store"),(INDEX(B1:XFD1,((A2)+(1))+(1)))=("AB"),"false"),B2,AB214),AB214))</f>
        <v>#VALUE!</v>
      </c>
      <c r="AC214" t="e">
        <f ca="1">IF((A1)=(2),"",IF((211)=(AC3),IF(IF((INDEX(B1:XFD1,((A2)+(1))+(0)))=("store"),(INDEX(B1:XFD1,((A2)+(1))+(1)))=("AC"),"false"),B2,AC214),AC214))</f>
        <v>#VALUE!</v>
      </c>
      <c r="AD214" t="e">
        <f ca="1">IF((A1)=(2),"",IF((211)=(AD3),IF(IF((INDEX(B1:XFD1,((A2)+(1))+(0)))=("store"),(INDEX(B1:XFD1,((A2)+(1))+(1)))=("AD"),"false"),B2,AD214),AD214))</f>
        <v>#VALUE!</v>
      </c>
    </row>
    <row r="215" spans="1:30" x14ac:dyDescent="0.25">
      <c r="A215" t="e">
        <f ca="1">IF((A1)=(2),"",IF((212)=(A3),IF(("call")=(INDEX(B1:XFD1,((A2)+(1))+(0))),(B2)*(2),IF(("goto")=(INDEX(B1:XFD1,((A2)+(1))+(0))),(INDEX(B1:XFD1,((A2)+(1))+(1)))*(2),IF(("gotoiftrue")=(INDEX(B1:XFD1,((A2)+(1))+(0))),IF(B2,(INDEX(B1:XFD1,((A2)+(1))+(1)))*(2),(A215)+(2)),(A215)+(2)))),A215))</f>
        <v>#VALUE!</v>
      </c>
      <c r="B215" t="e">
        <f ca="1">IF((A1)=(2),"",IF((212)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215)+(1)),IF(("add")=(INDEX(B1:XFD1,((A2)+(1))+(0))),(INDEX(B4:B404,(B3)+(1)))+(B215),IF(("equals")=(INDEX(B1:XFD1,((A2)+(1))+(0))),(INDEX(B4:B404,(B3)+(1)))=(B215),IF(("leq")=(INDEX(B1:XFD1,((A2)+(1))+(0))),(INDEX(B4:B404,(B3)+(1)))&lt;=(B215),IF(("greater")=(INDEX(B1:XFD1,((A2)+(1))+(0))),(INDEX(B4:B404,(B3)+(1)))&gt;(B215),IF(("mod")=(INDEX(B1:XFD1,((A2)+(1))+(0))),MOD(INDEX(B4:B404,(B3)+(1)),B215),B215))))))))),B215))</f>
        <v>#VALUE!</v>
      </c>
      <c r="C215" t="e">
        <f ca="1">IF((A1)=(2),1,IF(AND((INDEX(B1:XFD1,((A2)+(1))+(0)))=("writeheap"),(INDEX(B4:B404,(B3)+(1)))=(211)),INDEX(B4:B404,(B3)+(2)),IF((A1)=(2),"",IF((212)=(C3),C215,C215))))</f>
        <v>#VALUE!</v>
      </c>
      <c r="E215" t="e">
        <f ca="1">IF((A1)=(2),"",IF((212)=(E3),IF(("outputline")=(INDEX(B1:XFD1,((A2)+(1))+(0))),B2,E215),E215))</f>
        <v>#VALUE!</v>
      </c>
      <c r="F215" t="e">
        <f ca="1">IF((A1)=(2),"",IF((212)=(F3),IF(IF((INDEX(B1:XFD1,((A2)+(1))+(0)))=("store"),(INDEX(B1:XFD1,((A2)+(1))+(1)))=("F"),"false"),B2,F215),F215))</f>
        <v>#VALUE!</v>
      </c>
      <c r="G215" t="e">
        <f ca="1">IF((A1)=(2),"",IF((212)=(G3),IF(IF((INDEX(B1:XFD1,((A2)+(1))+(0)))=("store"),(INDEX(B1:XFD1,((A2)+(1))+(1)))=("G"),"false"),B2,G215),G215))</f>
        <v>#VALUE!</v>
      </c>
      <c r="H215" t="e">
        <f ca="1">IF((A1)=(2),"",IF((212)=(H3),IF(IF((INDEX(B1:XFD1,((A2)+(1))+(0)))=("store"),(INDEX(B1:XFD1,((A2)+(1))+(1)))=("H"),"false"),B2,H215),H215))</f>
        <v>#VALUE!</v>
      </c>
      <c r="I215" t="e">
        <f ca="1">IF((A1)=(2),"",IF((212)=(I3),IF(IF((INDEX(B1:XFD1,((A2)+(1))+(0)))=("store"),(INDEX(B1:XFD1,((A2)+(1))+(1)))=("I"),"false"),B2,I215),I215))</f>
        <v>#VALUE!</v>
      </c>
      <c r="J215" t="e">
        <f ca="1">IF((A1)=(2),"",IF((212)=(J3),IF(IF((INDEX(B1:XFD1,((A2)+(1))+(0)))=("store"),(INDEX(B1:XFD1,((A2)+(1))+(1)))=("J"),"false"),B2,J215),J215))</f>
        <v>#VALUE!</v>
      </c>
      <c r="K215" t="e">
        <f ca="1">IF((A1)=(2),"",IF((212)=(K3),IF(IF((INDEX(B1:XFD1,((A2)+(1))+(0)))=("store"),(INDEX(B1:XFD1,((A2)+(1))+(1)))=("K"),"false"),B2,K215),K215))</f>
        <v>#VALUE!</v>
      </c>
      <c r="L215" t="e">
        <f ca="1">IF((A1)=(2),"",IF((212)=(L3),IF(IF((INDEX(B1:XFD1,((A2)+(1))+(0)))=("store"),(INDEX(B1:XFD1,((A2)+(1))+(1)))=("L"),"false"),B2,L215),L215))</f>
        <v>#VALUE!</v>
      </c>
      <c r="M215" t="e">
        <f ca="1">IF((A1)=(2),"",IF((212)=(M3),IF(IF((INDEX(B1:XFD1,((A2)+(1))+(0)))=("store"),(INDEX(B1:XFD1,((A2)+(1))+(1)))=("M"),"false"),B2,M215),M215))</f>
        <v>#VALUE!</v>
      </c>
      <c r="N215" t="e">
        <f ca="1">IF((A1)=(2),"",IF((212)=(N3),IF(IF((INDEX(B1:XFD1,((A2)+(1))+(0)))=("store"),(INDEX(B1:XFD1,((A2)+(1))+(1)))=("N"),"false"),B2,N215),N215))</f>
        <v>#VALUE!</v>
      </c>
      <c r="O215" t="e">
        <f ca="1">IF((A1)=(2),"",IF((212)=(O3),IF(IF((INDEX(B1:XFD1,((A2)+(1))+(0)))=("store"),(INDEX(B1:XFD1,((A2)+(1))+(1)))=("O"),"false"),B2,O215),O215))</f>
        <v>#VALUE!</v>
      </c>
      <c r="P215" t="e">
        <f ca="1">IF((A1)=(2),"",IF((212)=(P3),IF(IF((INDEX(B1:XFD1,((A2)+(1))+(0)))=("store"),(INDEX(B1:XFD1,((A2)+(1))+(1)))=("P"),"false"),B2,P215),P215))</f>
        <v>#VALUE!</v>
      </c>
      <c r="Q215" t="e">
        <f ca="1">IF((A1)=(2),"",IF((212)=(Q3),IF(IF((INDEX(B1:XFD1,((A2)+(1))+(0)))=("store"),(INDEX(B1:XFD1,((A2)+(1))+(1)))=("Q"),"false"),B2,Q215),Q215))</f>
        <v>#VALUE!</v>
      </c>
      <c r="R215" t="e">
        <f ca="1">IF((A1)=(2),"",IF((212)=(R3),IF(IF((INDEX(B1:XFD1,((A2)+(1))+(0)))=("store"),(INDEX(B1:XFD1,((A2)+(1))+(1)))=("R"),"false"),B2,R215),R215))</f>
        <v>#VALUE!</v>
      </c>
      <c r="S215" t="e">
        <f ca="1">IF((A1)=(2),"",IF((212)=(S3),IF(IF((INDEX(B1:XFD1,((A2)+(1))+(0)))=("store"),(INDEX(B1:XFD1,((A2)+(1))+(1)))=("S"),"false"),B2,S215),S215))</f>
        <v>#VALUE!</v>
      </c>
      <c r="T215" t="e">
        <f ca="1">IF((A1)=(2),"",IF((212)=(T3),IF(IF((INDEX(B1:XFD1,((A2)+(1))+(0)))=("store"),(INDEX(B1:XFD1,((A2)+(1))+(1)))=("T"),"false"),B2,T215),T215))</f>
        <v>#VALUE!</v>
      </c>
      <c r="U215" t="e">
        <f ca="1">IF((A1)=(2),"",IF((212)=(U3),IF(IF((INDEX(B1:XFD1,((A2)+(1))+(0)))=("store"),(INDEX(B1:XFD1,((A2)+(1))+(1)))=("U"),"false"),B2,U215),U215))</f>
        <v>#VALUE!</v>
      </c>
      <c r="V215" t="e">
        <f ca="1">IF((A1)=(2),"",IF((212)=(V3),IF(IF((INDEX(B1:XFD1,((A2)+(1))+(0)))=("store"),(INDEX(B1:XFD1,((A2)+(1))+(1)))=("V"),"false"),B2,V215),V215))</f>
        <v>#VALUE!</v>
      </c>
      <c r="W215" t="e">
        <f ca="1">IF((A1)=(2),"",IF((212)=(W3),IF(IF((INDEX(B1:XFD1,((A2)+(1))+(0)))=("store"),(INDEX(B1:XFD1,((A2)+(1))+(1)))=("W"),"false"),B2,W215),W215))</f>
        <v>#VALUE!</v>
      </c>
      <c r="X215" t="e">
        <f ca="1">IF((A1)=(2),"",IF((212)=(X3),IF(IF((INDEX(B1:XFD1,((A2)+(1))+(0)))=("store"),(INDEX(B1:XFD1,((A2)+(1))+(1)))=("X"),"false"),B2,X215),X215))</f>
        <v>#VALUE!</v>
      </c>
      <c r="Y215" t="e">
        <f ca="1">IF((A1)=(2),"",IF((212)=(Y3),IF(IF((INDEX(B1:XFD1,((A2)+(1))+(0)))=("store"),(INDEX(B1:XFD1,((A2)+(1))+(1)))=("Y"),"false"),B2,Y215),Y215))</f>
        <v>#VALUE!</v>
      </c>
      <c r="Z215" t="e">
        <f ca="1">IF((A1)=(2),"",IF((212)=(Z3),IF(IF((INDEX(B1:XFD1,((A2)+(1))+(0)))=("store"),(INDEX(B1:XFD1,((A2)+(1))+(1)))=("Z"),"false"),B2,Z215),Z215))</f>
        <v>#VALUE!</v>
      </c>
      <c r="AA215" t="e">
        <f ca="1">IF((A1)=(2),"",IF((212)=(AA3),IF(IF((INDEX(B1:XFD1,((A2)+(1))+(0)))=("store"),(INDEX(B1:XFD1,((A2)+(1))+(1)))=("AA"),"false"),B2,AA215),AA215))</f>
        <v>#VALUE!</v>
      </c>
      <c r="AB215" t="e">
        <f ca="1">IF((A1)=(2),"",IF((212)=(AB3),IF(IF((INDEX(B1:XFD1,((A2)+(1))+(0)))=("store"),(INDEX(B1:XFD1,((A2)+(1))+(1)))=("AB"),"false"),B2,AB215),AB215))</f>
        <v>#VALUE!</v>
      </c>
      <c r="AC215" t="e">
        <f ca="1">IF((A1)=(2),"",IF((212)=(AC3),IF(IF((INDEX(B1:XFD1,((A2)+(1))+(0)))=("store"),(INDEX(B1:XFD1,((A2)+(1))+(1)))=("AC"),"false"),B2,AC215),AC215))</f>
        <v>#VALUE!</v>
      </c>
      <c r="AD215" t="e">
        <f ca="1">IF((A1)=(2),"",IF((212)=(AD3),IF(IF((INDEX(B1:XFD1,((A2)+(1))+(0)))=("store"),(INDEX(B1:XFD1,((A2)+(1))+(1)))=("AD"),"false"),B2,AD215),AD215))</f>
        <v>#VALUE!</v>
      </c>
    </row>
    <row r="216" spans="1:30" x14ac:dyDescent="0.25">
      <c r="A216" t="e">
        <f ca="1">IF((A1)=(2),"",IF((213)=(A3),IF(("call")=(INDEX(B1:XFD1,((A2)+(1))+(0))),(B2)*(2),IF(("goto")=(INDEX(B1:XFD1,((A2)+(1))+(0))),(INDEX(B1:XFD1,((A2)+(1))+(1)))*(2),IF(("gotoiftrue")=(INDEX(B1:XFD1,((A2)+(1))+(0))),IF(B2,(INDEX(B1:XFD1,((A2)+(1))+(1)))*(2),(A216)+(2)),(A216)+(2)))),A216))</f>
        <v>#VALUE!</v>
      </c>
      <c r="B216" t="e">
        <f ca="1">IF((A1)=(2),"",IF((213)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216)+(1)),IF(("add")=(INDEX(B1:XFD1,((A2)+(1))+(0))),(INDEX(B4:B404,(B3)+(1)))+(B216),IF(("equals")=(INDEX(B1:XFD1,((A2)+(1))+(0))),(INDEX(B4:B404,(B3)+(1)))=(B216),IF(("leq")=(INDEX(B1:XFD1,((A2)+(1))+(0))),(INDEX(B4:B404,(B3)+(1)))&lt;=(B216),IF(("greater")=(INDEX(B1:XFD1,((A2)+(1))+(0))),(INDEX(B4:B404,(B3)+(1)))&gt;(B216),IF(("mod")=(INDEX(B1:XFD1,((A2)+(1))+(0))),MOD(INDEX(B4:B404,(B3)+(1)),B216),B216))))))))),B216))</f>
        <v>#VALUE!</v>
      </c>
      <c r="C216" t="e">
        <f ca="1">IF((A1)=(2),1,IF(AND((INDEX(B1:XFD1,((A2)+(1))+(0)))=("writeheap"),(INDEX(B4:B404,(B3)+(1)))=(212)),INDEX(B4:B404,(B3)+(2)),IF((A1)=(2),"",IF((213)=(C3),C216,C216))))</f>
        <v>#VALUE!</v>
      </c>
      <c r="E216" t="e">
        <f ca="1">IF((A1)=(2),"",IF((213)=(E3),IF(("outputline")=(INDEX(B1:XFD1,((A2)+(1))+(0))),B2,E216),E216))</f>
        <v>#VALUE!</v>
      </c>
      <c r="F216" t="e">
        <f ca="1">IF((A1)=(2),"",IF((213)=(F3),IF(IF((INDEX(B1:XFD1,((A2)+(1))+(0)))=("store"),(INDEX(B1:XFD1,((A2)+(1))+(1)))=("F"),"false"),B2,F216),F216))</f>
        <v>#VALUE!</v>
      </c>
      <c r="G216" t="e">
        <f ca="1">IF((A1)=(2),"",IF((213)=(G3),IF(IF((INDEX(B1:XFD1,((A2)+(1))+(0)))=("store"),(INDEX(B1:XFD1,((A2)+(1))+(1)))=("G"),"false"),B2,G216),G216))</f>
        <v>#VALUE!</v>
      </c>
      <c r="H216" t="e">
        <f ca="1">IF((A1)=(2),"",IF((213)=(H3),IF(IF((INDEX(B1:XFD1,((A2)+(1))+(0)))=("store"),(INDEX(B1:XFD1,((A2)+(1))+(1)))=("H"),"false"),B2,H216),H216))</f>
        <v>#VALUE!</v>
      </c>
      <c r="I216" t="e">
        <f ca="1">IF((A1)=(2),"",IF((213)=(I3),IF(IF((INDEX(B1:XFD1,((A2)+(1))+(0)))=("store"),(INDEX(B1:XFD1,((A2)+(1))+(1)))=("I"),"false"),B2,I216),I216))</f>
        <v>#VALUE!</v>
      </c>
      <c r="J216" t="e">
        <f ca="1">IF((A1)=(2),"",IF((213)=(J3),IF(IF((INDEX(B1:XFD1,((A2)+(1))+(0)))=("store"),(INDEX(B1:XFD1,((A2)+(1))+(1)))=("J"),"false"),B2,J216),J216))</f>
        <v>#VALUE!</v>
      </c>
      <c r="K216" t="e">
        <f ca="1">IF((A1)=(2),"",IF((213)=(K3),IF(IF((INDEX(B1:XFD1,((A2)+(1))+(0)))=("store"),(INDEX(B1:XFD1,((A2)+(1))+(1)))=("K"),"false"),B2,K216),K216))</f>
        <v>#VALUE!</v>
      </c>
      <c r="L216" t="e">
        <f ca="1">IF((A1)=(2),"",IF((213)=(L3),IF(IF((INDEX(B1:XFD1,((A2)+(1))+(0)))=("store"),(INDEX(B1:XFD1,((A2)+(1))+(1)))=("L"),"false"),B2,L216),L216))</f>
        <v>#VALUE!</v>
      </c>
      <c r="M216" t="e">
        <f ca="1">IF((A1)=(2),"",IF((213)=(M3),IF(IF((INDEX(B1:XFD1,((A2)+(1))+(0)))=("store"),(INDEX(B1:XFD1,((A2)+(1))+(1)))=("M"),"false"),B2,M216),M216))</f>
        <v>#VALUE!</v>
      </c>
      <c r="N216" t="e">
        <f ca="1">IF((A1)=(2),"",IF((213)=(N3),IF(IF((INDEX(B1:XFD1,((A2)+(1))+(0)))=("store"),(INDEX(B1:XFD1,((A2)+(1))+(1)))=("N"),"false"),B2,N216),N216))</f>
        <v>#VALUE!</v>
      </c>
      <c r="O216" t="e">
        <f ca="1">IF((A1)=(2),"",IF((213)=(O3),IF(IF((INDEX(B1:XFD1,((A2)+(1))+(0)))=("store"),(INDEX(B1:XFD1,((A2)+(1))+(1)))=("O"),"false"),B2,O216),O216))</f>
        <v>#VALUE!</v>
      </c>
      <c r="P216" t="e">
        <f ca="1">IF((A1)=(2),"",IF((213)=(P3),IF(IF((INDEX(B1:XFD1,((A2)+(1))+(0)))=("store"),(INDEX(B1:XFD1,((A2)+(1))+(1)))=("P"),"false"),B2,P216),P216))</f>
        <v>#VALUE!</v>
      </c>
      <c r="Q216" t="e">
        <f ca="1">IF((A1)=(2),"",IF((213)=(Q3),IF(IF((INDEX(B1:XFD1,((A2)+(1))+(0)))=("store"),(INDEX(B1:XFD1,((A2)+(1))+(1)))=("Q"),"false"),B2,Q216),Q216))</f>
        <v>#VALUE!</v>
      </c>
      <c r="R216" t="e">
        <f ca="1">IF((A1)=(2),"",IF((213)=(R3),IF(IF((INDEX(B1:XFD1,((A2)+(1))+(0)))=("store"),(INDEX(B1:XFD1,((A2)+(1))+(1)))=("R"),"false"),B2,R216),R216))</f>
        <v>#VALUE!</v>
      </c>
      <c r="S216" t="e">
        <f ca="1">IF((A1)=(2),"",IF((213)=(S3),IF(IF((INDEX(B1:XFD1,((A2)+(1))+(0)))=("store"),(INDEX(B1:XFD1,((A2)+(1))+(1)))=("S"),"false"),B2,S216),S216))</f>
        <v>#VALUE!</v>
      </c>
      <c r="T216" t="e">
        <f ca="1">IF((A1)=(2),"",IF((213)=(T3),IF(IF((INDEX(B1:XFD1,((A2)+(1))+(0)))=("store"),(INDEX(B1:XFD1,((A2)+(1))+(1)))=("T"),"false"),B2,T216),T216))</f>
        <v>#VALUE!</v>
      </c>
      <c r="U216" t="e">
        <f ca="1">IF((A1)=(2),"",IF((213)=(U3),IF(IF((INDEX(B1:XFD1,((A2)+(1))+(0)))=("store"),(INDEX(B1:XFD1,((A2)+(1))+(1)))=("U"),"false"),B2,U216),U216))</f>
        <v>#VALUE!</v>
      </c>
      <c r="V216" t="e">
        <f ca="1">IF((A1)=(2),"",IF((213)=(V3),IF(IF((INDEX(B1:XFD1,((A2)+(1))+(0)))=("store"),(INDEX(B1:XFD1,((A2)+(1))+(1)))=("V"),"false"),B2,V216),V216))</f>
        <v>#VALUE!</v>
      </c>
      <c r="W216" t="e">
        <f ca="1">IF((A1)=(2),"",IF((213)=(W3),IF(IF((INDEX(B1:XFD1,((A2)+(1))+(0)))=("store"),(INDEX(B1:XFD1,((A2)+(1))+(1)))=("W"),"false"),B2,W216),W216))</f>
        <v>#VALUE!</v>
      </c>
      <c r="X216" t="e">
        <f ca="1">IF((A1)=(2),"",IF((213)=(X3),IF(IF((INDEX(B1:XFD1,((A2)+(1))+(0)))=("store"),(INDEX(B1:XFD1,((A2)+(1))+(1)))=("X"),"false"),B2,X216),X216))</f>
        <v>#VALUE!</v>
      </c>
      <c r="Y216" t="e">
        <f ca="1">IF((A1)=(2),"",IF((213)=(Y3),IF(IF((INDEX(B1:XFD1,((A2)+(1))+(0)))=("store"),(INDEX(B1:XFD1,((A2)+(1))+(1)))=("Y"),"false"),B2,Y216),Y216))</f>
        <v>#VALUE!</v>
      </c>
      <c r="Z216" t="e">
        <f ca="1">IF((A1)=(2),"",IF((213)=(Z3),IF(IF((INDEX(B1:XFD1,((A2)+(1))+(0)))=("store"),(INDEX(B1:XFD1,((A2)+(1))+(1)))=("Z"),"false"),B2,Z216),Z216))</f>
        <v>#VALUE!</v>
      </c>
      <c r="AA216" t="e">
        <f ca="1">IF((A1)=(2),"",IF((213)=(AA3),IF(IF((INDEX(B1:XFD1,((A2)+(1))+(0)))=("store"),(INDEX(B1:XFD1,((A2)+(1))+(1)))=("AA"),"false"),B2,AA216),AA216))</f>
        <v>#VALUE!</v>
      </c>
      <c r="AB216" t="e">
        <f ca="1">IF((A1)=(2),"",IF((213)=(AB3),IF(IF((INDEX(B1:XFD1,((A2)+(1))+(0)))=("store"),(INDEX(B1:XFD1,((A2)+(1))+(1)))=("AB"),"false"),B2,AB216),AB216))</f>
        <v>#VALUE!</v>
      </c>
      <c r="AC216" t="e">
        <f ca="1">IF((A1)=(2),"",IF((213)=(AC3),IF(IF((INDEX(B1:XFD1,((A2)+(1))+(0)))=("store"),(INDEX(B1:XFD1,((A2)+(1))+(1)))=("AC"),"false"),B2,AC216),AC216))</f>
        <v>#VALUE!</v>
      </c>
      <c r="AD216" t="e">
        <f ca="1">IF((A1)=(2),"",IF((213)=(AD3),IF(IF((INDEX(B1:XFD1,((A2)+(1))+(0)))=("store"),(INDEX(B1:XFD1,((A2)+(1))+(1)))=("AD"),"false"),B2,AD216),AD216))</f>
        <v>#VALUE!</v>
      </c>
    </row>
    <row r="217" spans="1:30" x14ac:dyDescent="0.25">
      <c r="A217" t="e">
        <f ca="1">IF((A1)=(2),"",IF((214)=(A3),IF(("call")=(INDEX(B1:XFD1,((A2)+(1))+(0))),(B2)*(2),IF(("goto")=(INDEX(B1:XFD1,((A2)+(1))+(0))),(INDEX(B1:XFD1,((A2)+(1))+(1)))*(2),IF(("gotoiftrue")=(INDEX(B1:XFD1,((A2)+(1))+(0))),IF(B2,(INDEX(B1:XFD1,((A2)+(1))+(1)))*(2),(A217)+(2)),(A217)+(2)))),A217))</f>
        <v>#VALUE!</v>
      </c>
      <c r="B217" t="e">
        <f ca="1">IF((A1)=(2),"",IF((214)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217)+(1)),IF(("add")=(INDEX(B1:XFD1,((A2)+(1))+(0))),(INDEX(B4:B404,(B3)+(1)))+(B217),IF(("equals")=(INDEX(B1:XFD1,((A2)+(1))+(0))),(INDEX(B4:B404,(B3)+(1)))=(B217),IF(("leq")=(INDEX(B1:XFD1,((A2)+(1))+(0))),(INDEX(B4:B404,(B3)+(1)))&lt;=(B217),IF(("greater")=(INDEX(B1:XFD1,((A2)+(1))+(0))),(INDEX(B4:B404,(B3)+(1)))&gt;(B217),IF(("mod")=(INDEX(B1:XFD1,((A2)+(1))+(0))),MOD(INDEX(B4:B404,(B3)+(1)),B217),B217))))))))),B217))</f>
        <v>#VALUE!</v>
      </c>
      <c r="C217" t="e">
        <f ca="1">IF((A1)=(2),1,IF(AND((INDEX(B1:XFD1,((A2)+(1))+(0)))=("writeheap"),(INDEX(B4:B404,(B3)+(1)))=(213)),INDEX(B4:B404,(B3)+(2)),IF((A1)=(2),"",IF((214)=(C3),C217,C217))))</f>
        <v>#VALUE!</v>
      </c>
      <c r="E217" t="e">
        <f ca="1">IF((A1)=(2),"",IF((214)=(E3),IF(("outputline")=(INDEX(B1:XFD1,((A2)+(1))+(0))),B2,E217),E217))</f>
        <v>#VALUE!</v>
      </c>
      <c r="F217" t="e">
        <f ca="1">IF((A1)=(2),"",IF((214)=(F3),IF(IF((INDEX(B1:XFD1,((A2)+(1))+(0)))=("store"),(INDEX(B1:XFD1,((A2)+(1))+(1)))=("F"),"false"),B2,F217),F217))</f>
        <v>#VALUE!</v>
      </c>
      <c r="G217" t="e">
        <f ca="1">IF((A1)=(2),"",IF((214)=(G3),IF(IF((INDEX(B1:XFD1,((A2)+(1))+(0)))=("store"),(INDEX(B1:XFD1,((A2)+(1))+(1)))=("G"),"false"),B2,G217),G217))</f>
        <v>#VALUE!</v>
      </c>
      <c r="H217" t="e">
        <f ca="1">IF((A1)=(2),"",IF((214)=(H3),IF(IF((INDEX(B1:XFD1,((A2)+(1))+(0)))=("store"),(INDEX(B1:XFD1,((A2)+(1))+(1)))=("H"),"false"),B2,H217),H217))</f>
        <v>#VALUE!</v>
      </c>
      <c r="I217" t="e">
        <f ca="1">IF((A1)=(2),"",IF((214)=(I3),IF(IF((INDEX(B1:XFD1,((A2)+(1))+(0)))=("store"),(INDEX(B1:XFD1,((A2)+(1))+(1)))=("I"),"false"),B2,I217),I217))</f>
        <v>#VALUE!</v>
      </c>
      <c r="J217" t="e">
        <f ca="1">IF((A1)=(2),"",IF((214)=(J3),IF(IF((INDEX(B1:XFD1,((A2)+(1))+(0)))=("store"),(INDEX(B1:XFD1,((A2)+(1))+(1)))=("J"),"false"),B2,J217),J217))</f>
        <v>#VALUE!</v>
      </c>
      <c r="K217" t="e">
        <f ca="1">IF((A1)=(2),"",IF((214)=(K3),IF(IF((INDEX(B1:XFD1,((A2)+(1))+(0)))=("store"),(INDEX(B1:XFD1,((A2)+(1))+(1)))=("K"),"false"),B2,K217),K217))</f>
        <v>#VALUE!</v>
      </c>
      <c r="L217" t="e">
        <f ca="1">IF((A1)=(2),"",IF((214)=(L3),IF(IF((INDEX(B1:XFD1,((A2)+(1))+(0)))=("store"),(INDEX(B1:XFD1,((A2)+(1))+(1)))=("L"),"false"),B2,L217),L217))</f>
        <v>#VALUE!</v>
      </c>
      <c r="M217" t="e">
        <f ca="1">IF((A1)=(2),"",IF((214)=(M3),IF(IF((INDEX(B1:XFD1,((A2)+(1))+(0)))=("store"),(INDEX(B1:XFD1,((A2)+(1))+(1)))=("M"),"false"),B2,M217),M217))</f>
        <v>#VALUE!</v>
      </c>
      <c r="N217" t="e">
        <f ca="1">IF((A1)=(2),"",IF((214)=(N3),IF(IF((INDEX(B1:XFD1,((A2)+(1))+(0)))=("store"),(INDEX(B1:XFD1,((A2)+(1))+(1)))=("N"),"false"),B2,N217),N217))</f>
        <v>#VALUE!</v>
      </c>
      <c r="O217" t="e">
        <f ca="1">IF((A1)=(2),"",IF((214)=(O3),IF(IF((INDEX(B1:XFD1,((A2)+(1))+(0)))=("store"),(INDEX(B1:XFD1,((A2)+(1))+(1)))=("O"),"false"),B2,O217),O217))</f>
        <v>#VALUE!</v>
      </c>
      <c r="P217" t="e">
        <f ca="1">IF((A1)=(2),"",IF((214)=(P3),IF(IF((INDEX(B1:XFD1,((A2)+(1))+(0)))=("store"),(INDEX(B1:XFD1,((A2)+(1))+(1)))=("P"),"false"),B2,P217),P217))</f>
        <v>#VALUE!</v>
      </c>
      <c r="Q217" t="e">
        <f ca="1">IF((A1)=(2),"",IF((214)=(Q3),IF(IF((INDEX(B1:XFD1,((A2)+(1))+(0)))=("store"),(INDEX(B1:XFD1,((A2)+(1))+(1)))=("Q"),"false"),B2,Q217),Q217))</f>
        <v>#VALUE!</v>
      </c>
      <c r="R217" t="e">
        <f ca="1">IF((A1)=(2),"",IF((214)=(R3),IF(IF((INDEX(B1:XFD1,((A2)+(1))+(0)))=("store"),(INDEX(B1:XFD1,((A2)+(1))+(1)))=("R"),"false"),B2,R217),R217))</f>
        <v>#VALUE!</v>
      </c>
      <c r="S217" t="e">
        <f ca="1">IF((A1)=(2),"",IF((214)=(S3),IF(IF((INDEX(B1:XFD1,((A2)+(1))+(0)))=("store"),(INDEX(B1:XFD1,((A2)+(1))+(1)))=("S"),"false"),B2,S217),S217))</f>
        <v>#VALUE!</v>
      </c>
      <c r="T217" t="e">
        <f ca="1">IF((A1)=(2),"",IF((214)=(T3),IF(IF((INDEX(B1:XFD1,((A2)+(1))+(0)))=("store"),(INDEX(B1:XFD1,((A2)+(1))+(1)))=("T"),"false"),B2,T217),T217))</f>
        <v>#VALUE!</v>
      </c>
      <c r="U217" t="e">
        <f ca="1">IF((A1)=(2),"",IF((214)=(U3),IF(IF((INDEX(B1:XFD1,((A2)+(1))+(0)))=("store"),(INDEX(B1:XFD1,((A2)+(1))+(1)))=("U"),"false"),B2,U217),U217))</f>
        <v>#VALUE!</v>
      </c>
      <c r="V217" t="e">
        <f ca="1">IF((A1)=(2),"",IF((214)=(V3),IF(IF((INDEX(B1:XFD1,((A2)+(1))+(0)))=("store"),(INDEX(B1:XFD1,((A2)+(1))+(1)))=("V"),"false"),B2,V217),V217))</f>
        <v>#VALUE!</v>
      </c>
      <c r="W217" t="e">
        <f ca="1">IF((A1)=(2),"",IF((214)=(W3),IF(IF((INDEX(B1:XFD1,((A2)+(1))+(0)))=("store"),(INDEX(B1:XFD1,((A2)+(1))+(1)))=("W"),"false"),B2,W217),W217))</f>
        <v>#VALUE!</v>
      </c>
      <c r="X217" t="e">
        <f ca="1">IF((A1)=(2),"",IF((214)=(X3),IF(IF((INDEX(B1:XFD1,((A2)+(1))+(0)))=("store"),(INDEX(B1:XFD1,((A2)+(1))+(1)))=("X"),"false"),B2,X217),X217))</f>
        <v>#VALUE!</v>
      </c>
      <c r="Y217" t="e">
        <f ca="1">IF((A1)=(2),"",IF((214)=(Y3),IF(IF((INDEX(B1:XFD1,((A2)+(1))+(0)))=("store"),(INDEX(B1:XFD1,((A2)+(1))+(1)))=("Y"),"false"),B2,Y217),Y217))</f>
        <v>#VALUE!</v>
      </c>
      <c r="Z217" t="e">
        <f ca="1">IF((A1)=(2),"",IF((214)=(Z3),IF(IF((INDEX(B1:XFD1,((A2)+(1))+(0)))=("store"),(INDEX(B1:XFD1,((A2)+(1))+(1)))=("Z"),"false"),B2,Z217),Z217))</f>
        <v>#VALUE!</v>
      </c>
      <c r="AA217" t="e">
        <f ca="1">IF((A1)=(2),"",IF((214)=(AA3),IF(IF((INDEX(B1:XFD1,((A2)+(1))+(0)))=("store"),(INDEX(B1:XFD1,((A2)+(1))+(1)))=("AA"),"false"),B2,AA217),AA217))</f>
        <v>#VALUE!</v>
      </c>
      <c r="AB217" t="e">
        <f ca="1">IF((A1)=(2),"",IF((214)=(AB3),IF(IF((INDEX(B1:XFD1,((A2)+(1))+(0)))=("store"),(INDEX(B1:XFD1,((A2)+(1))+(1)))=("AB"),"false"),B2,AB217),AB217))</f>
        <v>#VALUE!</v>
      </c>
      <c r="AC217" t="e">
        <f ca="1">IF((A1)=(2),"",IF((214)=(AC3),IF(IF((INDEX(B1:XFD1,((A2)+(1))+(0)))=("store"),(INDEX(B1:XFD1,((A2)+(1))+(1)))=("AC"),"false"),B2,AC217),AC217))</f>
        <v>#VALUE!</v>
      </c>
      <c r="AD217" t="e">
        <f ca="1">IF((A1)=(2),"",IF((214)=(AD3),IF(IF((INDEX(B1:XFD1,((A2)+(1))+(0)))=("store"),(INDEX(B1:XFD1,((A2)+(1))+(1)))=("AD"),"false"),B2,AD217),AD217))</f>
        <v>#VALUE!</v>
      </c>
    </row>
    <row r="218" spans="1:30" x14ac:dyDescent="0.25">
      <c r="A218" t="e">
        <f ca="1">IF((A1)=(2),"",IF((215)=(A3),IF(("call")=(INDEX(B1:XFD1,((A2)+(1))+(0))),(B2)*(2),IF(("goto")=(INDEX(B1:XFD1,((A2)+(1))+(0))),(INDEX(B1:XFD1,((A2)+(1))+(1)))*(2),IF(("gotoiftrue")=(INDEX(B1:XFD1,((A2)+(1))+(0))),IF(B2,(INDEX(B1:XFD1,((A2)+(1))+(1)))*(2),(A218)+(2)),(A218)+(2)))),A218))</f>
        <v>#VALUE!</v>
      </c>
      <c r="B218" t="e">
        <f ca="1">IF((A1)=(2),"",IF((215)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218)+(1)),IF(("add")=(INDEX(B1:XFD1,((A2)+(1))+(0))),(INDEX(B4:B404,(B3)+(1)))+(B218),IF(("equals")=(INDEX(B1:XFD1,((A2)+(1))+(0))),(INDEX(B4:B404,(B3)+(1)))=(B218),IF(("leq")=(INDEX(B1:XFD1,((A2)+(1))+(0))),(INDEX(B4:B404,(B3)+(1)))&lt;=(B218),IF(("greater")=(INDEX(B1:XFD1,((A2)+(1))+(0))),(INDEX(B4:B404,(B3)+(1)))&gt;(B218),IF(("mod")=(INDEX(B1:XFD1,((A2)+(1))+(0))),MOD(INDEX(B4:B404,(B3)+(1)),B218),B218))))))))),B218))</f>
        <v>#VALUE!</v>
      </c>
      <c r="C218" t="e">
        <f ca="1">IF((A1)=(2),1,IF(AND((INDEX(B1:XFD1,((A2)+(1))+(0)))=("writeheap"),(INDEX(B4:B404,(B3)+(1)))=(214)),INDEX(B4:B404,(B3)+(2)),IF((A1)=(2),"",IF((215)=(C3),C218,C218))))</f>
        <v>#VALUE!</v>
      </c>
      <c r="E218" t="e">
        <f ca="1">IF((A1)=(2),"",IF((215)=(E3),IF(("outputline")=(INDEX(B1:XFD1,((A2)+(1))+(0))),B2,E218),E218))</f>
        <v>#VALUE!</v>
      </c>
      <c r="F218" t="e">
        <f ca="1">IF((A1)=(2),"",IF((215)=(F3),IF(IF((INDEX(B1:XFD1,((A2)+(1))+(0)))=("store"),(INDEX(B1:XFD1,((A2)+(1))+(1)))=("F"),"false"),B2,F218),F218))</f>
        <v>#VALUE!</v>
      </c>
      <c r="G218" t="e">
        <f ca="1">IF((A1)=(2),"",IF((215)=(G3),IF(IF((INDEX(B1:XFD1,((A2)+(1))+(0)))=("store"),(INDEX(B1:XFD1,((A2)+(1))+(1)))=("G"),"false"),B2,G218),G218))</f>
        <v>#VALUE!</v>
      </c>
      <c r="H218" t="e">
        <f ca="1">IF((A1)=(2),"",IF((215)=(H3),IF(IF((INDEX(B1:XFD1,((A2)+(1))+(0)))=("store"),(INDEX(B1:XFD1,((A2)+(1))+(1)))=("H"),"false"),B2,H218),H218))</f>
        <v>#VALUE!</v>
      </c>
      <c r="I218" t="e">
        <f ca="1">IF((A1)=(2),"",IF((215)=(I3),IF(IF((INDEX(B1:XFD1,((A2)+(1))+(0)))=("store"),(INDEX(B1:XFD1,((A2)+(1))+(1)))=("I"),"false"),B2,I218),I218))</f>
        <v>#VALUE!</v>
      </c>
      <c r="J218" t="e">
        <f ca="1">IF((A1)=(2),"",IF((215)=(J3),IF(IF((INDEX(B1:XFD1,((A2)+(1))+(0)))=("store"),(INDEX(B1:XFD1,((A2)+(1))+(1)))=("J"),"false"),B2,J218),J218))</f>
        <v>#VALUE!</v>
      </c>
      <c r="K218" t="e">
        <f ca="1">IF((A1)=(2),"",IF((215)=(K3),IF(IF((INDEX(B1:XFD1,((A2)+(1))+(0)))=("store"),(INDEX(B1:XFD1,((A2)+(1))+(1)))=("K"),"false"),B2,K218),K218))</f>
        <v>#VALUE!</v>
      </c>
      <c r="L218" t="e">
        <f ca="1">IF((A1)=(2),"",IF((215)=(L3),IF(IF((INDEX(B1:XFD1,((A2)+(1))+(0)))=("store"),(INDEX(B1:XFD1,((A2)+(1))+(1)))=("L"),"false"),B2,L218),L218))</f>
        <v>#VALUE!</v>
      </c>
      <c r="M218" t="e">
        <f ca="1">IF((A1)=(2),"",IF((215)=(M3),IF(IF((INDEX(B1:XFD1,((A2)+(1))+(0)))=("store"),(INDEX(B1:XFD1,((A2)+(1))+(1)))=("M"),"false"),B2,M218),M218))</f>
        <v>#VALUE!</v>
      </c>
      <c r="N218" t="e">
        <f ca="1">IF((A1)=(2),"",IF((215)=(N3),IF(IF((INDEX(B1:XFD1,((A2)+(1))+(0)))=("store"),(INDEX(B1:XFD1,((A2)+(1))+(1)))=("N"),"false"),B2,N218),N218))</f>
        <v>#VALUE!</v>
      </c>
      <c r="O218" t="e">
        <f ca="1">IF((A1)=(2),"",IF((215)=(O3),IF(IF((INDEX(B1:XFD1,((A2)+(1))+(0)))=("store"),(INDEX(B1:XFD1,((A2)+(1))+(1)))=("O"),"false"),B2,O218),O218))</f>
        <v>#VALUE!</v>
      </c>
      <c r="P218" t="e">
        <f ca="1">IF((A1)=(2),"",IF((215)=(P3),IF(IF((INDEX(B1:XFD1,((A2)+(1))+(0)))=("store"),(INDEX(B1:XFD1,((A2)+(1))+(1)))=("P"),"false"),B2,P218),P218))</f>
        <v>#VALUE!</v>
      </c>
      <c r="Q218" t="e">
        <f ca="1">IF((A1)=(2),"",IF((215)=(Q3),IF(IF((INDEX(B1:XFD1,((A2)+(1))+(0)))=("store"),(INDEX(B1:XFD1,((A2)+(1))+(1)))=("Q"),"false"),B2,Q218),Q218))</f>
        <v>#VALUE!</v>
      </c>
      <c r="R218" t="e">
        <f ca="1">IF((A1)=(2),"",IF((215)=(R3),IF(IF((INDEX(B1:XFD1,((A2)+(1))+(0)))=("store"),(INDEX(B1:XFD1,((A2)+(1))+(1)))=("R"),"false"),B2,R218),R218))</f>
        <v>#VALUE!</v>
      </c>
      <c r="S218" t="e">
        <f ca="1">IF((A1)=(2),"",IF((215)=(S3),IF(IF((INDEX(B1:XFD1,((A2)+(1))+(0)))=("store"),(INDEX(B1:XFD1,((A2)+(1))+(1)))=("S"),"false"),B2,S218),S218))</f>
        <v>#VALUE!</v>
      </c>
      <c r="T218" t="e">
        <f ca="1">IF((A1)=(2),"",IF((215)=(T3),IF(IF((INDEX(B1:XFD1,((A2)+(1))+(0)))=("store"),(INDEX(B1:XFD1,((A2)+(1))+(1)))=("T"),"false"),B2,T218),T218))</f>
        <v>#VALUE!</v>
      </c>
      <c r="U218" t="e">
        <f ca="1">IF((A1)=(2),"",IF((215)=(U3),IF(IF((INDEX(B1:XFD1,((A2)+(1))+(0)))=("store"),(INDEX(B1:XFD1,((A2)+(1))+(1)))=("U"),"false"),B2,U218),U218))</f>
        <v>#VALUE!</v>
      </c>
      <c r="V218" t="e">
        <f ca="1">IF((A1)=(2),"",IF((215)=(V3),IF(IF((INDEX(B1:XFD1,((A2)+(1))+(0)))=("store"),(INDEX(B1:XFD1,((A2)+(1))+(1)))=("V"),"false"),B2,V218),V218))</f>
        <v>#VALUE!</v>
      </c>
      <c r="W218" t="e">
        <f ca="1">IF((A1)=(2),"",IF((215)=(W3),IF(IF((INDEX(B1:XFD1,((A2)+(1))+(0)))=("store"),(INDEX(B1:XFD1,((A2)+(1))+(1)))=("W"),"false"),B2,W218),W218))</f>
        <v>#VALUE!</v>
      </c>
      <c r="X218" t="e">
        <f ca="1">IF((A1)=(2),"",IF((215)=(X3),IF(IF((INDEX(B1:XFD1,((A2)+(1))+(0)))=("store"),(INDEX(B1:XFD1,((A2)+(1))+(1)))=("X"),"false"),B2,X218),X218))</f>
        <v>#VALUE!</v>
      </c>
      <c r="Y218" t="e">
        <f ca="1">IF((A1)=(2),"",IF((215)=(Y3),IF(IF((INDEX(B1:XFD1,((A2)+(1))+(0)))=("store"),(INDEX(B1:XFD1,((A2)+(1))+(1)))=("Y"),"false"),B2,Y218),Y218))</f>
        <v>#VALUE!</v>
      </c>
      <c r="Z218" t="e">
        <f ca="1">IF((A1)=(2),"",IF((215)=(Z3),IF(IF((INDEX(B1:XFD1,((A2)+(1))+(0)))=("store"),(INDEX(B1:XFD1,((A2)+(1))+(1)))=("Z"),"false"),B2,Z218),Z218))</f>
        <v>#VALUE!</v>
      </c>
      <c r="AA218" t="e">
        <f ca="1">IF((A1)=(2),"",IF((215)=(AA3),IF(IF((INDEX(B1:XFD1,((A2)+(1))+(0)))=("store"),(INDEX(B1:XFD1,((A2)+(1))+(1)))=("AA"),"false"),B2,AA218),AA218))</f>
        <v>#VALUE!</v>
      </c>
      <c r="AB218" t="e">
        <f ca="1">IF((A1)=(2),"",IF((215)=(AB3),IF(IF((INDEX(B1:XFD1,((A2)+(1))+(0)))=("store"),(INDEX(B1:XFD1,((A2)+(1))+(1)))=("AB"),"false"),B2,AB218),AB218))</f>
        <v>#VALUE!</v>
      </c>
      <c r="AC218" t="e">
        <f ca="1">IF((A1)=(2),"",IF((215)=(AC3),IF(IF((INDEX(B1:XFD1,((A2)+(1))+(0)))=("store"),(INDEX(B1:XFD1,((A2)+(1))+(1)))=("AC"),"false"),B2,AC218),AC218))</f>
        <v>#VALUE!</v>
      </c>
      <c r="AD218" t="e">
        <f ca="1">IF((A1)=(2),"",IF((215)=(AD3),IF(IF((INDEX(B1:XFD1,((A2)+(1))+(0)))=("store"),(INDEX(B1:XFD1,((A2)+(1))+(1)))=("AD"),"false"),B2,AD218),AD218))</f>
        <v>#VALUE!</v>
      </c>
    </row>
    <row r="219" spans="1:30" x14ac:dyDescent="0.25">
      <c r="A219" t="e">
        <f ca="1">IF((A1)=(2),"",IF((216)=(A3),IF(("call")=(INDEX(B1:XFD1,((A2)+(1))+(0))),(B2)*(2),IF(("goto")=(INDEX(B1:XFD1,((A2)+(1))+(0))),(INDEX(B1:XFD1,((A2)+(1))+(1)))*(2),IF(("gotoiftrue")=(INDEX(B1:XFD1,((A2)+(1))+(0))),IF(B2,(INDEX(B1:XFD1,((A2)+(1))+(1)))*(2),(A219)+(2)),(A219)+(2)))),A219))</f>
        <v>#VALUE!</v>
      </c>
      <c r="B219" t="e">
        <f ca="1">IF((A1)=(2),"",IF((216)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219)+(1)),IF(("add")=(INDEX(B1:XFD1,((A2)+(1))+(0))),(INDEX(B4:B404,(B3)+(1)))+(B219),IF(("equals")=(INDEX(B1:XFD1,((A2)+(1))+(0))),(INDEX(B4:B404,(B3)+(1)))=(B219),IF(("leq")=(INDEX(B1:XFD1,((A2)+(1))+(0))),(INDEX(B4:B404,(B3)+(1)))&lt;=(B219),IF(("greater")=(INDEX(B1:XFD1,((A2)+(1))+(0))),(INDEX(B4:B404,(B3)+(1)))&gt;(B219),IF(("mod")=(INDEX(B1:XFD1,((A2)+(1))+(0))),MOD(INDEX(B4:B404,(B3)+(1)),B219),B219))))))))),B219))</f>
        <v>#VALUE!</v>
      </c>
      <c r="C219" t="e">
        <f ca="1">IF((A1)=(2),1,IF(AND((INDEX(B1:XFD1,((A2)+(1))+(0)))=("writeheap"),(INDEX(B4:B404,(B3)+(1)))=(215)),INDEX(B4:B404,(B3)+(2)),IF((A1)=(2),"",IF((216)=(C3),C219,C219))))</f>
        <v>#VALUE!</v>
      </c>
      <c r="E219" t="e">
        <f ca="1">IF((A1)=(2),"",IF((216)=(E3),IF(("outputline")=(INDEX(B1:XFD1,((A2)+(1))+(0))),B2,E219),E219))</f>
        <v>#VALUE!</v>
      </c>
      <c r="F219" t="e">
        <f ca="1">IF((A1)=(2),"",IF((216)=(F3),IF(IF((INDEX(B1:XFD1,((A2)+(1))+(0)))=("store"),(INDEX(B1:XFD1,((A2)+(1))+(1)))=("F"),"false"),B2,F219),F219))</f>
        <v>#VALUE!</v>
      </c>
      <c r="G219" t="e">
        <f ca="1">IF((A1)=(2),"",IF((216)=(G3),IF(IF((INDEX(B1:XFD1,((A2)+(1))+(0)))=("store"),(INDEX(B1:XFD1,((A2)+(1))+(1)))=("G"),"false"),B2,G219),G219))</f>
        <v>#VALUE!</v>
      </c>
      <c r="H219" t="e">
        <f ca="1">IF((A1)=(2),"",IF((216)=(H3),IF(IF((INDEX(B1:XFD1,((A2)+(1))+(0)))=("store"),(INDEX(B1:XFD1,((A2)+(1))+(1)))=("H"),"false"),B2,H219),H219))</f>
        <v>#VALUE!</v>
      </c>
      <c r="I219" t="e">
        <f ca="1">IF((A1)=(2),"",IF((216)=(I3),IF(IF((INDEX(B1:XFD1,((A2)+(1))+(0)))=("store"),(INDEX(B1:XFD1,((A2)+(1))+(1)))=("I"),"false"),B2,I219),I219))</f>
        <v>#VALUE!</v>
      </c>
      <c r="J219" t="e">
        <f ca="1">IF((A1)=(2),"",IF((216)=(J3),IF(IF((INDEX(B1:XFD1,((A2)+(1))+(0)))=("store"),(INDEX(B1:XFD1,((A2)+(1))+(1)))=("J"),"false"),B2,J219),J219))</f>
        <v>#VALUE!</v>
      </c>
      <c r="K219" t="e">
        <f ca="1">IF((A1)=(2),"",IF((216)=(K3),IF(IF((INDEX(B1:XFD1,((A2)+(1))+(0)))=("store"),(INDEX(B1:XFD1,((A2)+(1))+(1)))=("K"),"false"),B2,K219),K219))</f>
        <v>#VALUE!</v>
      </c>
      <c r="L219" t="e">
        <f ca="1">IF((A1)=(2),"",IF((216)=(L3),IF(IF((INDEX(B1:XFD1,((A2)+(1))+(0)))=("store"),(INDEX(B1:XFD1,((A2)+(1))+(1)))=("L"),"false"),B2,L219),L219))</f>
        <v>#VALUE!</v>
      </c>
      <c r="M219" t="e">
        <f ca="1">IF((A1)=(2),"",IF((216)=(M3),IF(IF((INDEX(B1:XFD1,((A2)+(1))+(0)))=("store"),(INDEX(B1:XFD1,((A2)+(1))+(1)))=("M"),"false"),B2,M219),M219))</f>
        <v>#VALUE!</v>
      </c>
      <c r="N219" t="e">
        <f ca="1">IF((A1)=(2),"",IF((216)=(N3),IF(IF((INDEX(B1:XFD1,((A2)+(1))+(0)))=("store"),(INDEX(B1:XFD1,((A2)+(1))+(1)))=("N"),"false"),B2,N219),N219))</f>
        <v>#VALUE!</v>
      </c>
      <c r="O219" t="e">
        <f ca="1">IF((A1)=(2),"",IF((216)=(O3),IF(IF((INDEX(B1:XFD1,((A2)+(1))+(0)))=("store"),(INDEX(B1:XFD1,((A2)+(1))+(1)))=("O"),"false"),B2,O219),O219))</f>
        <v>#VALUE!</v>
      </c>
      <c r="P219" t="e">
        <f ca="1">IF((A1)=(2),"",IF((216)=(P3),IF(IF((INDEX(B1:XFD1,((A2)+(1))+(0)))=("store"),(INDEX(B1:XFD1,((A2)+(1))+(1)))=("P"),"false"),B2,P219),P219))</f>
        <v>#VALUE!</v>
      </c>
      <c r="Q219" t="e">
        <f ca="1">IF((A1)=(2),"",IF((216)=(Q3),IF(IF((INDEX(B1:XFD1,((A2)+(1))+(0)))=("store"),(INDEX(B1:XFD1,((A2)+(1))+(1)))=("Q"),"false"),B2,Q219),Q219))</f>
        <v>#VALUE!</v>
      </c>
      <c r="R219" t="e">
        <f ca="1">IF((A1)=(2),"",IF((216)=(R3),IF(IF((INDEX(B1:XFD1,((A2)+(1))+(0)))=("store"),(INDEX(B1:XFD1,((A2)+(1))+(1)))=("R"),"false"),B2,R219),R219))</f>
        <v>#VALUE!</v>
      </c>
      <c r="S219" t="e">
        <f ca="1">IF((A1)=(2),"",IF((216)=(S3),IF(IF((INDEX(B1:XFD1,((A2)+(1))+(0)))=("store"),(INDEX(B1:XFD1,((A2)+(1))+(1)))=("S"),"false"),B2,S219),S219))</f>
        <v>#VALUE!</v>
      </c>
      <c r="T219" t="e">
        <f ca="1">IF((A1)=(2),"",IF((216)=(T3),IF(IF((INDEX(B1:XFD1,((A2)+(1))+(0)))=("store"),(INDEX(B1:XFD1,((A2)+(1))+(1)))=("T"),"false"),B2,T219),T219))</f>
        <v>#VALUE!</v>
      </c>
      <c r="U219" t="e">
        <f ca="1">IF((A1)=(2),"",IF((216)=(U3),IF(IF((INDEX(B1:XFD1,((A2)+(1))+(0)))=("store"),(INDEX(B1:XFD1,((A2)+(1))+(1)))=("U"),"false"),B2,U219),U219))</f>
        <v>#VALUE!</v>
      </c>
      <c r="V219" t="e">
        <f ca="1">IF((A1)=(2),"",IF((216)=(V3),IF(IF((INDEX(B1:XFD1,((A2)+(1))+(0)))=("store"),(INDEX(B1:XFD1,((A2)+(1))+(1)))=("V"),"false"),B2,V219),V219))</f>
        <v>#VALUE!</v>
      </c>
      <c r="W219" t="e">
        <f ca="1">IF((A1)=(2),"",IF((216)=(W3),IF(IF((INDEX(B1:XFD1,((A2)+(1))+(0)))=("store"),(INDEX(B1:XFD1,((A2)+(1))+(1)))=("W"),"false"),B2,W219),W219))</f>
        <v>#VALUE!</v>
      </c>
      <c r="X219" t="e">
        <f ca="1">IF((A1)=(2),"",IF((216)=(X3),IF(IF((INDEX(B1:XFD1,((A2)+(1))+(0)))=("store"),(INDEX(B1:XFD1,((A2)+(1))+(1)))=("X"),"false"),B2,X219),X219))</f>
        <v>#VALUE!</v>
      </c>
      <c r="Y219" t="e">
        <f ca="1">IF((A1)=(2),"",IF((216)=(Y3),IF(IF((INDEX(B1:XFD1,((A2)+(1))+(0)))=("store"),(INDEX(B1:XFD1,((A2)+(1))+(1)))=("Y"),"false"),B2,Y219),Y219))</f>
        <v>#VALUE!</v>
      </c>
      <c r="Z219" t="e">
        <f ca="1">IF((A1)=(2),"",IF((216)=(Z3),IF(IF((INDEX(B1:XFD1,((A2)+(1))+(0)))=("store"),(INDEX(B1:XFD1,((A2)+(1))+(1)))=("Z"),"false"),B2,Z219),Z219))</f>
        <v>#VALUE!</v>
      </c>
      <c r="AA219" t="e">
        <f ca="1">IF((A1)=(2),"",IF((216)=(AA3),IF(IF((INDEX(B1:XFD1,((A2)+(1))+(0)))=("store"),(INDEX(B1:XFD1,((A2)+(1))+(1)))=("AA"),"false"),B2,AA219),AA219))</f>
        <v>#VALUE!</v>
      </c>
      <c r="AB219" t="e">
        <f ca="1">IF((A1)=(2),"",IF((216)=(AB3),IF(IF((INDEX(B1:XFD1,((A2)+(1))+(0)))=("store"),(INDEX(B1:XFD1,((A2)+(1))+(1)))=("AB"),"false"),B2,AB219),AB219))</f>
        <v>#VALUE!</v>
      </c>
      <c r="AC219" t="e">
        <f ca="1">IF((A1)=(2),"",IF((216)=(AC3),IF(IF((INDEX(B1:XFD1,((A2)+(1))+(0)))=("store"),(INDEX(B1:XFD1,((A2)+(1))+(1)))=("AC"),"false"),B2,AC219),AC219))</f>
        <v>#VALUE!</v>
      </c>
      <c r="AD219" t="e">
        <f ca="1">IF((A1)=(2),"",IF((216)=(AD3),IF(IF((INDEX(B1:XFD1,((A2)+(1))+(0)))=("store"),(INDEX(B1:XFD1,((A2)+(1))+(1)))=("AD"),"false"),B2,AD219),AD219))</f>
        <v>#VALUE!</v>
      </c>
    </row>
    <row r="220" spans="1:30" x14ac:dyDescent="0.25">
      <c r="A220" t="e">
        <f ca="1">IF((A1)=(2),"",IF((217)=(A3),IF(("call")=(INDEX(B1:XFD1,((A2)+(1))+(0))),(B2)*(2),IF(("goto")=(INDEX(B1:XFD1,((A2)+(1))+(0))),(INDEX(B1:XFD1,((A2)+(1))+(1)))*(2),IF(("gotoiftrue")=(INDEX(B1:XFD1,((A2)+(1))+(0))),IF(B2,(INDEX(B1:XFD1,((A2)+(1))+(1)))*(2),(A220)+(2)),(A220)+(2)))),A220))</f>
        <v>#VALUE!</v>
      </c>
      <c r="B220" t="e">
        <f ca="1">IF((A1)=(2),"",IF((217)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220)+(1)),IF(("add")=(INDEX(B1:XFD1,((A2)+(1))+(0))),(INDEX(B4:B404,(B3)+(1)))+(B220),IF(("equals")=(INDEX(B1:XFD1,((A2)+(1))+(0))),(INDEX(B4:B404,(B3)+(1)))=(B220),IF(("leq")=(INDEX(B1:XFD1,((A2)+(1))+(0))),(INDEX(B4:B404,(B3)+(1)))&lt;=(B220),IF(("greater")=(INDEX(B1:XFD1,((A2)+(1))+(0))),(INDEX(B4:B404,(B3)+(1)))&gt;(B220),IF(("mod")=(INDEX(B1:XFD1,((A2)+(1))+(0))),MOD(INDEX(B4:B404,(B3)+(1)),B220),B220))))))))),B220))</f>
        <v>#VALUE!</v>
      </c>
      <c r="C220" t="e">
        <f ca="1">IF((A1)=(2),1,IF(AND((INDEX(B1:XFD1,((A2)+(1))+(0)))=("writeheap"),(INDEX(B4:B404,(B3)+(1)))=(216)),INDEX(B4:B404,(B3)+(2)),IF((A1)=(2),"",IF((217)=(C3),C220,C220))))</f>
        <v>#VALUE!</v>
      </c>
      <c r="E220" t="e">
        <f ca="1">IF((A1)=(2),"",IF((217)=(E3),IF(("outputline")=(INDEX(B1:XFD1,((A2)+(1))+(0))),B2,E220),E220))</f>
        <v>#VALUE!</v>
      </c>
      <c r="F220" t="e">
        <f ca="1">IF((A1)=(2),"",IF((217)=(F3),IF(IF((INDEX(B1:XFD1,((A2)+(1))+(0)))=("store"),(INDEX(B1:XFD1,((A2)+(1))+(1)))=("F"),"false"),B2,F220),F220))</f>
        <v>#VALUE!</v>
      </c>
      <c r="G220" t="e">
        <f ca="1">IF((A1)=(2),"",IF((217)=(G3),IF(IF((INDEX(B1:XFD1,((A2)+(1))+(0)))=("store"),(INDEX(B1:XFD1,((A2)+(1))+(1)))=("G"),"false"),B2,G220),G220))</f>
        <v>#VALUE!</v>
      </c>
      <c r="H220" t="e">
        <f ca="1">IF((A1)=(2),"",IF((217)=(H3),IF(IF((INDEX(B1:XFD1,((A2)+(1))+(0)))=("store"),(INDEX(B1:XFD1,((A2)+(1))+(1)))=("H"),"false"),B2,H220),H220))</f>
        <v>#VALUE!</v>
      </c>
      <c r="I220" t="e">
        <f ca="1">IF((A1)=(2),"",IF((217)=(I3),IF(IF((INDEX(B1:XFD1,((A2)+(1))+(0)))=("store"),(INDEX(B1:XFD1,((A2)+(1))+(1)))=("I"),"false"),B2,I220),I220))</f>
        <v>#VALUE!</v>
      </c>
      <c r="J220" t="e">
        <f ca="1">IF((A1)=(2),"",IF((217)=(J3),IF(IF((INDEX(B1:XFD1,((A2)+(1))+(0)))=("store"),(INDEX(B1:XFD1,((A2)+(1))+(1)))=("J"),"false"),B2,J220),J220))</f>
        <v>#VALUE!</v>
      </c>
      <c r="K220" t="e">
        <f ca="1">IF((A1)=(2),"",IF((217)=(K3),IF(IF((INDEX(B1:XFD1,((A2)+(1))+(0)))=("store"),(INDEX(B1:XFD1,((A2)+(1))+(1)))=("K"),"false"),B2,K220),K220))</f>
        <v>#VALUE!</v>
      </c>
      <c r="L220" t="e">
        <f ca="1">IF((A1)=(2),"",IF((217)=(L3),IF(IF((INDEX(B1:XFD1,((A2)+(1))+(0)))=("store"),(INDEX(B1:XFD1,((A2)+(1))+(1)))=("L"),"false"),B2,L220),L220))</f>
        <v>#VALUE!</v>
      </c>
      <c r="M220" t="e">
        <f ca="1">IF((A1)=(2),"",IF((217)=(M3),IF(IF((INDEX(B1:XFD1,((A2)+(1))+(0)))=("store"),(INDEX(B1:XFD1,((A2)+(1))+(1)))=("M"),"false"),B2,M220),M220))</f>
        <v>#VALUE!</v>
      </c>
      <c r="N220" t="e">
        <f ca="1">IF((A1)=(2),"",IF((217)=(N3),IF(IF((INDEX(B1:XFD1,((A2)+(1))+(0)))=("store"),(INDEX(B1:XFD1,((A2)+(1))+(1)))=("N"),"false"),B2,N220),N220))</f>
        <v>#VALUE!</v>
      </c>
      <c r="O220" t="e">
        <f ca="1">IF((A1)=(2),"",IF((217)=(O3),IF(IF((INDEX(B1:XFD1,((A2)+(1))+(0)))=("store"),(INDEX(B1:XFD1,((A2)+(1))+(1)))=("O"),"false"),B2,O220),O220))</f>
        <v>#VALUE!</v>
      </c>
      <c r="P220" t="e">
        <f ca="1">IF((A1)=(2),"",IF((217)=(P3),IF(IF((INDEX(B1:XFD1,((A2)+(1))+(0)))=("store"),(INDEX(B1:XFD1,((A2)+(1))+(1)))=("P"),"false"),B2,P220),P220))</f>
        <v>#VALUE!</v>
      </c>
      <c r="Q220" t="e">
        <f ca="1">IF((A1)=(2),"",IF((217)=(Q3),IF(IF((INDEX(B1:XFD1,((A2)+(1))+(0)))=("store"),(INDEX(B1:XFD1,((A2)+(1))+(1)))=("Q"),"false"),B2,Q220),Q220))</f>
        <v>#VALUE!</v>
      </c>
      <c r="R220" t="e">
        <f ca="1">IF((A1)=(2),"",IF((217)=(R3),IF(IF((INDEX(B1:XFD1,((A2)+(1))+(0)))=("store"),(INDEX(B1:XFD1,((A2)+(1))+(1)))=("R"),"false"),B2,R220),R220))</f>
        <v>#VALUE!</v>
      </c>
      <c r="S220" t="e">
        <f ca="1">IF((A1)=(2),"",IF((217)=(S3),IF(IF((INDEX(B1:XFD1,((A2)+(1))+(0)))=("store"),(INDEX(B1:XFD1,((A2)+(1))+(1)))=("S"),"false"),B2,S220),S220))</f>
        <v>#VALUE!</v>
      </c>
      <c r="T220" t="e">
        <f ca="1">IF((A1)=(2),"",IF((217)=(T3),IF(IF((INDEX(B1:XFD1,((A2)+(1))+(0)))=("store"),(INDEX(B1:XFD1,((A2)+(1))+(1)))=("T"),"false"),B2,T220),T220))</f>
        <v>#VALUE!</v>
      </c>
      <c r="U220" t="e">
        <f ca="1">IF((A1)=(2),"",IF((217)=(U3),IF(IF((INDEX(B1:XFD1,((A2)+(1))+(0)))=("store"),(INDEX(B1:XFD1,((A2)+(1))+(1)))=("U"),"false"),B2,U220),U220))</f>
        <v>#VALUE!</v>
      </c>
      <c r="V220" t="e">
        <f ca="1">IF((A1)=(2),"",IF((217)=(V3),IF(IF((INDEX(B1:XFD1,((A2)+(1))+(0)))=("store"),(INDEX(B1:XFD1,((A2)+(1))+(1)))=("V"),"false"),B2,V220),V220))</f>
        <v>#VALUE!</v>
      </c>
      <c r="W220" t="e">
        <f ca="1">IF((A1)=(2),"",IF((217)=(W3),IF(IF((INDEX(B1:XFD1,((A2)+(1))+(0)))=("store"),(INDEX(B1:XFD1,((A2)+(1))+(1)))=("W"),"false"),B2,W220),W220))</f>
        <v>#VALUE!</v>
      </c>
      <c r="X220" t="e">
        <f ca="1">IF((A1)=(2),"",IF((217)=(X3),IF(IF((INDEX(B1:XFD1,((A2)+(1))+(0)))=("store"),(INDEX(B1:XFD1,((A2)+(1))+(1)))=("X"),"false"),B2,X220),X220))</f>
        <v>#VALUE!</v>
      </c>
      <c r="Y220" t="e">
        <f ca="1">IF((A1)=(2),"",IF((217)=(Y3),IF(IF((INDEX(B1:XFD1,((A2)+(1))+(0)))=("store"),(INDEX(B1:XFD1,((A2)+(1))+(1)))=("Y"),"false"),B2,Y220),Y220))</f>
        <v>#VALUE!</v>
      </c>
      <c r="Z220" t="e">
        <f ca="1">IF((A1)=(2),"",IF((217)=(Z3),IF(IF((INDEX(B1:XFD1,((A2)+(1))+(0)))=("store"),(INDEX(B1:XFD1,((A2)+(1))+(1)))=("Z"),"false"),B2,Z220),Z220))</f>
        <v>#VALUE!</v>
      </c>
      <c r="AA220" t="e">
        <f ca="1">IF((A1)=(2),"",IF((217)=(AA3),IF(IF((INDEX(B1:XFD1,((A2)+(1))+(0)))=("store"),(INDEX(B1:XFD1,((A2)+(1))+(1)))=("AA"),"false"),B2,AA220),AA220))</f>
        <v>#VALUE!</v>
      </c>
      <c r="AB220" t="e">
        <f ca="1">IF((A1)=(2),"",IF((217)=(AB3),IF(IF((INDEX(B1:XFD1,((A2)+(1))+(0)))=("store"),(INDEX(B1:XFD1,((A2)+(1))+(1)))=("AB"),"false"),B2,AB220),AB220))</f>
        <v>#VALUE!</v>
      </c>
      <c r="AC220" t="e">
        <f ca="1">IF((A1)=(2),"",IF((217)=(AC3),IF(IF((INDEX(B1:XFD1,((A2)+(1))+(0)))=("store"),(INDEX(B1:XFD1,((A2)+(1))+(1)))=("AC"),"false"),B2,AC220),AC220))</f>
        <v>#VALUE!</v>
      </c>
      <c r="AD220" t="e">
        <f ca="1">IF((A1)=(2),"",IF((217)=(AD3),IF(IF((INDEX(B1:XFD1,((A2)+(1))+(0)))=("store"),(INDEX(B1:XFD1,((A2)+(1))+(1)))=("AD"),"false"),B2,AD220),AD220))</f>
        <v>#VALUE!</v>
      </c>
    </row>
    <row r="221" spans="1:30" x14ac:dyDescent="0.25">
      <c r="A221" t="e">
        <f ca="1">IF((A1)=(2),"",IF((218)=(A3),IF(("call")=(INDEX(B1:XFD1,((A2)+(1))+(0))),(B2)*(2),IF(("goto")=(INDEX(B1:XFD1,((A2)+(1))+(0))),(INDEX(B1:XFD1,((A2)+(1))+(1)))*(2),IF(("gotoiftrue")=(INDEX(B1:XFD1,((A2)+(1))+(0))),IF(B2,(INDEX(B1:XFD1,((A2)+(1))+(1)))*(2),(A221)+(2)),(A221)+(2)))),A221))</f>
        <v>#VALUE!</v>
      </c>
      <c r="B221" t="e">
        <f ca="1">IF((A1)=(2),"",IF((218)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221)+(1)),IF(("add")=(INDEX(B1:XFD1,((A2)+(1))+(0))),(INDEX(B4:B404,(B3)+(1)))+(B221),IF(("equals")=(INDEX(B1:XFD1,((A2)+(1))+(0))),(INDEX(B4:B404,(B3)+(1)))=(B221),IF(("leq")=(INDEX(B1:XFD1,((A2)+(1))+(0))),(INDEX(B4:B404,(B3)+(1)))&lt;=(B221),IF(("greater")=(INDEX(B1:XFD1,((A2)+(1))+(0))),(INDEX(B4:B404,(B3)+(1)))&gt;(B221),IF(("mod")=(INDEX(B1:XFD1,((A2)+(1))+(0))),MOD(INDEX(B4:B404,(B3)+(1)),B221),B221))))))))),B221))</f>
        <v>#VALUE!</v>
      </c>
      <c r="C221" t="e">
        <f ca="1">IF((A1)=(2),1,IF(AND((INDEX(B1:XFD1,((A2)+(1))+(0)))=("writeheap"),(INDEX(B4:B404,(B3)+(1)))=(217)),INDEX(B4:B404,(B3)+(2)),IF((A1)=(2),"",IF((218)=(C3),C221,C221))))</f>
        <v>#VALUE!</v>
      </c>
      <c r="E221" t="e">
        <f ca="1">IF((A1)=(2),"",IF((218)=(E3),IF(("outputline")=(INDEX(B1:XFD1,((A2)+(1))+(0))),B2,E221),E221))</f>
        <v>#VALUE!</v>
      </c>
      <c r="F221" t="e">
        <f ca="1">IF((A1)=(2),"",IF((218)=(F3),IF(IF((INDEX(B1:XFD1,((A2)+(1))+(0)))=("store"),(INDEX(B1:XFD1,((A2)+(1))+(1)))=("F"),"false"),B2,F221),F221))</f>
        <v>#VALUE!</v>
      </c>
      <c r="G221" t="e">
        <f ca="1">IF((A1)=(2),"",IF((218)=(G3),IF(IF((INDEX(B1:XFD1,((A2)+(1))+(0)))=("store"),(INDEX(B1:XFD1,((A2)+(1))+(1)))=("G"),"false"),B2,G221),G221))</f>
        <v>#VALUE!</v>
      </c>
      <c r="H221" t="e">
        <f ca="1">IF((A1)=(2),"",IF((218)=(H3),IF(IF((INDEX(B1:XFD1,((A2)+(1))+(0)))=("store"),(INDEX(B1:XFD1,((A2)+(1))+(1)))=("H"),"false"),B2,H221),H221))</f>
        <v>#VALUE!</v>
      </c>
      <c r="I221" t="e">
        <f ca="1">IF((A1)=(2),"",IF((218)=(I3),IF(IF((INDEX(B1:XFD1,((A2)+(1))+(0)))=("store"),(INDEX(B1:XFD1,((A2)+(1))+(1)))=("I"),"false"),B2,I221),I221))</f>
        <v>#VALUE!</v>
      </c>
      <c r="J221" t="e">
        <f ca="1">IF((A1)=(2),"",IF((218)=(J3),IF(IF((INDEX(B1:XFD1,((A2)+(1))+(0)))=("store"),(INDEX(B1:XFD1,((A2)+(1))+(1)))=("J"),"false"),B2,J221),J221))</f>
        <v>#VALUE!</v>
      </c>
      <c r="K221" t="e">
        <f ca="1">IF((A1)=(2),"",IF((218)=(K3),IF(IF((INDEX(B1:XFD1,((A2)+(1))+(0)))=("store"),(INDEX(B1:XFD1,((A2)+(1))+(1)))=("K"),"false"),B2,K221),K221))</f>
        <v>#VALUE!</v>
      </c>
      <c r="L221" t="e">
        <f ca="1">IF((A1)=(2),"",IF((218)=(L3),IF(IF((INDEX(B1:XFD1,((A2)+(1))+(0)))=("store"),(INDEX(B1:XFD1,((A2)+(1))+(1)))=("L"),"false"),B2,L221),L221))</f>
        <v>#VALUE!</v>
      </c>
      <c r="M221" t="e">
        <f ca="1">IF((A1)=(2),"",IF((218)=(M3),IF(IF((INDEX(B1:XFD1,((A2)+(1))+(0)))=("store"),(INDEX(B1:XFD1,((A2)+(1))+(1)))=("M"),"false"),B2,M221),M221))</f>
        <v>#VALUE!</v>
      </c>
      <c r="N221" t="e">
        <f ca="1">IF((A1)=(2),"",IF((218)=(N3),IF(IF((INDEX(B1:XFD1,((A2)+(1))+(0)))=("store"),(INDEX(B1:XFD1,((A2)+(1))+(1)))=("N"),"false"),B2,N221),N221))</f>
        <v>#VALUE!</v>
      </c>
      <c r="O221" t="e">
        <f ca="1">IF((A1)=(2),"",IF((218)=(O3),IF(IF((INDEX(B1:XFD1,((A2)+(1))+(0)))=("store"),(INDEX(B1:XFD1,((A2)+(1))+(1)))=("O"),"false"),B2,O221),O221))</f>
        <v>#VALUE!</v>
      </c>
      <c r="P221" t="e">
        <f ca="1">IF((A1)=(2),"",IF((218)=(P3),IF(IF((INDEX(B1:XFD1,((A2)+(1))+(0)))=("store"),(INDEX(B1:XFD1,((A2)+(1))+(1)))=("P"),"false"),B2,P221),P221))</f>
        <v>#VALUE!</v>
      </c>
      <c r="Q221" t="e">
        <f ca="1">IF((A1)=(2),"",IF((218)=(Q3),IF(IF((INDEX(B1:XFD1,((A2)+(1))+(0)))=("store"),(INDEX(B1:XFD1,((A2)+(1))+(1)))=("Q"),"false"),B2,Q221),Q221))</f>
        <v>#VALUE!</v>
      </c>
      <c r="R221" t="e">
        <f ca="1">IF((A1)=(2),"",IF((218)=(R3),IF(IF((INDEX(B1:XFD1,((A2)+(1))+(0)))=("store"),(INDEX(B1:XFD1,((A2)+(1))+(1)))=("R"),"false"),B2,R221),R221))</f>
        <v>#VALUE!</v>
      </c>
      <c r="S221" t="e">
        <f ca="1">IF((A1)=(2),"",IF((218)=(S3),IF(IF((INDEX(B1:XFD1,((A2)+(1))+(0)))=("store"),(INDEX(B1:XFD1,((A2)+(1))+(1)))=("S"),"false"),B2,S221),S221))</f>
        <v>#VALUE!</v>
      </c>
      <c r="T221" t="e">
        <f ca="1">IF((A1)=(2),"",IF((218)=(T3),IF(IF((INDEX(B1:XFD1,((A2)+(1))+(0)))=("store"),(INDEX(B1:XFD1,((A2)+(1))+(1)))=("T"),"false"),B2,T221),T221))</f>
        <v>#VALUE!</v>
      </c>
      <c r="U221" t="e">
        <f ca="1">IF((A1)=(2),"",IF((218)=(U3),IF(IF((INDEX(B1:XFD1,((A2)+(1))+(0)))=("store"),(INDEX(B1:XFD1,((A2)+(1))+(1)))=("U"),"false"),B2,U221),U221))</f>
        <v>#VALUE!</v>
      </c>
      <c r="V221" t="e">
        <f ca="1">IF((A1)=(2),"",IF((218)=(V3),IF(IF((INDEX(B1:XFD1,((A2)+(1))+(0)))=("store"),(INDEX(B1:XFD1,((A2)+(1))+(1)))=("V"),"false"),B2,V221),V221))</f>
        <v>#VALUE!</v>
      </c>
      <c r="W221" t="e">
        <f ca="1">IF((A1)=(2),"",IF((218)=(W3),IF(IF((INDEX(B1:XFD1,((A2)+(1))+(0)))=("store"),(INDEX(B1:XFD1,((A2)+(1))+(1)))=("W"),"false"),B2,W221),W221))</f>
        <v>#VALUE!</v>
      </c>
      <c r="X221" t="e">
        <f ca="1">IF((A1)=(2),"",IF((218)=(X3),IF(IF((INDEX(B1:XFD1,((A2)+(1))+(0)))=("store"),(INDEX(B1:XFD1,((A2)+(1))+(1)))=("X"),"false"),B2,X221),X221))</f>
        <v>#VALUE!</v>
      </c>
      <c r="Y221" t="e">
        <f ca="1">IF((A1)=(2),"",IF((218)=(Y3),IF(IF((INDEX(B1:XFD1,((A2)+(1))+(0)))=("store"),(INDEX(B1:XFD1,((A2)+(1))+(1)))=("Y"),"false"),B2,Y221),Y221))</f>
        <v>#VALUE!</v>
      </c>
      <c r="Z221" t="e">
        <f ca="1">IF((A1)=(2),"",IF((218)=(Z3),IF(IF((INDEX(B1:XFD1,((A2)+(1))+(0)))=("store"),(INDEX(B1:XFD1,((A2)+(1))+(1)))=("Z"),"false"),B2,Z221),Z221))</f>
        <v>#VALUE!</v>
      </c>
      <c r="AA221" t="e">
        <f ca="1">IF((A1)=(2),"",IF((218)=(AA3),IF(IF((INDEX(B1:XFD1,((A2)+(1))+(0)))=("store"),(INDEX(B1:XFD1,((A2)+(1))+(1)))=("AA"),"false"),B2,AA221),AA221))</f>
        <v>#VALUE!</v>
      </c>
      <c r="AB221" t="e">
        <f ca="1">IF((A1)=(2),"",IF((218)=(AB3),IF(IF((INDEX(B1:XFD1,((A2)+(1))+(0)))=("store"),(INDEX(B1:XFD1,((A2)+(1))+(1)))=("AB"),"false"),B2,AB221),AB221))</f>
        <v>#VALUE!</v>
      </c>
      <c r="AC221" t="e">
        <f ca="1">IF((A1)=(2),"",IF((218)=(AC3),IF(IF((INDEX(B1:XFD1,((A2)+(1))+(0)))=("store"),(INDEX(B1:XFD1,((A2)+(1))+(1)))=("AC"),"false"),B2,AC221),AC221))</f>
        <v>#VALUE!</v>
      </c>
      <c r="AD221" t="e">
        <f ca="1">IF((A1)=(2),"",IF((218)=(AD3),IF(IF((INDEX(B1:XFD1,((A2)+(1))+(0)))=("store"),(INDEX(B1:XFD1,((A2)+(1))+(1)))=("AD"),"false"),B2,AD221),AD221))</f>
        <v>#VALUE!</v>
      </c>
    </row>
    <row r="222" spans="1:30" x14ac:dyDescent="0.25">
      <c r="A222" t="e">
        <f ca="1">IF((A1)=(2),"",IF((219)=(A3),IF(("call")=(INDEX(B1:XFD1,((A2)+(1))+(0))),(B2)*(2),IF(("goto")=(INDEX(B1:XFD1,((A2)+(1))+(0))),(INDEX(B1:XFD1,((A2)+(1))+(1)))*(2),IF(("gotoiftrue")=(INDEX(B1:XFD1,((A2)+(1))+(0))),IF(B2,(INDEX(B1:XFD1,((A2)+(1))+(1)))*(2),(A222)+(2)),(A222)+(2)))),A222))</f>
        <v>#VALUE!</v>
      </c>
      <c r="B222" t="e">
        <f ca="1">IF((A1)=(2),"",IF((219)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222)+(1)),IF(("add")=(INDEX(B1:XFD1,((A2)+(1))+(0))),(INDEX(B4:B404,(B3)+(1)))+(B222),IF(("equals")=(INDEX(B1:XFD1,((A2)+(1))+(0))),(INDEX(B4:B404,(B3)+(1)))=(B222),IF(("leq")=(INDEX(B1:XFD1,((A2)+(1))+(0))),(INDEX(B4:B404,(B3)+(1)))&lt;=(B222),IF(("greater")=(INDEX(B1:XFD1,((A2)+(1))+(0))),(INDEX(B4:B404,(B3)+(1)))&gt;(B222),IF(("mod")=(INDEX(B1:XFD1,((A2)+(1))+(0))),MOD(INDEX(B4:B404,(B3)+(1)),B222),B222))))))))),B222))</f>
        <v>#VALUE!</v>
      </c>
      <c r="C222" t="e">
        <f ca="1">IF((A1)=(2),1,IF(AND((INDEX(B1:XFD1,((A2)+(1))+(0)))=("writeheap"),(INDEX(B4:B404,(B3)+(1)))=(218)),INDEX(B4:B404,(B3)+(2)),IF((A1)=(2),"",IF((219)=(C3),C222,C222))))</f>
        <v>#VALUE!</v>
      </c>
      <c r="E222" t="e">
        <f ca="1">IF((A1)=(2),"",IF((219)=(E3),IF(("outputline")=(INDEX(B1:XFD1,((A2)+(1))+(0))),B2,E222),E222))</f>
        <v>#VALUE!</v>
      </c>
      <c r="F222" t="e">
        <f ca="1">IF((A1)=(2),"",IF((219)=(F3),IF(IF((INDEX(B1:XFD1,((A2)+(1))+(0)))=("store"),(INDEX(B1:XFD1,((A2)+(1))+(1)))=("F"),"false"),B2,F222),F222))</f>
        <v>#VALUE!</v>
      </c>
      <c r="G222" t="e">
        <f ca="1">IF((A1)=(2),"",IF((219)=(G3),IF(IF((INDEX(B1:XFD1,((A2)+(1))+(0)))=("store"),(INDEX(B1:XFD1,((A2)+(1))+(1)))=("G"),"false"),B2,G222),G222))</f>
        <v>#VALUE!</v>
      </c>
      <c r="H222" t="e">
        <f ca="1">IF((A1)=(2),"",IF((219)=(H3),IF(IF((INDEX(B1:XFD1,((A2)+(1))+(0)))=("store"),(INDEX(B1:XFD1,((A2)+(1))+(1)))=("H"),"false"),B2,H222),H222))</f>
        <v>#VALUE!</v>
      </c>
      <c r="I222" t="e">
        <f ca="1">IF((A1)=(2),"",IF((219)=(I3),IF(IF((INDEX(B1:XFD1,((A2)+(1))+(0)))=("store"),(INDEX(B1:XFD1,((A2)+(1))+(1)))=("I"),"false"),B2,I222),I222))</f>
        <v>#VALUE!</v>
      </c>
      <c r="J222" t="e">
        <f ca="1">IF((A1)=(2),"",IF((219)=(J3),IF(IF((INDEX(B1:XFD1,((A2)+(1))+(0)))=("store"),(INDEX(B1:XFD1,((A2)+(1))+(1)))=("J"),"false"),B2,J222),J222))</f>
        <v>#VALUE!</v>
      </c>
      <c r="K222" t="e">
        <f ca="1">IF((A1)=(2),"",IF((219)=(K3),IF(IF((INDEX(B1:XFD1,((A2)+(1))+(0)))=("store"),(INDEX(B1:XFD1,((A2)+(1))+(1)))=("K"),"false"),B2,K222),K222))</f>
        <v>#VALUE!</v>
      </c>
      <c r="L222" t="e">
        <f ca="1">IF((A1)=(2),"",IF((219)=(L3),IF(IF((INDEX(B1:XFD1,((A2)+(1))+(0)))=("store"),(INDEX(B1:XFD1,((A2)+(1))+(1)))=("L"),"false"),B2,L222),L222))</f>
        <v>#VALUE!</v>
      </c>
      <c r="M222" t="e">
        <f ca="1">IF((A1)=(2),"",IF((219)=(M3),IF(IF((INDEX(B1:XFD1,((A2)+(1))+(0)))=("store"),(INDEX(B1:XFD1,((A2)+(1))+(1)))=("M"),"false"),B2,M222),M222))</f>
        <v>#VALUE!</v>
      </c>
      <c r="N222" t="e">
        <f ca="1">IF((A1)=(2),"",IF((219)=(N3),IF(IF((INDEX(B1:XFD1,((A2)+(1))+(0)))=("store"),(INDEX(B1:XFD1,((A2)+(1))+(1)))=("N"),"false"),B2,N222),N222))</f>
        <v>#VALUE!</v>
      </c>
      <c r="O222" t="e">
        <f ca="1">IF((A1)=(2),"",IF((219)=(O3),IF(IF((INDEX(B1:XFD1,((A2)+(1))+(0)))=("store"),(INDEX(B1:XFD1,((A2)+(1))+(1)))=("O"),"false"),B2,O222),O222))</f>
        <v>#VALUE!</v>
      </c>
      <c r="P222" t="e">
        <f ca="1">IF((A1)=(2),"",IF((219)=(P3),IF(IF((INDEX(B1:XFD1,((A2)+(1))+(0)))=("store"),(INDEX(B1:XFD1,((A2)+(1))+(1)))=("P"),"false"),B2,P222),P222))</f>
        <v>#VALUE!</v>
      </c>
      <c r="Q222" t="e">
        <f ca="1">IF((A1)=(2),"",IF((219)=(Q3),IF(IF((INDEX(B1:XFD1,((A2)+(1))+(0)))=("store"),(INDEX(B1:XFD1,((A2)+(1))+(1)))=("Q"),"false"),B2,Q222),Q222))</f>
        <v>#VALUE!</v>
      </c>
      <c r="R222" t="e">
        <f ca="1">IF((A1)=(2),"",IF((219)=(R3),IF(IF((INDEX(B1:XFD1,((A2)+(1))+(0)))=("store"),(INDEX(B1:XFD1,((A2)+(1))+(1)))=("R"),"false"),B2,R222),R222))</f>
        <v>#VALUE!</v>
      </c>
      <c r="S222" t="e">
        <f ca="1">IF((A1)=(2),"",IF((219)=(S3),IF(IF((INDEX(B1:XFD1,((A2)+(1))+(0)))=("store"),(INDEX(B1:XFD1,((A2)+(1))+(1)))=("S"),"false"),B2,S222),S222))</f>
        <v>#VALUE!</v>
      </c>
      <c r="T222" t="e">
        <f ca="1">IF((A1)=(2),"",IF((219)=(T3),IF(IF((INDEX(B1:XFD1,((A2)+(1))+(0)))=("store"),(INDEX(B1:XFD1,((A2)+(1))+(1)))=("T"),"false"),B2,T222),T222))</f>
        <v>#VALUE!</v>
      </c>
      <c r="U222" t="e">
        <f ca="1">IF((A1)=(2),"",IF((219)=(U3),IF(IF((INDEX(B1:XFD1,((A2)+(1))+(0)))=("store"),(INDEX(B1:XFD1,((A2)+(1))+(1)))=("U"),"false"),B2,U222),U222))</f>
        <v>#VALUE!</v>
      </c>
      <c r="V222" t="e">
        <f ca="1">IF((A1)=(2),"",IF((219)=(V3),IF(IF((INDEX(B1:XFD1,((A2)+(1))+(0)))=("store"),(INDEX(B1:XFD1,((A2)+(1))+(1)))=("V"),"false"),B2,V222),V222))</f>
        <v>#VALUE!</v>
      </c>
      <c r="W222" t="e">
        <f ca="1">IF((A1)=(2),"",IF((219)=(W3),IF(IF((INDEX(B1:XFD1,((A2)+(1))+(0)))=("store"),(INDEX(B1:XFD1,((A2)+(1))+(1)))=("W"),"false"),B2,W222),W222))</f>
        <v>#VALUE!</v>
      </c>
      <c r="X222" t="e">
        <f ca="1">IF((A1)=(2),"",IF((219)=(X3),IF(IF((INDEX(B1:XFD1,((A2)+(1))+(0)))=("store"),(INDEX(B1:XFD1,((A2)+(1))+(1)))=("X"),"false"),B2,X222),X222))</f>
        <v>#VALUE!</v>
      </c>
      <c r="Y222" t="e">
        <f ca="1">IF((A1)=(2),"",IF((219)=(Y3),IF(IF((INDEX(B1:XFD1,((A2)+(1))+(0)))=("store"),(INDEX(B1:XFD1,((A2)+(1))+(1)))=("Y"),"false"),B2,Y222),Y222))</f>
        <v>#VALUE!</v>
      </c>
      <c r="Z222" t="e">
        <f ca="1">IF((A1)=(2),"",IF((219)=(Z3),IF(IF((INDEX(B1:XFD1,((A2)+(1))+(0)))=("store"),(INDEX(B1:XFD1,((A2)+(1))+(1)))=("Z"),"false"),B2,Z222),Z222))</f>
        <v>#VALUE!</v>
      </c>
      <c r="AA222" t="e">
        <f ca="1">IF((A1)=(2),"",IF((219)=(AA3),IF(IF((INDEX(B1:XFD1,((A2)+(1))+(0)))=("store"),(INDEX(B1:XFD1,((A2)+(1))+(1)))=("AA"),"false"),B2,AA222),AA222))</f>
        <v>#VALUE!</v>
      </c>
      <c r="AB222" t="e">
        <f ca="1">IF((A1)=(2),"",IF((219)=(AB3),IF(IF((INDEX(B1:XFD1,((A2)+(1))+(0)))=("store"),(INDEX(B1:XFD1,((A2)+(1))+(1)))=("AB"),"false"),B2,AB222),AB222))</f>
        <v>#VALUE!</v>
      </c>
      <c r="AC222" t="e">
        <f ca="1">IF((A1)=(2),"",IF((219)=(AC3),IF(IF((INDEX(B1:XFD1,((A2)+(1))+(0)))=("store"),(INDEX(B1:XFD1,((A2)+(1))+(1)))=("AC"),"false"),B2,AC222),AC222))</f>
        <v>#VALUE!</v>
      </c>
      <c r="AD222" t="e">
        <f ca="1">IF((A1)=(2),"",IF((219)=(AD3),IF(IF((INDEX(B1:XFD1,((A2)+(1))+(0)))=("store"),(INDEX(B1:XFD1,((A2)+(1))+(1)))=("AD"),"false"),B2,AD222),AD222))</f>
        <v>#VALUE!</v>
      </c>
    </row>
    <row r="223" spans="1:30" x14ac:dyDescent="0.25">
      <c r="A223" t="e">
        <f ca="1">IF((A1)=(2),"",IF((220)=(A3),IF(("call")=(INDEX(B1:XFD1,((A2)+(1))+(0))),(B2)*(2),IF(("goto")=(INDEX(B1:XFD1,((A2)+(1))+(0))),(INDEX(B1:XFD1,((A2)+(1))+(1)))*(2),IF(("gotoiftrue")=(INDEX(B1:XFD1,((A2)+(1))+(0))),IF(B2,(INDEX(B1:XFD1,((A2)+(1))+(1)))*(2),(A223)+(2)),(A223)+(2)))),A223))</f>
        <v>#VALUE!</v>
      </c>
      <c r="B223" t="e">
        <f ca="1">IF((A1)=(2),"",IF((220)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223)+(1)),IF(("add")=(INDEX(B1:XFD1,((A2)+(1))+(0))),(INDEX(B4:B404,(B3)+(1)))+(B223),IF(("equals")=(INDEX(B1:XFD1,((A2)+(1))+(0))),(INDEX(B4:B404,(B3)+(1)))=(B223),IF(("leq")=(INDEX(B1:XFD1,((A2)+(1))+(0))),(INDEX(B4:B404,(B3)+(1)))&lt;=(B223),IF(("greater")=(INDEX(B1:XFD1,((A2)+(1))+(0))),(INDEX(B4:B404,(B3)+(1)))&gt;(B223),IF(("mod")=(INDEX(B1:XFD1,((A2)+(1))+(0))),MOD(INDEX(B4:B404,(B3)+(1)),B223),B223))))))))),B223))</f>
        <v>#VALUE!</v>
      </c>
      <c r="C223" t="e">
        <f ca="1">IF((A1)=(2),1,IF(AND((INDEX(B1:XFD1,((A2)+(1))+(0)))=("writeheap"),(INDEX(B4:B404,(B3)+(1)))=(219)),INDEX(B4:B404,(B3)+(2)),IF((A1)=(2),"",IF((220)=(C3),C223,C223))))</f>
        <v>#VALUE!</v>
      </c>
      <c r="E223" t="e">
        <f ca="1">IF((A1)=(2),"",IF((220)=(E3),IF(("outputline")=(INDEX(B1:XFD1,((A2)+(1))+(0))),B2,E223),E223))</f>
        <v>#VALUE!</v>
      </c>
      <c r="F223" t="e">
        <f ca="1">IF((A1)=(2),"",IF((220)=(F3),IF(IF((INDEX(B1:XFD1,((A2)+(1))+(0)))=("store"),(INDEX(B1:XFD1,((A2)+(1))+(1)))=("F"),"false"),B2,F223),F223))</f>
        <v>#VALUE!</v>
      </c>
      <c r="G223" t="e">
        <f ca="1">IF((A1)=(2),"",IF((220)=(G3),IF(IF((INDEX(B1:XFD1,((A2)+(1))+(0)))=("store"),(INDEX(B1:XFD1,((A2)+(1))+(1)))=("G"),"false"),B2,G223),G223))</f>
        <v>#VALUE!</v>
      </c>
      <c r="H223" t="e">
        <f ca="1">IF((A1)=(2),"",IF((220)=(H3),IF(IF((INDEX(B1:XFD1,((A2)+(1))+(0)))=("store"),(INDEX(B1:XFD1,((A2)+(1))+(1)))=("H"),"false"),B2,H223),H223))</f>
        <v>#VALUE!</v>
      </c>
      <c r="I223" t="e">
        <f ca="1">IF((A1)=(2),"",IF((220)=(I3),IF(IF((INDEX(B1:XFD1,((A2)+(1))+(0)))=("store"),(INDEX(B1:XFD1,((A2)+(1))+(1)))=("I"),"false"),B2,I223),I223))</f>
        <v>#VALUE!</v>
      </c>
      <c r="J223" t="e">
        <f ca="1">IF((A1)=(2),"",IF((220)=(J3),IF(IF((INDEX(B1:XFD1,((A2)+(1))+(0)))=("store"),(INDEX(B1:XFD1,((A2)+(1))+(1)))=("J"),"false"),B2,J223),J223))</f>
        <v>#VALUE!</v>
      </c>
      <c r="K223" t="e">
        <f ca="1">IF((A1)=(2),"",IF((220)=(K3),IF(IF((INDEX(B1:XFD1,((A2)+(1))+(0)))=("store"),(INDEX(B1:XFD1,((A2)+(1))+(1)))=("K"),"false"),B2,K223),K223))</f>
        <v>#VALUE!</v>
      </c>
      <c r="L223" t="e">
        <f ca="1">IF((A1)=(2),"",IF((220)=(L3),IF(IF((INDEX(B1:XFD1,((A2)+(1))+(0)))=("store"),(INDEX(B1:XFD1,((A2)+(1))+(1)))=("L"),"false"),B2,L223),L223))</f>
        <v>#VALUE!</v>
      </c>
      <c r="M223" t="e">
        <f ca="1">IF((A1)=(2),"",IF((220)=(M3),IF(IF((INDEX(B1:XFD1,((A2)+(1))+(0)))=("store"),(INDEX(B1:XFD1,((A2)+(1))+(1)))=("M"),"false"),B2,M223),M223))</f>
        <v>#VALUE!</v>
      </c>
      <c r="N223" t="e">
        <f ca="1">IF((A1)=(2),"",IF((220)=(N3),IF(IF((INDEX(B1:XFD1,((A2)+(1))+(0)))=("store"),(INDEX(B1:XFD1,((A2)+(1))+(1)))=("N"),"false"),B2,N223),N223))</f>
        <v>#VALUE!</v>
      </c>
      <c r="O223" t="e">
        <f ca="1">IF((A1)=(2),"",IF((220)=(O3),IF(IF((INDEX(B1:XFD1,((A2)+(1))+(0)))=("store"),(INDEX(B1:XFD1,((A2)+(1))+(1)))=("O"),"false"),B2,O223),O223))</f>
        <v>#VALUE!</v>
      </c>
      <c r="P223" t="e">
        <f ca="1">IF((A1)=(2),"",IF((220)=(P3),IF(IF((INDEX(B1:XFD1,((A2)+(1))+(0)))=("store"),(INDEX(B1:XFD1,((A2)+(1))+(1)))=("P"),"false"),B2,P223),P223))</f>
        <v>#VALUE!</v>
      </c>
      <c r="Q223" t="e">
        <f ca="1">IF((A1)=(2),"",IF((220)=(Q3),IF(IF((INDEX(B1:XFD1,((A2)+(1))+(0)))=("store"),(INDEX(B1:XFD1,((A2)+(1))+(1)))=("Q"),"false"),B2,Q223),Q223))</f>
        <v>#VALUE!</v>
      </c>
      <c r="R223" t="e">
        <f ca="1">IF((A1)=(2),"",IF((220)=(R3),IF(IF((INDEX(B1:XFD1,((A2)+(1))+(0)))=("store"),(INDEX(B1:XFD1,((A2)+(1))+(1)))=("R"),"false"),B2,R223),R223))</f>
        <v>#VALUE!</v>
      </c>
      <c r="S223" t="e">
        <f ca="1">IF((A1)=(2),"",IF((220)=(S3),IF(IF((INDEX(B1:XFD1,((A2)+(1))+(0)))=("store"),(INDEX(B1:XFD1,((A2)+(1))+(1)))=("S"),"false"),B2,S223),S223))</f>
        <v>#VALUE!</v>
      </c>
      <c r="T223" t="e">
        <f ca="1">IF((A1)=(2),"",IF((220)=(T3),IF(IF((INDEX(B1:XFD1,((A2)+(1))+(0)))=("store"),(INDEX(B1:XFD1,((A2)+(1))+(1)))=("T"),"false"),B2,T223),T223))</f>
        <v>#VALUE!</v>
      </c>
      <c r="U223" t="e">
        <f ca="1">IF((A1)=(2),"",IF((220)=(U3),IF(IF((INDEX(B1:XFD1,((A2)+(1))+(0)))=("store"),(INDEX(B1:XFD1,((A2)+(1))+(1)))=("U"),"false"),B2,U223),U223))</f>
        <v>#VALUE!</v>
      </c>
      <c r="V223" t="e">
        <f ca="1">IF((A1)=(2),"",IF((220)=(V3),IF(IF((INDEX(B1:XFD1,((A2)+(1))+(0)))=("store"),(INDEX(B1:XFD1,((A2)+(1))+(1)))=("V"),"false"),B2,V223),V223))</f>
        <v>#VALUE!</v>
      </c>
      <c r="W223" t="e">
        <f ca="1">IF((A1)=(2),"",IF((220)=(W3),IF(IF((INDEX(B1:XFD1,((A2)+(1))+(0)))=("store"),(INDEX(B1:XFD1,((A2)+(1))+(1)))=("W"),"false"),B2,W223),W223))</f>
        <v>#VALUE!</v>
      </c>
      <c r="X223" t="e">
        <f ca="1">IF((A1)=(2),"",IF((220)=(X3),IF(IF((INDEX(B1:XFD1,((A2)+(1))+(0)))=("store"),(INDEX(B1:XFD1,((A2)+(1))+(1)))=("X"),"false"),B2,X223),X223))</f>
        <v>#VALUE!</v>
      </c>
      <c r="Y223" t="e">
        <f ca="1">IF((A1)=(2),"",IF((220)=(Y3),IF(IF((INDEX(B1:XFD1,((A2)+(1))+(0)))=("store"),(INDEX(B1:XFD1,((A2)+(1))+(1)))=("Y"),"false"),B2,Y223),Y223))</f>
        <v>#VALUE!</v>
      </c>
      <c r="Z223" t="e">
        <f ca="1">IF((A1)=(2),"",IF((220)=(Z3),IF(IF((INDEX(B1:XFD1,((A2)+(1))+(0)))=("store"),(INDEX(B1:XFD1,((A2)+(1))+(1)))=("Z"),"false"),B2,Z223),Z223))</f>
        <v>#VALUE!</v>
      </c>
      <c r="AA223" t="e">
        <f ca="1">IF((A1)=(2),"",IF((220)=(AA3),IF(IF((INDEX(B1:XFD1,((A2)+(1))+(0)))=("store"),(INDEX(B1:XFD1,((A2)+(1))+(1)))=("AA"),"false"),B2,AA223),AA223))</f>
        <v>#VALUE!</v>
      </c>
      <c r="AB223" t="e">
        <f ca="1">IF((A1)=(2),"",IF((220)=(AB3),IF(IF((INDEX(B1:XFD1,((A2)+(1))+(0)))=("store"),(INDEX(B1:XFD1,((A2)+(1))+(1)))=("AB"),"false"),B2,AB223),AB223))</f>
        <v>#VALUE!</v>
      </c>
      <c r="AC223" t="e">
        <f ca="1">IF((A1)=(2),"",IF((220)=(AC3),IF(IF((INDEX(B1:XFD1,((A2)+(1))+(0)))=("store"),(INDEX(B1:XFD1,((A2)+(1))+(1)))=("AC"),"false"),B2,AC223),AC223))</f>
        <v>#VALUE!</v>
      </c>
      <c r="AD223" t="e">
        <f ca="1">IF((A1)=(2),"",IF((220)=(AD3),IF(IF((INDEX(B1:XFD1,((A2)+(1))+(0)))=("store"),(INDEX(B1:XFD1,((A2)+(1))+(1)))=("AD"),"false"),B2,AD223),AD223))</f>
        <v>#VALUE!</v>
      </c>
    </row>
    <row r="224" spans="1:30" x14ac:dyDescent="0.25">
      <c r="A224" t="e">
        <f ca="1">IF((A1)=(2),"",IF((221)=(A3),IF(("call")=(INDEX(B1:XFD1,((A2)+(1))+(0))),(B2)*(2),IF(("goto")=(INDEX(B1:XFD1,((A2)+(1))+(0))),(INDEX(B1:XFD1,((A2)+(1))+(1)))*(2),IF(("gotoiftrue")=(INDEX(B1:XFD1,((A2)+(1))+(0))),IF(B2,(INDEX(B1:XFD1,((A2)+(1))+(1)))*(2),(A224)+(2)),(A224)+(2)))),A224))</f>
        <v>#VALUE!</v>
      </c>
      <c r="B224" t="e">
        <f ca="1">IF((A1)=(2),"",IF((221)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224)+(1)),IF(("add")=(INDEX(B1:XFD1,((A2)+(1))+(0))),(INDEX(B4:B404,(B3)+(1)))+(B224),IF(("equals")=(INDEX(B1:XFD1,((A2)+(1))+(0))),(INDEX(B4:B404,(B3)+(1)))=(B224),IF(("leq")=(INDEX(B1:XFD1,((A2)+(1))+(0))),(INDEX(B4:B404,(B3)+(1)))&lt;=(B224),IF(("greater")=(INDEX(B1:XFD1,((A2)+(1))+(0))),(INDEX(B4:B404,(B3)+(1)))&gt;(B224),IF(("mod")=(INDEX(B1:XFD1,((A2)+(1))+(0))),MOD(INDEX(B4:B404,(B3)+(1)),B224),B224))))))))),B224))</f>
        <v>#VALUE!</v>
      </c>
      <c r="C224" t="e">
        <f ca="1">IF((A1)=(2),1,IF(AND((INDEX(B1:XFD1,((A2)+(1))+(0)))=("writeheap"),(INDEX(B4:B404,(B3)+(1)))=(220)),INDEX(B4:B404,(B3)+(2)),IF((A1)=(2),"",IF((221)=(C3),C224,C224))))</f>
        <v>#VALUE!</v>
      </c>
      <c r="E224" t="e">
        <f ca="1">IF((A1)=(2),"",IF((221)=(E3),IF(("outputline")=(INDEX(B1:XFD1,((A2)+(1))+(0))),B2,E224),E224))</f>
        <v>#VALUE!</v>
      </c>
      <c r="F224" t="e">
        <f ca="1">IF((A1)=(2),"",IF((221)=(F3),IF(IF((INDEX(B1:XFD1,((A2)+(1))+(0)))=("store"),(INDEX(B1:XFD1,((A2)+(1))+(1)))=("F"),"false"),B2,F224),F224))</f>
        <v>#VALUE!</v>
      </c>
      <c r="G224" t="e">
        <f ca="1">IF((A1)=(2),"",IF((221)=(G3),IF(IF((INDEX(B1:XFD1,((A2)+(1))+(0)))=("store"),(INDEX(B1:XFD1,((A2)+(1))+(1)))=("G"),"false"),B2,G224),G224))</f>
        <v>#VALUE!</v>
      </c>
      <c r="H224" t="e">
        <f ca="1">IF((A1)=(2),"",IF((221)=(H3),IF(IF((INDEX(B1:XFD1,((A2)+(1))+(0)))=("store"),(INDEX(B1:XFD1,((A2)+(1))+(1)))=("H"),"false"),B2,H224),H224))</f>
        <v>#VALUE!</v>
      </c>
      <c r="I224" t="e">
        <f ca="1">IF((A1)=(2),"",IF((221)=(I3),IF(IF((INDEX(B1:XFD1,((A2)+(1))+(0)))=("store"),(INDEX(B1:XFD1,((A2)+(1))+(1)))=("I"),"false"),B2,I224),I224))</f>
        <v>#VALUE!</v>
      </c>
      <c r="J224" t="e">
        <f ca="1">IF((A1)=(2),"",IF((221)=(J3),IF(IF((INDEX(B1:XFD1,((A2)+(1))+(0)))=("store"),(INDEX(B1:XFD1,((A2)+(1))+(1)))=("J"),"false"),B2,J224),J224))</f>
        <v>#VALUE!</v>
      </c>
      <c r="K224" t="e">
        <f ca="1">IF((A1)=(2),"",IF((221)=(K3),IF(IF((INDEX(B1:XFD1,((A2)+(1))+(0)))=("store"),(INDEX(B1:XFD1,((A2)+(1))+(1)))=("K"),"false"),B2,K224),K224))</f>
        <v>#VALUE!</v>
      </c>
      <c r="L224" t="e">
        <f ca="1">IF((A1)=(2),"",IF((221)=(L3),IF(IF((INDEX(B1:XFD1,((A2)+(1))+(0)))=("store"),(INDEX(B1:XFD1,((A2)+(1))+(1)))=("L"),"false"),B2,L224),L224))</f>
        <v>#VALUE!</v>
      </c>
      <c r="M224" t="e">
        <f ca="1">IF((A1)=(2),"",IF((221)=(M3),IF(IF((INDEX(B1:XFD1,((A2)+(1))+(0)))=("store"),(INDEX(B1:XFD1,((A2)+(1))+(1)))=("M"),"false"),B2,M224),M224))</f>
        <v>#VALUE!</v>
      </c>
      <c r="N224" t="e">
        <f ca="1">IF((A1)=(2),"",IF((221)=(N3),IF(IF((INDEX(B1:XFD1,((A2)+(1))+(0)))=("store"),(INDEX(B1:XFD1,((A2)+(1))+(1)))=("N"),"false"),B2,N224),N224))</f>
        <v>#VALUE!</v>
      </c>
      <c r="O224" t="e">
        <f ca="1">IF((A1)=(2),"",IF((221)=(O3),IF(IF((INDEX(B1:XFD1,((A2)+(1))+(0)))=("store"),(INDEX(B1:XFD1,((A2)+(1))+(1)))=("O"),"false"),B2,O224),O224))</f>
        <v>#VALUE!</v>
      </c>
      <c r="P224" t="e">
        <f ca="1">IF((A1)=(2),"",IF((221)=(P3),IF(IF((INDEX(B1:XFD1,((A2)+(1))+(0)))=("store"),(INDEX(B1:XFD1,((A2)+(1))+(1)))=("P"),"false"),B2,P224),P224))</f>
        <v>#VALUE!</v>
      </c>
      <c r="Q224" t="e">
        <f ca="1">IF((A1)=(2),"",IF((221)=(Q3),IF(IF((INDEX(B1:XFD1,((A2)+(1))+(0)))=("store"),(INDEX(B1:XFD1,((A2)+(1))+(1)))=("Q"),"false"),B2,Q224),Q224))</f>
        <v>#VALUE!</v>
      </c>
      <c r="R224" t="e">
        <f ca="1">IF((A1)=(2),"",IF((221)=(R3),IF(IF((INDEX(B1:XFD1,((A2)+(1))+(0)))=("store"),(INDEX(B1:XFD1,((A2)+(1))+(1)))=("R"),"false"),B2,R224),R224))</f>
        <v>#VALUE!</v>
      </c>
      <c r="S224" t="e">
        <f ca="1">IF((A1)=(2),"",IF((221)=(S3),IF(IF((INDEX(B1:XFD1,((A2)+(1))+(0)))=("store"),(INDEX(B1:XFD1,((A2)+(1))+(1)))=("S"),"false"),B2,S224),S224))</f>
        <v>#VALUE!</v>
      </c>
      <c r="T224" t="e">
        <f ca="1">IF((A1)=(2),"",IF((221)=(T3),IF(IF((INDEX(B1:XFD1,((A2)+(1))+(0)))=("store"),(INDEX(B1:XFD1,((A2)+(1))+(1)))=("T"),"false"),B2,T224),T224))</f>
        <v>#VALUE!</v>
      </c>
      <c r="U224" t="e">
        <f ca="1">IF((A1)=(2),"",IF((221)=(U3),IF(IF((INDEX(B1:XFD1,((A2)+(1))+(0)))=("store"),(INDEX(B1:XFD1,((A2)+(1))+(1)))=("U"),"false"),B2,U224),U224))</f>
        <v>#VALUE!</v>
      </c>
      <c r="V224" t="e">
        <f ca="1">IF((A1)=(2),"",IF((221)=(V3),IF(IF((INDEX(B1:XFD1,((A2)+(1))+(0)))=("store"),(INDEX(B1:XFD1,((A2)+(1))+(1)))=("V"),"false"),B2,V224),V224))</f>
        <v>#VALUE!</v>
      </c>
      <c r="W224" t="e">
        <f ca="1">IF((A1)=(2),"",IF((221)=(W3),IF(IF((INDEX(B1:XFD1,((A2)+(1))+(0)))=("store"),(INDEX(B1:XFD1,((A2)+(1))+(1)))=("W"),"false"),B2,W224),W224))</f>
        <v>#VALUE!</v>
      </c>
      <c r="X224" t="e">
        <f ca="1">IF((A1)=(2),"",IF((221)=(X3),IF(IF((INDEX(B1:XFD1,((A2)+(1))+(0)))=("store"),(INDEX(B1:XFD1,((A2)+(1))+(1)))=("X"),"false"),B2,X224),X224))</f>
        <v>#VALUE!</v>
      </c>
      <c r="Y224" t="e">
        <f ca="1">IF((A1)=(2),"",IF((221)=(Y3),IF(IF((INDEX(B1:XFD1,((A2)+(1))+(0)))=("store"),(INDEX(B1:XFD1,((A2)+(1))+(1)))=("Y"),"false"),B2,Y224),Y224))</f>
        <v>#VALUE!</v>
      </c>
      <c r="Z224" t="e">
        <f ca="1">IF((A1)=(2),"",IF((221)=(Z3),IF(IF((INDEX(B1:XFD1,((A2)+(1))+(0)))=("store"),(INDEX(B1:XFD1,((A2)+(1))+(1)))=("Z"),"false"),B2,Z224),Z224))</f>
        <v>#VALUE!</v>
      </c>
      <c r="AA224" t="e">
        <f ca="1">IF((A1)=(2),"",IF((221)=(AA3),IF(IF((INDEX(B1:XFD1,((A2)+(1))+(0)))=("store"),(INDEX(B1:XFD1,((A2)+(1))+(1)))=("AA"),"false"),B2,AA224),AA224))</f>
        <v>#VALUE!</v>
      </c>
      <c r="AB224" t="e">
        <f ca="1">IF((A1)=(2),"",IF((221)=(AB3),IF(IF((INDEX(B1:XFD1,((A2)+(1))+(0)))=("store"),(INDEX(B1:XFD1,((A2)+(1))+(1)))=("AB"),"false"),B2,AB224),AB224))</f>
        <v>#VALUE!</v>
      </c>
      <c r="AC224" t="e">
        <f ca="1">IF((A1)=(2),"",IF((221)=(AC3),IF(IF((INDEX(B1:XFD1,((A2)+(1))+(0)))=("store"),(INDEX(B1:XFD1,((A2)+(1))+(1)))=("AC"),"false"),B2,AC224),AC224))</f>
        <v>#VALUE!</v>
      </c>
      <c r="AD224" t="e">
        <f ca="1">IF((A1)=(2),"",IF((221)=(AD3),IF(IF((INDEX(B1:XFD1,((A2)+(1))+(0)))=("store"),(INDEX(B1:XFD1,((A2)+(1))+(1)))=("AD"),"false"),B2,AD224),AD224))</f>
        <v>#VALUE!</v>
      </c>
    </row>
    <row r="225" spans="1:30" x14ac:dyDescent="0.25">
      <c r="A225" t="e">
        <f ca="1">IF((A1)=(2),"",IF((222)=(A3),IF(("call")=(INDEX(B1:XFD1,((A2)+(1))+(0))),(B2)*(2),IF(("goto")=(INDEX(B1:XFD1,((A2)+(1))+(0))),(INDEX(B1:XFD1,((A2)+(1))+(1)))*(2),IF(("gotoiftrue")=(INDEX(B1:XFD1,((A2)+(1))+(0))),IF(B2,(INDEX(B1:XFD1,((A2)+(1))+(1)))*(2),(A225)+(2)),(A225)+(2)))),A225))</f>
        <v>#VALUE!</v>
      </c>
      <c r="B225" t="e">
        <f ca="1">IF((A1)=(2),"",IF((222)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225)+(1)),IF(("add")=(INDEX(B1:XFD1,((A2)+(1))+(0))),(INDEX(B4:B404,(B3)+(1)))+(B225),IF(("equals")=(INDEX(B1:XFD1,((A2)+(1))+(0))),(INDEX(B4:B404,(B3)+(1)))=(B225),IF(("leq")=(INDEX(B1:XFD1,((A2)+(1))+(0))),(INDEX(B4:B404,(B3)+(1)))&lt;=(B225),IF(("greater")=(INDEX(B1:XFD1,((A2)+(1))+(0))),(INDEX(B4:B404,(B3)+(1)))&gt;(B225),IF(("mod")=(INDEX(B1:XFD1,((A2)+(1))+(0))),MOD(INDEX(B4:B404,(B3)+(1)),B225),B225))))))))),B225))</f>
        <v>#VALUE!</v>
      </c>
      <c r="C225" t="e">
        <f ca="1">IF((A1)=(2),1,IF(AND((INDEX(B1:XFD1,((A2)+(1))+(0)))=("writeheap"),(INDEX(B4:B404,(B3)+(1)))=(221)),INDEX(B4:B404,(B3)+(2)),IF((A1)=(2),"",IF((222)=(C3),C225,C225))))</f>
        <v>#VALUE!</v>
      </c>
      <c r="E225" t="e">
        <f ca="1">IF((A1)=(2),"",IF((222)=(E3),IF(("outputline")=(INDEX(B1:XFD1,((A2)+(1))+(0))),B2,E225),E225))</f>
        <v>#VALUE!</v>
      </c>
      <c r="F225" t="e">
        <f ca="1">IF((A1)=(2),"",IF((222)=(F3),IF(IF((INDEX(B1:XFD1,((A2)+(1))+(0)))=("store"),(INDEX(B1:XFD1,((A2)+(1))+(1)))=("F"),"false"),B2,F225),F225))</f>
        <v>#VALUE!</v>
      </c>
      <c r="G225" t="e">
        <f ca="1">IF((A1)=(2),"",IF((222)=(G3),IF(IF((INDEX(B1:XFD1,((A2)+(1))+(0)))=("store"),(INDEX(B1:XFD1,((A2)+(1))+(1)))=("G"),"false"),B2,G225),G225))</f>
        <v>#VALUE!</v>
      </c>
      <c r="H225" t="e">
        <f ca="1">IF((A1)=(2),"",IF((222)=(H3),IF(IF((INDEX(B1:XFD1,((A2)+(1))+(0)))=("store"),(INDEX(B1:XFD1,((A2)+(1))+(1)))=("H"),"false"),B2,H225),H225))</f>
        <v>#VALUE!</v>
      </c>
      <c r="I225" t="e">
        <f ca="1">IF((A1)=(2),"",IF((222)=(I3),IF(IF((INDEX(B1:XFD1,((A2)+(1))+(0)))=("store"),(INDEX(B1:XFD1,((A2)+(1))+(1)))=("I"),"false"),B2,I225),I225))</f>
        <v>#VALUE!</v>
      </c>
      <c r="J225" t="e">
        <f ca="1">IF((A1)=(2),"",IF((222)=(J3),IF(IF((INDEX(B1:XFD1,((A2)+(1))+(0)))=("store"),(INDEX(B1:XFD1,((A2)+(1))+(1)))=("J"),"false"),B2,J225),J225))</f>
        <v>#VALUE!</v>
      </c>
      <c r="K225" t="e">
        <f ca="1">IF((A1)=(2),"",IF((222)=(K3),IF(IF((INDEX(B1:XFD1,((A2)+(1))+(0)))=("store"),(INDEX(B1:XFD1,((A2)+(1))+(1)))=("K"),"false"),B2,K225),K225))</f>
        <v>#VALUE!</v>
      </c>
      <c r="L225" t="e">
        <f ca="1">IF((A1)=(2),"",IF((222)=(L3),IF(IF((INDEX(B1:XFD1,((A2)+(1))+(0)))=("store"),(INDEX(B1:XFD1,((A2)+(1))+(1)))=("L"),"false"),B2,L225),L225))</f>
        <v>#VALUE!</v>
      </c>
      <c r="M225" t="e">
        <f ca="1">IF((A1)=(2),"",IF((222)=(M3),IF(IF((INDEX(B1:XFD1,((A2)+(1))+(0)))=("store"),(INDEX(B1:XFD1,((A2)+(1))+(1)))=("M"),"false"),B2,M225),M225))</f>
        <v>#VALUE!</v>
      </c>
      <c r="N225" t="e">
        <f ca="1">IF((A1)=(2),"",IF((222)=(N3),IF(IF((INDEX(B1:XFD1,((A2)+(1))+(0)))=("store"),(INDEX(B1:XFD1,((A2)+(1))+(1)))=("N"),"false"),B2,N225),N225))</f>
        <v>#VALUE!</v>
      </c>
      <c r="O225" t="e">
        <f ca="1">IF((A1)=(2),"",IF((222)=(O3),IF(IF((INDEX(B1:XFD1,((A2)+(1))+(0)))=("store"),(INDEX(B1:XFD1,((A2)+(1))+(1)))=("O"),"false"),B2,O225),O225))</f>
        <v>#VALUE!</v>
      </c>
      <c r="P225" t="e">
        <f ca="1">IF((A1)=(2),"",IF((222)=(P3),IF(IF((INDEX(B1:XFD1,((A2)+(1))+(0)))=("store"),(INDEX(B1:XFD1,((A2)+(1))+(1)))=("P"),"false"),B2,P225),P225))</f>
        <v>#VALUE!</v>
      </c>
      <c r="Q225" t="e">
        <f ca="1">IF((A1)=(2),"",IF((222)=(Q3),IF(IF((INDEX(B1:XFD1,((A2)+(1))+(0)))=("store"),(INDEX(B1:XFD1,((A2)+(1))+(1)))=("Q"),"false"),B2,Q225),Q225))</f>
        <v>#VALUE!</v>
      </c>
      <c r="R225" t="e">
        <f ca="1">IF((A1)=(2),"",IF((222)=(R3),IF(IF((INDEX(B1:XFD1,((A2)+(1))+(0)))=("store"),(INDEX(B1:XFD1,((A2)+(1))+(1)))=("R"),"false"),B2,R225),R225))</f>
        <v>#VALUE!</v>
      </c>
      <c r="S225" t="e">
        <f ca="1">IF((A1)=(2),"",IF((222)=(S3),IF(IF((INDEX(B1:XFD1,((A2)+(1))+(0)))=("store"),(INDEX(B1:XFD1,((A2)+(1))+(1)))=("S"),"false"),B2,S225),S225))</f>
        <v>#VALUE!</v>
      </c>
      <c r="T225" t="e">
        <f ca="1">IF((A1)=(2),"",IF((222)=(T3),IF(IF((INDEX(B1:XFD1,((A2)+(1))+(0)))=("store"),(INDEX(B1:XFD1,((A2)+(1))+(1)))=("T"),"false"),B2,T225),T225))</f>
        <v>#VALUE!</v>
      </c>
      <c r="U225" t="e">
        <f ca="1">IF((A1)=(2),"",IF((222)=(U3),IF(IF((INDEX(B1:XFD1,((A2)+(1))+(0)))=("store"),(INDEX(B1:XFD1,((A2)+(1))+(1)))=("U"),"false"),B2,U225),U225))</f>
        <v>#VALUE!</v>
      </c>
      <c r="V225" t="e">
        <f ca="1">IF((A1)=(2),"",IF((222)=(V3),IF(IF((INDEX(B1:XFD1,((A2)+(1))+(0)))=("store"),(INDEX(B1:XFD1,((A2)+(1))+(1)))=("V"),"false"),B2,V225),V225))</f>
        <v>#VALUE!</v>
      </c>
      <c r="W225" t="e">
        <f ca="1">IF((A1)=(2),"",IF((222)=(W3),IF(IF((INDEX(B1:XFD1,((A2)+(1))+(0)))=("store"),(INDEX(B1:XFD1,((A2)+(1))+(1)))=("W"),"false"),B2,W225),W225))</f>
        <v>#VALUE!</v>
      </c>
      <c r="X225" t="e">
        <f ca="1">IF((A1)=(2),"",IF((222)=(X3),IF(IF((INDEX(B1:XFD1,((A2)+(1))+(0)))=("store"),(INDEX(B1:XFD1,((A2)+(1))+(1)))=("X"),"false"),B2,X225),X225))</f>
        <v>#VALUE!</v>
      </c>
      <c r="Y225" t="e">
        <f ca="1">IF((A1)=(2),"",IF((222)=(Y3),IF(IF((INDEX(B1:XFD1,((A2)+(1))+(0)))=("store"),(INDEX(B1:XFD1,((A2)+(1))+(1)))=("Y"),"false"),B2,Y225),Y225))</f>
        <v>#VALUE!</v>
      </c>
      <c r="Z225" t="e">
        <f ca="1">IF((A1)=(2),"",IF((222)=(Z3),IF(IF((INDEX(B1:XFD1,((A2)+(1))+(0)))=("store"),(INDEX(B1:XFD1,((A2)+(1))+(1)))=("Z"),"false"),B2,Z225),Z225))</f>
        <v>#VALUE!</v>
      </c>
      <c r="AA225" t="e">
        <f ca="1">IF((A1)=(2),"",IF((222)=(AA3),IF(IF((INDEX(B1:XFD1,((A2)+(1))+(0)))=("store"),(INDEX(B1:XFD1,((A2)+(1))+(1)))=("AA"),"false"),B2,AA225),AA225))</f>
        <v>#VALUE!</v>
      </c>
      <c r="AB225" t="e">
        <f ca="1">IF((A1)=(2),"",IF((222)=(AB3),IF(IF((INDEX(B1:XFD1,((A2)+(1))+(0)))=("store"),(INDEX(B1:XFD1,((A2)+(1))+(1)))=("AB"),"false"),B2,AB225),AB225))</f>
        <v>#VALUE!</v>
      </c>
      <c r="AC225" t="e">
        <f ca="1">IF((A1)=(2),"",IF((222)=(AC3),IF(IF((INDEX(B1:XFD1,((A2)+(1))+(0)))=("store"),(INDEX(B1:XFD1,((A2)+(1))+(1)))=("AC"),"false"),B2,AC225),AC225))</f>
        <v>#VALUE!</v>
      </c>
      <c r="AD225" t="e">
        <f ca="1">IF((A1)=(2),"",IF((222)=(AD3),IF(IF((INDEX(B1:XFD1,((A2)+(1))+(0)))=("store"),(INDEX(B1:XFD1,((A2)+(1))+(1)))=("AD"),"false"),B2,AD225),AD225))</f>
        <v>#VALUE!</v>
      </c>
    </row>
    <row r="226" spans="1:30" x14ac:dyDescent="0.25">
      <c r="A226" t="e">
        <f ca="1">IF((A1)=(2),"",IF((223)=(A3),IF(("call")=(INDEX(B1:XFD1,((A2)+(1))+(0))),(B2)*(2),IF(("goto")=(INDEX(B1:XFD1,((A2)+(1))+(0))),(INDEX(B1:XFD1,((A2)+(1))+(1)))*(2),IF(("gotoiftrue")=(INDEX(B1:XFD1,((A2)+(1))+(0))),IF(B2,(INDEX(B1:XFD1,((A2)+(1))+(1)))*(2),(A226)+(2)),(A226)+(2)))),A226))</f>
        <v>#VALUE!</v>
      </c>
      <c r="B226" t="e">
        <f ca="1">IF((A1)=(2),"",IF((223)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226)+(1)),IF(("add")=(INDEX(B1:XFD1,((A2)+(1))+(0))),(INDEX(B4:B404,(B3)+(1)))+(B226),IF(("equals")=(INDEX(B1:XFD1,((A2)+(1))+(0))),(INDEX(B4:B404,(B3)+(1)))=(B226),IF(("leq")=(INDEX(B1:XFD1,((A2)+(1))+(0))),(INDEX(B4:B404,(B3)+(1)))&lt;=(B226),IF(("greater")=(INDEX(B1:XFD1,((A2)+(1))+(0))),(INDEX(B4:B404,(B3)+(1)))&gt;(B226),IF(("mod")=(INDEX(B1:XFD1,((A2)+(1))+(0))),MOD(INDEX(B4:B404,(B3)+(1)),B226),B226))))))))),B226))</f>
        <v>#VALUE!</v>
      </c>
      <c r="C226" t="e">
        <f ca="1">IF((A1)=(2),1,IF(AND((INDEX(B1:XFD1,((A2)+(1))+(0)))=("writeheap"),(INDEX(B4:B404,(B3)+(1)))=(222)),INDEX(B4:B404,(B3)+(2)),IF((A1)=(2),"",IF((223)=(C3),C226,C226))))</f>
        <v>#VALUE!</v>
      </c>
      <c r="E226" t="e">
        <f ca="1">IF((A1)=(2),"",IF((223)=(E3),IF(("outputline")=(INDEX(B1:XFD1,((A2)+(1))+(0))),B2,E226),E226))</f>
        <v>#VALUE!</v>
      </c>
      <c r="F226" t="e">
        <f ca="1">IF((A1)=(2),"",IF((223)=(F3),IF(IF((INDEX(B1:XFD1,((A2)+(1))+(0)))=("store"),(INDEX(B1:XFD1,((A2)+(1))+(1)))=("F"),"false"),B2,F226),F226))</f>
        <v>#VALUE!</v>
      </c>
      <c r="G226" t="e">
        <f ca="1">IF((A1)=(2),"",IF((223)=(G3),IF(IF((INDEX(B1:XFD1,((A2)+(1))+(0)))=("store"),(INDEX(B1:XFD1,((A2)+(1))+(1)))=("G"),"false"),B2,G226),G226))</f>
        <v>#VALUE!</v>
      </c>
      <c r="H226" t="e">
        <f ca="1">IF((A1)=(2),"",IF((223)=(H3),IF(IF((INDEX(B1:XFD1,((A2)+(1))+(0)))=("store"),(INDEX(B1:XFD1,((A2)+(1))+(1)))=("H"),"false"),B2,H226),H226))</f>
        <v>#VALUE!</v>
      </c>
      <c r="I226" t="e">
        <f ca="1">IF((A1)=(2),"",IF((223)=(I3),IF(IF((INDEX(B1:XFD1,((A2)+(1))+(0)))=("store"),(INDEX(B1:XFD1,((A2)+(1))+(1)))=("I"),"false"),B2,I226),I226))</f>
        <v>#VALUE!</v>
      </c>
      <c r="J226" t="e">
        <f ca="1">IF((A1)=(2),"",IF((223)=(J3),IF(IF((INDEX(B1:XFD1,((A2)+(1))+(0)))=("store"),(INDEX(B1:XFD1,((A2)+(1))+(1)))=("J"),"false"),B2,J226),J226))</f>
        <v>#VALUE!</v>
      </c>
      <c r="K226" t="e">
        <f ca="1">IF((A1)=(2),"",IF((223)=(K3),IF(IF((INDEX(B1:XFD1,((A2)+(1))+(0)))=("store"),(INDEX(B1:XFD1,((A2)+(1))+(1)))=("K"),"false"),B2,K226),K226))</f>
        <v>#VALUE!</v>
      </c>
      <c r="L226" t="e">
        <f ca="1">IF((A1)=(2),"",IF((223)=(L3),IF(IF((INDEX(B1:XFD1,((A2)+(1))+(0)))=("store"),(INDEX(B1:XFD1,((A2)+(1))+(1)))=("L"),"false"),B2,L226),L226))</f>
        <v>#VALUE!</v>
      </c>
      <c r="M226" t="e">
        <f ca="1">IF((A1)=(2),"",IF((223)=(M3),IF(IF((INDEX(B1:XFD1,((A2)+(1))+(0)))=("store"),(INDEX(B1:XFD1,((A2)+(1))+(1)))=("M"),"false"),B2,M226),M226))</f>
        <v>#VALUE!</v>
      </c>
      <c r="N226" t="e">
        <f ca="1">IF((A1)=(2),"",IF((223)=(N3),IF(IF((INDEX(B1:XFD1,((A2)+(1))+(0)))=("store"),(INDEX(B1:XFD1,((A2)+(1))+(1)))=("N"),"false"),B2,N226),N226))</f>
        <v>#VALUE!</v>
      </c>
      <c r="O226" t="e">
        <f ca="1">IF((A1)=(2),"",IF((223)=(O3),IF(IF((INDEX(B1:XFD1,((A2)+(1))+(0)))=("store"),(INDEX(B1:XFD1,((A2)+(1))+(1)))=("O"),"false"),B2,O226),O226))</f>
        <v>#VALUE!</v>
      </c>
      <c r="P226" t="e">
        <f ca="1">IF((A1)=(2),"",IF((223)=(P3),IF(IF((INDEX(B1:XFD1,((A2)+(1))+(0)))=("store"),(INDEX(B1:XFD1,((A2)+(1))+(1)))=("P"),"false"),B2,P226),P226))</f>
        <v>#VALUE!</v>
      </c>
      <c r="Q226" t="e">
        <f ca="1">IF((A1)=(2),"",IF((223)=(Q3),IF(IF((INDEX(B1:XFD1,((A2)+(1))+(0)))=("store"),(INDEX(B1:XFD1,((A2)+(1))+(1)))=("Q"),"false"),B2,Q226),Q226))</f>
        <v>#VALUE!</v>
      </c>
      <c r="R226" t="e">
        <f ca="1">IF((A1)=(2),"",IF((223)=(R3),IF(IF((INDEX(B1:XFD1,((A2)+(1))+(0)))=("store"),(INDEX(B1:XFD1,((A2)+(1))+(1)))=("R"),"false"),B2,R226),R226))</f>
        <v>#VALUE!</v>
      </c>
      <c r="S226" t="e">
        <f ca="1">IF((A1)=(2),"",IF((223)=(S3),IF(IF((INDEX(B1:XFD1,((A2)+(1))+(0)))=("store"),(INDEX(B1:XFD1,((A2)+(1))+(1)))=("S"),"false"),B2,S226),S226))</f>
        <v>#VALUE!</v>
      </c>
      <c r="T226" t="e">
        <f ca="1">IF((A1)=(2),"",IF((223)=(T3),IF(IF((INDEX(B1:XFD1,((A2)+(1))+(0)))=("store"),(INDEX(B1:XFD1,((A2)+(1))+(1)))=("T"),"false"),B2,T226),T226))</f>
        <v>#VALUE!</v>
      </c>
      <c r="U226" t="e">
        <f ca="1">IF((A1)=(2),"",IF((223)=(U3),IF(IF((INDEX(B1:XFD1,((A2)+(1))+(0)))=("store"),(INDEX(B1:XFD1,((A2)+(1))+(1)))=("U"),"false"),B2,U226),U226))</f>
        <v>#VALUE!</v>
      </c>
      <c r="V226" t="e">
        <f ca="1">IF((A1)=(2),"",IF((223)=(V3),IF(IF((INDEX(B1:XFD1,((A2)+(1))+(0)))=("store"),(INDEX(B1:XFD1,((A2)+(1))+(1)))=("V"),"false"),B2,V226),V226))</f>
        <v>#VALUE!</v>
      </c>
      <c r="W226" t="e">
        <f ca="1">IF((A1)=(2),"",IF((223)=(W3),IF(IF((INDEX(B1:XFD1,((A2)+(1))+(0)))=("store"),(INDEX(B1:XFD1,((A2)+(1))+(1)))=("W"),"false"),B2,W226),W226))</f>
        <v>#VALUE!</v>
      </c>
      <c r="X226" t="e">
        <f ca="1">IF((A1)=(2),"",IF((223)=(X3),IF(IF((INDEX(B1:XFD1,((A2)+(1))+(0)))=("store"),(INDEX(B1:XFD1,((A2)+(1))+(1)))=("X"),"false"),B2,X226),X226))</f>
        <v>#VALUE!</v>
      </c>
      <c r="Y226" t="e">
        <f ca="1">IF((A1)=(2),"",IF((223)=(Y3),IF(IF((INDEX(B1:XFD1,((A2)+(1))+(0)))=("store"),(INDEX(B1:XFD1,((A2)+(1))+(1)))=("Y"),"false"),B2,Y226),Y226))</f>
        <v>#VALUE!</v>
      </c>
      <c r="Z226" t="e">
        <f ca="1">IF((A1)=(2),"",IF((223)=(Z3),IF(IF((INDEX(B1:XFD1,((A2)+(1))+(0)))=("store"),(INDEX(B1:XFD1,((A2)+(1))+(1)))=("Z"),"false"),B2,Z226),Z226))</f>
        <v>#VALUE!</v>
      </c>
      <c r="AA226" t="e">
        <f ca="1">IF((A1)=(2),"",IF((223)=(AA3),IF(IF((INDEX(B1:XFD1,((A2)+(1))+(0)))=("store"),(INDEX(B1:XFD1,((A2)+(1))+(1)))=("AA"),"false"),B2,AA226),AA226))</f>
        <v>#VALUE!</v>
      </c>
      <c r="AB226" t="e">
        <f ca="1">IF((A1)=(2),"",IF((223)=(AB3),IF(IF((INDEX(B1:XFD1,((A2)+(1))+(0)))=("store"),(INDEX(B1:XFD1,((A2)+(1))+(1)))=("AB"),"false"),B2,AB226),AB226))</f>
        <v>#VALUE!</v>
      </c>
      <c r="AC226" t="e">
        <f ca="1">IF((A1)=(2),"",IF((223)=(AC3),IF(IF((INDEX(B1:XFD1,((A2)+(1))+(0)))=("store"),(INDEX(B1:XFD1,((A2)+(1))+(1)))=("AC"),"false"),B2,AC226),AC226))</f>
        <v>#VALUE!</v>
      </c>
      <c r="AD226" t="e">
        <f ca="1">IF((A1)=(2),"",IF((223)=(AD3),IF(IF((INDEX(B1:XFD1,((A2)+(1))+(0)))=("store"),(INDEX(B1:XFD1,((A2)+(1))+(1)))=("AD"),"false"),B2,AD226),AD226))</f>
        <v>#VALUE!</v>
      </c>
    </row>
    <row r="227" spans="1:30" x14ac:dyDescent="0.25">
      <c r="A227" t="e">
        <f ca="1">IF((A1)=(2),"",IF((224)=(A3),IF(("call")=(INDEX(B1:XFD1,((A2)+(1))+(0))),(B2)*(2),IF(("goto")=(INDEX(B1:XFD1,((A2)+(1))+(0))),(INDEX(B1:XFD1,((A2)+(1))+(1)))*(2),IF(("gotoiftrue")=(INDEX(B1:XFD1,((A2)+(1))+(0))),IF(B2,(INDEX(B1:XFD1,((A2)+(1))+(1)))*(2),(A227)+(2)),(A227)+(2)))),A227))</f>
        <v>#VALUE!</v>
      </c>
      <c r="B227" t="e">
        <f ca="1">IF((A1)=(2),"",IF((224)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227)+(1)),IF(("add")=(INDEX(B1:XFD1,((A2)+(1))+(0))),(INDEX(B4:B404,(B3)+(1)))+(B227),IF(("equals")=(INDEX(B1:XFD1,((A2)+(1))+(0))),(INDEX(B4:B404,(B3)+(1)))=(B227),IF(("leq")=(INDEX(B1:XFD1,((A2)+(1))+(0))),(INDEX(B4:B404,(B3)+(1)))&lt;=(B227),IF(("greater")=(INDEX(B1:XFD1,((A2)+(1))+(0))),(INDEX(B4:B404,(B3)+(1)))&gt;(B227),IF(("mod")=(INDEX(B1:XFD1,((A2)+(1))+(0))),MOD(INDEX(B4:B404,(B3)+(1)),B227),B227))))))))),B227))</f>
        <v>#VALUE!</v>
      </c>
      <c r="C227" t="e">
        <f ca="1">IF((A1)=(2),1,IF(AND((INDEX(B1:XFD1,((A2)+(1))+(0)))=("writeheap"),(INDEX(B4:B404,(B3)+(1)))=(223)),INDEX(B4:B404,(B3)+(2)),IF((A1)=(2),"",IF((224)=(C3),C227,C227))))</f>
        <v>#VALUE!</v>
      </c>
      <c r="E227" t="e">
        <f ca="1">IF((A1)=(2),"",IF((224)=(E3),IF(("outputline")=(INDEX(B1:XFD1,((A2)+(1))+(0))),B2,E227),E227))</f>
        <v>#VALUE!</v>
      </c>
      <c r="F227" t="e">
        <f ca="1">IF((A1)=(2),"",IF((224)=(F3),IF(IF((INDEX(B1:XFD1,((A2)+(1))+(0)))=("store"),(INDEX(B1:XFD1,((A2)+(1))+(1)))=("F"),"false"),B2,F227),F227))</f>
        <v>#VALUE!</v>
      </c>
      <c r="G227" t="e">
        <f ca="1">IF((A1)=(2),"",IF((224)=(G3),IF(IF((INDEX(B1:XFD1,((A2)+(1))+(0)))=("store"),(INDEX(B1:XFD1,((A2)+(1))+(1)))=("G"),"false"),B2,G227),G227))</f>
        <v>#VALUE!</v>
      </c>
      <c r="H227" t="e">
        <f ca="1">IF((A1)=(2),"",IF((224)=(H3),IF(IF((INDEX(B1:XFD1,((A2)+(1))+(0)))=("store"),(INDEX(B1:XFD1,((A2)+(1))+(1)))=("H"),"false"),B2,H227),H227))</f>
        <v>#VALUE!</v>
      </c>
      <c r="I227" t="e">
        <f ca="1">IF((A1)=(2),"",IF((224)=(I3),IF(IF((INDEX(B1:XFD1,((A2)+(1))+(0)))=("store"),(INDEX(B1:XFD1,((A2)+(1))+(1)))=("I"),"false"),B2,I227),I227))</f>
        <v>#VALUE!</v>
      </c>
      <c r="J227" t="e">
        <f ca="1">IF((A1)=(2),"",IF((224)=(J3),IF(IF((INDEX(B1:XFD1,((A2)+(1))+(0)))=("store"),(INDEX(B1:XFD1,((A2)+(1))+(1)))=("J"),"false"),B2,J227),J227))</f>
        <v>#VALUE!</v>
      </c>
      <c r="K227" t="e">
        <f ca="1">IF((A1)=(2),"",IF((224)=(K3),IF(IF((INDEX(B1:XFD1,((A2)+(1))+(0)))=("store"),(INDEX(B1:XFD1,((A2)+(1))+(1)))=("K"),"false"),B2,K227),K227))</f>
        <v>#VALUE!</v>
      </c>
      <c r="L227" t="e">
        <f ca="1">IF((A1)=(2),"",IF((224)=(L3),IF(IF((INDEX(B1:XFD1,((A2)+(1))+(0)))=("store"),(INDEX(B1:XFD1,((A2)+(1))+(1)))=("L"),"false"),B2,L227),L227))</f>
        <v>#VALUE!</v>
      </c>
      <c r="M227" t="e">
        <f ca="1">IF((A1)=(2),"",IF((224)=(M3),IF(IF((INDEX(B1:XFD1,((A2)+(1))+(0)))=("store"),(INDEX(B1:XFD1,((A2)+(1))+(1)))=("M"),"false"),B2,M227),M227))</f>
        <v>#VALUE!</v>
      </c>
      <c r="N227" t="e">
        <f ca="1">IF((A1)=(2),"",IF((224)=(N3),IF(IF((INDEX(B1:XFD1,((A2)+(1))+(0)))=("store"),(INDEX(B1:XFD1,((A2)+(1))+(1)))=("N"),"false"),B2,N227),N227))</f>
        <v>#VALUE!</v>
      </c>
      <c r="O227" t="e">
        <f ca="1">IF((A1)=(2),"",IF((224)=(O3),IF(IF((INDEX(B1:XFD1,((A2)+(1))+(0)))=("store"),(INDEX(B1:XFD1,((A2)+(1))+(1)))=("O"),"false"),B2,O227),O227))</f>
        <v>#VALUE!</v>
      </c>
      <c r="P227" t="e">
        <f ca="1">IF((A1)=(2),"",IF((224)=(P3),IF(IF((INDEX(B1:XFD1,((A2)+(1))+(0)))=("store"),(INDEX(B1:XFD1,((A2)+(1))+(1)))=("P"),"false"),B2,P227),P227))</f>
        <v>#VALUE!</v>
      </c>
      <c r="Q227" t="e">
        <f ca="1">IF((A1)=(2),"",IF((224)=(Q3),IF(IF((INDEX(B1:XFD1,((A2)+(1))+(0)))=("store"),(INDEX(B1:XFD1,((A2)+(1))+(1)))=("Q"),"false"),B2,Q227),Q227))</f>
        <v>#VALUE!</v>
      </c>
      <c r="R227" t="e">
        <f ca="1">IF((A1)=(2),"",IF((224)=(R3),IF(IF((INDEX(B1:XFD1,((A2)+(1))+(0)))=("store"),(INDEX(B1:XFD1,((A2)+(1))+(1)))=("R"),"false"),B2,R227),R227))</f>
        <v>#VALUE!</v>
      </c>
      <c r="S227" t="e">
        <f ca="1">IF((A1)=(2),"",IF((224)=(S3),IF(IF((INDEX(B1:XFD1,((A2)+(1))+(0)))=("store"),(INDEX(B1:XFD1,((A2)+(1))+(1)))=("S"),"false"),B2,S227),S227))</f>
        <v>#VALUE!</v>
      </c>
      <c r="T227" t="e">
        <f ca="1">IF((A1)=(2),"",IF((224)=(T3),IF(IF((INDEX(B1:XFD1,((A2)+(1))+(0)))=("store"),(INDEX(B1:XFD1,((A2)+(1))+(1)))=("T"),"false"),B2,T227),T227))</f>
        <v>#VALUE!</v>
      </c>
      <c r="U227" t="e">
        <f ca="1">IF((A1)=(2),"",IF((224)=(U3),IF(IF((INDEX(B1:XFD1,((A2)+(1))+(0)))=("store"),(INDEX(B1:XFD1,((A2)+(1))+(1)))=("U"),"false"),B2,U227),U227))</f>
        <v>#VALUE!</v>
      </c>
      <c r="V227" t="e">
        <f ca="1">IF((A1)=(2),"",IF((224)=(V3),IF(IF((INDEX(B1:XFD1,((A2)+(1))+(0)))=("store"),(INDEX(B1:XFD1,((A2)+(1))+(1)))=("V"),"false"),B2,V227),V227))</f>
        <v>#VALUE!</v>
      </c>
      <c r="W227" t="e">
        <f ca="1">IF((A1)=(2),"",IF((224)=(W3),IF(IF((INDEX(B1:XFD1,((A2)+(1))+(0)))=("store"),(INDEX(B1:XFD1,((A2)+(1))+(1)))=("W"),"false"),B2,W227),W227))</f>
        <v>#VALUE!</v>
      </c>
      <c r="X227" t="e">
        <f ca="1">IF((A1)=(2),"",IF((224)=(X3),IF(IF((INDEX(B1:XFD1,((A2)+(1))+(0)))=("store"),(INDEX(B1:XFD1,((A2)+(1))+(1)))=("X"),"false"),B2,X227),X227))</f>
        <v>#VALUE!</v>
      </c>
      <c r="Y227" t="e">
        <f ca="1">IF((A1)=(2),"",IF((224)=(Y3),IF(IF((INDEX(B1:XFD1,((A2)+(1))+(0)))=("store"),(INDEX(B1:XFD1,((A2)+(1))+(1)))=("Y"),"false"),B2,Y227),Y227))</f>
        <v>#VALUE!</v>
      </c>
      <c r="Z227" t="e">
        <f ca="1">IF((A1)=(2),"",IF((224)=(Z3),IF(IF((INDEX(B1:XFD1,((A2)+(1))+(0)))=("store"),(INDEX(B1:XFD1,((A2)+(1))+(1)))=("Z"),"false"),B2,Z227),Z227))</f>
        <v>#VALUE!</v>
      </c>
      <c r="AA227" t="e">
        <f ca="1">IF((A1)=(2),"",IF((224)=(AA3),IF(IF((INDEX(B1:XFD1,((A2)+(1))+(0)))=("store"),(INDEX(B1:XFD1,((A2)+(1))+(1)))=("AA"),"false"),B2,AA227),AA227))</f>
        <v>#VALUE!</v>
      </c>
      <c r="AB227" t="e">
        <f ca="1">IF((A1)=(2),"",IF((224)=(AB3),IF(IF((INDEX(B1:XFD1,((A2)+(1))+(0)))=("store"),(INDEX(B1:XFD1,((A2)+(1))+(1)))=("AB"),"false"),B2,AB227),AB227))</f>
        <v>#VALUE!</v>
      </c>
      <c r="AC227" t="e">
        <f ca="1">IF((A1)=(2),"",IF((224)=(AC3),IF(IF((INDEX(B1:XFD1,((A2)+(1))+(0)))=("store"),(INDEX(B1:XFD1,((A2)+(1))+(1)))=("AC"),"false"),B2,AC227),AC227))</f>
        <v>#VALUE!</v>
      </c>
      <c r="AD227" t="e">
        <f ca="1">IF((A1)=(2),"",IF((224)=(AD3),IF(IF((INDEX(B1:XFD1,((A2)+(1))+(0)))=("store"),(INDEX(B1:XFD1,((A2)+(1))+(1)))=("AD"),"false"),B2,AD227),AD227))</f>
        <v>#VALUE!</v>
      </c>
    </row>
    <row r="228" spans="1:30" x14ac:dyDescent="0.25">
      <c r="A228" t="e">
        <f ca="1">IF((A1)=(2),"",IF((225)=(A3),IF(("call")=(INDEX(B1:XFD1,((A2)+(1))+(0))),(B2)*(2),IF(("goto")=(INDEX(B1:XFD1,((A2)+(1))+(0))),(INDEX(B1:XFD1,((A2)+(1))+(1)))*(2),IF(("gotoiftrue")=(INDEX(B1:XFD1,((A2)+(1))+(0))),IF(B2,(INDEX(B1:XFD1,((A2)+(1))+(1)))*(2),(A228)+(2)),(A228)+(2)))),A228))</f>
        <v>#VALUE!</v>
      </c>
      <c r="B228" t="e">
        <f ca="1">IF((A1)=(2),"",IF((225)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228)+(1)),IF(("add")=(INDEX(B1:XFD1,((A2)+(1))+(0))),(INDEX(B4:B404,(B3)+(1)))+(B228),IF(("equals")=(INDEX(B1:XFD1,((A2)+(1))+(0))),(INDEX(B4:B404,(B3)+(1)))=(B228),IF(("leq")=(INDEX(B1:XFD1,((A2)+(1))+(0))),(INDEX(B4:B404,(B3)+(1)))&lt;=(B228),IF(("greater")=(INDEX(B1:XFD1,((A2)+(1))+(0))),(INDEX(B4:B404,(B3)+(1)))&gt;(B228),IF(("mod")=(INDEX(B1:XFD1,((A2)+(1))+(0))),MOD(INDEX(B4:B404,(B3)+(1)),B228),B228))))))))),B228))</f>
        <v>#VALUE!</v>
      </c>
      <c r="C228" t="e">
        <f ca="1">IF((A1)=(2),1,IF(AND((INDEX(B1:XFD1,((A2)+(1))+(0)))=("writeheap"),(INDEX(B4:B404,(B3)+(1)))=(224)),INDEX(B4:B404,(B3)+(2)),IF((A1)=(2),"",IF((225)=(C3),C228,C228))))</f>
        <v>#VALUE!</v>
      </c>
      <c r="E228" t="e">
        <f ca="1">IF((A1)=(2),"",IF((225)=(E3),IF(("outputline")=(INDEX(B1:XFD1,((A2)+(1))+(0))),B2,E228),E228))</f>
        <v>#VALUE!</v>
      </c>
      <c r="F228" t="e">
        <f ca="1">IF((A1)=(2),"",IF((225)=(F3),IF(IF((INDEX(B1:XFD1,((A2)+(1))+(0)))=("store"),(INDEX(B1:XFD1,((A2)+(1))+(1)))=("F"),"false"),B2,F228),F228))</f>
        <v>#VALUE!</v>
      </c>
      <c r="G228" t="e">
        <f ca="1">IF((A1)=(2),"",IF((225)=(G3),IF(IF((INDEX(B1:XFD1,((A2)+(1))+(0)))=("store"),(INDEX(B1:XFD1,((A2)+(1))+(1)))=("G"),"false"),B2,G228),G228))</f>
        <v>#VALUE!</v>
      </c>
      <c r="H228" t="e">
        <f ca="1">IF((A1)=(2),"",IF((225)=(H3),IF(IF((INDEX(B1:XFD1,((A2)+(1))+(0)))=("store"),(INDEX(B1:XFD1,((A2)+(1))+(1)))=("H"),"false"),B2,H228),H228))</f>
        <v>#VALUE!</v>
      </c>
      <c r="I228" t="e">
        <f ca="1">IF((A1)=(2),"",IF((225)=(I3),IF(IF((INDEX(B1:XFD1,((A2)+(1))+(0)))=("store"),(INDEX(B1:XFD1,((A2)+(1))+(1)))=("I"),"false"),B2,I228),I228))</f>
        <v>#VALUE!</v>
      </c>
      <c r="J228" t="e">
        <f ca="1">IF((A1)=(2),"",IF((225)=(J3),IF(IF((INDEX(B1:XFD1,((A2)+(1))+(0)))=("store"),(INDEX(B1:XFD1,((A2)+(1))+(1)))=("J"),"false"),B2,J228),J228))</f>
        <v>#VALUE!</v>
      </c>
      <c r="K228" t="e">
        <f ca="1">IF((A1)=(2),"",IF((225)=(K3),IF(IF((INDEX(B1:XFD1,((A2)+(1))+(0)))=("store"),(INDEX(B1:XFD1,((A2)+(1))+(1)))=("K"),"false"),B2,K228),K228))</f>
        <v>#VALUE!</v>
      </c>
      <c r="L228" t="e">
        <f ca="1">IF((A1)=(2),"",IF((225)=(L3),IF(IF((INDEX(B1:XFD1,((A2)+(1))+(0)))=("store"),(INDEX(B1:XFD1,((A2)+(1))+(1)))=("L"),"false"),B2,L228),L228))</f>
        <v>#VALUE!</v>
      </c>
      <c r="M228" t="e">
        <f ca="1">IF((A1)=(2),"",IF((225)=(M3),IF(IF((INDEX(B1:XFD1,((A2)+(1))+(0)))=("store"),(INDEX(B1:XFD1,((A2)+(1))+(1)))=("M"),"false"),B2,M228),M228))</f>
        <v>#VALUE!</v>
      </c>
      <c r="N228" t="e">
        <f ca="1">IF((A1)=(2),"",IF((225)=(N3),IF(IF((INDEX(B1:XFD1,((A2)+(1))+(0)))=("store"),(INDEX(B1:XFD1,((A2)+(1))+(1)))=("N"),"false"),B2,N228),N228))</f>
        <v>#VALUE!</v>
      </c>
      <c r="O228" t="e">
        <f ca="1">IF((A1)=(2),"",IF((225)=(O3),IF(IF((INDEX(B1:XFD1,((A2)+(1))+(0)))=("store"),(INDEX(B1:XFD1,((A2)+(1))+(1)))=("O"),"false"),B2,O228),O228))</f>
        <v>#VALUE!</v>
      </c>
      <c r="P228" t="e">
        <f ca="1">IF((A1)=(2),"",IF((225)=(P3),IF(IF((INDEX(B1:XFD1,((A2)+(1))+(0)))=("store"),(INDEX(B1:XFD1,((A2)+(1))+(1)))=("P"),"false"),B2,P228),P228))</f>
        <v>#VALUE!</v>
      </c>
      <c r="Q228" t="e">
        <f ca="1">IF((A1)=(2),"",IF((225)=(Q3),IF(IF((INDEX(B1:XFD1,((A2)+(1))+(0)))=("store"),(INDEX(B1:XFD1,((A2)+(1))+(1)))=("Q"),"false"),B2,Q228),Q228))</f>
        <v>#VALUE!</v>
      </c>
      <c r="R228" t="e">
        <f ca="1">IF((A1)=(2),"",IF((225)=(R3),IF(IF((INDEX(B1:XFD1,((A2)+(1))+(0)))=("store"),(INDEX(B1:XFD1,((A2)+(1))+(1)))=("R"),"false"),B2,R228),R228))</f>
        <v>#VALUE!</v>
      </c>
      <c r="S228" t="e">
        <f ca="1">IF((A1)=(2),"",IF((225)=(S3),IF(IF((INDEX(B1:XFD1,((A2)+(1))+(0)))=("store"),(INDEX(B1:XFD1,((A2)+(1))+(1)))=("S"),"false"),B2,S228),S228))</f>
        <v>#VALUE!</v>
      </c>
      <c r="T228" t="e">
        <f ca="1">IF((A1)=(2),"",IF((225)=(T3),IF(IF((INDEX(B1:XFD1,((A2)+(1))+(0)))=("store"),(INDEX(B1:XFD1,((A2)+(1))+(1)))=("T"),"false"),B2,T228),T228))</f>
        <v>#VALUE!</v>
      </c>
      <c r="U228" t="e">
        <f ca="1">IF((A1)=(2),"",IF((225)=(U3),IF(IF((INDEX(B1:XFD1,((A2)+(1))+(0)))=("store"),(INDEX(B1:XFD1,((A2)+(1))+(1)))=("U"),"false"),B2,U228),U228))</f>
        <v>#VALUE!</v>
      </c>
      <c r="V228" t="e">
        <f ca="1">IF((A1)=(2),"",IF((225)=(V3),IF(IF((INDEX(B1:XFD1,((A2)+(1))+(0)))=("store"),(INDEX(B1:XFD1,((A2)+(1))+(1)))=("V"),"false"),B2,V228),V228))</f>
        <v>#VALUE!</v>
      </c>
      <c r="W228" t="e">
        <f ca="1">IF((A1)=(2),"",IF((225)=(W3),IF(IF((INDEX(B1:XFD1,((A2)+(1))+(0)))=("store"),(INDEX(B1:XFD1,((A2)+(1))+(1)))=("W"),"false"),B2,W228),W228))</f>
        <v>#VALUE!</v>
      </c>
      <c r="X228" t="e">
        <f ca="1">IF((A1)=(2),"",IF((225)=(X3),IF(IF((INDEX(B1:XFD1,((A2)+(1))+(0)))=("store"),(INDEX(B1:XFD1,((A2)+(1))+(1)))=("X"),"false"),B2,X228),X228))</f>
        <v>#VALUE!</v>
      </c>
      <c r="Y228" t="e">
        <f ca="1">IF((A1)=(2),"",IF((225)=(Y3),IF(IF((INDEX(B1:XFD1,((A2)+(1))+(0)))=("store"),(INDEX(B1:XFD1,((A2)+(1))+(1)))=("Y"),"false"),B2,Y228),Y228))</f>
        <v>#VALUE!</v>
      </c>
      <c r="Z228" t="e">
        <f ca="1">IF((A1)=(2),"",IF((225)=(Z3),IF(IF((INDEX(B1:XFD1,((A2)+(1))+(0)))=("store"),(INDEX(B1:XFD1,((A2)+(1))+(1)))=("Z"),"false"),B2,Z228),Z228))</f>
        <v>#VALUE!</v>
      </c>
      <c r="AA228" t="e">
        <f ca="1">IF((A1)=(2),"",IF((225)=(AA3),IF(IF((INDEX(B1:XFD1,((A2)+(1))+(0)))=("store"),(INDEX(B1:XFD1,((A2)+(1))+(1)))=("AA"),"false"),B2,AA228),AA228))</f>
        <v>#VALUE!</v>
      </c>
      <c r="AB228" t="e">
        <f ca="1">IF((A1)=(2),"",IF((225)=(AB3),IF(IF((INDEX(B1:XFD1,((A2)+(1))+(0)))=("store"),(INDEX(B1:XFD1,((A2)+(1))+(1)))=("AB"),"false"),B2,AB228),AB228))</f>
        <v>#VALUE!</v>
      </c>
      <c r="AC228" t="e">
        <f ca="1">IF((A1)=(2),"",IF((225)=(AC3),IF(IF((INDEX(B1:XFD1,((A2)+(1))+(0)))=("store"),(INDEX(B1:XFD1,((A2)+(1))+(1)))=("AC"),"false"),B2,AC228),AC228))</f>
        <v>#VALUE!</v>
      </c>
      <c r="AD228" t="e">
        <f ca="1">IF((A1)=(2),"",IF((225)=(AD3),IF(IF((INDEX(B1:XFD1,((A2)+(1))+(0)))=("store"),(INDEX(B1:XFD1,((A2)+(1))+(1)))=("AD"),"false"),B2,AD228),AD228))</f>
        <v>#VALUE!</v>
      </c>
    </row>
    <row r="229" spans="1:30" x14ac:dyDescent="0.25">
      <c r="A229" t="e">
        <f ca="1">IF((A1)=(2),"",IF((226)=(A3),IF(("call")=(INDEX(B1:XFD1,((A2)+(1))+(0))),(B2)*(2),IF(("goto")=(INDEX(B1:XFD1,((A2)+(1))+(0))),(INDEX(B1:XFD1,((A2)+(1))+(1)))*(2),IF(("gotoiftrue")=(INDEX(B1:XFD1,((A2)+(1))+(0))),IF(B2,(INDEX(B1:XFD1,((A2)+(1))+(1)))*(2),(A229)+(2)),(A229)+(2)))),A229))</f>
        <v>#VALUE!</v>
      </c>
      <c r="B229" t="e">
        <f ca="1">IF((A1)=(2),"",IF((226)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229)+(1)),IF(("add")=(INDEX(B1:XFD1,((A2)+(1))+(0))),(INDEX(B4:B404,(B3)+(1)))+(B229),IF(("equals")=(INDEX(B1:XFD1,((A2)+(1))+(0))),(INDEX(B4:B404,(B3)+(1)))=(B229),IF(("leq")=(INDEX(B1:XFD1,((A2)+(1))+(0))),(INDEX(B4:B404,(B3)+(1)))&lt;=(B229),IF(("greater")=(INDEX(B1:XFD1,((A2)+(1))+(0))),(INDEX(B4:B404,(B3)+(1)))&gt;(B229),IF(("mod")=(INDEX(B1:XFD1,((A2)+(1))+(0))),MOD(INDEX(B4:B404,(B3)+(1)),B229),B229))))))))),B229))</f>
        <v>#VALUE!</v>
      </c>
      <c r="C229" t="e">
        <f ca="1">IF((A1)=(2),1,IF(AND((INDEX(B1:XFD1,((A2)+(1))+(0)))=("writeheap"),(INDEX(B4:B404,(B3)+(1)))=(225)),INDEX(B4:B404,(B3)+(2)),IF((A1)=(2),"",IF((226)=(C3),C229,C229))))</f>
        <v>#VALUE!</v>
      </c>
      <c r="E229" t="e">
        <f ca="1">IF((A1)=(2),"",IF((226)=(E3),IF(("outputline")=(INDEX(B1:XFD1,((A2)+(1))+(0))),B2,E229),E229))</f>
        <v>#VALUE!</v>
      </c>
      <c r="F229" t="e">
        <f ca="1">IF((A1)=(2),"",IF((226)=(F3),IF(IF((INDEX(B1:XFD1,((A2)+(1))+(0)))=("store"),(INDEX(B1:XFD1,((A2)+(1))+(1)))=("F"),"false"),B2,F229),F229))</f>
        <v>#VALUE!</v>
      </c>
      <c r="G229" t="e">
        <f ca="1">IF((A1)=(2),"",IF((226)=(G3),IF(IF((INDEX(B1:XFD1,((A2)+(1))+(0)))=("store"),(INDEX(B1:XFD1,((A2)+(1))+(1)))=("G"),"false"),B2,G229),G229))</f>
        <v>#VALUE!</v>
      </c>
      <c r="H229" t="e">
        <f ca="1">IF((A1)=(2),"",IF((226)=(H3),IF(IF((INDEX(B1:XFD1,((A2)+(1))+(0)))=("store"),(INDEX(B1:XFD1,((A2)+(1))+(1)))=("H"),"false"),B2,H229),H229))</f>
        <v>#VALUE!</v>
      </c>
      <c r="I229" t="e">
        <f ca="1">IF((A1)=(2),"",IF((226)=(I3),IF(IF((INDEX(B1:XFD1,((A2)+(1))+(0)))=("store"),(INDEX(B1:XFD1,((A2)+(1))+(1)))=("I"),"false"),B2,I229),I229))</f>
        <v>#VALUE!</v>
      </c>
      <c r="J229" t="e">
        <f ca="1">IF((A1)=(2),"",IF((226)=(J3),IF(IF((INDEX(B1:XFD1,((A2)+(1))+(0)))=("store"),(INDEX(B1:XFD1,((A2)+(1))+(1)))=("J"),"false"),B2,J229),J229))</f>
        <v>#VALUE!</v>
      </c>
      <c r="K229" t="e">
        <f ca="1">IF((A1)=(2),"",IF((226)=(K3),IF(IF((INDEX(B1:XFD1,((A2)+(1))+(0)))=("store"),(INDEX(B1:XFD1,((A2)+(1))+(1)))=("K"),"false"),B2,K229),K229))</f>
        <v>#VALUE!</v>
      </c>
      <c r="L229" t="e">
        <f ca="1">IF((A1)=(2),"",IF((226)=(L3),IF(IF((INDEX(B1:XFD1,((A2)+(1))+(0)))=("store"),(INDEX(B1:XFD1,((A2)+(1))+(1)))=("L"),"false"),B2,L229),L229))</f>
        <v>#VALUE!</v>
      </c>
      <c r="M229" t="e">
        <f ca="1">IF((A1)=(2),"",IF((226)=(M3),IF(IF((INDEX(B1:XFD1,((A2)+(1))+(0)))=("store"),(INDEX(B1:XFD1,((A2)+(1))+(1)))=("M"),"false"),B2,M229),M229))</f>
        <v>#VALUE!</v>
      </c>
      <c r="N229" t="e">
        <f ca="1">IF((A1)=(2),"",IF((226)=(N3),IF(IF((INDEX(B1:XFD1,((A2)+(1))+(0)))=("store"),(INDEX(B1:XFD1,((A2)+(1))+(1)))=("N"),"false"),B2,N229),N229))</f>
        <v>#VALUE!</v>
      </c>
      <c r="O229" t="e">
        <f ca="1">IF((A1)=(2),"",IF((226)=(O3),IF(IF((INDEX(B1:XFD1,((A2)+(1))+(0)))=("store"),(INDEX(B1:XFD1,((A2)+(1))+(1)))=("O"),"false"),B2,O229),O229))</f>
        <v>#VALUE!</v>
      </c>
      <c r="P229" t="e">
        <f ca="1">IF((A1)=(2),"",IF((226)=(P3),IF(IF((INDEX(B1:XFD1,((A2)+(1))+(0)))=("store"),(INDEX(B1:XFD1,((A2)+(1))+(1)))=("P"),"false"),B2,P229),P229))</f>
        <v>#VALUE!</v>
      </c>
      <c r="Q229" t="e">
        <f ca="1">IF((A1)=(2),"",IF((226)=(Q3),IF(IF((INDEX(B1:XFD1,((A2)+(1))+(0)))=("store"),(INDEX(B1:XFD1,((A2)+(1))+(1)))=("Q"),"false"),B2,Q229),Q229))</f>
        <v>#VALUE!</v>
      </c>
      <c r="R229" t="e">
        <f ca="1">IF((A1)=(2),"",IF((226)=(R3),IF(IF((INDEX(B1:XFD1,((A2)+(1))+(0)))=("store"),(INDEX(B1:XFD1,((A2)+(1))+(1)))=("R"),"false"),B2,R229),R229))</f>
        <v>#VALUE!</v>
      </c>
      <c r="S229" t="e">
        <f ca="1">IF((A1)=(2),"",IF((226)=(S3),IF(IF((INDEX(B1:XFD1,((A2)+(1))+(0)))=("store"),(INDEX(B1:XFD1,((A2)+(1))+(1)))=("S"),"false"),B2,S229),S229))</f>
        <v>#VALUE!</v>
      </c>
      <c r="T229" t="e">
        <f ca="1">IF((A1)=(2),"",IF((226)=(T3),IF(IF((INDEX(B1:XFD1,((A2)+(1))+(0)))=("store"),(INDEX(B1:XFD1,((A2)+(1))+(1)))=("T"),"false"),B2,T229),T229))</f>
        <v>#VALUE!</v>
      </c>
      <c r="U229" t="e">
        <f ca="1">IF((A1)=(2),"",IF((226)=(U3),IF(IF((INDEX(B1:XFD1,((A2)+(1))+(0)))=("store"),(INDEX(B1:XFD1,((A2)+(1))+(1)))=("U"),"false"),B2,U229),U229))</f>
        <v>#VALUE!</v>
      </c>
      <c r="V229" t="e">
        <f ca="1">IF((A1)=(2),"",IF((226)=(V3),IF(IF((INDEX(B1:XFD1,((A2)+(1))+(0)))=("store"),(INDEX(B1:XFD1,((A2)+(1))+(1)))=("V"),"false"),B2,V229),V229))</f>
        <v>#VALUE!</v>
      </c>
      <c r="W229" t="e">
        <f ca="1">IF((A1)=(2),"",IF((226)=(W3),IF(IF((INDEX(B1:XFD1,((A2)+(1))+(0)))=("store"),(INDEX(B1:XFD1,((A2)+(1))+(1)))=("W"),"false"),B2,W229),W229))</f>
        <v>#VALUE!</v>
      </c>
      <c r="X229" t="e">
        <f ca="1">IF((A1)=(2),"",IF((226)=(X3),IF(IF((INDEX(B1:XFD1,((A2)+(1))+(0)))=("store"),(INDEX(B1:XFD1,((A2)+(1))+(1)))=("X"),"false"),B2,X229),X229))</f>
        <v>#VALUE!</v>
      </c>
      <c r="Y229" t="e">
        <f ca="1">IF((A1)=(2),"",IF((226)=(Y3),IF(IF((INDEX(B1:XFD1,((A2)+(1))+(0)))=("store"),(INDEX(B1:XFD1,((A2)+(1))+(1)))=("Y"),"false"),B2,Y229),Y229))</f>
        <v>#VALUE!</v>
      </c>
      <c r="Z229" t="e">
        <f ca="1">IF((A1)=(2),"",IF((226)=(Z3),IF(IF((INDEX(B1:XFD1,((A2)+(1))+(0)))=("store"),(INDEX(B1:XFD1,((A2)+(1))+(1)))=("Z"),"false"),B2,Z229),Z229))</f>
        <v>#VALUE!</v>
      </c>
      <c r="AA229" t="e">
        <f ca="1">IF((A1)=(2),"",IF((226)=(AA3),IF(IF((INDEX(B1:XFD1,((A2)+(1))+(0)))=("store"),(INDEX(B1:XFD1,((A2)+(1))+(1)))=("AA"),"false"),B2,AA229),AA229))</f>
        <v>#VALUE!</v>
      </c>
      <c r="AB229" t="e">
        <f ca="1">IF((A1)=(2),"",IF((226)=(AB3),IF(IF((INDEX(B1:XFD1,((A2)+(1))+(0)))=("store"),(INDEX(B1:XFD1,((A2)+(1))+(1)))=("AB"),"false"),B2,AB229),AB229))</f>
        <v>#VALUE!</v>
      </c>
      <c r="AC229" t="e">
        <f ca="1">IF((A1)=(2),"",IF((226)=(AC3),IF(IF((INDEX(B1:XFD1,((A2)+(1))+(0)))=("store"),(INDEX(B1:XFD1,((A2)+(1))+(1)))=("AC"),"false"),B2,AC229),AC229))</f>
        <v>#VALUE!</v>
      </c>
      <c r="AD229" t="e">
        <f ca="1">IF((A1)=(2),"",IF((226)=(AD3),IF(IF((INDEX(B1:XFD1,((A2)+(1))+(0)))=("store"),(INDEX(B1:XFD1,((A2)+(1))+(1)))=("AD"),"false"),B2,AD229),AD229))</f>
        <v>#VALUE!</v>
      </c>
    </row>
    <row r="230" spans="1:30" x14ac:dyDescent="0.25">
      <c r="A230" t="e">
        <f ca="1">IF((A1)=(2),"",IF((227)=(A3),IF(("call")=(INDEX(B1:XFD1,((A2)+(1))+(0))),(B2)*(2),IF(("goto")=(INDEX(B1:XFD1,((A2)+(1))+(0))),(INDEX(B1:XFD1,((A2)+(1))+(1)))*(2),IF(("gotoiftrue")=(INDEX(B1:XFD1,((A2)+(1))+(0))),IF(B2,(INDEX(B1:XFD1,((A2)+(1))+(1)))*(2),(A230)+(2)),(A230)+(2)))),A230))</f>
        <v>#VALUE!</v>
      </c>
      <c r="B230" t="e">
        <f ca="1">IF((A1)=(2),"",IF((227)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230)+(1)),IF(("add")=(INDEX(B1:XFD1,((A2)+(1))+(0))),(INDEX(B4:B404,(B3)+(1)))+(B230),IF(("equals")=(INDEX(B1:XFD1,((A2)+(1))+(0))),(INDEX(B4:B404,(B3)+(1)))=(B230),IF(("leq")=(INDEX(B1:XFD1,((A2)+(1))+(0))),(INDEX(B4:B404,(B3)+(1)))&lt;=(B230),IF(("greater")=(INDEX(B1:XFD1,((A2)+(1))+(0))),(INDEX(B4:B404,(B3)+(1)))&gt;(B230),IF(("mod")=(INDEX(B1:XFD1,((A2)+(1))+(0))),MOD(INDEX(B4:B404,(B3)+(1)),B230),B230))))))))),B230))</f>
        <v>#VALUE!</v>
      </c>
      <c r="C230" t="e">
        <f ca="1">IF((A1)=(2),1,IF(AND((INDEX(B1:XFD1,((A2)+(1))+(0)))=("writeheap"),(INDEX(B4:B404,(B3)+(1)))=(226)),INDEX(B4:B404,(B3)+(2)),IF((A1)=(2),"",IF((227)=(C3),C230,C230))))</f>
        <v>#VALUE!</v>
      </c>
      <c r="E230" t="e">
        <f ca="1">IF((A1)=(2),"",IF((227)=(E3),IF(("outputline")=(INDEX(B1:XFD1,((A2)+(1))+(0))),B2,E230),E230))</f>
        <v>#VALUE!</v>
      </c>
      <c r="F230" t="e">
        <f ca="1">IF((A1)=(2),"",IF((227)=(F3),IF(IF((INDEX(B1:XFD1,((A2)+(1))+(0)))=("store"),(INDEX(B1:XFD1,((A2)+(1))+(1)))=("F"),"false"),B2,F230),F230))</f>
        <v>#VALUE!</v>
      </c>
      <c r="G230" t="e">
        <f ca="1">IF((A1)=(2),"",IF((227)=(G3),IF(IF((INDEX(B1:XFD1,((A2)+(1))+(0)))=("store"),(INDEX(B1:XFD1,((A2)+(1))+(1)))=("G"),"false"),B2,G230),G230))</f>
        <v>#VALUE!</v>
      </c>
      <c r="H230" t="e">
        <f ca="1">IF((A1)=(2),"",IF((227)=(H3),IF(IF((INDEX(B1:XFD1,((A2)+(1))+(0)))=("store"),(INDEX(B1:XFD1,((A2)+(1))+(1)))=("H"),"false"),B2,H230),H230))</f>
        <v>#VALUE!</v>
      </c>
      <c r="I230" t="e">
        <f ca="1">IF((A1)=(2),"",IF((227)=(I3),IF(IF((INDEX(B1:XFD1,((A2)+(1))+(0)))=("store"),(INDEX(B1:XFD1,((A2)+(1))+(1)))=("I"),"false"),B2,I230),I230))</f>
        <v>#VALUE!</v>
      </c>
      <c r="J230" t="e">
        <f ca="1">IF((A1)=(2),"",IF((227)=(J3),IF(IF((INDEX(B1:XFD1,((A2)+(1))+(0)))=("store"),(INDEX(B1:XFD1,((A2)+(1))+(1)))=("J"),"false"),B2,J230),J230))</f>
        <v>#VALUE!</v>
      </c>
      <c r="K230" t="e">
        <f ca="1">IF((A1)=(2),"",IF((227)=(K3),IF(IF((INDEX(B1:XFD1,((A2)+(1))+(0)))=("store"),(INDEX(B1:XFD1,((A2)+(1))+(1)))=("K"),"false"),B2,K230),K230))</f>
        <v>#VALUE!</v>
      </c>
      <c r="L230" t="e">
        <f ca="1">IF((A1)=(2),"",IF((227)=(L3),IF(IF((INDEX(B1:XFD1,((A2)+(1))+(0)))=("store"),(INDEX(B1:XFD1,((A2)+(1))+(1)))=("L"),"false"),B2,L230),L230))</f>
        <v>#VALUE!</v>
      </c>
      <c r="M230" t="e">
        <f ca="1">IF((A1)=(2),"",IF((227)=(M3),IF(IF((INDEX(B1:XFD1,((A2)+(1))+(0)))=("store"),(INDEX(B1:XFD1,((A2)+(1))+(1)))=("M"),"false"),B2,M230),M230))</f>
        <v>#VALUE!</v>
      </c>
      <c r="N230" t="e">
        <f ca="1">IF((A1)=(2),"",IF((227)=(N3),IF(IF((INDEX(B1:XFD1,((A2)+(1))+(0)))=("store"),(INDEX(B1:XFD1,((A2)+(1))+(1)))=("N"),"false"),B2,N230),N230))</f>
        <v>#VALUE!</v>
      </c>
      <c r="O230" t="e">
        <f ca="1">IF((A1)=(2),"",IF((227)=(O3),IF(IF((INDEX(B1:XFD1,((A2)+(1))+(0)))=("store"),(INDEX(B1:XFD1,((A2)+(1))+(1)))=("O"),"false"),B2,O230),O230))</f>
        <v>#VALUE!</v>
      </c>
      <c r="P230" t="e">
        <f ca="1">IF((A1)=(2),"",IF((227)=(P3),IF(IF((INDEX(B1:XFD1,((A2)+(1))+(0)))=("store"),(INDEX(B1:XFD1,((A2)+(1))+(1)))=("P"),"false"),B2,P230),P230))</f>
        <v>#VALUE!</v>
      </c>
      <c r="Q230" t="e">
        <f ca="1">IF((A1)=(2),"",IF((227)=(Q3),IF(IF((INDEX(B1:XFD1,((A2)+(1))+(0)))=("store"),(INDEX(B1:XFD1,((A2)+(1))+(1)))=("Q"),"false"),B2,Q230),Q230))</f>
        <v>#VALUE!</v>
      </c>
      <c r="R230" t="e">
        <f ca="1">IF((A1)=(2),"",IF((227)=(R3),IF(IF((INDEX(B1:XFD1,((A2)+(1))+(0)))=("store"),(INDEX(B1:XFD1,((A2)+(1))+(1)))=("R"),"false"),B2,R230),R230))</f>
        <v>#VALUE!</v>
      </c>
      <c r="S230" t="e">
        <f ca="1">IF((A1)=(2),"",IF((227)=(S3),IF(IF((INDEX(B1:XFD1,((A2)+(1))+(0)))=("store"),(INDEX(B1:XFD1,((A2)+(1))+(1)))=("S"),"false"),B2,S230),S230))</f>
        <v>#VALUE!</v>
      </c>
      <c r="T230" t="e">
        <f ca="1">IF((A1)=(2),"",IF((227)=(T3),IF(IF((INDEX(B1:XFD1,((A2)+(1))+(0)))=("store"),(INDEX(B1:XFD1,((A2)+(1))+(1)))=("T"),"false"),B2,T230),T230))</f>
        <v>#VALUE!</v>
      </c>
      <c r="U230" t="e">
        <f ca="1">IF((A1)=(2),"",IF((227)=(U3),IF(IF((INDEX(B1:XFD1,((A2)+(1))+(0)))=("store"),(INDEX(B1:XFD1,((A2)+(1))+(1)))=("U"),"false"),B2,U230),U230))</f>
        <v>#VALUE!</v>
      </c>
      <c r="V230" t="e">
        <f ca="1">IF((A1)=(2),"",IF((227)=(V3),IF(IF((INDEX(B1:XFD1,((A2)+(1))+(0)))=("store"),(INDEX(B1:XFD1,((A2)+(1))+(1)))=("V"),"false"),B2,V230),V230))</f>
        <v>#VALUE!</v>
      </c>
      <c r="W230" t="e">
        <f ca="1">IF((A1)=(2),"",IF((227)=(W3),IF(IF((INDEX(B1:XFD1,((A2)+(1))+(0)))=("store"),(INDEX(B1:XFD1,((A2)+(1))+(1)))=("W"),"false"),B2,W230),W230))</f>
        <v>#VALUE!</v>
      </c>
      <c r="X230" t="e">
        <f ca="1">IF((A1)=(2),"",IF((227)=(X3),IF(IF((INDEX(B1:XFD1,((A2)+(1))+(0)))=("store"),(INDEX(B1:XFD1,((A2)+(1))+(1)))=("X"),"false"),B2,X230),X230))</f>
        <v>#VALUE!</v>
      </c>
      <c r="Y230" t="e">
        <f ca="1">IF((A1)=(2),"",IF((227)=(Y3),IF(IF((INDEX(B1:XFD1,((A2)+(1))+(0)))=("store"),(INDEX(B1:XFD1,((A2)+(1))+(1)))=("Y"),"false"),B2,Y230),Y230))</f>
        <v>#VALUE!</v>
      </c>
      <c r="Z230" t="e">
        <f ca="1">IF((A1)=(2),"",IF((227)=(Z3),IF(IF((INDEX(B1:XFD1,((A2)+(1))+(0)))=("store"),(INDEX(B1:XFD1,((A2)+(1))+(1)))=("Z"),"false"),B2,Z230),Z230))</f>
        <v>#VALUE!</v>
      </c>
      <c r="AA230" t="e">
        <f ca="1">IF((A1)=(2),"",IF((227)=(AA3),IF(IF((INDEX(B1:XFD1,((A2)+(1))+(0)))=("store"),(INDEX(B1:XFD1,((A2)+(1))+(1)))=("AA"),"false"),B2,AA230),AA230))</f>
        <v>#VALUE!</v>
      </c>
      <c r="AB230" t="e">
        <f ca="1">IF((A1)=(2),"",IF((227)=(AB3),IF(IF((INDEX(B1:XFD1,((A2)+(1))+(0)))=("store"),(INDEX(B1:XFD1,((A2)+(1))+(1)))=("AB"),"false"),B2,AB230),AB230))</f>
        <v>#VALUE!</v>
      </c>
      <c r="AC230" t="e">
        <f ca="1">IF((A1)=(2),"",IF((227)=(AC3),IF(IF((INDEX(B1:XFD1,((A2)+(1))+(0)))=("store"),(INDEX(B1:XFD1,((A2)+(1))+(1)))=("AC"),"false"),B2,AC230),AC230))</f>
        <v>#VALUE!</v>
      </c>
      <c r="AD230" t="e">
        <f ca="1">IF((A1)=(2),"",IF((227)=(AD3),IF(IF((INDEX(B1:XFD1,((A2)+(1))+(0)))=("store"),(INDEX(B1:XFD1,((A2)+(1))+(1)))=("AD"),"false"),B2,AD230),AD230))</f>
        <v>#VALUE!</v>
      </c>
    </row>
    <row r="231" spans="1:30" x14ac:dyDescent="0.25">
      <c r="A231" t="e">
        <f ca="1">IF((A1)=(2),"",IF((228)=(A3),IF(("call")=(INDEX(B1:XFD1,((A2)+(1))+(0))),(B2)*(2),IF(("goto")=(INDEX(B1:XFD1,((A2)+(1))+(0))),(INDEX(B1:XFD1,((A2)+(1))+(1)))*(2),IF(("gotoiftrue")=(INDEX(B1:XFD1,((A2)+(1))+(0))),IF(B2,(INDEX(B1:XFD1,((A2)+(1))+(1)))*(2),(A231)+(2)),(A231)+(2)))),A231))</f>
        <v>#VALUE!</v>
      </c>
      <c r="B231" t="e">
        <f ca="1">IF((A1)=(2),"",IF((228)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231)+(1)),IF(("add")=(INDEX(B1:XFD1,((A2)+(1))+(0))),(INDEX(B4:B404,(B3)+(1)))+(B231),IF(("equals")=(INDEX(B1:XFD1,((A2)+(1))+(0))),(INDEX(B4:B404,(B3)+(1)))=(B231),IF(("leq")=(INDEX(B1:XFD1,((A2)+(1))+(0))),(INDEX(B4:B404,(B3)+(1)))&lt;=(B231),IF(("greater")=(INDEX(B1:XFD1,((A2)+(1))+(0))),(INDEX(B4:B404,(B3)+(1)))&gt;(B231),IF(("mod")=(INDEX(B1:XFD1,((A2)+(1))+(0))),MOD(INDEX(B4:B404,(B3)+(1)),B231),B231))))))))),B231))</f>
        <v>#VALUE!</v>
      </c>
      <c r="C231" t="e">
        <f ca="1">IF((A1)=(2),1,IF(AND((INDEX(B1:XFD1,((A2)+(1))+(0)))=("writeheap"),(INDEX(B4:B404,(B3)+(1)))=(227)),INDEX(B4:B404,(B3)+(2)),IF((A1)=(2),"",IF((228)=(C3),C231,C231))))</f>
        <v>#VALUE!</v>
      </c>
      <c r="E231" t="e">
        <f ca="1">IF((A1)=(2),"",IF((228)=(E3),IF(("outputline")=(INDEX(B1:XFD1,((A2)+(1))+(0))),B2,E231),E231))</f>
        <v>#VALUE!</v>
      </c>
      <c r="F231" t="e">
        <f ca="1">IF((A1)=(2),"",IF((228)=(F3),IF(IF((INDEX(B1:XFD1,((A2)+(1))+(0)))=("store"),(INDEX(B1:XFD1,((A2)+(1))+(1)))=("F"),"false"),B2,F231),F231))</f>
        <v>#VALUE!</v>
      </c>
      <c r="G231" t="e">
        <f ca="1">IF((A1)=(2),"",IF((228)=(G3),IF(IF((INDEX(B1:XFD1,((A2)+(1))+(0)))=("store"),(INDEX(B1:XFD1,((A2)+(1))+(1)))=("G"),"false"),B2,G231),G231))</f>
        <v>#VALUE!</v>
      </c>
      <c r="H231" t="e">
        <f ca="1">IF((A1)=(2),"",IF((228)=(H3),IF(IF((INDEX(B1:XFD1,((A2)+(1))+(0)))=("store"),(INDEX(B1:XFD1,((A2)+(1))+(1)))=("H"),"false"),B2,H231),H231))</f>
        <v>#VALUE!</v>
      </c>
      <c r="I231" t="e">
        <f ca="1">IF((A1)=(2),"",IF((228)=(I3),IF(IF((INDEX(B1:XFD1,((A2)+(1))+(0)))=("store"),(INDEX(B1:XFD1,((A2)+(1))+(1)))=("I"),"false"),B2,I231),I231))</f>
        <v>#VALUE!</v>
      </c>
      <c r="J231" t="e">
        <f ca="1">IF((A1)=(2),"",IF((228)=(J3),IF(IF((INDEX(B1:XFD1,((A2)+(1))+(0)))=("store"),(INDEX(B1:XFD1,((A2)+(1))+(1)))=("J"),"false"),B2,J231),J231))</f>
        <v>#VALUE!</v>
      </c>
      <c r="K231" t="e">
        <f ca="1">IF((A1)=(2),"",IF((228)=(K3),IF(IF((INDEX(B1:XFD1,((A2)+(1))+(0)))=("store"),(INDEX(B1:XFD1,((A2)+(1))+(1)))=("K"),"false"),B2,K231),K231))</f>
        <v>#VALUE!</v>
      </c>
      <c r="L231" t="e">
        <f ca="1">IF((A1)=(2),"",IF((228)=(L3),IF(IF((INDEX(B1:XFD1,((A2)+(1))+(0)))=("store"),(INDEX(B1:XFD1,((A2)+(1))+(1)))=("L"),"false"),B2,L231),L231))</f>
        <v>#VALUE!</v>
      </c>
      <c r="M231" t="e">
        <f ca="1">IF((A1)=(2),"",IF((228)=(M3),IF(IF((INDEX(B1:XFD1,((A2)+(1))+(0)))=("store"),(INDEX(B1:XFD1,((A2)+(1))+(1)))=("M"),"false"),B2,M231),M231))</f>
        <v>#VALUE!</v>
      </c>
      <c r="N231" t="e">
        <f ca="1">IF((A1)=(2),"",IF((228)=(N3),IF(IF((INDEX(B1:XFD1,((A2)+(1))+(0)))=("store"),(INDEX(B1:XFD1,((A2)+(1))+(1)))=("N"),"false"),B2,N231),N231))</f>
        <v>#VALUE!</v>
      </c>
      <c r="O231" t="e">
        <f ca="1">IF((A1)=(2),"",IF((228)=(O3),IF(IF((INDEX(B1:XFD1,((A2)+(1))+(0)))=("store"),(INDEX(B1:XFD1,((A2)+(1))+(1)))=("O"),"false"),B2,O231),O231))</f>
        <v>#VALUE!</v>
      </c>
      <c r="P231" t="e">
        <f ca="1">IF((A1)=(2),"",IF((228)=(P3),IF(IF((INDEX(B1:XFD1,((A2)+(1))+(0)))=("store"),(INDEX(B1:XFD1,((A2)+(1))+(1)))=("P"),"false"),B2,P231),P231))</f>
        <v>#VALUE!</v>
      </c>
      <c r="Q231" t="e">
        <f ca="1">IF((A1)=(2),"",IF((228)=(Q3),IF(IF((INDEX(B1:XFD1,((A2)+(1))+(0)))=("store"),(INDEX(B1:XFD1,((A2)+(1))+(1)))=("Q"),"false"),B2,Q231),Q231))</f>
        <v>#VALUE!</v>
      </c>
      <c r="R231" t="e">
        <f ca="1">IF((A1)=(2),"",IF((228)=(R3),IF(IF((INDEX(B1:XFD1,((A2)+(1))+(0)))=("store"),(INDEX(B1:XFD1,((A2)+(1))+(1)))=("R"),"false"),B2,R231),R231))</f>
        <v>#VALUE!</v>
      </c>
      <c r="S231" t="e">
        <f ca="1">IF((A1)=(2),"",IF((228)=(S3),IF(IF((INDEX(B1:XFD1,((A2)+(1))+(0)))=("store"),(INDEX(B1:XFD1,((A2)+(1))+(1)))=("S"),"false"),B2,S231),S231))</f>
        <v>#VALUE!</v>
      </c>
      <c r="T231" t="e">
        <f ca="1">IF((A1)=(2),"",IF((228)=(T3),IF(IF((INDEX(B1:XFD1,((A2)+(1))+(0)))=("store"),(INDEX(B1:XFD1,((A2)+(1))+(1)))=("T"),"false"),B2,T231),T231))</f>
        <v>#VALUE!</v>
      </c>
      <c r="U231" t="e">
        <f ca="1">IF((A1)=(2),"",IF((228)=(U3),IF(IF((INDEX(B1:XFD1,((A2)+(1))+(0)))=("store"),(INDEX(B1:XFD1,((A2)+(1))+(1)))=("U"),"false"),B2,U231),U231))</f>
        <v>#VALUE!</v>
      </c>
      <c r="V231" t="e">
        <f ca="1">IF((A1)=(2),"",IF((228)=(V3),IF(IF((INDEX(B1:XFD1,((A2)+(1))+(0)))=("store"),(INDEX(B1:XFD1,((A2)+(1))+(1)))=("V"),"false"),B2,V231),V231))</f>
        <v>#VALUE!</v>
      </c>
      <c r="W231" t="e">
        <f ca="1">IF((A1)=(2),"",IF((228)=(W3),IF(IF((INDEX(B1:XFD1,((A2)+(1))+(0)))=("store"),(INDEX(B1:XFD1,((A2)+(1))+(1)))=("W"),"false"),B2,W231),W231))</f>
        <v>#VALUE!</v>
      </c>
      <c r="X231" t="e">
        <f ca="1">IF((A1)=(2),"",IF((228)=(X3),IF(IF((INDEX(B1:XFD1,((A2)+(1))+(0)))=("store"),(INDEX(B1:XFD1,((A2)+(1))+(1)))=("X"),"false"),B2,X231),X231))</f>
        <v>#VALUE!</v>
      </c>
      <c r="Y231" t="e">
        <f ca="1">IF((A1)=(2),"",IF((228)=(Y3),IF(IF((INDEX(B1:XFD1,((A2)+(1))+(0)))=("store"),(INDEX(B1:XFD1,((A2)+(1))+(1)))=("Y"),"false"),B2,Y231),Y231))</f>
        <v>#VALUE!</v>
      </c>
      <c r="Z231" t="e">
        <f ca="1">IF((A1)=(2),"",IF((228)=(Z3),IF(IF((INDEX(B1:XFD1,((A2)+(1))+(0)))=("store"),(INDEX(B1:XFD1,((A2)+(1))+(1)))=("Z"),"false"),B2,Z231),Z231))</f>
        <v>#VALUE!</v>
      </c>
      <c r="AA231" t="e">
        <f ca="1">IF((A1)=(2),"",IF((228)=(AA3),IF(IF((INDEX(B1:XFD1,((A2)+(1))+(0)))=("store"),(INDEX(B1:XFD1,((A2)+(1))+(1)))=("AA"),"false"),B2,AA231),AA231))</f>
        <v>#VALUE!</v>
      </c>
      <c r="AB231" t="e">
        <f ca="1">IF((A1)=(2),"",IF((228)=(AB3),IF(IF((INDEX(B1:XFD1,((A2)+(1))+(0)))=("store"),(INDEX(B1:XFD1,((A2)+(1))+(1)))=("AB"),"false"),B2,AB231),AB231))</f>
        <v>#VALUE!</v>
      </c>
      <c r="AC231" t="e">
        <f ca="1">IF((A1)=(2),"",IF((228)=(AC3),IF(IF((INDEX(B1:XFD1,((A2)+(1))+(0)))=("store"),(INDEX(B1:XFD1,((A2)+(1))+(1)))=("AC"),"false"),B2,AC231),AC231))</f>
        <v>#VALUE!</v>
      </c>
      <c r="AD231" t="e">
        <f ca="1">IF((A1)=(2),"",IF((228)=(AD3),IF(IF((INDEX(B1:XFD1,((A2)+(1))+(0)))=("store"),(INDEX(B1:XFD1,((A2)+(1))+(1)))=("AD"),"false"),B2,AD231),AD231))</f>
        <v>#VALUE!</v>
      </c>
    </row>
    <row r="232" spans="1:30" x14ac:dyDescent="0.25">
      <c r="A232" t="e">
        <f ca="1">IF((A1)=(2),"",IF((229)=(A3),IF(("call")=(INDEX(B1:XFD1,((A2)+(1))+(0))),(B2)*(2),IF(("goto")=(INDEX(B1:XFD1,((A2)+(1))+(0))),(INDEX(B1:XFD1,((A2)+(1))+(1)))*(2),IF(("gotoiftrue")=(INDEX(B1:XFD1,((A2)+(1))+(0))),IF(B2,(INDEX(B1:XFD1,((A2)+(1))+(1)))*(2),(A232)+(2)),(A232)+(2)))),A232))</f>
        <v>#VALUE!</v>
      </c>
      <c r="B232" t="e">
        <f ca="1">IF((A1)=(2),"",IF((229)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232)+(1)),IF(("add")=(INDEX(B1:XFD1,((A2)+(1))+(0))),(INDEX(B4:B404,(B3)+(1)))+(B232),IF(("equals")=(INDEX(B1:XFD1,((A2)+(1))+(0))),(INDEX(B4:B404,(B3)+(1)))=(B232),IF(("leq")=(INDEX(B1:XFD1,((A2)+(1))+(0))),(INDEX(B4:B404,(B3)+(1)))&lt;=(B232),IF(("greater")=(INDEX(B1:XFD1,((A2)+(1))+(0))),(INDEX(B4:B404,(B3)+(1)))&gt;(B232),IF(("mod")=(INDEX(B1:XFD1,((A2)+(1))+(0))),MOD(INDEX(B4:B404,(B3)+(1)),B232),B232))))))))),B232))</f>
        <v>#VALUE!</v>
      </c>
      <c r="C232" t="e">
        <f ca="1">IF((A1)=(2),1,IF(AND((INDEX(B1:XFD1,((A2)+(1))+(0)))=("writeheap"),(INDEX(B4:B404,(B3)+(1)))=(228)),INDEX(B4:B404,(B3)+(2)),IF((A1)=(2),"",IF((229)=(C3),C232,C232))))</f>
        <v>#VALUE!</v>
      </c>
      <c r="E232" t="e">
        <f ca="1">IF((A1)=(2),"",IF((229)=(E3),IF(("outputline")=(INDEX(B1:XFD1,((A2)+(1))+(0))),B2,E232),E232))</f>
        <v>#VALUE!</v>
      </c>
      <c r="F232" t="e">
        <f ca="1">IF((A1)=(2),"",IF((229)=(F3),IF(IF((INDEX(B1:XFD1,((A2)+(1))+(0)))=("store"),(INDEX(B1:XFD1,((A2)+(1))+(1)))=("F"),"false"),B2,F232),F232))</f>
        <v>#VALUE!</v>
      </c>
      <c r="G232" t="e">
        <f ca="1">IF((A1)=(2),"",IF((229)=(G3),IF(IF((INDEX(B1:XFD1,((A2)+(1))+(0)))=("store"),(INDEX(B1:XFD1,((A2)+(1))+(1)))=("G"),"false"),B2,G232),G232))</f>
        <v>#VALUE!</v>
      </c>
      <c r="H232" t="e">
        <f ca="1">IF((A1)=(2),"",IF((229)=(H3),IF(IF((INDEX(B1:XFD1,((A2)+(1))+(0)))=("store"),(INDEX(B1:XFD1,((A2)+(1))+(1)))=("H"),"false"),B2,H232),H232))</f>
        <v>#VALUE!</v>
      </c>
      <c r="I232" t="e">
        <f ca="1">IF((A1)=(2),"",IF((229)=(I3),IF(IF((INDEX(B1:XFD1,((A2)+(1))+(0)))=("store"),(INDEX(B1:XFD1,((A2)+(1))+(1)))=("I"),"false"),B2,I232),I232))</f>
        <v>#VALUE!</v>
      </c>
      <c r="J232" t="e">
        <f ca="1">IF((A1)=(2),"",IF((229)=(J3),IF(IF((INDEX(B1:XFD1,((A2)+(1))+(0)))=("store"),(INDEX(B1:XFD1,((A2)+(1))+(1)))=("J"),"false"),B2,J232),J232))</f>
        <v>#VALUE!</v>
      </c>
      <c r="K232" t="e">
        <f ca="1">IF((A1)=(2),"",IF((229)=(K3),IF(IF((INDEX(B1:XFD1,((A2)+(1))+(0)))=("store"),(INDEX(B1:XFD1,((A2)+(1))+(1)))=("K"),"false"),B2,K232),K232))</f>
        <v>#VALUE!</v>
      </c>
      <c r="L232" t="e">
        <f ca="1">IF((A1)=(2),"",IF((229)=(L3),IF(IF((INDEX(B1:XFD1,((A2)+(1))+(0)))=("store"),(INDEX(B1:XFD1,((A2)+(1))+(1)))=("L"),"false"),B2,L232),L232))</f>
        <v>#VALUE!</v>
      </c>
      <c r="M232" t="e">
        <f ca="1">IF((A1)=(2),"",IF((229)=(M3),IF(IF((INDEX(B1:XFD1,((A2)+(1))+(0)))=("store"),(INDEX(B1:XFD1,((A2)+(1))+(1)))=("M"),"false"),B2,M232),M232))</f>
        <v>#VALUE!</v>
      </c>
      <c r="N232" t="e">
        <f ca="1">IF((A1)=(2),"",IF((229)=(N3),IF(IF((INDEX(B1:XFD1,((A2)+(1))+(0)))=("store"),(INDEX(B1:XFD1,((A2)+(1))+(1)))=("N"),"false"),B2,N232),N232))</f>
        <v>#VALUE!</v>
      </c>
      <c r="O232" t="e">
        <f ca="1">IF((A1)=(2),"",IF((229)=(O3),IF(IF((INDEX(B1:XFD1,((A2)+(1))+(0)))=("store"),(INDEX(B1:XFD1,((A2)+(1))+(1)))=("O"),"false"),B2,O232),O232))</f>
        <v>#VALUE!</v>
      </c>
      <c r="P232" t="e">
        <f ca="1">IF((A1)=(2),"",IF((229)=(P3),IF(IF((INDEX(B1:XFD1,((A2)+(1))+(0)))=("store"),(INDEX(B1:XFD1,((A2)+(1))+(1)))=("P"),"false"),B2,P232),P232))</f>
        <v>#VALUE!</v>
      </c>
      <c r="Q232" t="e">
        <f ca="1">IF((A1)=(2),"",IF((229)=(Q3),IF(IF((INDEX(B1:XFD1,((A2)+(1))+(0)))=("store"),(INDEX(B1:XFD1,((A2)+(1))+(1)))=("Q"),"false"),B2,Q232),Q232))</f>
        <v>#VALUE!</v>
      </c>
      <c r="R232" t="e">
        <f ca="1">IF((A1)=(2),"",IF((229)=(R3),IF(IF((INDEX(B1:XFD1,((A2)+(1))+(0)))=("store"),(INDEX(B1:XFD1,((A2)+(1))+(1)))=("R"),"false"),B2,R232),R232))</f>
        <v>#VALUE!</v>
      </c>
      <c r="S232" t="e">
        <f ca="1">IF((A1)=(2),"",IF((229)=(S3),IF(IF((INDEX(B1:XFD1,((A2)+(1))+(0)))=("store"),(INDEX(B1:XFD1,((A2)+(1))+(1)))=("S"),"false"),B2,S232),S232))</f>
        <v>#VALUE!</v>
      </c>
      <c r="T232" t="e">
        <f ca="1">IF((A1)=(2),"",IF((229)=(T3),IF(IF((INDEX(B1:XFD1,((A2)+(1))+(0)))=("store"),(INDEX(B1:XFD1,((A2)+(1))+(1)))=("T"),"false"),B2,T232),T232))</f>
        <v>#VALUE!</v>
      </c>
      <c r="U232" t="e">
        <f ca="1">IF((A1)=(2),"",IF((229)=(U3),IF(IF((INDEX(B1:XFD1,((A2)+(1))+(0)))=("store"),(INDEX(B1:XFD1,((A2)+(1))+(1)))=("U"),"false"),B2,U232),U232))</f>
        <v>#VALUE!</v>
      </c>
      <c r="V232" t="e">
        <f ca="1">IF((A1)=(2),"",IF((229)=(V3),IF(IF((INDEX(B1:XFD1,((A2)+(1))+(0)))=("store"),(INDEX(B1:XFD1,((A2)+(1))+(1)))=("V"),"false"),B2,V232),V232))</f>
        <v>#VALUE!</v>
      </c>
      <c r="W232" t="e">
        <f ca="1">IF((A1)=(2),"",IF((229)=(W3),IF(IF((INDEX(B1:XFD1,((A2)+(1))+(0)))=("store"),(INDEX(B1:XFD1,((A2)+(1))+(1)))=("W"),"false"),B2,W232),W232))</f>
        <v>#VALUE!</v>
      </c>
      <c r="X232" t="e">
        <f ca="1">IF((A1)=(2),"",IF((229)=(X3),IF(IF((INDEX(B1:XFD1,((A2)+(1))+(0)))=("store"),(INDEX(B1:XFD1,((A2)+(1))+(1)))=("X"),"false"),B2,X232),X232))</f>
        <v>#VALUE!</v>
      </c>
      <c r="Y232" t="e">
        <f ca="1">IF((A1)=(2),"",IF((229)=(Y3),IF(IF((INDEX(B1:XFD1,((A2)+(1))+(0)))=("store"),(INDEX(B1:XFD1,((A2)+(1))+(1)))=("Y"),"false"),B2,Y232),Y232))</f>
        <v>#VALUE!</v>
      </c>
      <c r="Z232" t="e">
        <f ca="1">IF((A1)=(2),"",IF((229)=(Z3),IF(IF((INDEX(B1:XFD1,((A2)+(1))+(0)))=("store"),(INDEX(B1:XFD1,((A2)+(1))+(1)))=("Z"),"false"),B2,Z232),Z232))</f>
        <v>#VALUE!</v>
      </c>
      <c r="AA232" t="e">
        <f ca="1">IF((A1)=(2),"",IF((229)=(AA3),IF(IF((INDEX(B1:XFD1,((A2)+(1))+(0)))=("store"),(INDEX(B1:XFD1,((A2)+(1))+(1)))=("AA"),"false"),B2,AA232),AA232))</f>
        <v>#VALUE!</v>
      </c>
      <c r="AB232" t="e">
        <f ca="1">IF((A1)=(2),"",IF((229)=(AB3),IF(IF((INDEX(B1:XFD1,((A2)+(1))+(0)))=("store"),(INDEX(B1:XFD1,((A2)+(1))+(1)))=("AB"),"false"),B2,AB232),AB232))</f>
        <v>#VALUE!</v>
      </c>
      <c r="AC232" t="e">
        <f ca="1">IF((A1)=(2),"",IF((229)=(AC3),IF(IF((INDEX(B1:XFD1,((A2)+(1))+(0)))=("store"),(INDEX(B1:XFD1,((A2)+(1))+(1)))=("AC"),"false"),B2,AC232),AC232))</f>
        <v>#VALUE!</v>
      </c>
      <c r="AD232" t="e">
        <f ca="1">IF((A1)=(2),"",IF((229)=(AD3),IF(IF((INDEX(B1:XFD1,((A2)+(1))+(0)))=("store"),(INDEX(B1:XFD1,((A2)+(1))+(1)))=("AD"),"false"),B2,AD232),AD232))</f>
        <v>#VALUE!</v>
      </c>
    </row>
    <row r="233" spans="1:30" x14ac:dyDescent="0.25">
      <c r="A233" t="e">
        <f ca="1">IF((A1)=(2),"",IF((230)=(A3),IF(("call")=(INDEX(B1:XFD1,((A2)+(1))+(0))),(B2)*(2),IF(("goto")=(INDEX(B1:XFD1,((A2)+(1))+(0))),(INDEX(B1:XFD1,((A2)+(1))+(1)))*(2),IF(("gotoiftrue")=(INDEX(B1:XFD1,((A2)+(1))+(0))),IF(B2,(INDEX(B1:XFD1,((A2)+(1))+(1)))*(2),(A233)+(2)),(A233)+(2)))),A233))</f>
        <v>#VALUE!</v>
      </c>
      <c r="B233" t="e">
        <f ca="1">IF((A1)=(2),"",IF((230)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233)+(1)),IF(("add")=(INDEX(B1:XFD1,((A2)+(1))+(0))),(INDEX(B4:B404,(B3)+(1)))+(B233),IF(("equals")=(INDEX(B1:XFD1,((A2)+(1))+(0))),(INDEX(B4:B404,(B3)+(1)))=(B233),IF(("leq")=(INDEX(B1:XFD1,((A2)+(1))+(0))),(INDEX(B4:B404,(B3)+(1)))&lt;=(B233),IF(("greater")=(INDEX(B1:XFD1,((A2)+(1))+(0))),(INDEX(B4:B404,(B3)+(1)))&gt;(B233),IF(("mod")=(INDEX(B1:XFD1,((A2)+(1))+(0))),MOD(INDEX(B4:B404,(B3)+(1)),B233),B233))))))))),B233))</f>
        <v>#VALUE!</v>
      </c>
      <c r="C233" t="e">
        <f ca="1">IF((A1)=(2),1,IF(AND((INDEX(B1:XFD1,((A2)+(1))+(0)))=("writeheap"),(INDEX(B4:B404,(B3)+(1)))=(229)),INDEX(B4:B404,(B3)+(2)),IF((A1)=(2),"",IF((230)=(C3),C233,C233))))</f>
        <v>#VALUE!</v>
      </c>
      <c r="E233" t="e">
        <f ca="1">IF((A1)=(2),"",IF((230)=(E3),IF(("outputline")=(INDEX(B1:XFD1,((A2)+(1))+(0))),B2,E233),E233))</f>
        <v>#VALUE!</v>
      </c>
      <c r="F233" t="e">
        <f ca="1">IF((A1)=(2),"",IF((230)=(F3),IF(IF((INDEX(B1:XFD1,((A2)+(1))+(0)))=("store"),(INDEX(B1:XFD1,((A2)+(1))+(1)))=("F"),"false"),B2,F233),F233))</f>
        <v>#VALUE!</v>
      </c>
      <c r="G233" t="e">
        <f ca="1">IF((A1)=(2),"",IF((230)=(G3),IF(IF((INDEX(B1:XFD1,((A2)+(1))+(0)))=("store"),(INDEX(B1:XFD1,((A2)+(1))+(1)))=("G"),"false"),B2,G233),G233))</f>
        <v>#VALUE!</v>
      </c>
      <c r="H233" t="e">
        <f ca="1">IF((A1)=(2),"",IF((230)=(H3),IF(IF((INDEX(B1:XFD1,((A2)+(1))+(0)))=("store"),(INDEX(B1:XFD1,((A2)+(1))+(1)))=("H"),"false"),B2,H233),H233))</f>
        <v>#VALUE!</v>
      </c>
      <c r="I233" t="e">
        <f ca="1">IF((A1)=(2),"",IF((230)=(I3),IF(IF((INDEX(B1:XFD1,((A2)+(1))+(0)))=("store"),(INDEX(B1:XFD1,((A2)+(1))+(1)))=("I"),"false"),B2,I233),I233))</f>
        <v>#VALUE!</v>
      </c>
      <c r="J233" t="e">
        <f ca="1">IF((A1)=(2),"",IF((230)=(J3),IF(IF((INDEX(B1:XFD1,((A2)+(1))+(0)))=("store"),(INDEX(B1:XFD1,((A2)+(1))+(1)))=("J"),"false"),B2,J233),J233))</f>
        <v>#VALUE!</v>
      </c>
      <c r="K233" t="e">
        <f ca="1">IF((A1)=(2),"",IF((230)=(K3),IF(IF((INDEX(B1:XFD1,((A2)+(1))+(0)))=("store"),(INDEX(B1:XFD1,((A2)+(1))+(1)))=("K"),"false"),B2,K233),K233))</f>
        <v>#VALUE!</v>
      </c>
      <c r="L233" t="e">
        <f ca="1">IF((A1)=(2),"",IF((230)=(L3),IF(IF((INDEX(B1:XFD1,((A2)+(1))+(0)))=("store"),(INDEX(B1:XFD1,((A2)+(1))+(1)))=("L"),"false"),B2,L233),L233))</f>
        <v>#VALUE!</v>
      </c>
      <c r="M233" t="e">
        <f ca="1">IF((A1)=(2),"",IF((230)=(M3),IF(IF((INDEX(B1:XFD1,((A2)+(1))+(0)))=("store"),(INDEX(B1:XFD1,((A2)+(1))+(1)))=("M"),"false"),B2,M233),M233))</f>
        <v>#VALUE!</v>
      </c>
      <c r="N233" t="e">
        <f ca="1">IF((A1)=(2),"",IF((230)=(N3),IF(IF((INDEX(B1:XFD1,((A2)+(1))+(0)))=("store"),(INDEX(B1:XFD1,((A2)+(1))+(1)))=("N"),"false"),B2,N233),N233))</f>
        <v>#VALUE!</v>
      </c>
      <c r="O233" t="e">
        <f ca="1">IF((A1)=(2),"",IF((230)=(O3),IF(IF((INDEX(B1:XFD1,((A2)+(1))+(0)))=("store"),(INDEX(B1:XFD1,((A2)+(1))+(1)))=("O"),"false"),B2,O233),O233))</f>
        <v>#VALUE!</v>
      </c>
      <c r="P233" t="e">
        <f ca="1">IF((A1)=(2),"",IF((230)=(P3),IF(IF((INDEX(B1:XFD1,((A2)+(1))+(0)))=("store"),(INDEX(B1:XFD1,((A2)+(1))+(1)))=("P"),"false"),B2,P233),P233))</f>
        <v>#VALUE!</v>
      </c>
      <c r="Q233" t="e">
        <f ca="1">IF((A1)=(2),"",IF((230)=(Q3),IF(IF((INDEX(B1:XFD1,((A2)+(1))+(0)))=("store"),(INDEX(B1:XFD1,((A2)+(1))+(1)))=("Q"),"false"),B2,Q233),Q233))</f>
        <v>#VALUE!</v>
      </c>
      <c r="R233" t="e">
        <f ca="1">IF((A1)=(2),"",IF((230)=(R3),IF(IF((INDEX(B1:XFD1,((A2)+(1))+(0)))=("store"),(INDEX(B1:XFD1,((A2)+(1))+(1)))=("R"),"false"),B2,R233),R233))</f>
        <v>#VALUE!</v>
      </c>
      <c r="S233" t="e">
        <f ca="1">IF((A1)=(2),"",IF((230)=(S3),IF(IF((INDEX(B1:XFD1,((A2)+(1))+(0)))=("store"),(INDEX(B1:XFD1,((A2)+(1))+(1)))=("S"),"false"),B2,S233),S233))</f>
        <v>#VALUE!</v>
      </c>
      <c r="T233" t="e">
        <f ca="1">IF((A1)=(2),"",IF((230)=(T3),IF(IF((INDEX(B1:XFD1,((A2)+(1))+(0)))=("store"),(INDEX(B1:XFD1,((A2)+(1))+(1)))=("T"),"false"),B2,T233),T233))</f>
        <v>#VALUE!</v>
      </c>
      <c r="U233" t="e">
        <f ca="1">IF((A1)=(2),"",IF((230)=(U3),IF(IF((INDEX(B1:XFD1,((A2)+(1))+(0)))=("store"),(INDEX(B1:XFD1,((A2)+(1))+(1)))=("U"),"false"),B2,U233),U233))</f>
        <v>#VALUE!</v>
      </c>
      <c r="V233" t="e">
        <f ca="1">IF((A1)=(2),"",IF((230)=(V3),IF(IF((INDEX(B1:XFD1,((A2)+(1))+(0)))=("store"),(INDEX(B1:XFD1,((A2)+(1))+(1)))=("V"),"false"),B2,V233),V233))</f>
        <v>#VALUE!</v>
      </c>
      <c r="W233" t="e">
        <f ca="1">IF((A1)=(2),"",IF((230)=(W3),IF(IF((INDEX(B1:XFD1,((A2)+(1))+(0)))=("store"),(INDEX(B1:XFD1,((A2)+(1))+(1)))=("W"),"false"),B2,W233),W233))</f>
        <v>#VALUE!</v>
      </c>
      <c r="X233" t="e">
        <f ca="1">IF((A1)=(2),"",IF((230)=(X3),IF(IF((INDEX(B1:XFD1,((A2)+(1))+(0)))=("store"),(INDEX(B1:XFD1,((A2)+(1))+(1)))=("X"),"false"),B2,X233),X233))</f>
        <v>#VALUE!</v>
      </c>
      <c r="Y233" t="e">
        <f ca="1">IF((A1)=(2),"",IF((230)=(Y3),IF(IF((INDEX(B1:XFD1,((A2)+(1))+(0)))=("store"),(INDEX(B1:XFD1,((A2)+(1))+(1)))=("Y"),"false"),B2,Y233),Y233))</f>
        <v>#VALUE!</v>
      </c>
      <c r="Z233" t="e">
        <f ca="1">IF((A1)=(2),"",IF((230)=(Z3),IF(IF((INDEX(B1:XFD1,((A2)+(1))+(0)))=("store"),(INDEX(B1:XFD1,((A2)+(1))+(1)))=("Z"),"false"),B2,Z233),Z233))</f>
        <v>#VALUE!</v>
      </c>
      <c r="AA233" t="e">
        <f ca="1">IF((A1)=(2),"",IF((230)=(AA3),IF(IF((INDEX(B1:XFD1,((A2)+(1))+(0)))=("store"),(INDEX(B1:XFD1,((A2)+(1))+(1)))=("AA"),"false"),B2,AA233),AA233))</f>
        <v>#VALUE!</v>
      </c>
      <c r="AB233" t="e">
        <f ca="1">IF((A1)=(2),"",IF((230)=(AB3),IF(IF((INDEX(B1:XFD1,((A2)+(1))+(0)))=("store"),(INDEX(B1:XFD1,((A2)+(1))+(1)))=("AB"),"false"),B2,AB233),AB233))</f>
        <v>#VALUE!</v>
      </c>
      <c r="AC233" t="e">
        <f ca="1">IF((A1)=(2),"",IF((230)=(AC3),IF(IF((INDEX(B1:XFD1,((A2)+(1))+(0)))=("store"),(INDEX(B1:XFD1,((A2)+(1))+(1)))=("AC"),"false"),B2,AC233),AC233))</f>
        <v>#VALUE!</v>
      </c>
      <c r="AD233" t="e">
        <f ca="1">IF((A1)=(2),"",IF((230)=(AD3),IF(IF((INDEX(B1:XFD1,((A2)+(1))+(0)))=("store"),(INDEX(B1:XFD1,((A2)+(1))+(1)))=("AD"),"false"),B2,AD233),AD233))</f>
        <v>#VALUE!</v>
      </c>
    </row>
    <row r="234" spans="1:30" x14ac:dyDescent="0.25">
      <c r="A234" t="e">
        <f ca="1">IF((A1)=(2),"",IF((231)=(A3),IF(("call")=(INDEX(B1:XFD1,((A2)+(1))+(0))),(B2)*(2),IF(("goto")=(INDEX(B1:XFD1,((A2)+(1))+(0))),(INDEX(B1:XFD1,((A2)+(1))+(1)))*(2),IF(("gotoiftrue")=(INDEX(B1:XFD1,((A2)+(1))+(0))),IF(B2,(INDEX(B1:XFD1,((A2)+(1))+(1)))*(2),(A234)+(2)),(A234)+(2)))),A234))</f>
        <v>#VALUE!</v>
      </c>
      <c r="B234" t="e">
        <f ca="1">IF((A1)=(2),"",IF((231)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234)+(1)),IF(("add")=(INDEX(B1:XFD1,((A2)+(1))+(0))),(INDEX(B4:B404,(B3)+(1)))+(B234),IF(("equals")=(INDEX(B1:XFD1,((A2)+(1))+(0))),(INDEX(B4:B404,(B3)+(1)))=(B234),IF(("leq")=(INDEX(B1:XFD1,((A2)+(1))+(0))),(INDEX(B4:B404,(B3)+(1)))&lt;=(B234),IF(("greater")=(INDEX(B1:XFD1,((A2)+(1))+(0))),(INDEX(B4:B404,(B3)+(1)))&gt;(B234),IF(("mod")=(INDEX(B1:XFD1,((A2)+(1))+(0))),MOD(INDEX(B4:B404,(B3)+(1)),B234),B234))))))))),B234))</f>
        <v>#VALUE!</v>
      </c>
      <c r="C234" t="e">
        <f ca="1">IF((A1)=(2),1,IF(AND((INDEX(B1:XFD1,((A2)+(1))+(0)))=("writeheap"),(INDEX(B4:B404,(B3)+(1)))=(230)),INDEX(B4:B404,(B3)+(2)),IF((A1)=(2),"",IF((231)=(C3),C234,C234))))</f>
        <v>#VALUE!</v>
      </c>
      <c r="E234" t="e">
        <f ca="1">IF((A1)=(2),"",IF((231)=(E3),IF(("outputline")=(INDEX(B1:XFD1,((A2)+(1))+(0))),B2,E234),E234))</f>
        <v>#VALUE!</v>
      </c>
      <c r="F234" t="e">
        <f ca="1">IF((A1)=(2),"",IF((231)=(F3),IF(IF((INDEX(B1:XFD1,((A2)+(1))+(0)))=("store"),(INDEX(B1:XFD1,((A2)+(1))+(1)))=("F"),"false"),B2,F234),F234))</f>
        <v>#VALUE!</v>
      </c>
      <c r="G234" t="e">
        <f ca="1">IF((A1)=(2),"",IF((231)=(G3),IF(IF((INDEX(B1:XFD1,((A2)+(1))+(0)))=("store"),(INDEX(B1:XFD1,((A2)+(1))+(1)))=("G"),"false"),B2,G234),G234))</f>
        <v>#VALUE!</v>
      </c>
      <c r="H234" t="e">
        <f ca="1">IF((A1)=(2),"",IF((231)=(H3),IF(IF((INDEX(B1:XFD1,((A2)+(1))+(0)))=("store"),(INDEX(B1:XFD1,((A2)+(1))+(1)))=("H"),"false"),B2,H234),H234))</f>
        <v>#VALUE!</v>
      </c>
      <c r="I234" t="e">
        <f ca="1">IF((A1)=(2),"",IF((231)=(I3),IF(IF((INDEX(B1:XFD1,((A2)+(1))+(0)))=("store"),(INDEX(B1:XFD1,((A2)+(1))+(1)))=("I"),"false"),B2,I234),I234))</f>
        <v>#VALUE!</v>
      </c>
      <c r="J234" t="e">
        <f ca="1">IF((A1)=(2),"",IF((231)=(J3),IF(IF((INDEX(B1:XFD1,((A2)+(1))+(0)))=("store"),(INDEX(B1:XFD1,((A2)+(1))+(1)))=("J"),"false"),B2,J234),J234))</f>
        <v>#VALUE!</v>
      </c>
      <c r="K234" t="e">
        <f ca="1">IF((A1)=(2),"",IF((231)=(K3),IF(IF((INDEX(B1:XFD1,((A2)+(1))+(0)))=("store"),(INDEX(B1:XFD1,((A2)+(1))+(1)))=("K"),"false"),B2,K234),K234))</f>
        <v>#VALUE!</v>
      </c>
      <c r="L234" t="e">
        <f ca="1">IF((A1)=(2),"",IF((231)=(L3),IF(IF((INDEX(B1:XFD1,((A2)+(1))+(0)))=("store"),(INDEX(B1:XFD1,((A2)+(1))+(1)))=("L"),"false"),B2,L234),L234))</f>
        <v>#VALUE!</v>
      </c>
      <c r="M234" t="e">
        <f ca="1">IF((A1)=(2),"",IF((231)=(M3),IF(IF((INDEX(B1:XFD1,((A2)+(1))+(0)))=("store"),(INDEX(B1:XFD1,((A2)+(1))+(1)))=("M"),"false"),B2,M234),M234))</f>
        <v>#VALUE!</v>
      </c>
      <c r="N234" t="e">
        <f ca="1">IF((A1)=(2),"",IF((231)=(N3),IF(IF((INDEX(B1:XFD1,((A2)+(1))+(0)))=("store"),(INDEX(B1:XFD1,((A2)+(1))+(1)))=("N"),"false"),B2,N234),N234))</f>
        <v>#VALUE!</v>
      </c>
      <c r="O234" t="e">
        <f ca="1">IF((A1)=(2),"",IF((231)=(O3),IF(IF((INDEX(B1:XFD1,((A2)+(1))+(0)))=("store"),(INDEX(B1:XFD1,((A2)+(1))+(1)))=("O"),"false"),B2,O234),O234))</f>
        <v>#VALUE!</v>
      </c>
      <c r="P234" t="e">
        <f ca="1">IF((A1)=(2),"",IF((231)=(P3),IF(IF((INDEX(B1:XFD1,((A2)+(1))+(0)))=("store"),(INDEX(B1:XFD1,((A2)+(1))+(1)))=("P"),"false"),B2,P234),P234))</f>
        <v>#VALUE!</v>
      </c>
      <c r="Q234" t="e">
        <f ca="1">IF((A1)=(2),"",IF((231)=(Q3),IF(IF((INDEX(B1:XFD1,((A2)+(1))+(0)))=("store"),(INDEX(B1:XFD1,((A2)+(1))+(1)))=("Q"),"false"),B2,Q234),Q234))</f>
        <v>#VALUE!</v>
      </c>
      <c r="R234" t="e">
        <f ca="1">IF((A1)=(2),"",IF((231)=(R3),IF(IF((INDEX(B1:XFD1,((A2)+(1))+(0)))=("store"),(INDEX(B1:XFD1,((A2)+(1))+(1)))=("R"),"false"),B2,R234),R234))</f>
        <v>#VALUE!</v>
      </c>
      <c r="S234" t="e">
        <f ca="1">IF((A1)=(2),"",IF((231)=(S3),IF(IF((INDEX(B1:XFD1,((A2)+(1))+(0)))=("store"),(INDEX(B1:XFD1,((A2)+(1))+(1)))=("S"),"false"),B2,S234),S234))</f>
        <v>#VALUE!</v>
      </c>
      <c r="T234" t="e">
        <f ca="1">IF((A1)=(2),"",IF((231)=(T3),IF(IF((INDEX(B1:XFD1,((A2)+(1))+(0)))=("store"),(INDEX(B1:XFD1,((A2)+(1))+(1)))=("T"),"false"),B2,T234),T234))</f>
        <v>#VALUE!</v>
      </c>
      <c r="U234" t="e">
        <f ca="1">IF((A1)=(2),"",IF((231)=(U3),IF(IF((INDEX(B1:XFD1,((A2)+(1))+(0)))=("store"),(INDEX(B1:XFD1,((A2)+(1))+(1)))=("U"),"false"),B2,U234),U234))</f>
        <v>#VALUE!</v>
      </c>
      <c r="V234" t="e">
        <f ca="1">IF((A1)=(2),"",IF((231)=(V3),IF(IF((INDEX(B1:XFD1,((A2)+(1))+(0)))=("store"),(INDEX(B1:XFD1,((A2)+(1))+(1)))=("V"),"false"),B2,V234),V234))</f>
        <v>#VALUE!</v>
      </c>
      <c r="W234" t="e">
        <f ca="1">IF((A1)=(2),"",IF((231)=(W3),IF(IF((INDEX(B1:XFD1,((A2)+(1))+(0)))=("store"),(INDEX(B1:XFD1,((A2)+(1))+(1)))=("W"),"false"),B2,W234),W234))</f>
        <v>#VALUE!</v>
      </c>
      <c r="X234" t="e">
        <f ca="1">IF((A1)=(2),"",IF((231)=(X3),IF(IF((INDEX(B1:XFD1,((A2)+(1))+(0)))=("store"),(INDEX(B1:XFD1,((A2)+(1))+(1)))=("X"),"false"),B2,X234),X234))</f>
        <v>#VALUE!</v>
      </c>
      <c r="Y234" t="e">
        <f ca="1">IF((A1)=(2),"",IF((231)=(Y3),IF(IF((INDEX(B1:XFD1,((A2)+(1))+(0)))=("store"),(INDEX(B1:XFD1,((A2)+(1))+(1)))=("Y"),"false"),B2,Y234),Y234))</f>
        <v>#VALUE!</v>
      </c>
      <c r="Z234" t="e">
        <f ca="1">IF((A1)=(2),"",IF((231)=(Z3),IF(IF((INDEX(B1:XFD1,((A2)+(1))+(0)))=("store"),(INDEX(B1:XFD1,((A2)+(1))+(1)))=("Z"),"false"),B2,Z234),Z234))</f>
        <v>#VALUE!</v>
      </c>
      <c r="AA234" t="e">
        <f ca="1">IF((A1)=(2),"",IF((231)=(AA3),IF(IF((INDEX(B1:XFD1,((A2)+(1))+(0)))=("store"),(INDEX(B1:XFD1,((A2)+(1))+(1)))=("AA"),"false"),B2,AA234),AA234))</f>
        <v>#VALUE!</v>
      </c>
      <c r="AB234" t="e">
        <f ca="1">IF((A1)=(2),"",IF((231)=(AB3),IF(IF((INDEX(B1:XFD1,((A2)+(1))+(0)))=("store"),(INDEX(B1:XFD1,((A2)+(1))+(1)))=("AB"),"false"),B2,AB234),AB234))</f>
        <v>#VALUE!</v>
      </c>
      <c r="AC234" t="e">
        <f ca="1">IF((A1)=(2),"",IF((231)=(AC3),IF(IF((INDEX(B1:XFD1,((A2)+(1))+(0)))=("store"),(INDEX(B1:XFD1,((A2)+(1))+(1)))=("AC"),"false"),B2,AC234),AC234))</f>
        <v>#VALUE!</v>
      </c>
      <c r="AD234" t="e">
        <f ca="1">IF((A1)=(2),"",IF((231)=(AD3),IF(IF((INDEX(B1:XFD1,((A2)+(1))+(0)))=("store"),(INDEX(B1:XFD1,((A2)+(1))+(1)))=("AD"),"false"),B2,AD234),AD234))</f>
        <v>#VALUE!</v>
      </c>
    </row>
    <row r="235" spans="1:30" x14ac:dyDescent="0.25">
      <c r="A235" t="e">
        <f ca="1">IF((A1)=(2),"",IF((232)=(A3),IF(("call")=(INDEX(B1:XFD1,((A2)+(1))+(0))),(B2)*(2),IF(("goto")=(INDEX(B1:XFD1,((A2)+(1))+(0))),(INDEX(B1:XFD1,((A2)+(1))+(1)))*(2),IF(("gotoiftrue")=(INDEX(B1:XFD1,((A2)+(1))+(0))),IF(B2,(INDEX(B1:XFD1,((A2)+(1))+(1)))*(2),(A235)+(2)),(A235)+(2)))),A235))</f>
        <v>#VALUE!</v>
      </c>
      <c r="B235" t="e">
        <f ca="1">IF((A1)=(2),"",IF((232)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235)+(1)),IF(("add")=(INDEX(B1:XFD1,((A2)+(1))+(0))),(INDEX(B4:B404,(B3)+(1)))+(B235),IF(("equals")=(INDEX(B1:XFD1,((A2)+(1))+(0))),(INDEX(B4:B404,(B3)+(1)))=(B235),IF(("leq")=(INDEX(B1:XFD1,((A2)+(1))+(0))),(INDEX(B4:B404,(B3)+(1)))&lt;=(B235),IF(("greater")=(INDEX(B1:XFD1,((A2)+(1))+(0))),(INDEX(B4:B404,(B3)+(1)))&gt;(B235),IF(("mod")=(INDEX(B1:XFD1,((A2)+(1))+(0))),MOD(INDEX(B4:B404,(B3)+(1)),B235),B235))))))))),B235))</f>
        <v>#VALUE!</v>
      </c>
      <c r="C235" t="e">
        <f ca="1">IF((A1)=(2),1,IF(AND((INDEX(B1:XFD1,((A2)+(1))+(0)))=("writeheap"),(INDEX(B4:B404,(B3)+(1)))=(231)),INDEX(B4:B404,(B3)+(2)),IF((A1)=(2),"",IF((232)=(C3),C235,C235))))</f>
        <v>#VALUE!</v>
      </c>
      <c r="E235" t="e">
        <f ca="1">IF((A1)=(2),"",IF((232)=(E3),IF(("outputline")=(INDEX(B1:XFD1,((A2)+(1))+(0))),B2,E235),E235))</f>
        <v>#VALUE!</v>
      </c>
      <c r="F235" t="e">
        <f ca="1">IF((A1)=(2),"",IF((232)=(F3),IF(IF((INDEX(B1:XFD1,((A2)+(1))+(0)))=("store"),(INDEX(B1:XFD1,((A2)+(1))+(1)))=("F"),"false"),B2,F235),F235))</f>
        <v>#VALUE!</v>
      </c>
      <c r="G235" t="e">
        <f ca="1">IF((A1)=(2),"",IF((232)=(G3),IF(IF((INDEX(B1:XFD1,((A2)+(1))+(0)))=("store"),(INDEX(B1:XFD1,((A2)+(1))+(1)))=("G"),"false"),B2,G235),G235))</f>
        <v>#VALUE!</v>
      </c>
      <c r="H235" t="e">
        <f ca="1">IF((A1)=(2),"",IF((232)=(H3),IF(IF((INDEX(B1:XFD1,((A2)+(1))+(0)))=("store"),(INDEX(B1:XFD1,((A2)+(1))+(1)))=("H"),"false"),B2,H235),H235))</f>
        <v>#VALUE!</v>
      </c>
      <c r="I235" t="e">
        <f ca="1">IF((A1)=(2),"",IF((232)=(I3),IF(IF((INDEX(B1:XFD1,((A2)+(1))+(0)))=("store"),(INDEX(B1:XFD1,((A2)+(1))+(1)))=("I"),"false"),B2,I235),I235))</f>
        <v>#VALUE!</v>
      </c>
      <c r="J235" t="e">
        <f ca="1">IF((A1)=(2),"",IF((232)=(J3),IF(IF((INDEX(B1:XFD1,((A2)+(1))+(0)))=("store"),(INDEX(B1:XFD1,((A2)+(1))+(1)))=("J"),"false"),B2,J235),J235))</f>
        <v>#VALUE!</v>
      </c>
      <c r="K235" t="e">
        <f ca="1">IF((A1)=(2),"",IF((232)=(K3),IF(IF((INDEX(B1:XFD1,((A2)+(1))+(0)))=("store"),(INDEX(B1:XFD1,((A2)+(1))+(1)))=("K"),"false"),B2,K235),K235))</f>
        <v>#VALUE!</v>
      </c>
      <c r="L235" t="e">
        <f ca="1">IF((A1)=(2),"",IF((232)=(L3),IF(IF((INDEX(B1:XFD1,((A2)+(1))+(0)))=("store"),(INDEX(B1:XFD1,((A2)+(1))+(1)))=("L"),"false"),B2,L235),L235))</f>
        <v>#VALUE!</v>
      </c>
      <c r="M235" t="e">
        <f ca="1">IF((A1)=(2),"",IF((232)=(M3),IF(IF((INDEX(B1:XFD1,((A2)+(1))+(0)))=("store"),(INDEX(B1:XFD1,((A2)+(1))+(1)))=("M"),"false"),B2,M235),M235))</f>
        <v>#VALUE!</v>
      </c>
      <c r="N235" t="e">
        <f ca="1">IF((A1)=(2),"",IF((232)=(N3),IF(IF((INDEX(B1:XFD1,((A2)+(1))+(0)))=("store"),(INDEX(B1:XFD1,((A2)+(1))+(1)))=("N"),"false"),B2,N235),N235))</f>
        <v>#VALUE!</v>
      </c>
      <c r="O235" t="e">
        <f ca="1">IF((A1)=(2),"",IF((232)=(O3),IF(IF((INDEX(B1:XFD1,((A2)+(1))+(0)))=("store"),(INDEX(B1:XFD1,((A2)+(1))+(1)))=("O"),"false"),B2,O235),O235))</f>
        <v>#VALUE!</v>
      </c>
      <c r="P235" t="e">
        <f ca="1">IF((A1)=(2),"",IF((232)=(P3),IF(IF((INDEX(B1:XFD1,((A2)+(1))+(0)))=("store"),(INDEX(B1:XFD1,((A2)+(1))+(1)))=("P"),"false"),B2,P235),P235))</f>
        <v>#VALUE!</v>
      </c>
      <c r="Q235" t="e">
        <f ca="1">IF((A1)=(2),"",IF((232)=(Q3),IF(IF((INDEX(B1:XFD1,((A2)+(1))+(0)))=("store"),(INDEX(B1:XFD1,((A2)+(1))+(1)))=("Q"),"false"),B2,Q235),Q235))</f>
        <v>#VALUE!</v>
      </c>
      <c r="R235" t="e">
        <f ca="1">IF((A1)=(2),"",IF((232)=(R3),IF(IF((INDEX(B1:XFD1,((A2)+(1))+(0)))=("store"),(INDEX(B1:XFD1,((A2)+(1))+(1)))=("R"),"false"),B2,R235),R235))</f>
        <v>#VALUE!</v>
      </c>
      <c r="S235" t="e">
        <f ca="1">IF((A1)=(2),"",IF((232)=(S3),IF(IF((INDEX(B1:XFD1,((A2)+(1))+(0)))=("store"),(INDEX(B1:XFD1,((A2)+(1))+(1)))=("S"),"false"),B2,S235),S235))</f>
        <v>#VALUE!</v>
      </c>
      <c r="T235" t="e">
        <f ca="1">IF((A1)=(2),"",IF((232)=(T3),IF(IF((INDEX(B1:XFD1,((A2)+(1))+(0)))=("store"),(INDEX(B1:XFD1,((A2)+(1))+(1)))=("T"),"false"),B2,T235),T235))</f>
        <v>#VALUE!</v>
      </c>
      <c r="U235" t="e">
        <f ca="1">IF((A1)=(2),"",IF((232)=(U3),IF(IF((INDEX(B1:XFD1,((A2)+(1))+(0)))=("store"),(INDEX(B1:XFD1,((A2)+(1))+(1)))=("U"),"false"),B2,U235),U235))</f>
        <v>#VALUE!</v>
      </c>
      <c r="V235" t="e">
        <f ca="1">IF((A1)=(2),"",IF((232)=(V3),IF(IF((INDEX(B1:XFD1,((A2)+(1))+(0)))=("store"),(INDEX(B1:XFD1,((A2)+(1))+(1)))=("V"),"false"),B2,V235),V235))</f>
        <v>#VALUE!</v>
      </c>
      <c r="W235" t="e">
        <f ca="1">IF((A1)=(2),"",IF((232)=(W3),IF(IF((INDEX(B1:XFD1,((A2)+(1))+(0)))=("store"),(INDEX(B1:XFD1,((A2)+(1))+(1)))=("W"),"false"),B2,W235),W235))</f>
        <v>#VALUE!</v>
      </c>
      <c r="X235" t="e">
        <f ca="1">IF((A1)=(2),"",IF((232)=(X3),IF(IF((INDEX(B1:XFD1,((A2)+(1))+(0)))=("store"),(INDEX(B1:XFD1,((A2)+(1))+(1)))=("X"),"false"),B2,X235),X235))</f>
        <v>#VALUE!</v>
      </c>
      <c r="Y235" t="e">
        <f ca="1">IF((A1)=(2),"",IF((232)=(Y3),IF(IF((INDEX(B1:XFD1,((A2)+(1))+(0)))=("store"),(INDEX(B1:XFD1,((A2)+(1))+(1)))=("Y"),"false"),B2,Y235),Y235))</f>
        <v>#VALUE!</v>
      </c>
      <c r="Z235" t="e">
        <f ca="1">IF((A1)=(2),"",IF((232)=(Z3),IF(IF((INDEX(B1:XFD1,((A2)+(1))+(0)))=("store"),(INDEX(B1:XFD1,((A2)+(1))+(1)))=("Z"),"false"),B2,Z235),Z235))</f>
        <v>#VALUE!</v>
      </c>
      <c r="AA235" t="e">
        <f ca="1">IF((A1)=(2),"",IF((232)=(AA3),IF(IF((INDEX(B1:XFD1,((A2)+(1))+(0)))=("store"),(INDEX(B1:XFD1,((A2)+(1))+(1)))=("AA"),"false"),B2,AA235),AA235))</f>
        <v>#VALUE!</v>
      </c>
      <c r="AB235" t="e">
        <f ca="1">IF((A1)=(2),"",IF((232)=(AB3),IF(IF((INDEX(B1:XFD1,((A2)+(1))+(0)))=("store"),(INDEX(B1:XFD1,((A2)+(1))+(1)))=("AB"),"false"),B2,AB235),AB235))</f>
        <v>#VALUE!</v>
      </c>
      <c r="AC235" t="e">
        <f ca="1">IF((A1)=(2),"",IF((232)=(AC3),IF(IF((INDEX(B1:XFD1,((A2)+(1))+(0)))=("store"),(INDEX(B1:XFD1,((A2)+(1))+(1)))=("AC"),"false"),B2,AC235),AC235))</f>
        <v>#VALUE!</v>
      </c>
      <c r="AD235" t="e">
        <f ca="1">IF((A1)=(2),"",IF((232)=(AD3),IF(IF((INDEX(B1:XFD1,((A2)+(1))+(0)))=("store"),(INDEX(B1:XFD1,((A2)+(1))+(1)))=("AD"),"false"),B2,AD235),AD235))</f>
        <v>#VALUE!</v>
      </c>
    </row>
    <row r="236" spans="1:30" x14ac:dyDescent="0.25">
      <c r="A236" t="e">
        <f ca="1">IF((A1)=(2),"",IF((233)=(A3),IF(("call")=(INDEX(B1:XFD1,((A2)+(1))+(0))),(B2)*(2),IF(("goto")=(INDEX(B1:XFD1,((A2)+(1))+(0))),(INDEX(B1:XFD1,((A2)+(1))+(1)))*(2),IF(("gotoiftrue")=(INDEX(B1:XFD1,((A2)+(1))+(0))),IF(B2,(INDEX(B1:XFD1,((A2)+(1))+(1)))*(2),(A236)+(2)),(A236)+(2)))),A236))</f>
        <v>#VALUE!</v>
      </c>
      <c r="B236" t="e">
        <f ca="1">IF((A1)=(2),"",IF((233)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236)+(1)),IF(("add")=(INDEX(B1:XFD1,((A2)+(1))+(0))),(INDEX(B4:B404,(B3)+(1)))+(B236),IF(("equals")=(INDEX(B1:XFD1,((A2)+(1))+(0))),(INDEX(B4:B404,(B3)+(1)))=(B236),IF(("leq")=(INDEX(B1:XFD1,((A2)+(1))+(0))),(INDEX(B4:B404,(B3)+(1)))&lt;=(B236),IF(("greater")=(INDEX(B1:XFD1,((A2)+(1))+(0))),(INDEX(B4:B404,(B3)+(1)))&gt;(B236),IF(("mod")=(INDEX(B1:XFD1,((A2)+(1))+(0))),MOD(INDEX(B4:B404,(B3)+(1)),B236),B236))))))))),B236))</f>
        <v>#VALUE!</v>
      </c>
      <c r="C236" t="e">
        <f ca="1">IF((A1)=(2),1,IF(AND((INDEX(B1:XFD1,((A2)+(1))+(0)))=("writeheap"),(INDEX(B4:B404,(B3)+(1)))=(232)),INDEX(B4:B404,(B3)+(2)),IF((A1)=(2),"",IF((233)=(C3),C236,C236))))</f>
        <v>#VALUE!</v>
      </c>
      <c r="E236" t="e">
        <f ca="1">IF((A1)=(2),"",IF((233)=(E3),IF(("outputline")=(INDEX(B1:XFD1,((A2)+(1))+(0))),B2,E236),E236))</f>
        <v>#VALUE!</v>
      </c>
      <c r="F236" t="e">
        <f ca="1">IF((A1)=(2),"",IF((233)=(F3),IF(IF((INDEX(B1:XFD1,((A2)+(1))+(0)))=("store"),(INDEX(B1:XFD1,((A2)+(1))+(1)))=("F"),"false"),B2,F236),F236))</f>
        <v>#VALUE!</v>
      </c>
      <c r="G236" t="e">
        <f ca="1">IF((A1)=(2),"",IF((233)=(G3),IF(IF((INDEX(B1:XFD1,((A2)+(1))+(0)))=("store"),(INDEX(B1:XFD1,((A2)+(1))+(1)))=("G"),"false"),B2,G236),G236))</f>
        <v>#VALUE!</v>
      </c>
      <c r="H236" t="e">
        <f ca="1">IF((A1)=(2),"",IF((233)=(H3),IF(IF((INDEX(B1:XFD1,((A2)+(1))+(0)))=("store"),(INDEX(B1:XFD1,((A2)+(1))+(1)))=("H"),"false"),B2,H236),H236))</f>
        <v>#VALUE!</v>
      </c>
      <c r="I236" t="e">
        <f ca="1">IF((A1)=(2),"",IF((233)=(I3),IF(IF((INDEX(B1:XFD1,((A2)+(1))+(0)))=("store"),(INDEX(B1:XFD1,((A2)+(1))+(1)))=("I"),"false"),B2,I236),I236))</f>
        <v>#VALUE!</v>
      </c>
      <c r="J236" t="e">
        <f ca="1">IF((A1)=(2),"",IF((233)=(J3),IF(IF((INDEX(B1:XFD1,((A2)+(1))+(0)))=("store"),(INDEX(B1:XFD1,((A2)+(1))+(1)))=("J"),"false"),B2,J236),J236))</f>
        <v>#VALUE!</v>
      </c>
      <c r="K236" t="e">
        <f ca="1">IF((A1)=(2),"",IF((233)=(K3),IF(IF((INDEX(B1:XFD1,((A2)+(1))+(0)))=("store"),(INDEX(B1:XFD1,((A2)+(1))+(1)))=("K"),"false"),B2,K236),K236))</f>
        <v>#VALUE!</v>
      </c>
      <c r="L236" t="e">
        <f ca="1">IF((A1)=(2),"",IF((233)=(L3),IF(IF((INDEX(B1:XFD1,((A2)+(1))+(0)))=("store"),(INDEX(B1:XFD1,((A2)+(1))+(1)))=("L"),"false"),B2,L236),L236))</f>
        <v>#VALUE!</v>
      </c>
      <c r="M236" t="e">
        <f ca="1">IF((A1)=(2),"",IF((233)=(M3),IF(IF((INDEX(B1:XFD1,((A2)+(1))+(0)))=("store"),(INDEX(B1:XFD1,((A2)+(1))+(1)))=("M"),"false"),B2,M236),M236))</f>
        <v>#VALUE!</v>
      </c>
      <c r="N236" t="e">
        <f ca="1">IF((A1)=(2),"",IF((233)=(N3),IF(IF((INDEX(B1:XFD1,((A2)+(1))+(0)))=("store"),(INDEX(B1:XFD1,((A2)+(1))+(1)))=("N"),"false"),B2,N236),N236))</f>
        <v>#VALUE!</v>
      </c>
      <c r="O236" t="e">
        <f ca="1">IF((A1)=(2),"",IF((233)=(O3),IF(IF((INDEX(B1:XFD1,((A2)+(1))+(0)))=("store"),(INDEX(B1:XFD1,((A2)+(1))+(1)))=("O"),"false"),B2,O236),O236))</f>
        <v>#VALUE!</v>
      </c>
      <c r="P236" t="e">
        <f ca="1">IF((A1)=(2),"",IF((233)=(P3),IF(IF((INDEX(B1:XFD1,((A2)+(1))+(0)))=("store"),(INDEX(B1:XFD1,((A2)+(1))+(1)))=("P"),"false"),B2,P236),P236))</f>
        <v>#VALUE!</v>
      </c>
      <c r="Q236" t="e">
        <f ca="1">IF((A1)=(2),"",IF((233)=(Q3),IF(IF((INDEX(B1:XFD1,((A2)+(1))+(0)))=("store"),(INDEX(B1:XFD1,((A2)+(1))+(1)))=("Q"),"false"),B2,Q236),Q236))</f>
        <v>#VALUE!</v>
      </c>
      <c r="R236" t="e">
        <f ca="1">IF((A1)=(2),"",IF((233)=(R3),IF(IF((INDEX(B1:XFD1,((A2)+(1))+(0)))=("store"),(INDEX(B1:XFD1,((A2)+(1))+(1)))=("R"),"false"),B2,R236),R236))</f>
        <v>#VALUE!</v>
      </c>
      <c r="S236" t="e">
        <f ca="1">IF((A1)=(2),"",IF((233)=(S3),IF(IF((INDEX(B1:XFD1,((A2)+(1))+(0)))=("store"),(INDEX(B1:XFD1,((A2)+(1))+(1)))=("S"),"false"),B2,S236),S236))</f>
        <v>#VALUE!</v>
      </c>
      <c r="T236" t="e">
        <f ca="1">IF((A1)=(2),"",IF((233)=(T3),IF(IF((INDEX(B1:XFD1,((A2)+(1))+(0)))=("store"),(INDEX(B1:XFD1,((A2)+(1))+(1)))=("T"),"false"),B2,T236),T236))</f>
        <v>#VALUE!</v>
      </c>
      <c r="U236" t="e">
        <f ca="1">IF((A1)=(2),"",IF((233)=(U3),IF(IF((INDEX(B1:XFD1,((A2)+(1))+(0)))=("store"),(INDEX(B1:XFD1,((A2)+(1))+(1)))=("U"),"false"),B2,U236),U236))</f>
        <v>#VALUE!</v>
      </c>
      <c r="V236" t="e">
        <f ca="1">IF((A1)=(2),"",IF((233)=(V3),IF(IF((INDEX(B1:XFD1,((A2)+(1))+(0)))=("store"),(INDEX(B1:XFD1,((A2)+(1))+(1)))=("V"),"false"),B2,V236),V236))</f>
        <v>#VALUE!</v>
      </c>
      <c r="W236" t="e">
        <f ca="1">IF((A1)=(2),"",IF((233)=(W3),IF(IF((INDEX(B1:XFD1,((A2)+(1))+(0)))=("store"),(INDEX(B1:XFD1,((A2)+(1))+(1)))=("W"),"false"),B2,W236),W236))</f>
        <v>#VALUE!</v>
      </c>
      <c r="X236" t="e">
        <f ca="1">IF((A1)=(2),"",IF((233)=(X3),IF(IF((INDEX(B1:XFD1,((A2)+(1))+(0)))=("store"),(INDEX(B1:XFD1,((A2)+(1))+(1)))=("X"),"false"),B2,X236),X236))</f>
        <v>#VALUE!</v>
      </c>
      <c r="Y236" t="e">
        <f ca="1">IF((A1)=(2),"",IF((233)=(Y3),IF(IF((INDEX(B1:XFD1,((A2)+(1))+(0)))=("store"),(INDEX(B1:XFD1,((A2)+(1))+(1)))=("Y"),"false"),B2,Y236),Y236))</f>
        <v>#VALUE!</v>
      </c>
      <c r="Z236" t="e">
        <f ca="1">IF((A1)=(2),"",IF((233)=(Z3),IF(IF((INDEX(B1:XFD1,((A2)+(1))+(0)))=("store"),(INDEX(B1:XFD1,((A2)+(1))+(1)))=("Z"),"false"),B2,Z236),Z236))</f>
        <v>#VALUE!</v>
      </c>
      <c r="AA236" t="e">
        <f ca="1">IF((A1)=(2),"",IF((233)=(AA3),IF(IF((INDEX(B1:XFD1,((A2)+(1))+(0)))=("store"),(INDEX(B1:XFD1,((A2)+(1))+(1)))=("AA"),"false"),B2,AA236),AA236))</f>
        <v>#VALUE!</v>
      </c>
      <c r="AB236" t="e">
        <f ca="1">IF((A1)=(2),"",IF((233)=(AB3),IF(IF((INDEX(B1:XFD1,((A2)+(1))+(0)))=("store"),(INDEX(B1:XFD1,((A2)+(1))+(1)))=("AB"),"false"),B2,AB236),AB236))</f>
        <v>#VALUE!</v>
      </c>
      <c r="AC236" t="e">
        <f ca="1">IF((A1)=(2),"",IF((233)=(AC3),IF(IF((INDEX(B1:XFD1,((A2)+(1))+(0)))=("store"),(INDEX(B1:XFD1,((A2)+(1))+(1)))=("AC"),"false"),B2,AC236),AC236))</f>
        <v>#VALUE!</v>
      </c>
      <c r="AD236" t="e">
        <f ca="1">IF((A1)=(2),"",IF((233)=(AD3),IF(IF((INDEX(B1:XFD1,((A2)+(1))+(0)))=("store"),(INDEX(B1:XFD1,((A2)+(1))+(1)))=("AD"),"false"),B2,AD236),AD236))</f>
        <v>#VALUE!</v>
      </c>
    </row>
    <row r="237" spans="1:30" x14ac:dyDescent="0.25">
      <c r="A237" t="e">
        <f ca="1">IF((A1)=(2),"",IF((234)=(A3),IF(("call")=(INDEX(B1:XFD1,((A2)+(1))+(0))),(B2)*(2),IF(("goto")=(INDEX(B1:XFD1,((A2)+(1))+(0))),(INDEX(B1:XFD1,((A2)+(1))+(1)))*(2),IF(("gotoiftrue")=(INDEX(B1:XFD1,((A2)+(1))+(0))),IF(B2,(INDEX(B1:XFD1,((A2)+(1))+(1)))*(2),(A237)+(2)),(A237)+(2)))),A237))</f>
        <v>#VALUE!</v>
      </c>
      <c r="B237" t="e">
        <f ca="1">IF((A1)=(2),"",IF((234)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237)+(1)),IF(("add")=(INDEX(B1:XFD1,((A2)+(1))+(0))),(INDEX(B4:B404,(B3)+(1)))+(B237),IF(("equals")=(INDEX(B1:XFD1,((A2)+(1))+(0))),(INDEX(B4:B404,(B3)+(1)))=(B237),IF(("leq")=(INDEX(B1:XFD1,((A2)+(1))+(0))),(INDEX(B4:B404,(B3)+(1)))&lt;=(B237),IF(("greater")=(INDEX(B1:XFD1,((A2)+(1))+(0))),(INDEX(B4:B404,(B3)+(1)))&gt;(B237),IF(("mod")=(INDEX(B1:XFD1,((A2)+(1))+(0))),MOD(INDEX(B4:B404,(B3)+(1)),B237),B237))))))))),B237))</f>
        <v>#VALUE!</v>
      </c>
      <c r="C237" t="e">
        <f ca="1">IF((A1)=(2),1,IF(AND((INDEX(B1:XFD1,((A2)+(1))+(0)))=("writeheap"),(INDEX(B4:B404,(B3)+(1)))=(233)),INDEX(B4:B404,(B3)+(2)),IF((A1)=(2),"",IF((234)=(C3),C237,C237))))</f>
        <v>#VALUE!</v>
      </c>
      <c r="E237" t="e">
        <f ca="1">IF((A1)=(2),"",IF((234)=(E3),IF(("outputline")=(INDEX(B1:XFD1,((A2)+(1))+(0))),B2,E237),E237))</f>
        <v>#VALUE!</v>
      </c>
      <c r="F237" t="e">
        <f ca="1">IF((A1)=(2),"",IF((234)=(F3),IF(IF((INDEX(B1:XFD1,((A2)+(1))+(0)))=("store"),(INDEX(B1:XFD1,((A2)+(1))+(1)))=("F"),"false"),B2,F237),F237))</f>
        <v>#VALUE!</v>
      </c>
      <c r="G237" t="e">
        <f ca="1">IF((A1)=(2),"",IF((234)=(G3),IF(IF((INDEX(B1:XFD1,((A2)+(1))+(0)))=("store"),(INDEX(B1:XFD1,((A2)+(1))+(1)))=("G"),"false"),B2,G237),G237))</f>
        <v>#VALUE!</v>
      </c>
      <c r="H237" t="e">
        <f ca="1">IF((A1)=(2),"",IF((234)=(H3),IF(IF((INDEX(B1:XFD1,((A2)+(1))+(0)))=("store"),(INDEX(B1:XFD1,((A2)+(1))+(1)))=("H"),"false"),B2,H237),H237))</f>
        <v>#VALUE!</v>
      </c>
      <c r="I237" t="e">
        <f ca="1">IF((A1)=(2),"",IF((234)=(I3),IF(IF((INDEX(B1:XFD1,((A2)+(1))+(0)))=("store"),(INDEX(B1:XFD1,((A2)+(1))+(1)))=("I"),"false"),B2,I237),I237))</f>
        <v>#VALUE!</v>
      </c>
      <c r="J237" t="e">
        <f ca="1">IF((A1)=(2),"",IF((234)=(J3),IF(IF((INDEX(B1:XFD1,((A2)+(1))+(0)))=("store"),(INDEX(B1:XFD1,((A2)+(1))+(1)))=("J"),"false"),B2,J237),J237))</f>
        <v>#VALUE!</v>
      </c>
      <c r="K237" t="e">
        <f ca="1">IF((A1)=(2),"",IF((234)=(K3),IF(IF((INDEX(B1:XFD1,((A2)+(1))+(0)))=("store"),(INDEX(B1:XFD1,((A2)+(1))+(1)))=("K"),"false"),B2,K237),K237))</f>
        <v>#VALUE!</v>
      </c>
      <c r="L237" t="e">
        <f ca="1">IF((A1)=(2),"",IF((234)=(L3),IF(IF((INDEX(B1:XFD1,((A2)+(1))+(0)))=("store"),(INDEX(B1:XFD1,((A2)+(1))+(1)))=("L"),"false"),B2,L237),L237))</f>
        <v>#VALUE!</v>
      </c>
      <c r="M237" t="e">
        <f ca="1">IF((A1)=(2),"",IF((234)=(M3),IF(IF((INDEX(B1:XFD1,((A2)+(1))+(0)))=("store"),(INDEX(B1:XFD1,((A2)+(1))+(1)))=("M"),"false"),B2,M237),M237))</f>
        <v>#VALUE!</v>
      </c>
      <c r="N237" t="e">
        <f ca="1">IF((A1)=(2),"",IF((234)=(N3),IF(IF((INDEX(B1:XFD1,((A2)+(1))+(0)))=("store"),(INDEX(B1:XFD1,((A2)+(1))+(1)))=("N"),"false"),B2,N237),N237))</f>
        <v>#VALUE!</v>
      </c>
      <c r="O237" t="e">
        <f ca="1">IF((A1)=(2),"",IF((234)=(O3),IF(IF((INDEX(B1:XFD1,((A2)+(1))+(0)))=("store"),(INDEX(B1:XFD1,((A2)+(1))+(1)))=("O"),"false"),B2,O237),O237))</f>
        <v>#VALUE!</v>
      </c>
      <c r="P237" t="e">
        <f ca="1">IF((A1)=(2),"",IF((234)=(P3),IF(IF((INDEX(B1:XFD1,((A2)+(1))+(0)))=("store"),(INDEX(B1:XFD1,((A2)+(1))+(1)))=("P"),"false"),B2,P237),P237))</f>
        <v>#VALUE!</v>
      </c>
      <c r="Q237" t="e">
        <f ca="1">IF((A1)=(2),"",IF((234)=(Q3),IF(IF((INDEX(B1:XFD1,((A2)+(1))+(0)))=("store"),(INDEX(B1:XFD1,((A2)+(1))+(1)))=("Q"),"false"),B2,Q237),Q237))</f>
        <v>#VALUE!</v>
      </c>
      <c r="R237" t="e">
        <f ca="1">IF((A1)=(2),"",IF((234)=(R3),IF(IF((INDEX(B1:XFD1,((A2)+(1))+(0)))=("store"),(INDEX(B1:XFD1,((A2)+(1))+(1)))=("R"),"false"),B2,R237),R237))</f>
        <v>#VALUE!</v>
      </c>
      <c r="S237" t="e">
        <f ca="1">IF((A1)=(2),"",IF((234)=(S3),IF(IF((INDEX(B1:XFD1,((A2)+(1))+(0)))=("store"),(INDEX(B1:XFD1,((A2)+(1))+(1)))=("S"),"false"),B2,S237),S237))</f>
        <v>#VALUE!</v>
      </c>
      <c r="T237" t="e">
        <f ca="1">IF((A1)=(2),"",IF((234)=(T3),IF(IF((INDEX(B1:XFD1,((A2)+(1))+(0)))=("store"),(INDEX(B1:XFD1,((A2)+(1))+(1)))=("T"),"false"),B2,T237),T237))</f>
        <v>#VALUE!</v>
      </c>
      <c r="U237" t="e">
        <f ca="1">IF((A1)=(2),"",IF((234)=(U3),IF(IF((INDEX(B1:XFD1,((A2)+(1))+(0)))=("store"),(INDEX(B1:XFD1,((A2)+(1))+(1)))=("U"),"false"),B2,U237),U237))</f>
        <v>#VALUE!</v>
      </c>
      <c r="V237" t="e">
        <f ca="1">IF((A1)=(2),"",IF((234)=(V3),IF(IF((INDEX(B1:XFD1,((A2)+(1))+(0)))=("store"),(INDEX(B1:XFD1,((A2)+(1))+(1)))=("V"),"false"),B2,V237),V237))</f>
        <v>#VALUE!</v>
      </c>
      <c r="W237" t="e">
        <f ca="1">IF((A1)=(2),"",IF((234)=(W3),IF(IF((INDEX(B1:XFD1,((A2)+(1))+(0)))=("store"),(INDEX(B1:XFD1,((A2)+(1))+(1)))=("W"),"false"),B2,W237),W237))</f>
        <v>#VALUE!</v>
      </c>
      <c r="X237" t="e">
        <f ca="1">IF((A1)=(2),"",IF((234)=(X3),IF(IF((INDEX(B1:XFD1,((A2)+(1))+(0)))=("store"),(INDEX(B1:XFD1,((A2)+(1))+(1)))=("X"),"false"),B2,X237),X237))</f>
        <v>#VALUE!</v>
      </c>
      <c r="Y237" t="e">
        <f ca="1">IF((A1)=(2),"",IF((234)=(Y3),IF(IF((INDEX(B1:XFD1,((A2)+(1))+(0)))=("store"),(INDEX(B1:XFD1,((A2)+(1))+(1)))=("Y"),"false"),B2,Y237),Y237))</f>
        <v>#VALUE!</v>
      </c>
      <c r="Z237" t="e">
        <f ca="1">IF((A1)=(2),"",IF((234)=(Z3),IF(IF((INDEX(B1:XFD1,((A2)+(1))+(0)))=("store"),(INDEX(B1:XFD1,((A2)+(1))+(1)))=("Z"),"false"),B2,Z237),Z237))</f>
        <v>#VALUE!</v>
      </c>
      <c r="AA237" t="e">
        <f ca="1">IF((A1)=(2),"",IF((234)=(AA3),IF(IF((INDEX(B1:XFD1,((A2)+(1))+(0)))=("store"),(INDEX(B1:XFD1,((A2)+(1))+(1)))=("AA"),"false"),B2,AA237),AA237))</f>
        <v>#VALUE!</v>
      </c>
      <c r="AB237" t="e">
        <f ca="1">IF((A1)=(2),"",IF((234)=(AB3),IF(IF((INDEX(B1:XFD1,((A2)+(1))+(0)))=("store"),(INDEX(B1:XFD1,((A2)+(1))+(1)))=("AB"),"false"),B2,AB237),AB237))</f>
        <v>#VALUE!</v>
      </c>
      <c r="AC237" t="e">
        <f ca="1">IF((A1)=(2),"",IF((234)=(AC3),IF(IF((INDEX(B1:XFD1,((A2)+(1))+(0)))=("store"),(INDEX(B1:XFD1,((A2)+(1))+(1)))=("AC"),"false"),B2,AC237),AC237))</f>
        <v>#VALUE!</v>
      </c>
      <c r="AD237" t="e">
        <f ca="1">IF((A1)=(2),"",IF((234)=(AD3),IF(IF((INDEX(B1:XFD1,((A2)+(1))+(0)))=("store"),(INDEX(B1:XFD1,((A2)+(1))+(1)))=("AD"),"false"),B2,AD237),AD237))</f>
        <v>#VALUE!</v>
      </c>
    </row>
    <row r="238" spans="1:30" x14ac:dyDescent="0.25">
      <c r="A238" t="e">
        <f ca="1">IF((A1)=(2),"",IF((235)=(A3),IF(("call")=(INDEX(B1:XFD1,((A2)+(1))+(0))),(B2)*(2),IF(("goto")=(INDEX(B1:XFD1,((A2)+(1))+(0))),(INDEX(B1:XFD1,((A2)+(1))+(1)))*(2),IF(("gotoiftrue")=(INDEX(B1:XFD1,((A2)+(1))+(0))),IF(B2,(INDEX(B1:XFD1,((A2)+(1))+(1)))*(2),(A238)+(2)),(A238)+(2)))),A238))</f>
        <v>#VALUE!</v>
      </c>
      <c r="B238" t="e">
        <f ca="1">IF((A1)=(2),"",IF((235)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238)+(1)),IF(("add")=(INDEX(B1:XFD1,((A2)+(1))+(0))),(INDEX(B4:B404,(B3)+(1)))+(B238),IF(("equals")=(INDEX(B1:XFD1,((A2)+(1))+(0))),(INDEX(B4:B404,(B3)+(1)))=(B238),IF(("leq")=(INDEX(B1:XFD1,((A2)+(1))+(0))),(INDEX(B4:B404,(B3)+(1)))&lt;=(B238),IF(("greater")=(INDEX(B1:XFD1,((A2)+(1))+(0))),(INDEX(B4:B404,(B3)+(1)))&gt;(B238),IF(("mod")=(INDEX(B1:XFD1,((A2)+(1))+(0))),MOD(INDEX(B4:B404,(B3)+(1)),B238),B238))))))))),B238))</f>
        <v>#VALUE!</v>
      </c>
      <c r="C238" t="e">
        <f ca="1">IF((A1)=(2),1,IF(AND((INDEX(B1:XFD1,((A2)+(1))+(0)))=("writeheap"),(INDEX(B4:B404,(B3)+(1)))=(234)),INDEX(B4:B404,(B3)+(2)),IF((A1)=(2),"",IF((235)=(C3),C238,C238))))</f>
        <v>#VALUE!</v>
      </c>
      <c r="E238" t="e">
        <f ca="1">IF((A1)=(2),"",IF((235)=(E3),IF(("outputline")=(INDEX(B1:XFD1,((A2)+(1))+(0))),B2,E238),E238))</f>
        <v>#VALUE!</v>
      </c>
      <c r="F238" t="e">
        <f ca="1">IF((A1)=(2),"",IF((235)=(F3),IF(IF((INDEX(B1:XFD1,((A2)+(1))+(0)))=("store"),(INDEX(B1:XFD1,((A2)+(1))+(1)))=("F"),"false"),B2,F238),F238))</f>
        <v>#VALUE!</v>
      </c>
      <c r="G238" t="e">
        <f ca="1">IF((A1)=(2),"",IF((235)=(G3),IF(IF((INDEX(B1:XFD1,((A2)+(1))+(0)))=("store"),(INDEX(B1:XFD1,((A2)+(1))+(1)))=("G"),"false"),B2,G238),G238))</f>
        <v>#VALUE!</v>
      </c>
      <c r="H238" t="e">
        <f ca="1">IF((A1)=(2),"",IF((235)=(H3),IF(IF((INDEX(B1:XFD1,((A2)+(1))+(0)))=("store"),(INDEX(B1:XFD1,((A2)+(1))+(1)))=("H"),"false"),B2,H238),H238))</f>
        <v>#VALUE!</v>
      </c>
      <c r="I238" t="e">
        <f ca="1">IF((A1)=(2),"",IF((235)=(I3),IF(IF((INDEX(B1:XFD1,((A2)+(1))+(0)))=("store"),(INDEX(B1:XFD1,((A2)+(1))+(1)))=("I"),"false"),B2,I238),I238))</f>
        <v>#VALUE!</v>
      </c>
      <c r="J238" t="e">
        <f ca="1">IF((A1)=(2),"",IF((235)=(J3),IF(IF((INDEX(B1:XFD1,((A2)+(1))+(0)))=("store"),(INDEX(B1:XFD1,((A2)+(1))+(1)))=("J"),"false"),B2,J238),J238))</f>
        <v>#VALUE!</v>
      </c>
      <c r="K238" t="e">
        <f ca="1">IF((A1)=(2),"",IF((235)=(K3),IF(IF((INDEX(B1:XFD1,((A2)+(1))+(0)))=("store"),(INDEX(B1:XFD1,((A2)+(1))+(1)))=("K"),"false"),B2,K238),K238))</f>
        <v>#VALUE!</v>
      </c>
      <c r="L238" t="e">
        <f ca="1">IF((A1)=(2),"",IF((235)=(L3),IF(IF((INDEX(B1:XFD1,((A2)+(1))+(0)))=("store"),(INDEX(B1:XFD1,((A2)+(1))+(1)))=("L"),"false"),B2,L238),L238))</f>
        <v>#VALUE!</v>
      </c>
      <c r="M238" t="e">
        <f ca="1">IF((A1)=(2),"",IF((235)=(M3),IF(IF((INDEX(B1:XFD1,((A2)+(1))+(0)))=("store"),(INDEX(B1:XFD1,((A2)+(1))+(1)))=("M"),"false"),B2,M238),M238))</f>
        <v>#VALUE!</v>
      </c>
      <c r="N238" t="e">
        <f ca="1">IF((A1)=(2),"",IF((235)=(N3),IF(IF((INDEX(B1:XFD1,((A2)+(1))+(0)))=("store"),(INDEX(B1:XFD1,((A2)+(1))+(1)))=("N"),"false"),B2,N238),N238))</f>
        <v>#VALUE!</v>
      </c>
      <c r="O238" t="e">
        <f ca="1">IF((A1)=(2),"",IF((235)=(O3),IF(IF((INDEX(B1:XFD1,((A2)+(1))+(0)))=("store"),(INDEX(B1:XFD1,((A2)+(1))+(1)))=("O"),"false"),B2,O238),O238))</f>
        <v>#VALUE!</v>
      </c>
      <c r="P238" t="e">
        <f ca="1">IF((A1)=(2),"",IF((235)=(P3),IF(IF((INDEX(B1:XFD1,((A2)+(1))+(0)))=("store"),(INDEX(B1:XFD1,((A2)+(1))+(1)))=("P"),"false"),B2,P238),P238))</f>
        <v>#VALUE!</v>
      </c>
      <c r="Q238" t="e">
        <f ca="1">IF((A1)=(2),"",IF((235)=(Q3),IF(IF((INDEX(B1:XFD1,((A2)+(1))+(0)))=("store"),(INDEX(B1:XFD1,((A2)+(1))+(1)))=("Q"),"false"),B2,Q238),Q238))</f>
        <v>#VALUE!</v>
      </c>
      <c r="R238" t="e">
        <f ca="1">IF((A1)=(2),"",IF((235)=(R3),IF(IF((INDEX(B1:XFD1,((A2)+(1))+(0)))=("store"),(INDEX(B1:XFD1,((A2)+(1))+(1)))=("R"),"false"),B2,R238),R238))</f>
        <v>#VALUE!</v>
      </c>
      <c r="S238" t="e">
        <f ca="1">IF((A1)=(2),"",IF((235)=(S3),IF(IF((INDEX(B1:XFD1,((A2)+(1))+(0)))=("store"),(INDEX(B1:XFD1,((A2)+(1))+(1)))=("S"),"false"),B2,S238),S238))</f>
        <v>#VALUE!</v>
      </c>
      <c r="T238" t="e">
        <f ca="1">IF((A1)=(2),"",IF((235)=(T3),IF(IF((INDEX(B1:XFD1,((A2)+(1))+(0)))=("store"),(INDEX(B1:XFD1,((A2)+(1))+(1)))=("T"),"false"),B2,T238),T238))</f>
        <v>#VALUE!</v>
      </c>
      <c r="U238" t="e">
        <f ca="1">IF((A1)=(2),"",IF((235)=(U3),IF(IF((INDEX(B1:XFD1,((A2)+(1))+(0)))=("store"),(INDEX(B1:XFD1,((A2)+(1))+(1)))=("U"),"false"),B2,U238),U238))</f>
        <v>#VALUE!</v>
      </c>
      <c r="V238" t="e">
        <f ca="1">IF((A1)=(2),"",IF((235)=(V3),IF(IF((INDEX(B1:XFD1,((A2)+(1))+(0)))=("store"),(INDEX(B1:XFD1,((A2)+(1))+(1)))=("V"),"false"),B2,V238),V238))</f>
        <v>#VALUE!</v>
      </c>
      <c r="W238" t="e">
        <f ca="1">IF((A1)=(2),"",IF((235)=(W3),IF(IF((INDEX(B1:XFD1,((A2)+(1))+(0)))=("store"),(INDEX(B1:XFD1,((A2)+(1))+(1)))=("W"),"false"),B2,W238),W238))</f>
        <v>#VALUE!</v>
      </c>
      <c r="X238" t="e">
        <f ca="1">IF((A1)=(2),"",IF((235)=(X3),IF(IF((INDEX(B1:XFD1,((A2)+(1))+(0)))=("store"),(INDEX(B1:XFD1,((A2)+(1))+(1)))=("X"),"false"),B2,X238),X238))</f>
        <v>#VALUE!</v>
      </c>
      <c r="Y238" t="e">
        <f ca="1">IF((A1)=(2),"",IF((235)=(Y3),IF(IF((INDEX(B1:XFD1,((A2)+(1))+(0)))=("store"),(INDEX(B1:XFD1,((A2)+(1))+(1)))=("Y"),"false"),B2,Y238),Y238))</f>
        <v>#VALUE!</v>
      </c>
      <c r="Z238" t="e">
        <f ca="1">IF((A1)=(2),"",IF((235)=(Z3),IF(IF((INDEX(B1:XFD1,((A2)+(1))+(0)))=("store"),(INDEX(B1:XFD1,((A2)+(1))+(1)))=("Z"),"false"),B2,Z238),Z238))</f>
        <v>#VALUE!</v>
      </c>
      <c r="AA238" t="e">
        <f ca="1">IF((A1)=(2),"",IF((235)=(AA3),IF(IF((INDEX(B1:XFD1,((A2)+(1))+(0)))=("store"),(INDEX(B1:XFD1,((A2)+(1))+(1)))=("AA"),"false"),B2,AA238),AA238))</f>
        <v>#VALUE!</v>
      </c>
      <c r="AB238" t="e">
        <f ca="1">IF((A1)=(2),"",IF((235)=(AB3),IF(IF((INDEX(B1:XFD1,((A2)+(1))+(0)))=("store"),(INDEX(B1:XFD1,((A2)+(1))+(1)))=("AB"),"false"),B2,AB238),AB238))</f>
        <v>#VALUE!</v>
      </c>
      <c r="AC238" t="e">
        <f ca="1">IF((A1)=(2),"",IF((235)=(AC3),IF(IF((INDEX(B1:XFD1,((A2)+(1))+(0)))=("store"),(INDEX(B1:XFD1,((A2)+(1))+(1)))=("AC"),"false"),B2,AC238),AC238))</f>
        <v>#VALUE!</v>
      </c>
      <c r="AD238" t="e">
        <f ca="1">IF((A1)=(2),"",IF((235)=(AD3),IF(IF((INDEX(B1:XFD1,((A2)+(1))+(0)))=("store"),(INDEX(B1:XFD1,((A2)+(1))+(1)))=("AD"),"false"),B2,AD238),AD238))</f>
        <v>#VALUE!</v>
      </c>
    </row>
    <row r="239" spans="1:30" x14ac:dyDescent="0.25">
      <c r="A239" t="e">
        <f ca="1">IF((A1)=(2),"",IF((236)=(A3),IF(("call")=(INDEX(B1:XFD1,((A2)+(1))+(0))),(B2)*(2),IF(("goto")=(INDEX(B1:XFD1,((A2)+(1))+(0))),(INDEX(B1:XFD1,((A2)+(1))+(1)))*(2),IF(("gotoiftrue")=(INDEX(B1:XFD1,((A2)+(1))+(0))),IF(B2,(INDEX(B1:XFD1,((A2)+(1))+(1)))*(2),(A239)+(2)),(A239)+(2)))),A239))</f>
        <v>#VALUE!</v>
      </c>
      <c r="B239" t="e">
        <f ca="1">IF((A1)=(2),"",IF((236)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239)+(1)),IF(("add")=(INDEX(B1:XFD1,((A2)+(1))+(0))),(INDEX(B4:B404,(B3)+(1)))+(B239),IF(("equals")=(INDEX(B1:XFD1,((A2)+(1))+(0))),(INDEX(B4:B404,(B3)+(1)))=(B239),IF(("leq")=(INDEX(B1:XFD1,((A2)+(1))+(0))),(INDEX(B4:B404,(B3)+(1)))&lt;=(B239),IF(("greater")=(INDEX(B1:XFD1,((A2)+(1))+(0))),(INDEX(B4:B404,(B3)+(1)))&gt;(B239),IF(("mod")=(INDEX(B1:XFD1,((A2)+(1))+(0))),MOD(INDEX(B4:B404,(B3)+(1)),B239),B239))))))))),B239))</f>
        <v>#VALUE!</v>
      </c>
      <c r="C239" t="e">
        <f ca="1">IF((A1)=(2),1,IF(AND((INDEX(B1:XFD1,((A2)+(1))+(0)))=("writeheap"),(INDEX(B4:B404,(B3)+(1)))=(235)),INDEX(B4:B404,(B3)+(2)),IF((A1)=(2),"",IF((236)=(C3),C239,C239))))</f>
        <v>#VALUE!</v>
      </c>
      <c r="E239" t="e">
        <f ca="1">IF((A1)=(2),"",IF((236)=(E3),IF(("outputline")=(INDEX(B1:XFD1,((A2)+(1))+(0))),B2,E239),E239))</f>
        <v>#VALUE!</v>
      </c>
      <c r="F239" t="e">
        <f ca="1">IF((A1)=(2),"",IF((236)=(F3),IF(IF((INDEX(B1:XFD1,((A2)+(1))+(0)))=("store"),(INDEX(B1:XFD1,((A2)+(1))+(1)))=("F"),"false"),B2,F239),F239))</f>
        <v>#VALUE!</v>
      </c>
      <c r="G239" t="e">
        <f ca="1">IF((A1)=(2),"",IF((236)=(G3),IF(IF((INDEX(B1:XFD1,((A2)+(1))+(0)))=("store"),(INDEX(B1:XFD1,((A2)+(1))+(1)))=("G"),"false"),B2,G239),G239))</f>
        <v>#VALUE!</v>
      </c>
      <c r="H239" t="e">
        <f ca="1">IF((A1)=(2),"",IF((236)=(H3),IF(IF((INDEX(B1:XFD1,((A2)+(1))+(0)))=("store"),(INDEX(B1:XFD1,((A2)+(1))+(1)))=("H"),"false"),B2,H239),H239))</f>
        <v>#VALUE!</v>
      </c>
      <c r="I239" t="e">
        <f ca="1">IF((A1)=(2),"",IF((236)=(I3),IF(IF((INDEX(B1:XFD1,((A2)+(1))+(0)))=("store"),(INDEX(B1:XFD1,((A2)+(1))+(1)))=("I"),"false"),B2,I239),I239))</f>
        <v>#VALUE!</v>
      </c>
      <c r="J239" t="e">
        <f ca="1">IF((A1)=(2),"",IF((236)=(J3),IF(IF((INDEX(B1:XFD1,((A2)+(1))+(0)))=("store"),(INDEX(B1:XFD1,((A2)+(1))+(1)))=("J"),"false"),B2,J239),J239))</f>
        <v>#VALUE!</v>
      </c>
      <c r="K239" t="e">
        <f ca="1">IF((A1)=(2),"",IF((236)=(K3),IF(IF((INDEX(B1:XFD1,((A2)+(1))+(0)))=("store"),(INDEX(B1:XFD1,((A2)+(1))+(1)))=("K"),"false"),B2,K239),K239))</f>
        <v>#VALUE!</v>
      </c>
      <c r="L239" t="e">
        <f ca="1">IF((A1)=(2),"",IF((236)=(L3),IF(IF((INDEX(B1:XFD1,((A2)+(1))+(0)))=("store"),(INDEX(B1:XFD1,((A2)+(1))+(1)))=("L"),"false"),B2,L239),L239))</f>
        <v>#VALUE!</v>
      </c>
      <c r="M239" t="e">
        <f ca="1">IF((A1)=(2),"",IF((236)=(M3),IF(IF((INDEX(B1:XFD1,((A2)+(1))+(0)))=("store"),(INDEX(B1:XFD1,((A2)+(1))+(1)))=("M"),"false"),B2,M239),M239))</f>
        <v>#VALUE!</v>
      </c>
      <c r="N239" t="e">
        <f ca="1">IF((A1)=(2),"",IF((236)=(N3),IF(IF((INDEX(B1:XFD1,((A2)+(1))+(0)))=("store"),(INDEX(B1:XFD1,((A2)+(1))+(1)))=("N"),"false"),B2,N239),N239))</f>
        <v>#VALUE!</v>
      </c>
      <c r="O239" t="e">
        <f ca="1">IF((A1)=(2),"",IF((236)=(O3),IF(IF((INDEX(B1:XFD1,((A2)+(1))+(0)))=("store"),(INDEX(B1:XFD1,((A2)+(1))+(1)))=("O"),"false"),B2,O239),O239))</f>
        <v>#VALUE!</v>
      </c>
      <c r="P239" t="e">
        <f ca="1">IF((A1)=(2),"",IF((236)=(P3),IF(IF((INDEX(B1:XFD1,((A2)+(1))+(0)))=("store"),(INDEX(B1:XFD1,((A2)+(1))+(1)))=("P"),"false"),B2,P239),P239))</f>
        <v>#VALUE!</v>
      </c>
      <c r="Q239" t="e">
        <f ca="1">IF((A1)=(2),"",IF((236)=(Q3),IF(IF((INDEX(B1:XFD1,((A2)+(1))+(0)))=("store"),(INDEX(B1:XFD1,((A2)+(1))+(1)))=("Q"),"false"),B2,Q239),Q239))</f>
        <v>#VALUE!</v>
      </c>
      <c r="R239" t="e">
        <f ca="1">IF((A1)=(2),"",IF((236)=(R3),IF(IF((INDEX(B1:XFD1,((A2)+(1))+(0)))=("store"),(INDEX(B1:XFD1,((A2)+(1))+(1)))=("R"),"false"),B2,R239),R239))</f>
        <v>#VALUE!</v>
      </c>
      <c r="S239" t="e">
        <f ca="1">IF((A1)=(2),"",IF((236)=(S3),IF(IF((INDEX(B1:XFD1,((A2)+(1))+(0)))=("store"),(INDEX(B1:XFD1,((A2)+(1))+(1)))=("S"),"false"),B2,S239),S239))</f>
        <v>#VALUE!</v>
      </c>
      <c r="T239" t="e">
        <f ca="1">IF((A1)=(2),"",IF((236)=(T3),IF(IF((INDEX(B1:XFD1,((A2)+(1))+(0)))=("store"),(INDEX(B1:XFD1,((A2)+(1))+(1)))=("T"),"false"),B2,T239),T239))</f>
        <v>#VALUE!</v>
      </c>
      <c r="U239" t="e">
        <f ca="1">IF((A1)=(2),"",IF((236)=(U3),IF(IF((INDEX(B1:XFD1,((A2)+(1))+(0)))=("store"),(INDEX(B1:XFD1,((A2)+(1))+(1)))=("U"),"false"),B2,U239),U239))</f>
        <v>#VALUE!</v>
      </c>
      <c r="V239" t="e">
        <f ca="1">IF((A1)=(2),"",IF((236)=(V3),IF(IF((INDEX(B1:XFD1,((A2)+(1))+(0)))=("store"),(INDEX(B1:XFD1,((A2)+(1))+(1)))=("V"),"false"),B2,V239),V239))</f>
        <v>#VALUE!</v>
      </c>
      <c r="W239" t="e">
        <f ca="1">IF((A1)=(2),"",IF((236)=(W3),IF(IF((INDEX(B1:XFD1,((A2)+(1))+(0)))=("store"),(INDEX(B1:XFD1,((A2)+(1))+(1)))=("W"),"false"),B2,W239),W239))</f>
        <v>#VALUE!</v>
      </c>
      <c r="X239" t="e">
        <f ca="1">IF((A1)=(2),"",IF((236)=(X3),IF(IF((INDEX(B1:XFD1,((A2)+(1))+(0)))=("store"),(INDEX(B1:XFD1,((A2)+(1))+(1)))=("X"),"false"),B2,X239),X239))</f>
        <v>#VALUE!</v>
      </c>
      <c r="Y239" t="e">
        <f ca="1">IF((A1)=(2),"",IF((236)=(Y3),IF(IF((INDEX(B1:XFD1,((A2)+(1))+(0)))=("store"),(INDEX(B1:XFD1,((A2)+(1))+(1)))=("Y"),"false"),B2,Y239),Y239))</f>
        <v>#VALUE!</v>
      </c>
      <c r="Z239" t="e">
        <f ca="1">IF((A1)=(2),"",IF((236)=(Z3),IF(IF((INDEX(B1:XFD1,((A2)+(1))+(0)))=("store"),(INDEX(B1:XFD1,((A2)+(1))+(1)))=("Z"),"false"),B2,Z239),Z239))</f>
        <v>#VALUE!</v>
      </c>
      <c r="AA239" t="e">
        <f ca="1">IF((A1)=(2),"",IF((236)=(AA3),IF(IF((INDEX(B1:XFD1,((A2)+(1))+(0)))=("store"),(INDEX(B1:XFD1,((A2)+(1))+(1)))=("AA"),"false"),B2,AA239),AA239))</f>
        <v>#VALUE!</v>
      </c>
      <c r="AB239" t="e">
        <f ca="1">IF((A1)=(2),"",IF((236)=(AB3),IF(IF((INDEX(B1:XFD1,((A2)+(1))+(0)))=("store"),(INDEX(B1:XFD1,((A2)+(1))+(1)))=("AB"),"false"),B2,AB239),AB239))</f>
        <v>#VALUE!</v>
      </c>
      <c r="AC239" t="e">
        <f ca="1">IF((A1)=(2),"",IF((236)=(AC3),IF(IF((INDEX(B1:XFD1,((A2)+(1))+(0)))=("store"),(INDEX(B1:XFD1,((A2)+(1))+(1)))=("AC"),"false"),B2,AC239),AC239))</f>
        <v>#VALUE!</v>
      </c>
      <c r="AD239" t="e">
        <f ca="1">IF((A1)=(2),"",IF((236)=(AD3),IF(IF((INDEX(B1:XFD1,((A2)+(1))+(0)))=("store"),(INDEX(B1:XFD1,((A2)+(1))+(1)))=("AD"),"false"),B2,AD239),AD239))</f>
        <v>#VALUE!</v>
      </c>
    </row>
    <row r="240" spans="1:30" x14ac:dyDescent="0.25">
      <c r="A240" t="e">
        <f ca="1">IF((A1)=(2),"",IF((237)=(A3),IF(("call")=(INDEX(B1:XFD1,((A2)+(1))+(0))),(B2)*(2),IF(("goto")=(INDEX(B1:XFD1,((A2)+(1))+(0))),(INDEX(B1:XFD1,((A2)+(1))+(1)))*(2),IF(("gotoiftrue")=(INDEX(B1:XFD1,((A2)+(1))+(0))),IF(B2,(INDEX(B1:XFD1,((A2)+(1))+(1)))*(2),(A240)+(2)),(A240)+(2)))),A240))</f>
        <v>#VALUE!</v>
      </c>
      <c r="B240" t="e">
        <f ca="1">IF((A1)=(2),"",IF((237)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240)+(1)),IF(("add")=(INDEX(B1:XFD1,((A2)+(1))+(0))),(INDEX(B4:B404,(B3)+(1)))+(B240),IF(("equals")=(INDEX(B1:XFD1,((A2)+(1))+(0))),(INDEX(B4:B404,(B3)+(1)))=(B240),IF(("leq")=(INDEX(B1:XFD1,((A2)+(1))+(0))),(INDEX(B4:B404,(B3)+(1)))&lt;=(B240),IF(("greater")=(INDEX(B1:XFD1,((A2)+(1))+(0))),(INDEX(B4:B404,(B3)+(1)))&gt;(B240),IF(("mod")=(INDEX(B1:XFD1,((A2)+(1))+(0))),MOD(INDEX(B4:B404,(B3)+(1)),B240),B240))))))))),B240))</f>
        <v>#VALUE!</v>
      </c>
      <c r="C240" t="e">
        <f ca="1">IF((A1)=(2),1,IF(AND((INDEX(B1:XFD1,((A2)+(1))+(0)))=("writeheap"),(INDEX(B4:B404,(B3)+(1)))=(236)),INDEX(B4:B404,(B3)+(2)),IF((A1)=(2),"",IF((237)=(C3),C240,C240))))</f>
        <v>#VALUE!</v>
      </c>
      <c r="E240" t="e">
        <f ca="1">IF((A1)=(2),"",IF((237)=(E3),IF(("outputline")=(INDEX(B1:XFD1,((A2)+(1))+(0))),B2,E240),E240))</f>
        <v>#VALUE!</v>
      </c>
      <c r="F240" t="e">
        <f ca="1">IF((A1)=(2),"",IF((237)=(F3),IF(IF((INDEX(B1:XFD1,((A2)+(1))+(0)))=("store"),(INDEX(B1:XFD1,((A2)+(1))+(1)))=("F"),"false"),B2,F240),F240))</f>
        <v>#VALUE!</v>
      </c>
      <c r="G240" t="e">
        <f ca="1">IF((A1)=(2),"",IF((237)=(G3),IF(IF((INDEX(B1:XFD1,((A2)+(1))+(0)))=("store"),(INDEX(B1:XFD1,((A2)+(1))+(1)))=("G"),"false"),B2,G240),G240))</f>
        <v>#VALUE!</v>
      </c>
      <c r="H240" t="e">
        <f ca="1">IF((A1)=(2),"",IF((237)=(H3),IF(IF((INDEX(B1:XFD1,((A2)+(1))+(0)))=("store"),(INDEX(B1:XFD1,((A2)+(1))+(1)))=("H"),"false"),B2,H240),H240))</f>
        <v>#VALUE!</v>
      </c>
      <c r="I240" t="e">
        <f ca="1">IF((A1)=(2),"",IF((237)=(I3),IF(IF((INDEX(B1:XFD1,((A2)+(1))+(0)))=("store"),(INDEX(B1:XFD1,((A2)+(1))+(1)))=("I"),"false"),B2,I240),I240))</f>
        <v>#VALUE!</v>
      </c>
      <c r="J240" t="e">
        <f ca="1">IF((A1)=(2),"",IF((237)=(J3),IF(IF((INDEX(B1:XFD1,((A2)+(1))+(0)))=("store"),(INDEX(B1:XFD1,((A2)+(1))+(1)))=("J"),"false"),B2,J240),J240))</f>
        <v>#VALUE!</v>
      </c>
      <c r="K240" t="e">
        <f ca="1">IF((A1)=(2),"",IF((237)=(K3),IF(IF((INDEX(B1:XFD1,((A2)+(1))+(0)))=("store"),(INDEX(B1:XFD1,((A2)+(1))+(1)))=("K"),"false"),B2,K240),K240))</f>
        <v>#VALUE!</v>
      </c>
      <c r="L240" t="e">
        <f ca="1">IF((A1)=(2),"",IF((237)=(L3),IF(IF((INDEX(B1:XFD1,((A2)+(1))+(0)))=("store"),(INDEX(B1:XFD1,((A2)+(1))+(1)))=("L"),"false"),B2,L240),L240))</f>
        <v>#VALUE!</v>
      </c>
      <c r="M240" t="e">
        <f ca="1">IF((A1)=(2),"",IF((237)=(M3),IF(IF((INDEX(B1:XFD1,((A2)+(1))+(0)))=("store"),(INDEX(B1:XFD1,((A2)+(1))+(1)))=("M"),"false"),B2,M240),M240))</f>
        <v>#VALUE!</v>
      </c>
      <c r="N240" t="e">
        <f ca="1">IF((A1)=(2),"",IF((237)=(N3),IF(IF((INDEX(B1:XFD1,((A2)+(1))+(0)))=("store"),(INDEX(B1:XFD1,((A2)+(1))+(1)))=("N"),"false"),B2,N240),N240))</f>
        <v>#VALUE!</v>
      </c>
      <c r="O240" t="e">
        <f ca="1">IF((A1)=(2),"",IF((237)=(O3),IF(IF((INDEX(B1:XFD1,((A2)+(1))+(0)))=("store"),(INDEX(B1:XFD1,((A2)+(1))+(1)))=("O"),"false"),B2,O240),O240))</f>
        <v>#VALUE!</v>
      </c>
      <c r="P240" t="e">
        <f ca="1">IF((A1)=(2),"",IF((237)=(P3),IF(IF((INDEX(B1:XFD1,((A2)+(1))+(0)))=("store"),(INDEX(B1:XFD1,((A2)+(1))+(1)))=("P"),"false"),B2,P240),P240))</f>
        <v>#VALUE!</v>
      </c>
      <c r="Q240" t="e">
        <f ca="1">IF((A1)=(2),"",IF((237)=(Q3),IF(IF((INDEX(B1:XFD1,((A2)+(1))+(0)))=("store"),(INDEX(B1:XFD1,((A2)+(1))+(1)))=("Q"),"false"),B2,Q240),Q240))</f>
        <v>#VALUE!</v>
      </c>
      <c r="R240" t="e">
        <f ca="1">IF((A1)=(2),"",IF((237)=(R3),IF(IF((INDEX(B1:XFD1,((A2)+(1))+(0)))=("store"),(INDEX(B1:XFD1,((A2)+(1))+(1)))=("R"),"false"),B2,R240),R240))</f>
        <v>#VALUE!</v>
      </c>
      <c r="S240" t="e">
        <f ca="1">IF((A1)=(2),"",IF((237)=(S3),IF(IF((INDEX(B1:XFD1,((A2)+(1))+(0)))=("store"),(INDEX(B1:XFD1,((A2)+(1))+(1)))=("S"),"false"),B2,S240),S240))</f>
        <v>#VALUE!</v>
      </c>
      <c r="T240" t="e">
        <f ca="1">IF((A1)=(2),"",IF((237)=(T3),IF(IF((INDEX(B1:XFD1,((A2)+(1))+(0)))=("store"),(INDEX(B1:XFD1,((A2)+(1))+(1)))=("T"),"false"),B2,T240),T240))</f>
        <v>#VALUE!</v>
      </c>
      <c r="U240" t="e">
        <f ca="1">IF((A1)=(2),"",IF((237)=(U3),IF(IF((INDEX(B1:XFD1,((A2)+(1))+(0)))=("store"),(INDEX(B1:XFD1,((A2)+(1))+(1)))=("U"),"false"),B2,U240),U240))</f>
        <v>#VALUE!</v>
      </c>
      <c r="V240" t="e">
        <f ca="1">IF((A1)=(2),"",IF((237)=(V3),IF(IF((INDEX(B1:XFD1,((A2)+(1))+(0)))=("store"),(INDEX(B1:XFD1,((A2)+(1))+(1)))=("V"),"false"),B2,V240),V240))</f>
        <v>#VALUE!</v>
      </c>
      <c r="W240" t="e">
        <f ca="1">IF((A1)=(2),"",IF((237)=(W3),IF(IF((INDEX(B1:XFD1,((A2)+(1))+(0)))=("store"),(INDEX(B1:XFD1,((A2)+(1))+(1)))=("W"),"false"),B2,W240),W240))</f>
        <v>#VALUE!</v>
      </c>
      <c r="X240" t="e">
        <f ca="1">IF((A1)=(2),"",IF((237)=(X3),IF(IF((INDEX(B1:XFD1,((A2)+(1))+(0)))=("store"),(INDEX(B1:XFD1,((A2)+(1))+(1)))=("X"),"false"),B2,X240),X240))</f>
        <v>#VALUE!</v>
      </c>
      <c r="Y240" t="e">
        <f ca="1">IF((A1)=(2),"",IF((237)=(Y3),IF(IF((INDEX(B1:XFD1,((A2)+(1))+(0)))=("store"),(INDEX(B1:XFD1,((A2)+(1))+(1)))=("Y"),"false"),B2,Y240),Y240))</f>
        <v>#VALUE!</v>
      </c>
      <c r="Z240" t="e">
        <f ca="1">IF((A1)=(2),"",IF((237)=(Z3),IF(IF((INDEX(B1:XFD1,((A2)+(1))+(0)))=("store"),(INDEX(B1:XFD1,((A2)+(1))+(1)))=("Z"),"false"),B2,Z240),Z240))</f>
        <v>#VALUE!</v>
      </c>
      <c r="AA240" t="e">
        <f ca="1">IF((A1)=(2),"",IF((237)=(AA3),IF(IF((INDEX(B1:XFD1,((A2)+(1))+(0)))=("store"),(INDEX(B1:XFD1,((A2)+(1))+(1)))=("AA"),"false"),B2,AA240),AA240))</f>
        <v>#VALUE!</v>
      </c>
      <c r="AB240" t="e">
        <f ca="1">IF((A1)=(2),"",IF((237)=(AB3),IF(IF((INDEX(B1:XFD1,((A2)+(1))+(0)))=("store"),(INDEX(B1:XFD1,((A2)+(1))+(1)))=("AB"),"false"),B2,AB240),AB240))</f>
        <v>#VALUE!</v>
      </c>
      <c r="AC240" t="e">
        <f ca="1">IF((A1)=(2),"",IF((237)=(AC3),IF(IF((INDEX(B1:XFD1,((A2)+(1))+(0)))=("store"),(INDEX(B1:XFD1,((A2)+(1))+(1)))=("AC"),"false"),B2,AC240),AC240))</f>
        <v>#VALUE!</v>
      </c>
      <c r="AD240" t="e">
        <f ca="1">IF((A1)=(2),"",IF((237)=(AD3),IF(IF((INDEX(B1:XFD1,((A2)+(1))+(0)))=("store"),(INDEX(B1:XFD1,((A2)+(1))+(1)))=("AD"),"false"),B2,AD240),AD240))</f>
        <v>#VALUE!</v>
      </c>
    </row>
    <row r="241" spans="1:30" x14ac:dyDescent="0.25">
      <c r="A241" t="e">
        <f ca="1">IF((A1)=(2),"",IF((238)=(A3),IF(("call")=(INDEX(B1:XFD1,((A2)+(1))+(0))),(B2)*(2),IF(("goto")=(INDEX(B1:XFD1,((A2)+(1))+(0))),(INDEX(B1:XFD1,((A2)+(1))+(1)))*(2),IF(("gotoiftrue")=(INDEX(B1:XFD1,((A2)+(1))+(0))),IF(B2,(INDEX(B1:XFD1,((A2)+(1))+(1)))*(2),(A241)+(2)),(A241)+(2)))),A241))</f>
        <v>#VALUE!</v>
      </c>
      <c r="B241" t="e">
        <f ca="1">IF((A1)=(2),"",IF((238)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241)+(1)),IF(("add")=(INDEX(B1:XFD1,((A2)+(1))+(0))),(INDEX(B4:B404,(B3)+(1)))+(B241),IF(("equals")=(INDEX(B1:XFD1,((A2)+(1))+(0))),(INDEX(B4:B404,(B3)+(1)))=(B241),IF(("leq")=(INDEX(B1:XFD1,((A2)+(1))+(0))),(INDEX(B4:B404,(B3)+(1)))&lt;=(B241),IF(("greater")=(INDEX(B1:XFD1,((A2)+(1))+(0))),(INDEX(B4:B404,(B3)+(1)))&gt;(B241),IF(("mod")=(INDEX(B1:XFD1,((A2)+(1))+(0))),MOD(INDEX(B4:B404,(B3)+(1)),B241),B241))))))))),B241))</f>
        <v>#VALUE!</v>
      </c>
      <c r="C241" t="e">
        <f ca="1">IF((A1)=(2),1,IF(AND((INDEX(B1:XFD1,((A2)+(1))+(0)))=("writeheap"),(INDEX(B4:B404,(B3)+(1)))=(237)),INDEX(B4:B404,(B3)+(2)),IF((A1)=(2),"",IF((238)=(C3),C241,C241))))</f>
        <v>#VALUE!</v>
      </c>
      <c r="E241" t="e">
        <f ca="1">IF((A1)=(2),"",IF((238)=(E3),IF(("outputline")=(INDEX(B1:XFD1,((A2)+(1))+(0))),B2,E241),E241))</f>
        <v>#VALUE!</v>
      </c>
      <c r="F241" t="e">
        <f ca="1">IF((A1)=(2),"",IF((238)=(F3),IF(IF((INDEX(B1:XFD1,((A2)+(1))+(0)))=("store"),(INDEX(B1:XFD1,((A2)+(1))+(1)))=("F"),"false"),B2,F241),F241))</f>
        <v>#VALUE!</v>
      </c>
      <c r="G241" t="e">
        <f ca="1">IF((A1)=(2),"",IF((238)=(G3),IF(IF((INDEX(B1:XFD1,((A2)+(1))+(0)))=("store"),(INDEX(B1:XFD1,((A2)+(1))+(1)))=("G"),"false"),B2,G241),G241))</f>
        <v>#VALUE!</v>
      </c>
      <c r="H241" t="e">
        <f ca="1">IF((A1)=(2),"",IF((238)=(H3),IF(IF((INDEX(B1:XFD1,((A2)+(1))+(0)))=("store"),(INDEX(B1:XFD1,((A2)+(1))+(1)))=("H"),"false"),B2,H241),H241))</f>
        <v>#VALUE!</v>
      </c>
      <c r="I241" t="e">
        <f ca="1">IF((A1)=(2),"",IF((238)=(I3),IF(IF((INDEX(B1:XFD1,((A2)+(1))+(0)))=("store"),(INDEX(B1:XFD1,((A2)+(1))+(1)))=("I"),"false"),B2,I241),I241))</f>
        <v>#VALUE!</v>
      </c>
      <c r="J241" t="e">
        <f ca="1">IF((A1)=(2),"",IF((238)=(J3),IF(IF((INDEX(B1:XFD1,((A2)+(1))+(0)))=("store"),(INDEX(B1:XFD1,((A2)+(1))+(1)))=("J"),"false"),B2,J241),J241))</f>
        <v>#VALUE!</v>
      </c>
      <c r="K241" t="e">
        <f ca="1">IF((A1)=(2),"",IF((238)=(K3),IF(IF((INDEX(B1:XFD1,((A2)+(1))+(0)))=("store"),(INDEX(B1:XFD1,((A2)+(1))+(1)))=("K"),"false"),B2,K241),K241))</f>
        <v>#VALUE!</v>
      </c>
      <c r="L241" t="e">
        <f ca="1">IF((A1)=(2),"",IF((238)=(L3),IF(IF((INDEX(B1:XFD1,((A2)+(1))+(0)))=("store"),(INDEX(B1:XFD1,((A2)+(1))+(1)))=("L"),"false"),B2,L241),L241))</f>
        <v>#VALUE!</v>
      </c>
      <c r="M241" t="e">
        <f ca="1">IF((A1)=(2),"",IF((238)=(M3),IF(IF((INDEX(B1:XFD1,((A2)+(1))+(0)))=("store"),(INDEX(B1:XFD1,((A2)+(1))+(1)))=("M"),"false"),B2,M241),M241))</f>
        <v>#VALUE!</v>
      </c>
      <c r="N241" t="e">
        <f ca="1">IF((A1)=(2),"",IF((238)=(N3),IF(IF((INDEX(B1:XFD1,((A2)+(1))+(0)))=("store"),(INDEX(B1:XFD1,((A2)+(1))+(1)))=("N"),"false"),B2,N241),N241))</f>
        <v>#VALUE!</v>
      </c>
      <c r="O241" t="e">
        <f ca="1">IF((A1)=(2),"",IF((238)=(O3),IF(IF((INDEX(B1:XFD1,((A2)+(1))+(0)))=("store"),(INDEX(B1:XFD1,((A2)+(1))+(1)))=("O"),"false"),B2,O241),O241))</f>
        <v>#VALUE!</v>
      </c>
      <c r="P241" t="e">
        <f ca="1">IF((A1)=(2),"",IF((238)=(P3),IF(IF((INDEX(B1:XFD1,((A2)+(1))+(0)))=("store"),(INDEX(B1:XFD1,((A2)+(1))+(1)))=("P"),"false"),B2,P241),P241))</f>
        <v>#VALUE!</v>
      </c>
      <c r="Q241" t="e">
        <f ca="1">IF((A1)=(2),"",IF((238)=(Q3),IF(IF((INDEX(B1:XFD1,((A2)+(1))+(0)))=("store"),(INDEX(B1:XFD1,((A2)+(1))+(1)))=("Q"),"false"),B2,Q241),Q241))</f>
        <v>#VALUE!</v>
      </c>
      <c r="R241" t="e">
        <f ca="1">IF((A1)=(2),"",IF((238)=(R3),IF(IF((INDEX(B1:XFD1,((A2)+(1))+(0)))=("store"),(INDEX(B1:XFD1,((A2)+(1))+(1)))=("R"),"false"),B2,R241),R241))</f>
        <v>#VALUE!</v>
      </c>
      <c r="S241" t="e">
        <f ca="1">IF((A1)=(2),"",IF((238)=(S3),IF(IF((INDEX(B1:XFD1,((A2)+(1))+(0)))=("store"),(INDEX(B1:XFD1,((A2)+(1))+(1)))=("S"),"false"),B2,S241),S241))</f>
        <v>#VALUE!</v>
      </c>
      <c r="T241" t="e">
        <f ca="1">IF((A1)=(2),"",IF((238)=(T3),IF(IF((INDEX(B1:XFD1,((A2)+(1))+(0)))=("store"),(INDEX(B1:XFD1,((A2)+(1))+(1)))=("T"),"false"),B2,T241),T241))</f>
        <v>#VALUE!</v>
      </c>
      <c r="U241" t="e">
        <f ca="1">IF((A1)=(2),"",IF((238)=(U3),IF(IF((INDEX(B1:XFD1,((A2)+(1))+(0)))=("store"),(INDEX(B1:XFD1,((A2)+(1))+(1)))=("U"),"false"),B2,U241),U241))</f>
        <v>#VALUE!</v>
      </c>
      <c r="V241" t="e">
        <f ca="1">IF((A1)=(2),"",IF((238)=(V3),IF(IF((INDEX(B1:XFD1,((A2)+(1))+(0)))=("store"),(INDEX(B1:XFD1,((A2)+(1))+(1)))=("V"),"false"),B2,V241),V241))</f>
        <v>#VALUE!</v>
      </c>
      <c r="W241" t="e">
        <f ca="1">IF((A1)=(2),"",IF((238)=(W3),IF(IF((INDEX(B1:XFD1,((A2)+(1))+(0)))=("store"),(INDEX(B1:XFD1,((A2)+(1))+(1)))=("W"),"false"),B2,W241),W241))</f>
        <v>#VALUE!</v>
      </c>
      <c r="X241" t="e">
        <f ca="1">IF((A1)=(2),"",IF((238)=(X3),IF(IF((INDEX(B1:XFD1,((A2)+(1))+(0)))=("store"),(INDEX(B1:XFD1,((A2)+(1))+(1)))=("X"),"false"),B2,X241),X241))</f>
        <v>#VALUE!</v>
      </c>
      <c r="Y241" t="e">
        <f ca="1">IF((A1)=(2),"",IF((238)=(Y3),IF(IF((INDEX(B1:XFD1,((A2)+(1))+(0)))=("store"),(INDEX(B1:XFD1,((A2)+(1))+(1)))=("Y"),"false"),B2,Y241),Y241))</f>
        <v>#VALUE!</v>
      </c>
      <c r="Z241" t="e">
        <f ca="1">IF((A1)=(2),"",IF((238)=(Z3),IF(IF((INDEX(B1:XFD1,((A2)+(1))+(0)))=("store"),(INDEX(B1:XFD1,((A2)+(1))+(1)))=("Z"),"false"),B2,Z241),Z241))</f>
        <v>#VALUE!</v>
      </c>
      <c r="AA241" t="e">
        <f ca="1">IF((A1)=(2),"",IF((238)=(AA3),IF(IF((INDEX(B1:XFD1,((A2)+(1))+(0)))=("store"),(INDEX(B1:XFD1,((A2)+(1))+(1)))=("AA"),"false"),B2,AA241),AA241))</f>
        <v>#VALUE!</v>
      </c>
      <c r="AB241" t="e">
        <f ca="1">IF((A1)=(2),"",IF((238)=(AB3),IF(IF((INDEX(B1:XFD1,((A2)+(1))+(0)))=("store"),(INDEX(B1:XFD1,((A2)+(1))+(1)))=("AB"),"false"),B2,AB241),AB241))</f>
        <v>#VALUE!</v>
      </c>
      <c r="AC241" t="e">
        <f ca="1">IF((A1)=(2),"",IF((238)=(AC3),IF(IF((INDEX(B1:XFD1,((A2)+(1))+(0)))=("store"),(INDEX(B1:XFD1,((A2)+(1))+(1)))=("AC"),"false"),B2,AC241),AC241))</f>
        <v>#VALUE!</v>
      </c>
      <c r="AD241" t="e">
        <f ca="1">IF((A1)=(2),"",IF((238)=(AD3),IF(IF((INDEX(B1:XFD1,((A2)+(1))+(0)))=("store"),(INDEX(B1:XFD1,((A2)+(1))+(1)))=("AD"),"false"),B2,AD241),AD241))</f>
        <v>#VALUE!</v>
      </c>
    </row>
    <row r="242" spans="1:30" x14ac:dyDescent="0.25">
      <c r="A242" t="e">
        <f ca="1">IF((A1)=(2),"",IF((239)=(A3),IF(("call")=(INDEX(B1:XFD1,((A2)+(1))+(0))),(B2)*(2),IF(("goto")=(INDEX(B1:XFD1,((A2)+(1))+(0))),(INDEX(B1:XFD1,((A2)+(1))+(1)))*(2),IF(("gotoiftrue")=(INDEX(B1:XFD1,((A2)+(1))+(0))),IF(B2,(INDEX(B1:XFD1,((A2)+(1))+(1)))*(2),(A242)+(2)),(A242)+(2)))),A242))</f>
        <v>#VALUE!</v>
      </c>
      <c r="B242" t="e">
        <f ca="1">IF((A1)=(2),"",IF((239)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242)+(1)),IF(("add")=(INDEX(B1:XFD1,((A2)+(1))+(0))),(INDEX(B4:B404,(B3)+(1)))+(B242),IF(("equals")=(INDEX(B1:XFD1,((A2)+(1))+(0))),(INDEX(B4:B404,(B3)+(1)))=(B242),IF(("leq")=(INDEX(B1:XFD1,((A2)+(1))+(0))),(INDEX(B4:B404,(B3)+(1)))&lt;=(B242),IF(("greater")=(INDEX(B1:XFD1,((A2)+(1))+(0))),(INDEX(B4:B404,(B3)+(1)))&gt;(B242),IF(("mod")=(INDEX(B1:XFD1,((A2)+(1))+(0))),MOD(INDEX(B4:B404,(B3)+(1)),B242),B242))))))))),B242))</f>
        <v>#VALUE!</v>
      </c>
      <c r="C242" t="e">
        <f ca="1">IF((A1)=(2),1,IF(AND((INDEX(B1:XFD1,((A2)+(1))+(0)))=("writeheap"),(INDEX(B4:B404,(B3)+(1)))=(238)),INDEX(B4:B404,(B3)+(2)),IF((A1)=(2),"",IF((239)=(C3),C242,C242))))</f>
        <v>#VALUE!</v>
      </c>
      <c r="E242" t="e">
        <f ca="1">IF((A1)=(2),"",IF((239)=(E3),IF(("outputline")=(INDEX(B1:XFD1,((A2)+(1))+(0))),B2,E242),E242))</f>
        <v>#VALUE!</v>
      </c>
      <c r="F242" t="e">
        <f ca="1">IF((A1)=(2),"",IF((239)=(F3),IF(IF((INDEX(B1:XFD1,((A2)+(1))+(0)))=("store"),(INDEX(B1:XFD1,((A2)+(1))+(1)))=("F"),"false"),B2,F242),F242))</f>
        <v>#VALUE!</v>
      </c>
      <c r="G242" t="e">
        <f ca="1">IF((A1)=(2),"",IF((239)=(G3),IF(IF((INDEX(B1:XFD1,((A2)+(1))+(0)))=("store"),(INDEX(B1:XFD1,((A2)+(1))+(1)))=("G"),"false"),B2,G242),G242))</f>
        <v>#VALUE!</v>
      </c>
      <c r="H242" t="e">
        <f ca="1">IF((A1)=(2),"",IF((239)=(H3),IF(IF((INDEX(B1:XFD1,((A2)+(1))+(0)))=("store"),(INDEX(B1:XFD1,((A2)+(1))+(1)))=("H"),"false"),B2,H242),H242))</f>
        <v>#VALUE!</v>
      </c>
      <c r="I242" t="e">
        <f ca="1">IF((A1)=(2),"",IF((239)=(I3),IF(IF((INDEX(B1:XFD1,((A2)+(1))+(0)))=("store"),(INDEX(B1:XFD1,((A2)+(1))+(1)))=("I"),"false"),B2,I242),I242))</f>
        <v>#VALUE!</v>
      </c>
      <c r="J242" t="e">
        <f ca="1">IF((A1)=(2),"",IF((239)=(J3),IF(IF((INDEX(B1:XFD1,((A2)+(1))+(0)))=("store"),(INDEX(B1:XFD1,((A2)+(1))+(1)))=("J"),"false"),B2,J242),J242))</f>
        <v>#VALUE!</v>
      </c>
      <c r="K242" t="e">
        <f ca="1">IF((A1)=(2),"",IF((239)=(K3),IF(IF((INDEX(B1:XFD1,((A2)+(1))+(0)))=("store"),(INDEX(B1:XFD1,((A2)+(1))+(1)))=("K"),"false"),B2,K242),K242))</f>
        <v>#VALUE!</v>
      </c>
      <c r="L242" t="e">
        <f ca="1">IF((A1)=(2),"",IF((239)=(L3),IF(IF((INDEX(B1:XFD1,((A2)+(1))+(0)))=("store"),(INDEX(B1:XFD1,((A2)+(1))+(1)))=("L"),"false"),B2,L242),L242))</f>
        <v>#VALUE!</v>
      </c>
      <c r="M242" t="e">
        <f ca="1">IF((A1)=(2),"",IF((239)=(M3),IF(IF((INDEX(B1:XFD1,((A2)+(1))+(0)))=("store"),(INDEX(B1:XFD1,((A2)+(1))+(1)))=("M"),"false"),B2,M242),M242))</f>
        <v>#VALUE!</v>
      </c>
      <c r="N242" t="e">
        <f ca="1">IF((A1)=(2),"",IF((239)=(N3),IF(IF((INDEX(B1:XFD1,((A2)+(1))+(0)))=("store"),(INDEX(B1:XFD1,((A2)+(1))+(1)))=("N"),"false"),B2,N242),N242))</f>
        <v>#VALUE!</v>
      </c>
      <c r="O242" t="e">
        <f ca="1">IF((A1)=(2),"",IF((239)=(O3),IF(IF((INDEX(B1:XFD1,((A2)+(1))+(0)))=("store"),(INDEX(B1:XFD1,((A2)+(1))+(1)))=("O"),"false"),B2,O242),O242))</f>
        <v>#VALUE!</v>
      </c>
      <c r="P242" t="e">
        <f ca="1">IF((A1)=(2),"",IF((239)=(P3),IF(IF((INDEX(B1:XFD1,((A2)+(1))+(0)))=("store"),(INDEX(B1:XFD1,((A2)+(1))+(1)))=("P"),"false"),B2,P242),P242))</f>
        <v>#VALUE!</v>
      </c>
      <c r="Q242" t="e">
        <f ca="1">IF((A1)=(2),"",IF((239)=(Q3),IF(IF((INDEX(B1:XFD1,((A2)+(1))+(0)))=("store"),(INDEX(B1:XFD1,((A2)+(1))+(1)))=("Q"),"false"),B2,Q242),Q242))</f>
        <v>#VALUE!</v>
      </c>
      <c r="R242" t="e">
        <f ca="1">IF((A1)=(2),"",IF((239)=(R3),IF(IF((INDEX(B1:XFD1,((A2)+(1))+(0)))=("store"),(INDEX(B1:XFD1,((A2)+(1))+(1)))=("R"),"false"),B2,R242),R242))</f>
        <v>#VALUE!</v>
      </c>
      <c r="S242" t="e">
        <f ca="1">IF((A1)=(2),"",IF((239)=(S3),IF(IF((INDEX(B1:XFD1,((A2)+(1))+(0)))=("store"),(INDEX(B1:XFD1,((A2)+(1))+(1)))=("S"),"false"),B2,S242),S242))</f>
        <v>#VALUE!</v>
      </c>
      <c r="T242" t="e">
        <f ca="1">IF((A1)=(2),"",IF((239)=(T3),IF(IF((INDEX(B1:XFD1,((A2)+(1))+(0)))=("store"),(INDEX(B1:XFD1,((A2)+(1))+(1)))=("T"),"false"),B2,T242),T242))</f>
        <v>#VALUE!</v>
      </c>
      <c r="U242" t="e">
        <f ca="1">IF((A1)=(2),"",IF((239)=(U3),IF(IF((INDEX(B1:XFD1,((A2)+(1))+(0)))=("store"),(INDEX(B1:XFD1,((A2)+(1))+(1)))=("U"),"false"),B2,U242),U242))</f>
        <v>#VALUE!</v>
      </c>
      <c r="V242" t="e">
        <f ca="1">IF((A1)=(2),"",IF((239)=(V3),IF(IF((INDEX(B1:XFD1,((A2)+(1))+(0)))=("store"),(INDEX(B1:XFD1,((A2)+(1))+(1)))=("V"),"false"),B2,V242),V242))</f>
        <v>#VALUE!</v>
      </c>
      <c r="W242" t="e">
        <f ca="1">IF((A1)=(2),"",IF((239)=(W3),IF(IF((INDEX(B1:XFD1,((A2)+(1))+(0)))=("store"),(INDEX(B1:XFD1,((A2)+(1))+(1)))=("W"),"false"),B2,W242),W242))</f>
        <v>#VALUE!</v>
      </c>
      <c r="X242" t="e">
        <f ca="1">IF((A1)=(2),"",IF((239)=(X3),IF(IF((INDEX(B1:XFD1,((A2)+(1))+(0)))=("store"),(INDEX(B1:XFD1,((A2)+(1))+(1)))=("X"),"false"),B2,X242),X242))</f>
        <v>#VALUE!</v>
      </c>
      <c r="Y242" t="e">
        <f ca="1">IF((A1)=(2),"",IF((239)=(Y3),IF(IF((INDEX(B1:XFD1,((A2)+(1))+(0)))=("store"),(INDEX(B1:XFD1,((A2)+(1))+(1)))=("Y"),"false"),B2,Y242),Y242))</f>
        <v>#VALUE!</v>
      </c>
      <c r="Z242" t="e">
        <f ca="1">IF((A1)=(2),"",IF((239)=(Z3),IF(IF((INDEX(B1:XFD1,((A2)+(1))+(0)))=("store"),(INDEX(B1:XFD1,((A2)+(1))+(1)))=("Z"),"false"),B2,Z242),Z242))</f>
        <v>#VALUE!</v>
      </c>
      <c r="AA242" t="e">
        <f ca="1">IF((A1)=(2),"",IF((239)=(AA3),IF(IF((INDEX(B1:XFD1,((A2)+(1))+(0)))=("store"),(INDEX(B1:XFD1,((A2)+(1))+(1)))=("AA"),"false"),B2,AA242),AA242))</f>
        <v>#VALUE!</v>
      </c>
      <c r="AB242" t="e">
        <f ca="1">IF((A1)=(2),"",IF((239)=(AB3),IF(IF((INDEX(B1:XFD1,((A2)+(1))+(0)))=("store"),(INDEX(B1:XFD1,((A2)+(1))+(1)))=("AB"),"false"),B2,AB242),AB242))</f>
        <v>#VALUE!</v>
      </c>
      <c r="AC242" t="e">
        <f ca="1">IF((A1)=(2),"",IF((239)=(AC3),IF(IF((INDEX(B1:XFD1,((A2)+(1))+(0)))=("store"),(INDEX(B1:XFD1,((A2)+(1))+(1)))=("AC"),"false"),B2,AC242),AC242))</f>
        <v>#VALUE!</v>
      </c>
      <c r="AD242" t="e">
        <f ca="1">IF((A1)=(2),"",IF((239)=(AD3),IF(IF((INDEX(B1:XFD1,((A2)+(1))+(0)))=("store"),(INDEX(B1:XFD1,((A2)+(1))+(1)))=("AD"),"false"),B2,AD242),AD242))</f>
        <v>#VALUE!</v>
      </c>
    </row>
    <row r="243" spans="1:30" x14ac:dyDescent="0.25">
      <c r="A243" t="e">
        <f ca="1">IF((A1)=(2),"",IF((240)=(A3),IF(("call")=(INDEX(B1:XFD1,((A2)+(1))+(0))),(B2)*(2),IF(("goto")=(INDEX(B1:XFD1,((A2)+(1))+(0))),(INDEX(B1:XFD1,((A2)+(1))+(1)))*(2),IF(("gotoiftrue")=(INDEX(B1:XFD1,((A2)+(1))+(0))),IF(B2,(INDEX(B1:XFD1,((A2)+(1))+(1)))*(2),(A243)+(2)),(A243)+(2)))),A243))</f>
        <v>#VALUE!</v>
      </c>
      <c r="B243" t="e">
        <f ca="1">IF((A1)=(2),"",IF((240)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243)+(1)),IF(("add")=(INDEX(B1:XFD1,((A2)+(1))+(0))),(INDEX(B4:B404,(B3)+(1)))+(B243),IF(("equals")=(INDEX(B1:XFD1,((A2)+(1))+(0))),(INDEX(B4:B404,(B3)+(1)))=(B243),IF(("leq")=(INDEX(B1:XFD1,((A2)+(1))+(0))),(INDEX(B4:B404,(B3)+(1)))&lt;=(B243),IF(("greater")=(INDEX(B1:XFD1,((A2)+(1))+(0))),(INDEX(B4:B404,(B3)+(1)))&gt;(B243),IF(("mod")=(INDEX(B1:XFD1,((A2)+(1))+(0))),MOD(INDEX(B4:B404,(B3)+(1)),B243),B243))))))))),B243))</f>
        <v>#VALUE!</v>
      </c>
      <c r="C243" t="e">
        <f ca="1">IF((A1)=(2),1,IF(AND((INDEX(B1:XFD1,((A2)+(1))+(0)))=("writeheap"),(INDEX(B4:B404,(B3)+(1)))=(239)),INDEX(B4:B404,(B3)+(2)),IF((A1)=(2),"",IF((240)=(C3),C243,C243))))</f>
        <v>#VALUE!</v>
      </c>
      <c r="E243" t="e">
        <f ca="1">IF((A1)=(2),"",IF((240)=(E3),IF(("outputline")=(INDEX(B1:XFD1,((A2)+(1))+(0))),B2,E243),E243))</f>
        <v>#VALUE!</v>
      </c>
      <c r="F243" t="e">
        <f ca="1">IF((A1)=(2),"",IF((240)=(F3),IF(IF((INDEX(B1:XFD1,((A2)+(1))+(0)))=("store"),(INDEX(B1:XFD1,((A2)+(1))+(1)))=("F"),"false"),B2,F243),F243))</f>
        <v>#VALUE!</v>
      </c>
      <c r="G243" t="e">
        <f ca="1">IF((A1)=(2),"",IF((240)=(G3),IF(IF((INDEX(B1:XFD1,((A2)+(1))+(0)))=("store"),(INDEX(B1:XFD1,((A2)+(1))+(1)))=("G"),"false"),B2,G243),G243))</f>
        <v>#VALUE!</v>
      </c>
      <c r="H243" t="e">
        <f ca="1">IF((A1)=(2),"",IF((240)=(H3),IF(IF((INDEX(B1:XFD1,((A2)+(1))+(0)))=("store"),(INDEX(B1:XFD1,((A2)+(1))+(1)))=("H"),"false"),B2,H243),H243))</f>
        <v>#VALUE!</v>
      </c>
      <c r="I243" t="e">
        <f ca="1">IF((A1)=(2),"",IF((240)=(I3),IF(IF((INDEX(B1:XFD1,((A2)+(1))+(0)))=("store"),(INDEX(B1:XFD1,((A2)+(1))+(1)))=("I"),"false"),B2,I243),I243))</f>
        <v>#VALUE!</v>
      </c>
      <c r="J243" t="e">
        <f ca="1">IF((A1)=(2),"",IF((240)=(J3),IF(IF((INDEX(B1:XFD1,((A2)+(1))+(0)))=("store"),(INDEX(B1:XFD1,((A2)+(1))+(1)))=("J"),"false"),B2,J243),J243))</f>
        <v>#VALUE!</v>
      </c>
      <c r="K243" t="e">
        <f ca="1">IF((A1)=(2),"",IF((240)=(K3),IF(IF((INDEX(B1:XFD1,((A2)+(1))+(0)))=("store"),(INDEX(B1:XFD1,((A2)+(1))+(1)))=("K"),"false"),B2,K243),K243))</f>
        <v>#VALUE!</v>
      </c>
      <c r="L243" t="e">
        <f ca="1">IF((A1)=(2),"",IF((240)=(L3),IF(IF((INDEX(B1:XFD1,((A2)+(1))+(0)))=("store"),(INDEX(B1:XFD1,((A2)+(1))+(1)))=("L"),"false"),B2,L243),L243))</f>
        <v>#VALUE!</v>
      </c>
      <c r="M243" t="e">
        <f ca="1">IF((A1)=(2),"",IF((240)=(M3),IF(IF((INDEX(B1:XFD1,((A2)+(1))+(0)))=("store"),(INDEX(B1:XFD1,((A2)+(1))+(1)))=("M"),"false"),B2,M243),M243))</f>
        <v>#VALUE!</v>
      </c>
      <c r="N243" t="e">
        <f ca="1">IF((A1)=(2),"",IF((240)=(N3),IF(IF((INDEX(B1:XFD1,((A2)+(1))+(0)))=("store"),(INDEX(B1:XFD1,((A2)+(1))+(1)))=("N"),"false"),B2,N243),N243))</f>
        <v>#VALUE!</v>
      </c>
      <c r="O243" t="e">
        <f ca="1">IF((A1)=(2),"",IF((240)=(O3),IF(IF((INDEX(B1:XFD1,((A2)+(1))+(0)))=("store"),(INDEX(B1:XFD1,((A2)+(1))+(1)))=("O"),"false"),B2,O243),O243))</f>
        <v>#VALUE!</v>
      </c>
      <c r="P243" t="e">
        <f ca="1">IF((A1)=(2),"",IF((240)=(P3),IF(IF((INDEX(B1:XFD1,((A2)+(1))+(0)))=("store"),(INDEX(B1:XFD1,((A2)+(1))+(1)))=("P"),"false"),B2,P243),P243))</f>
        <v>#VALUE!</v>
      </c>
      <c r="Q243" t="e">
        <f ca="1">IF((A1)=(2),"",IF((240)=(Q3),IF(IF((INDEX(B1:XFD1,((A2)+(1))+(0)))=("store"),(INDEX(B1:XFD1,((A2)+(1))+(1)))=("Q"),"false"),B2,Q243),Q243))</f>
        <v>#VALUE!</v>
      </c>
      <c r="R243" t="e">
        <f ca="1">IF((A1)=(2),"",IF((240)=(R3),IF(IF((INDEX(B1:XFD1,((A2)+(1))+(0)))=("store"),(INDEX(B1:XFD1,((A2)+(1))+(1)))=("R"),"false"),B2,R243),R243))</f>
        <v>#VALUE!</v>
      </c>
      <c r="S243" t="e">
        <f ca="1">IF((A1)=(2),"",IF((240)=(S3),IF(IF((INDEX(B1:XFD1,((A2)+(1))+(0)))=("store"),(INDEX(B1:XFD1,((A2)+(1))+(1)))=("S"),"false"),B2,S243),S243))</f>
        <v>#VALUE!</v>
      </c>
      <c r="T243" t="e">
        <f ca="1">IF((A1)=(2),"",IF((240)=(T3),IF(IF((INDEX(B1:XFD1,((A2)+(1))+(0)))=("store"),(INDEX(B1:XFD1,((A2)+(1))+(1)))=("T"),"false"),B2,T243),T243))</f>
        <v>#VALUE!</v>
      </c>
      <c r="U243" t="e">
        <f ca="1">IF((A1)=(2),"",IF((240)=(U3),IF(IF((INDEX(B1:XFD1,((A2)+(1))+(0)))=("store"),(INDEX(B1:XFD1,((A2)+(1))+(1)))=("U"),"false"),B2,U243),U243))</f>
        <v>#VALUE!</v>
      </c>
      <c r="V243" t="e">
        <f ca="1">IF((A1)=(2),"",IF((240)=(V3),IF(IF((INDEX(B1:XFD1,((A2)+(1))+(0)))=("store"),(INDEX(B1:XFD1,((A2)+(1))+(1)))=("V"),"false"),B2,V243),V243))</f>
        <v>#VALUE!</v>
      </c>
      <c r="W243" t="e">
        <f ca="1">IF((A1)=(2),"",IF((240)=(W3),IF(IF((INDEX(B1:XFD1,((A2)+(1))+(0)))=("store"),(INDEX(B1:XFD1,((A2)+(1))+(1)))=("W"),"false"),B2,W243),W243))</f>
        <v>#VALUE!</v>
      </c>
      <c r="X243" t="e">
        <f ca="1">IF((A1)=(2),"",IF((240)=(X3),IF(IF((INDEX(B1:XFD1,((A2)+(1))+(0)))=("store"),(INDEX(B1:XFD1,((A2)+(1))+(1)))=("X"),"false"),B2,X243),X243))</f>
        <v>#VALUE!</v>
      </c>
      <c r="Y243" t="e">
        <f ca="1">IF((A1)=(2),"",IF((240)=(Y3),IF(IF((INDEX(B1:XFD1,((A2)+(1))+(0)))=("store"),(INDEX(B1:XFD1,((A2)+(1))+(1)))=("Y"),"false"),B2,Y243),Y243))</f>
        <v>#VALUE!</v>
      </c>
      <c r="Z243" t="e">
        <f ca="1">IF((A1)=(2),"",IF((240)=(Z3),IF(IF((INDEX(B1:XFD1,((A2)+(1))+(0)))=("store"),(INDEX(B1:XFD1,((A2)+(1))+(1)))=("Z"),"false"),B2,Z243),Z243))</f>
        <v>#VALUE!</v>
      </c>
      <c r="AA243" t="e">
        <f ca="1">IF((A1)=(2),"",IF((240)=(AA3),IF(IF((INDEX(B1:XFD1,((A2)+(1))+(0)))=("store"),(INDEX(B1:XFD1,((A2)+(1))+(1)))=("AA"),"false"),B2,AA243),AA243))</f>
        <v>#VALUE!</v>
      </c>
      <c r="AB243" t="e">
        <f ca="1">IF((A1)=(2),"",IF((240)=(AB3),IF(IF((INDEX(B1:XFD1,((A2)+(1))+(0)))=("store"),(INDEX(B1:XFD1,((A2)+(1))+(1)))=("AB"),"false"),B2,AB243),AB243))</f>
        <v>#VALUE!</v>
      </c>
      <c r="AC243" t="e">
        <f ca="1">IF((A1)=(2),"",IF((240)=(AC3),IF(IF((INDEX(B1:XFD1,((A2)+(1))+(0)))=("store"),(INDEX(B1:XFD1,((A2)+(1))+(1)))=("AC"),"false"),B2,AC243),AC243))</f>
        <v>#VALUE!</v>
      </c>
      <c r="AD243" t="e">
        <f ca="1">IF((A1)=(2),"",IF((240)=(AD3),IF(IF((INDEX(B1:XFD1,((A2)+(1))+(0)))=("store"),(INDEX(B1:XFD1,((A2)+(1))+(1)))=("AD"),"false"),B2,AD243),AD243))</f>
        <v>#VALUE!</v>
      </c>
    </row>
    <row r="244" spans="1:30" x14ac:dyDescent="0.25">
      <c r="A244" t="e">
        <f ca="1">IF((A1)=(2),"",IF((241)=(A3),IF(("call")=(INDEX(B1:XFD1,((A2)+(1))+(0))),(B2)*(2),IF(("goto")=(INDEX(B1:XFD1,((A2)+(1))+(0))),(INDEX(B1:XFD1,((A2)+(1))+(1)))*(2),IF(("gotoiftrue")=(INDEX(B1:XFD1,((A2)+(1))+(0))),IF(B2,(INDEX(B1:XFD1,((A2)+(1))+(1)))*(2),(A244)+(2)),(A244)+(2)))),A244))</f>
        <v>#VALUE!</v>
      </c>
      <c r="B244" t="e">
        <f ca="1">IF((A1)=(2),"",IF((241)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244)+(1)),IF(("add")=(INDEX(B1:XFD1,((A2)+(1))+(0))),(INDEX(B4:B404,(B3)+(1)))+(B244),IF(("equals")=(INDEX(B1:XFD1,((A2)+(1))+(0))),(INDEX(B4:B404,(B3)+(1)))=(B244),IF(("leq")=(INDEX(B1:XFD1,((A2)+(1))+(0))),(INDEX(B4:B404,(B3)+(1)))&lt;=(B244),IF(("greater")=(INDEX(B1:XFD1,((A2)+(1))+(0))),(INDEX(B4:B404,(B3)+(1)))&gt;(B244),IF(("mod")=(INDEX(B1:XFD1,((A2)+(1))+(0))),MOD(INDEX(B4:B404,(B3)+(1)),B244),B244))))))))),B244))</f>
        <v>#VALUE!</v>
      </c>
      <c r="C244" t="e">
        <f ca="1">IF((A1)=(2),1,IF(AND((INDEX(B1:XFD1,((A2)+(1))+(0)))=("writeheap"),(INDEX(B4:B404,(B3)+(1)))=(240)),INDEX(B4:B404,(B3)+(2)),IF((A1)=(2),"",IF((241)=(C3),C244,C244))))</f>
        <v>#VALUE!</v>
      </c>
      <c r="E244" t="e">
        <f ca="1">IF((A1)=(2),"",IF((241)=(E3),IF(("outputline")=(INDEX(B1:XFD1,((A2)+(1))+(0))),B2,E244),E244))</f>
        <v>#VALUE!</v>
      </c>
      <c r="F244" t="e">
        <f ca="1">IF((A1)=(2),"",IF((241)=(F3),IF(IF((INDEX(B1:XFD1,((A2)+(1))+(0)))=("store"),(INDEX(B1:XFD1,((A2)+(1))+(1)))=("F"),"false"),B2,F244),F244))</f>
        <v>#VALUE!</v>
      </c>
      <c r="G244" t="e">
        <f ca="1">IF((A1)=(2),"",IF((241)=(G3),IF(IF((INDEX(B1:XFD1,((A2)+(1))+(0)))=("store"),(INDEX(B1:XFD1,((A2)+(1))+(1)))=("G"),"false"),B2,G244),G244))</f>
        <v>#VALUE!</v>
      </c>
      <c r="H244" t="e">
        <f ca="1">IF((A1)=(2),"",IF((241)=(H3),IF(IF((INDEX(B1:XFD1,((A2)+(1))+(0)))=("store"),(INDEX(B1:XFD1,((A2)+(1))+(1)))=("H"),"false"),B2,H244),H244))</f>
        <v>#VALUE!</v>
      </c>
      <c r="I244" t="e">
        <f ca="1">IF((A1)=(2),"",IF((241)=(I3),IF(IF((INDEX(B1:XFD1,((A2)+(1))+(0)))=("store"),(INDEX(B1:XFD1,((A2)+(1))+(1)))=("I"),"false"),B2,I244),I244))</f>
        <v>#VALUE!</v>
      </c>
      <c r="J244" t="e">
        <f ca="1">IF((A1)=(2),"",IF((241)=(J3),IF(IF((INDEX(B1:XFD1,((A2)+(1))+(0)))=("store"),(INDEX(B1:XFD1,((A2)+(1))+(1)))=("J"),"false"),B2,J244),J244))</f>
        <v>#VALUE!</v>
      </c>
      <c r="K244" t="e">
        <f ca="1">IF((A1)=(2),"",IF((241)=(K3),IF(IF((INDEX(B1:XFD1,((A2)+(1))+(0)))=("store"),(INDEX(B1:XFD1,((A2)+(1))+(1)))=("K"),"false"),B2,K244),K244))</f>
        <v>#VALUE!</v>
      </c>
      <c r="L244" t="e">
        <f ca="1">IF((A1)=(2),"",IF((241)=(L3),IF(IF((INDEX(B1:XFD1,((A2)+(1))+(0)))=("store"),(INDEX(B1:XFD1,((A2)+(1))+(1)))=("L"),"false"),B2,L244),L244))</f>
        <v>#VALUE!</v>
      </c>
      <c r="M244" t="e">
        <f ca="1">IF((A1)=(2),"",IF((241)=(M3),IF(IF((INDEX(B1:XFD1,((A2)+(1))+(0)))=("store"),(INDEX(B1:XFD1,((A2)+(1))+(1)))=("M"),"false"),B2,M244),M244))</f>
        <v>#VALUE!</v>
      </c>
      <c r="N244" t="e">
        <f ca="1">IF((A1)=(2),"",IF((241)=(N3),IF(IF((INDEX(B1:XFD1,((A2)+(1))+(0)))=("store"),(INDEX(B1:XFD1,((A2)+(1))+(1)))=("N"),"false"),B2,N244),N244))</f>
        <v>#VALUE!</v>
      </c>
      <c r="O244" t="e">
        <f ca="1">IF((A1)=(2),"",IF((241)=(O3),IF(IF((INDEX(B1:XFD1,((A2)+(1))+(0)))=("store"),(INDEX(B1:XFD1,((A2)+(1))+(1)))=("O"),"false"),B2,O244),O244))</f>
        <v>#VALUE!</v>
      </c>
      <c r="P244" t="e">
        <f ca="1">IF((A1)=(2),"",IF((241)=(P3),IF(IF((INDEX(B1:XFD1,((A2)+(1))+(0)))=("store"),(INDEX(B1:XFD1,((A2)+(1))+(1)))=("P"),"false"),B2,P244),P244))</f>
        <v>#VALUE!</v>
      </c>
      <c r="Q244" t="e">
        <f ca="1">IF((A1)=(2),"",IF((241)=(Q3),IF(IF((INDEX(B1:XFD1,((A2)+(1))+(0)))=("store"),(INDEX(B1:XFD1,((A2)+(1))+(1)))=("Q"),"false"),B2,Q244),Q244))</f>
        <v>#VALUE!</v>
      </c>
      <c r="R244" t="e">
        <f ca="1">IF((A1)=(2),"",IF((241)=(R3),IF(IF((INDEX(B1:XFD1,((A2)+(1))+(0)))=("store"),(INDEX(B1:XFD1,((A2)+(1))+(1)))=("R"),"false"),B2,R244),R244))</f>
        <v>#VALUE!</v>
      </c>
      <c r="S244" t="e">
        <f ca="1">IF((A1)=(2),"",IF((241)=(S3),IF(IF((INDEX(B1:XFD1,((A2)+(1))+(0)))=("store"),(INDEX(B1:XFD1,((A2)+(1))+(1)))=("S"),"false"),B2,S244),S244))</f>
        <v>#VALUE!</v>
      </c>
      <c r="T244" t="e">
        <f ca="1">IF((A1)=(2),"",IF((241)=(T3),IF(IF((INDEX(B1:XFD1,((A2)+(1))+(0)))=("store"),(INDEX(B1:XFD1,((A2)+(1))+(1)))=("T"),"false"),B2,T244),T244))</f>
        <v>#VALUE!</v>
      </c>
      <c r="U244" t="e">
        <f ca="1">IF((A1)=(2),"",IF((241)=(U3),IF(IF((INDEX(B1:XFD1,((A2)+(1))+(0)))=("store"),(INDEX(B1:XFD1,((A2)+(1))+(1)))=("U"),"false"),B2,U244),U244))</f>
        <v>#VALUE!</v>
      </c>
      <c r="V244" t="e">
        <f ca="1">IF((A1)=(2),"",IF((241)=(V3),IF(IF((INDEX(B1:XFD1,((A2)+(1))+(0)))=("store"),(INDEX(B1:XFD1,((A2)+(1))+(1)))=("V"),"false"),B2,V244),V244))</f>
        <v>#VALUE!</v>
      </c>
      <c r="W244" t="e">
        <f ca="1">IF((A1)=(2),"",IF((241)=(W3),IF(IF((INDEX(B1:XFD1,((A2)+(1))+(0)))=("store"),(INDEX(B1:XFD1,((A2)+(1))+(1)))=("W"),"false"),B2,W244),W244))</f>
        <v>#VALUE!</v>
      </c>
      <c r="X244" t="e">
        <f ca="1">IF((A1)=(2),"",IF((241)=(X3),IF(IF((INDEX(B1:XFD1,((A2)+(1))+(0)))=("store"),(INDEX(B1:XFD1,((A2)+(1))+(1)))=("X"),"false"),B2,X244),X244))</f>
        <v>#VALUE!</v>
      </c>
      <c r="Y244" t="e">
        <f ca="1">IF((A1)=(2),"",IF((241)=(Y3),IF(IF((INDEX(B1:XFD1,((A2)+(1))+(0)))=("store"),(INDEX(B1:XFD1,((A2)+(1))+(1)))=("Y"),"false"),B2,Y244),Y244))</f>
        <v>#VALUE!</v>
      </c>
      <c r="Z244" t="e">
        <f ca="1">IF((A1)=(2),"",IF((241)=(Z3),IF(IF((INDEX(B1:XFD1,((A2)+(1))+(0)))=("store"),(INDEX(B1:XFD1,((A2)+(1))+(1)))=("Z"),"false"),B2,Z244),Z244))</f>
        <v>#VALUE!</v>
      </c>
      <c r="AA244" t="e">
        <f ca="1">IF((A1)=(2),"",IF((241)=(AA3),IF(IF((INDEX(B1:XFD1,((A2)+(1))+(0)))=("store"),(INDEX(B1:XFD1,((A2)+(1))+(1)))=("AA"),"false"),B2,AA244),AA244))</f>
        <v>#VALUE!</v>
      </c>
      <c r="AB244" t="e">
        <f ca="1">IF((A1)=(2),"",IF((241)=(AB3),IF(IF((INDEX(B1:XFD1,((A2)+(1))+(0)))=("store"),(INDEX(B1:XFD1,((A2)+(1))+(1)))=("AB"),"false"),B2,AB244),AB244))</f>
        <v>#VALUE!</v>
      </c>
      <c r="AC244" t="e">
        <f ca="1">IF((A1)=(2),"",IF((241)=(AC3),IF(IF((INDEX(B1:XFD1,((A2)+(1))+(0)))=("store"),(INDEX(B1:XFD1,((A2)+(1))+(1)))=("AC"),"false"),B2,AC244),AC244))</f>
        <v>#VALUE!</v>
      </c>
      <c r="AD244" t="e">
        <f ca="1">IF((A1)=(2),"",IF((241)=(AD3),IF(IF((INDEX(B1:XFD1,((A2)+(1))+(0)))=("store"),(INDEX(B1:XFD1,((A2)+(1))+(1)))=("AD"),"false"),B2,AD244),AD244))</f>
        <v>#VALUE!</v>
      </c>
    </row>
    <row r="245" spans="1:30" x14ac:dyDescent="0.25">
      <c r="A245" t="e">
        <f ca="1">IF((A1)=(2),"",IF((242)=(A3),IF(("call")=(INDEX(B1:XFD1,((A2)+(1))+(0))),(B2)*(2),IF(("goto")=(INDEX(B1:XFD1,((A2)+(1))+(0))),(INDEX(B1:XFD1,((A2)+(1))+(1)))*(2),IF(("gotoiftrue")=(INDEX(B1:XFD1,((A2)+(1))+(0))),IF(B2,(INDEX(B1:XFD1,((A2)+(1))+(1)))*(2),(A245)+(2)),(A245)+(2)))),A245))</f>
        <v>#VALUE!</v>
      </c>
      <c r="B245" t="e">
        <f ca="1">IF((A1)=(2),"",IF((242)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245)+(1)),IF(("add")=(INDEX(B1:XFD1,((A2)+(1))+(0))),(INDEX(B4:B404,(B3)+(1)))+(B245),IF(("equals")=(INDEX(B1:XFD1,((A2)+(1))+(0))),(INDEX(B4:B404,(B3)+(1)))=(B245),IF(("leq")=(INDEX(B1:XFD1,((A2)+(1))+(0))),(INDEX(B4:B404,(B3)+(1)))&lt;=(B245),IF(("greater")=(INDEX(B1:XFD1,((A2)+(1))+(0))),(INDEX(B4:B404,(B3)+(1)))&gt;(B245),IF(("mod")=(INDEX(B1:XFD1,((A2)+(1))+(0))),MOD(INDEX(B4:B404,(B3)+(1)),B245),B245))))))))),B245))</f>
        <v>#VALUE!</v>
      </c>
      <c r="C245" t="e">
        <f ca="1">IF((A1)=(2),1,IF(AND((INDEX(B1:XFD1,((A2)+(1))+(0)))=("writeheap"),(INDEX(B4:B404,(B3)+(1)))=(241)),INDEX(B4:B404,(B3)+(2)),IF((A1)=(2),"",IF((242)=(C3),C245,C245))))</f>
        <v>#VALUE!</v>
      </c>
      <c r="E245" t="e">
        <f ca="1">IF((A1)=(2),"",IF((242)=(E3),IF(("outputline")=(INDEX(B1:XFD1,((A2)+(1))+(0))),B2,E245),E245))</f>
        <v>#VALUE!</v>
      </c>
      <c r="F245" t="e">
        <f ca="1">IF((A1)=(2),"",IF((242)=(F3),IF(IF((INDEX(B1:XFD1,((A2)+(1))+(0)))=("store"),(INDEX(B1:XFD1,((A2)+(1))+(1)))=("F"),"false"),B2,F245),F245))</f>
        <v>#VALUE!</v>
      </c>
      <c r="G245" t="e">
        <f ca="1">IF((A1)=(2),"",IF((242)=(G3),IF(IF((INDEX(B1:XFD1,((A2)+(1))+(0)))=("store"),(INDEX(B1:XFD1,((A2)+(1))+(1)))=("G"),"false"),B2,G245),G245))</f>
        <v>#VALUE!</v>
      </c>
      <c r="H245" t="e">
        <f ca="1">IF((A1)=(2),"",IF((242)=(H3),IF(IF((INDEX(B1:XFD1,((A2)+(1))+(0)))=("store"),(INDEX(B1:XFD1,((A2)+(1))+(1)))=("H"),"false"),B2,H245),H245))</f>
        <v>#VALUE!</v>
      </c>
      <c r="I245" t="e">
        <f ca="1">IF((A1)=(2),"",IF((242)=(I3),IF(IF((INDEX(B1:XFD1,((A2)+(1))+(0)))=("store"),(INDEX(B1:XFD1,((A2)+(1))+(1)))=("I"),"false"),B2,I245),I245))</f>
        <v>#VALUE!</v>
      </c>
      <c r="J245" t="e">
        <f ca="1">IF((A1)=(2),"",IF((242)=(J3),IF(IF((INDEX(B1:XFD1,((A2)+(1))+(0)))=("store"),(INDEX(B1:XFD1,((A2)+(1))+(1)))=("J"),"false"),B2,J245),J245))</f>
        <v>#VALUE!</v>
      </c>
      <c r="K245" t="e">
        <f ca="1">IF((A1)=(2),"",IF((242)=(K3),IF(IF((INDEX(B1:XFD1,((A2)+(1))+(0)))=("store"),(INDEX(B1:XFD1,((A2)+(1))+(1)))=("K"),"false"),B2,K245),K245))</f>
        <v>#VALUE!</v>
      </c>
      <c r="L245" t="e">
        <f ca="1">IF((A1)=(2),"",IF((242)=(L3),IF(IF((INDEX(B1:XFD1,((A2)+(1))+(0)))=("store"),(INDEX(B1:XFD1,((A2)+(1))+(1)))=("L"),"false"),B2,L245),L245))</f>
        <v>#VALUE!</v>
      </c>
      <c r="M245" t="e">
        <f ca="1">IF((A1)=(2),"",IF((242)=(M3),IF(IF((INDEX(B1:XFD1,((A2)+(1))+(0)))=("store"),(INDEX(B1:XFD1,((A2)+(1))+(1)))=("M"),"false"),B2,M245),M245))</f>
        <v>#VALUE!</v>
      </c>
      <c r="N245" t="e">
        <f ca="1">IF((A1)=(2),"",IF((242)=(N3),IF(IF((INDEX(B1:XFD1,((A2)+(1))+(0)))=("store"),(INDEX(B1:XFD1,((A2)+(1))+(1)))=("N"),"false"),B2,N245),N245))</f>
        <v>#VALUE!</v>
      </c>
      <c r="O245" t="e">
        <f ca="1">IF((A1)=(2),"",IF((242)=(O3),IF(IF((INDEX(B1:XFD1,((A2)+(1))+(0)))=("store"),(INDEX(B1:XFD1,((A2)+(1))+(1)))=("O"),"false"),B2,O245),O245))</f>
        <v>#VALUE!</v>
      </c>
      <c r="P245" t="e">
        <f ca="1">IF((A1)=(2),"",IF((242)=(P3),IF(IF((INDEX(B1:XFD1,((A2)+(1))+(0)))=("store"),(INDEX(B1:XFD1,((A2)+(1))+(1)))=("P"),"false"),B2,P245),P245))</f>
        <v>#VALUE!</v>
      </c>
      <c r="Q245" t="e">
        <f ca="1">IF((A1)=(2),"",IF((242)=(Q3),IF(IF((INDEX(B1:XFD1,((A2)+(1))+(0)))=("store"),(INDEX(B1:XFD1,((A2)+(1))+(1)))=("Q"),"false"),B2,Q245),Q245))</f>
        <v>#VALUE!</v>
      </c>
      <c r="R245" t="e">
        <f ca="1">IF((A1)=(2),"",IF((242)=(R3),IF(IF((INDEX(B1:XFD1,((A2)+(1))+(0)))=("store"),(INDEX(B1:XFD1,((A2)+(1))+(1)))=("R"),"false"),B2,R245),R245))</f>
        <v>#VALUE!</v>
      </c>
      <c r="S245" t="e">
        <f ca="1">IF((A1)=(2),"",IF((242)=(S3),IF(IF((INDEX(B1:XFD1,((A2)+(1))+(0)))=("store"),(INDEX(B1:XFD1,((A2)+(1))+(1)))=("S"),"false"),B2,S245),S245))</f>
        <v>#VALUE!</v>
      </c>
      <c r="T245" t="e">
        <f ca="1">IF((A1)=(2),"",IF((242)=(T3),IF(IF((INDEX(B1:XFD1,((A2)+(1))+(0)))=("store"),(INDEX(B1:XFD1,((A2)+(1))+(1)))=("T"),"false"),B2,T245),T245))</f>
        <v>#VALUE!</v>
      </c>
      <c r="U245" t="e">
        <f ca="1">IF((A1)=(2),"",IF((242)=(U3),IF(IF((INDEX(B1:XFD1,((A2)+(1))+(0)))=("store"),(INDEX(B1:XFD1,((A2)+(1))+(1)))=("U"),"false"),B2,U245),U245))</f>
        <v>#VALUE!</v>
      </c>
      <c r="V245" t="e">
        <f ca="1">IF((A1)=(2),"",IF((242)=(V3),IF(IF((INDEX(B1:XFD1,((A2)+(1))+(0)))=("store"),(INDEX(B1:XFD1,((A2)+(1))+(1)))=("V"),"false"),B2,V245),V245))</f>
        <v>#VALUE!</v>
      </c>
      <c r="W245" t="e">
        <f ca="1">IF((A1)=(2),"",IF((242)=(W3),IF(IF((INDEX(B1:XFD1,((A2)+(1))+(0)))=("store"),(INDEX(B1:XFD1,((A2)+(1))+(1)))=("W"),"false"),B2,W245),W245))</f>
        <v>#VALUE!</v>
      </c>
      <c r="X245" t="e">
        <f ca="1">IF((A1)=(2),"",IF((242)=(X3),IF(IF((INDEX(B1:XFD1,((A2)+(1))+(0)))=("store"),(INDEX(B1:XFD1,((A2)+(1))+(1)))=("X"),"false"),B2,X245),X245))</f>
        <v>#VALUE!</v>
      </c>
      <c r="Y245" t="e">
        <f ca="1">IF((A1)=(2),"",IF((242)=(Y3),IF(IF((INDEX(B1:XFD1,((A2)+(1))+(0)))=("store"),(INDEX(B1:XFD1,((A2)+(1))+(1)))=("Y"),"false"),B2,Y245),Y245))</f>
        <v>#VALUE!</v>
      </c>
      <c r="Z245" t="e">
        <f ca="1">IF((A1)=(2),"",IF((242)=(Z3),IF(IF((INDEX(B1:XFD1,((A2)+(1))+(0)))=("store"),(INDEX(B1:XFD1,((A2)+(1))+(1)))=("Z"),"false"),B2,Z245),Z245))</f>
        <v>#VALUE!</v>
      </c>
      <c r="AA245" t="e">
        <f ca="1">IF((A1)=(2),"",IF((242)=(AA3),IF(IF((INDEX(B1:XFD1,((A2)+(1))+(0)))=("store"),(INDEX(B1:XFD1,((A2)+(1))+(1)))=("AA"),"false"),B2,AA245),AA245))</f>
        <v>#VALUE!</v>
      </c>
      <c r="AB245" t="e">
        <f ca="1">IF((A1)=(2),"",IF((242)=(AB3),IF(IF((INDEX(B1:XFD1,((A2)+(1))+(0)))=("store"),(INDEX(B1:XFD1,((A2)+(1))+(1)))=("AB"),"false"),B2,AB245),AB245))</f>
        <v>#VALUE!</v>
      </c>
      <c r="AC245" t="e">
        <f ca="1">IF((A1)=(2),"",IF((242)=(AC3),IF(IF((INDEX(B1:XFD1,((A2)+(1))+(0)))=("store"),(INDEX(B1:XFD1,((A2)+(1))+(1)))=("AC"),"false"),B2,AC245),AC245))</f>
        <v>#VALUE!</v>
      </c>
      <c r="AD245" t="e">
        <f ca="1">IF((A1)=(2),"",IF((242)=(AD3),IF(IF((INDEX(B1:XFD1,((A2)+(1))+(0)))=("store"),(INDEX(B1:XFD1,((A2)+(1))+(1)))=("AD"),"false"),B2,AD245),AD245))</f>
        <v>#VALUE!</v>
      </c>
    </row>
    <row r="246" spans="1:30" x14ac:dyDescent="0.25">
      <c r="A246" t="e">
        <f ca="1">IF((A1)=(2),"",IF((243)=(A3),IF(("call")=(INDEX(B1:XFD1,((A2)+(1))+(0))),(B2)*(2),IF(("goto")=(INDEX(B1:XFD1,((A2)+(1))+(0))),(INDEX(B1:XFD1,((A2)+(1))+(1)))*(2),IF(("gotoiftrue")=(INDEX(B1:XFD1,((A2)+(1))+(0))),IF(B2,(INDEX(B1:XFD1,((A2)+(1))+(1)))*(2),(A246)+(2)),(A246)+(2)))),A246))</f>
        <v>#VALUE!</v>
      </c>
      <c r="B246" t="e">
        <f ca="1">IF((A1)=(2),"",IF((243)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246)+(1)),IF(("add")=(INDEX(B1:XFD1,((A2)+(1))+(0))),(INDEX(B4:B404,(B3)+(1)))+(B246),IF(("equals")=(INDEX(B1:XFD1,((A2)+(1))+(0))),(INDEX(B4:B404,(B3)+(1)))=(B246),IF(("leq")=(INDEX(B1:XFD1,((A2)+(1))+(0))),(INDEX(B4:B404,(B3)+(1)))&lt;=(B246),IF(("greater")=(INDEX(B1:XFD1,((A2)+(1))+(0))),(INDEX(B4:B404,(B3)+(1)))&gt;(B246),IF(("mod")=(INDEX(B1:XFD1,((A2)+(1))+(0))),MOD(INDEX(B4:B404,(B3)+(1)),B246),B246))))))))),B246))</f>
        <v>#VALUE!</v>
      </c>
      <c r="C246" t="e">
        <f ca="1">IF((A1)=(2),1,IF(AND((INDEX(B1:XFD1,((A2)+(1))+(0)))=("writeheap"),(INDEX(B4:B404,(B3)+(1)))=(242)),INDEX(B4:B404,(B3)+(2)),IF((A1)=(2),"",IF((243)=(C3),C246,C246))))</f>
        <v>#VALUE!</v>
      </c>
      <c r="E246" t="e">
        <f ca="1">IF((A1)=(2),"",IF((243)=(E3),IF(("outputline")=(INDEX(B1:XFD1,((A2)+(1))+(0))),B2,E246),E246))</f>
        <v>#VALUE!</v>
      </c>
      <c r="F246" t="e">
        <f ca="1">IF((A1)=(2),"",IF((243)=(F3),IF(IF((INDEX(B1:XFD1,((A2)+(1))+(0)))=("store"),(INDEX(B1:XFD1,((A2)+(1))+(1)))=("F"),"false"),B2,F246),F246))</f>
        <v>#VALUE!</v>
      </c>
      <c r="G246" t="e">
        <f ca="1">IF((A1)=(2),"",IF((243)=(G3),IF(IF((INDEX(B1:XFD1,((A2)+(1))+(0)))=("store"),(INDEX(B1:XFD1,((A2)+(1))+(1)))=("G"),"false"),B2,G246),G246))</f>
        <v>#VALUE!</v>
      </c>
      <c r="H246" t="e">
        <f ca="1">IF((A1)=(2),"",IF((243)=(H3),IF(IF((INDEX(B1:XFD1,((A2)+(1))+(0)))=("store"),(INDEX(B1:XFD1,((A2)+(1))+(1)))=("H"),"false"),B2,H246),H246))</f>
        <v>#VALUE!</v>
      </c>
      <c r="I246" t="e">
        <f ca="1">IF((A1)=(2),"",IF((243)=(I3),IF(IF((INDEX(B1:XFD1,((A2)+(1))+(0)))=("store"),(INDEX(B1:XFD1,((A2)+(1))+(1)))=("I"),"false"),B2,I246),I246))</f>
        <v>#VALUE!</v>
      </c>
      <c r="J246" t="e">
        <f ca="1">IF((A1)=(2),"",IF((243)=(J3),IF(IF((INDEX(B1:XFD1,((A2)+(1))+(0)))=("store"),(INDEX(B1:XFD1,((A2)+(1))+(1)))=("J"),"false"),B2,J246),J246))</f>
        <v>#VALUE!</v>
      </c>
      <c r="K246" t="e">
        <f ca="1">IF((A1)=(2),"",IF((243)=(K3),IF(IF((INDEX(B1:XFD1,((A2)+(1))+(0)))=("store"),(INDEX(B1:XFD1,((A2)+(1))+(1)))=("K"),"false"),B2,K246),K246))</f>
        <v>#VALUE!</v>
      </c>
      <c r="L246" t="e">
        <f ca="1">IF((A1)=(2),"",IF((243)=(L3),IF(IF((INDEX(B1:XFD1,((A2)+(1))+(0)))=("store"),(INDEX(B1:XFD1,((A2)+(1))+(1)))=("L"),"false"),B2,L246),L246))</f>
        <v>#VALUE!</v>
      </c>
      <c r="M246" t="e">
        <f ca="1">IF((A1)=(2),"",IF((243)=(M3),IF(IF((INDEX(B1:XFD1,((A2)+(1))+(0)))=("store"),(INDEX(B1:XFD1,((A2)+(1))+(1)))=("M"),"false"),B2,M246),M246))</f>
        <v>#VALUE!</v>
      </c>
      <c r="N246" t="e">
        <f ca="1">IF((A1)=(2),"",IF((243)=(N3),IF(IF((INDEX(B1:XFD1,((A2)+(1))+(0)))=("store"),(INDEX(B1:XFD1,((A2)+(1))+(1)))=("N"),"false"),B2,N246),N246))</f>
        <v>#VALUE!</v>
      </c>
      <c r="O246" t="e">
        <f ca="1">IF((A1)=(2),"",IF((243)=(O3),IF(IF((INDEX(B1:XFD1,((A2)+(1))+(0)))=("store"),(INDEX(B1:XFD1,((A2)+(1))+(1)))=("O"),"false"),B2,O246),O246))</f>
        <v>#VALUE!</v>
      </c>
      <c r="P246" t="e">
        <f ca="1">IF((A1)=(2),"",IF((243)=(P3),IF(IF((INDEX(B1:XFD1,((A2)+(1))+(0)))=("store"),(INDEX(B1:XFD1,((A2)+(1))+(1)))=("P"),"false"),B2,P246),P246))</f>
        <v>#VALUE!</v>
      </c>
      <c r="Q246" t="e">
        <f ca="1">IF((A1)=(2),"",IF((243)=(Q3),IF(IF((INDEX(B1:XFD1,((A2)+(1))+(0)))=("store"),(INDEX(B1:XFD1,((A2)+(1))+(1)))=("Q"),"false"),B2,Q246),Q246))</f>
        <v>#VALUE!</v>
      </c>
      <c r="R246" t="e">
        <f ca="1">IF((A1)=(2),"",IF((243)=(R3),IF(IF((INDEX(B1:XFD1,((A2)+(1))+(0)))=("store"),(INDEX(B1:XFD1,((A2)+(1))+(1)))=("R"),"false"),B2,R246),R246))</f>
        <v>#VALUE!</v>
      </c>
      <c r="S246" t="e">
        <f ca="1">IF((A1)=(2),"",IF((243)=(S3),IF(IF((INDEX(B1:XFD1,((A2)+(1))+(0)))=("store"),(INDEX(B1:XFD1,((A2)+(1))+(1)))=("S"),"false"),B2,S246),S246))</f>
        <v>#VALUE!</v>
      </c>
      <c r="T246" t="e">
        <f ca="1">IF((A1)=(2),"",IF((243)=(T3),IF(IF((INDEX(B1:XFD1,((A2)+(1))+(0)))=("store"),(INDEX(B1:XFD1,((A2)+(1))+(1)))=("T"),"false"),B2,T246),T246))</f>
        <v>#VALUE!</v>
      </c>
      <c r="U246" t="e">
        <f ca="1">IF((A1)=(2),"",IF((243)=(U3),IF(IF((INDEX(B1:XFD1,((A2)+(1))+(0)))=("store"),(INDEX(B1:XFD1,((A2)+(1))+(1)))=("U"),"false"),B2,U246),U246))</f>
        <v>#VALUE!</v>
      </c>
      <c r="V246" t="e">
        <f ca="1">IF((A1)=(2),"",IF((243)=(V3),IF(IF((INDEX(B1:XFD1,((A2)+(1))+(0)))=("store"),(INDEX(B1:XFD1,((A2)+(1))+(1)))=("V"),"false"),B2,V246),V246))</f>
        <v>#VALUE!</v>
      </c>
      <c r="W246" t="e">
        <f ca="1">IF((A1)=(2),"",IF((243)=(W3),IF(IF((INDEX(B1:XFD1,((A2)+(1))+(0)))=("store"),(INDEX(B1:XFD1,((A2)+(1))+(1)))=("W"),"false"),B2,W246),W246))</f>
        <v>#VALUE!</v>
      </c>
      <c r="X246" t="e">
        <f ca="1">IF((A1)=(2),"",IF((243)=(X3),IF(IF((INDEX(B1:XFD1,((A2)+(1))+(0)))=("store"),(INDEX(B1:XFD1,((A2)+(1))+(1)))=("X"),"false"),B2,X246),X246))</f>
        <v>#VALUE!</v>
      </c>
      <c r="Y246" t="e">
        <f ca="1">IF((A1)=(2),"",IF((243)=(Y3),IF(IF((INDEX(B1:XFD1,((A2)+(1))+(0)))=("store"),(INDEX(B1:XFD1,((A2)+(1))+(1)))=("Y"),"false"),B2,Y246),Y246))</f>
        <v>#VALUE!</v>
      </c>
      <c r="Z246" t="e">
        <f ca="1">IF((A1)=(2),"",IF((243)=(Z3),IF(IF((INDEX(B1:XFD1,((A2)+(1))+(0)))=("store"),(INDEX(B1:XFD1,((A2)+(1))+(1)))=("Z"),"false"),B2,Z246),Z246))</f>
        <v>#VALUE!</v>
      </c>
      <c r="AA246" t="e">
        <f ca="1">IF((A1)=(2),"",IF((243)=(AA3),IF(IF((INDEX(B1:XFD1,((A2)+(1))+(0)))=("store"),(INDEX(B1:XFD1,((A2)+(1))+(1)))=("AA"),"false"),B2,AA246),AA246))</f>
        <v>#VALUE!</v>
      </c>
      <c r="AB246" t="e">
        <f ca="1">IF((A1)=(2),"",IF((243)=(AB3),IF(IF((INDEX(B1:XFD1,((A2)+(1))+(0)))=("store"),(INDEX(B1:XFD1,((A2)+(1))+(1)))=("AB"),"false"),B2,AB246),AB246))</f>
        <v>#VALUE!</v>
      </c>
      <c r="AC246" t="e">
        <f ca="1">IF((A1)=(2),"",IF((243)=(AC3),IF(IF((INDEX(B1:XFD1,((A2)+(1))+(0)))=("store"),(INDEX(B1:XFD1,((A2)+(1))+(1)))=("AC"),"false"),B2,AC246),AC246))</f>
        <v>#VALUE!</v>
      </c>
      <c r="AD246" t="e">
        <f ca="1">IF((A1)=(2),"",IF((243)=(AD3),IF(IF((INDEX(B1:XFD1,((A2)+(1))+(0)))=("store"),(INDEX(B1:XFD1,((A2)+(1))+(1)))=("AD"),"false"),B2,AD246),AD246))</f>
        <v>#VALUE!</v>
      </c>
    </row>
    <row r="247" spans="1:30" x14ac:dyDescent="0.25">
      <c r="A247" t="e">
        <f ca="1">IF((A1)=(2),"",IF((244)=(A3),IF(("call")=(INDEX(B1:XFD1,((A2)+(1))+(0))),(B2)*(2),IF(("goto")=(INDEX(B1:XFD1,((A2)+(1))+(0))),(INDEX(B1:XFD1,((A2)+(1))+(1)))*(2),IF(("gotoiftrue")=(INDEX(B1:XFD1,((A2)+(1))+(0))),IF(B2,(INDEX(B1:XFD1,((A2)+(1))+(1)))*(2),(A247)+(2)),(A247)+(2)))),A247))</f>
        <v>#VALUE!</v>
      </c>
      <c r="B247" t="e">
        <f ca="1">IF((A1)=(2),"",IF((244)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247)+(1)),IF(("add")=(INDEX(B1:XFD1,((A2)+(1))+(0))),(INDEX(B4:B404,(B3)+(1)))+(B247),IF(("equals")=(INDEX(B1:XFD1,((A2)+(1))+(0))),(INDEX(B4:B404,(B3)+(1)))=(B247),IF(("leq")=(INDEX(B1:XFD1,((A2)+(1))+(0))),(INDEX(B4:B404,(B3)+(1)))&lt;=(B247),IF(("greater")=(INDEX(B1:XFD1,((A2)+(1))+(0))),(INDEX(B4:B404,(B3)+(1)))&gt;(B247),IF(("mod")=(INDEX(B1:XFD1,((A2)+(1))+(0))),MOD(INDEX(B4:B404,(B3)+(1)),B247),B247))))))))),B247))</f>
        <v>#VALUE!</v>
      </c>
      <c r="C247" t="e">
        <f ca="1">IF((A1)=(2),1,IF(AND((INDEX(B1:XFD1,((A2)+(1))+(0)))=("writeheap"),(INDEX(B4:B404,(B3)+(1)))=(243)),INDEX(B4:B404,(B3)+(2)),IF((A1)=(2),"",IF((244)=(C3),C247,C247))))</f>
        <v>#VALUE!</v>
      </c>
      <c r="E247" t="e">
        <f ca="1">IF((A1)=(2),"",IF((244)=(E3),IF(("outputline")=(INDEX(B1:XFD1,((A2)+(1))+(0))),B2,E247),E247))</f>
        <v>#VALUE!</v>
      </c>
      <c r="F247" t="e">
        <f ca="1">IF((A1)=(2),"",IF((244)=(F3),IF(IF((INDEX(B1:XFD1,((A2)+(1))+(0)))=("store"),(INDEX(B1:XFD1,((A2)+(1))+(1)))=("F"),"false"),B2,F247),F247))</f>
        <v>#VALUE!</v>
      </c>
      <c r="G247" t="e">
        <f ca="1">IF((A1)=(2),"",IF((244)=(G3),IF(IF((INDEX(B1:XFD1,((A2)+(1))+(0)))=("store"),(INDEX(B1:XFD1,((A2)+(1))+(1)))=("G"),"false"),B2,G247),G247))</f>
        <v>#VALUE!</v>
      </c>
      <c r="H247" t="e">
        <f ca="1">IF((A1)=(2),"",IF((244)=(H3),IF(IF((INDEX(B1:XFD1,((A2)+(1))+(0)))=("store"),(INDEX(B1:XFD1,((A2)+(1))+(1)))=("H"),"false"),B2,H247),H247))</f>
        <v>#VALUE!</v>
      </c>
      <c r="I247" t="e">
        <f ca="1">IF((A1)=(2),"",IF((244)=(I3),IF(IF((INDEX(B1:XFD1,((A2)+(1))+(0)))=("store"),(INDEX(B1:XFD1,((A2)+(1))+(1)))=("I"),"false"),B2,I247),I247))</f>
        <v>#VALUE!</v>
      </c>
      <c r="J247" t="e">
        <f ca="1">IF((A1)=(2),"",IF((244)=(J3),IF(IF((INDEX(B1:XFD1,((A2)+(1))+(0)))=("store"),(INDEX(B1:XFD1,((A2)+(1))+(1)))=("J"),"false"),B2,J247),J247))</f>
        <v>#VALUE!</v>
      </c>
      <c r="K247" t="e">
        <f ca="1">IF((A1)=(2),"",IF((244)=(K3),IF(IF((INDEX(B1:XFD1,((A2)+(1))+(0)))=("store"),(INDEX(B1:XFD1,((A2)+(1))+(1)))=("K"),"false"),B2,K247),K247))</f>
        <v>#VALUE!</v>
      </c>
      <c r="L247" t="e">
        <f ca="1">IF((A1)=(2),"",IF((244)=(L3),IF(IF((INDEX(B1:XFD1,((A2)+(1))+(0)))=("store"),(INDEX(B1:XFD1,((A2)+(1))+(1)))=("L"),"false"),B2,L247),L247))</f>
        <v>#VALUE!</v>
      </c>
      <c r="M247" t="e">
        <f ca="1">IF((A1)=(2),"",IF((244)=(M3),IF(IF((INDEX(B1:XFD1,((A2)+(1))+(0)))=("store"),(INDEX(B1:XFD1,((A2)+(1))+(1)))=("M"),"false"),B2,M247),M247))</f>
        <v>#VALUE!</v>
      </c>
      <c r="N247" t="e">
        <f ca="1">IF((A1)=(2),"",IF((244)=(N3),IF(IF((INDEX(B1:XFD1,((A2)+(1))+(0)))=("store"),(INDEX(B1:XFD1,((A2)+(1))+(1)))=("N"),"false"),B2,N247),N247))</f>
        <v>#VALUE!</v>
      </c>
      <c r="O247" t="e">
        <f ca="1">IF((A1)=(2),"",IF((244)=(O3),IF(IF((INDEX(B1:XFD1,((A2)+(1))+(0)))=("store"),(INDEX(B1:XFD1,((A2)+(1))+(1)))=("O"),"false"),B2,O247),O247))</f>
        <v>#VALUE!</v>
      </c>
      <c r="P247" t="e">
        <f ca="1">IF((A1)=(2),"",IF((244)=(P3),IF(IF((INDEX(B1:XFD1,((A2)+(1))+(0)))=("store"),(INDEX(B1:XFD1,((A2)+(1))+(1)))=("P"),"false"),B2,P247),P247))</f>
        <v>#VALUE!</v>
      </c>
      <c r="Q247" t="e">
        <f ca="1">IF((A1)=(2),"",IF((244)=(Q3),IF(IF((INDEX(B1:XFD1,((A2)+(1))+(0)))=("store"),(INDEX(B1:XFD1,((A2)+(1))+(1)))=("Q"),"false"),B2,Q247),Q247))</f>
        <v>#VALUE!</v>
      </c>
      <c r="R247" t="e">
        <f ca="1">IF((A1)=(2),"",IF((244)=(R3),IF(IF((INDEX(B1:XFD1,((A2)+(1))+(0)))=("store"),(INDEX(B1:XFD1,((A2)+(1))+(1)))=("R"),"false"),B2,R247),R247))</f>
        <v>#VALUE!</v>
      </c>
      <c r="S247" t="e">
        <f ca="1">IF((A1)=(2),"",IF((244)=(S3),IF(IF((INDEX(B1:XFD1,((A2)+(1))+(0)))=("store"),(INDEX(B1:XFD1,((A2)+(1))+(1)))=("S"),"false"),B2,S247),S247))</f>
        <v>#VALUE!</v>
      </c>
      <c r="T247" t="e">
        <f ca="1">IF((A1)=(2),"",IF((244)=(T3),IF(IF((INDEX(B1:XFD1,((A2)+(1))+(0)))=("store"),(INDEX(B1:XFD1,((A2)+(1))+(1)))=("T"),"false"),B2,T247),T247))</f>
        <v>#VALUE!</v>
      </c>
      <c r="U247" t="e">
        <f ca="1">IF((A1)=(2),"",IF((244)=(U3),IF(IF((INDEX(B1:XFD1,((A2)+(1))+(0)))=("store"),(INDEX(B1:XFD1,((A2)+(1))+(1)))=("U"),"false"),B2,U247),U247))</f>
        <v>#VALUE!</v>
      </c>
      <c r="V247" t="e">
        <f ca="1">IF((A1)=(2),"",IF((244)=(V3),IF(IF((INDEX(B1:XFD1,((A2)+(1))+(0)))=("store"),(INDEX(B1:XFD1,((A2)+(1))+(1)))=("V"),"false"),B2,V247),V247))</f>
        <v>#VALUE!</v>
      </c>
      <c r="W247" t="e">
        <f ca="1">IF((A1)=(2),"",IF((244)=(W3),IF(IF((INDEX(B1:XFD1,((A2)+(1))+(0)))=("store"),(INDEX(B1:XFD1,((A2)+(1))+(1)))=("W"),"false"),B2,W247),W247))</f>
        <v>#VALUE!</v>
      </c>
      <c r="X247" t="e">
        <f ca="1">IF((A1)=(2),"",IF((244)=(X3),IF(IF((INDEX(B1:XFD1,((A2)+(1))+(0)))=("store"),(INDEX(B1:XFD1,((A2)+(1))+(1)))=("X"),"false"),B2,X247),X247))</f>
        <v>#VALUE!</v>
      </c>
      <c r="Y247" t="e">
        <f ca="1">IF((A1)=(2),"",IF((244)=(Y3),IF(IF((INDEX(B1:XFD1,((A2)+(1))+(0)))=("store"),(INDEX(B1:XFD1,((A2)+(1))+(1)))=("Y"),"false"),B2,Y247),Y247))</f>
        <v>#VALUE!</v>
      </c>
      <c r="Z247" t="e">
        <f ca="1">IF((A1)=(2),"",IF((244)=(Z3),IF(IF((INDEX(B1:XFD1,((A2)+(1))+(0)))=("store"),(INDEX(B1:XFD1,((A2)+(1))+(1)))=("Z"),"false"),B2,Z247),Z247))</f>
        <v>#VALUE!</v>
      </c>
      <c r="AA247" t="e">
        <f ca="1">IF((A1)=(2),"",IF((244)=(AA3),IF(IF((INDEX(B1:XFD1,((A2)+(1))+(0)))=("store"),(INDEX(B1:XFD1,((A2)+(1))+(1)))=("AA"),"false"),B2,AA247),AA247))</f>
        <v>#VALUE!</v>
      </c>
      <c r="AB247" t="e">
        <f ca="1">IF((A1)=(2),"",IF((244)=(AB3),IF(IF((INDEX(B1:XFD1,((A2)+(1))+(0)))=("store"),(INDEX(B1:XFD1,((A2)+(1))+(1)))=("AB"),"false"),B2,AB247),AB247))</f>
        <v>#VALUE!</v>
      </c>
      <c r="AC247" t="e">
        <f ca="1">IF((A1)=(2),"",IF((244)=(AC3),IF(IF((INDEX(B1:XFD1,((A2)+(1))+(0)))=("store"),(INDEX(B1:XFD1,((A2)+(1))+(1)))=("AC"),"false"),B2,AC247),AC247))</f>
        <v>#VALUE!</v>
      </c>
      <c r="AD247" t="e">
        <f ca="1">IF((A1)=(2),"",IF((244)=(AD3),IF(IF((INDEX(B1:XFD1,((A2)+(1))+(0)))=("store"),(INDEX(B1:XFD1,((A2)+(1))+(1)))=("AD"),"false"),B2,AD247),AD247))</f>
        <v>#VALUE!</v>
      </c>
    </row>
    <row r="248" spans="1:30" x14ac:dyDescent="0.25">
      <c r="A248" t="e">
        <f ca="1">IF((A1)=(2),"",IF((245)=(A3),IF(("call")=(INDEX(B1:XFD1,((A2)+(1))+(0))),(B2)*(2),IF(("goto")=(INDEX(B1:XFD1,((A2)+(1))+(0))),(INDEX(B1:XFD1,((A2)+(1))+(1)))*(2),IF(("gotoiftrue")=(INDEX(B1:XFD1,((A2)+(1))+(0))),IF(B2,(INDEX(B1:XFD1,((A2)+(1))+(1)))*(2),(A248)+(2)),(A248)+(2)))),A248))</f>
        <v>#VALUE!</v>
      </c>
      <c r="B248" t="e">
        <f ca="1">IF((A1)=(2),"",IF((245)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248)+(1)),IF(("add")=(INDEX(B1:XFD1,((A2)+(1))+(0))),(INDEX(B4:B404,(B3)+(1)))+(B248),IF(("equals")=(INDEX(B1:XFD1,((A2)+(1))+(0))),(INDEX(B4:B404,(B3)+(1)))=(B248),IF(("leq")=(INDEX(B1:XFD1,((A2)+(1))+(0))),(INDEX(B4:B404,(B3)+(1)))&lt;=(B248),IF(("greater")=(INDEX(B1:XFD1,((A2)+(1))+(0))),(INDEX(B4:B404,(B3)+(1)))&gt;(B248),IF(("mod")=(INDEX(B1:XFD1,((A2)+(1))+(0))),MOD(INDEX(B4:B404,(B3)+(1)),B248),B248))))))))),B248))</f>
        <v>#VALUE!</v>
      </c>
      <c r="C248" t="e">
        <f ca="1">IF((A1)=(2),1,IF(AND((INDEX(B1:XFD1,((A2)+(1))+(0)))=("writeheap"),(INDEX(B4:B404,(B3)+(1)))=(244)),INDEX(B4:B404,(B3)+(2)),IF((A1)=(2),"",IF((245)=(C3),C248,C248))))</f>
        <v>#VALUE!</v>
      </c>
      <c r="E248" t="e">
        <f ca="1">IF((A1)=(2),"",IF((245)=(E3),IF(("outputline")=(INDEX(B1:XFD1,((A2)+(1))+(0))),B2,E248),E248))</f>
        <v>#VALUE!</v>
      </c>
      <c r="F248" t="e">
        <f ca="1">IF((A1)=(2),"",IF((245)=(F3),IF(IF((INDEX(B1:XFD1,((A2)+(1))+(0)))=("store"),(INDEX(B1:XFD1,((A2)+(1))+(1)))=("F"),"false"),B2,F248),F248))</f>
        <v>#VALUE!</v>
      </c>
      <c r="G248" t="e">
        <f ca="1">IF((A1)=(2),"",IF((245)=(G3),IF(IF((INDEX(B1:XFD1,((A2)+(1))+(0)))=("store"),(INDEX(B1:XFD1,((A2)+(1))+(1)))=("G"),"false"),B2,G248),G248))</f>
        <v>#VALUE!</v>
      </c>
      <c r="H248" t="e">
        <f ca="1">IF((A1)=(2),"",IF((245)=(H3),IF(IF((INDEX(B1:XFD1,((A2)+(1))+(0)))=("store"),(INDEX(B1:XFD1,((A2)+(1))+(1)))=("H"),"false"),B2,H248),H248))</f>
        <v>#VALUE!</v>
      </c>
      <c r="I248" t="e">
        <f ca="1">IF((A1)=(2),"",IF((245)=(I3),IF(IF((INDEX(B1:XFD1,((A2)+(1))+(0)))=("store"),(INDEX(B1:XFD1,((A2)+(1))+(1)))=("I"),"false"),B2,I248),I248))</f>
        <v>#VALUE!</v>
      </c>
      <c r="J248" t="e">
        <f ca="1">IF((A1)=(2),"",IF((245)=(J3),IF(IF((INDEX(B1:XFD1,((A2)+(1))+(0)))=("store"),(INDEX(B1:XFD1,((A2)+(1))+(1)))=("J"),"false"),B2,J248),J248))</f>
        <v>#VALUE!</v>
      </c>
      <c r="K248" t="e">
        <f ca="1">IF((A1)=(2),"",IF((245)=(K3),IF(IF((INDEX(B1:XFD1,((A2)+(1))+(0)))=("store"),(INDEX(B1:XFD1,((A2)+(1))+(1)))=("K"),"false"),B2,K248),K248))</f>
        <v>#VALUE!</v>
      </c>
      <c r="L248" t="e">
        <f ca="1">IF((A1)=(2),"",IF((245)=(L3),IF(IF((INDEX(B1:XFD1,((A2)+(1))+(0)))=("store"),(INDEX(B1:XFD1,((A2)+(1))+(1)))=("L"),"false"),B2,L248),L248))</f>
        <v>#VALUE!</v>
      </c>
      <c r="M248" t="e">
        <f ca="1">IF((A1)=(2),"",IF((245)=(M3),IF(IF((INDEX(B1:XFD1,((A2)+(1))+(0)))=("store"),(INDEX(B1:XFD1,((A2)+(1))+(1)))=("M"),"false"),B2,M248),M248))</f>
        <v>#VALUE!</v>
      </c>
      <c r="N248" t="e">
        <f ca="1">IF((A1)=(2),"",IF((245)=(N3),IF(IF((INDEX(B1:XFD1,((A2)+(1))+(0)))=("store"),(INDEX(B1:XFD1,((A2)+(1))+(1)))=("N"),"false"),B2,N248),N248))</f>
        <v>#VALUE!</v>
      </c>
      <c r="O248" t="e">
        <f ca="1">IF((A1)=(2),"",IF((245)=(O3),IF(IF((INDEX(B1:XFD1,((A2)+(1))+(0)))=("store"),(INDEX(B1:XFD1,((A2)+(1))+(1)))=("O"),"false"),B2,O248),O248))</f>
        <v>#VALUE!</v>
      </c>
      <c r="P248" t="e">
        <f ca="1">IF((A1)=(2),"",IF((245)=(P3),IF(IF((INDEX(B1:XFD1,((A2)+(1))+(0)))=("store"),(INDEX(B1:XFD1,((A2)+(1))+(1)))=("P"),"false"),B2,P248),P248))</f>
        <v>#VALUE!</v>
      </c>
      <c r="Q248" t="e">
        <f ca="1">IF((A1)=(2),"",IF((245)=(Q3),IF(IF((INDEX(B1:XFD1,((A2)+(1))+(0)))=("store"),(INDEX(B1:XFD1,((A2)+(1))+(1)))=("Q"),"false"),B2,Q248),Q248))</f>
        <v>#VALUE!</v>
      </c>
      <c r="R248" t="e">
        <f ca="1">IF((A1)=(2),"",IF((245)=(R3),IF(IF((INDEX(B1:XFD1,((A2)+(1))+(0)))=("store"),(INDEX(B1:XFD1,((A2)+(1))+(1)))=("R"),"false"),B2,R248),R248))</f>
        <v>#VALUE!</v>
      </c>
      <c r="S248" t="e">
        <f ca="1">IF((A1)=(2),"",IF((245)=(S3),IF(IF((INDEX(B1:XFD1,((A2)+(1))+(0)))=("store"),(INDEX(B1:XFD1,((A2)+(1))+(1)))=("S"),"false"),B2,S248),S248))</f>
        <v>#VALUE!</v>
      </c>
      <c r="T248" t="e">
        <f ca="1">IF((A1)=(2),"",IF((245)=(T3),IF(IF((INDEX(B1:XFD1,((A2)+(1))+(0)))=("store"),(INDEX(B1:XFD1,((A2)+(1))+(1)))=("T"),"false"),B2,T248),T248))</f>
        <v>#VALUE!</v>
      </c>
      <c r="U248" t="e">
        <f ca="1">IF((A1)=(2),"",IF((245)=(U3),IF(IF((INDEX(B1:XFD1,((A2)+(1))+(0)))=("store"),(INDEX(B1:XFD1,((A2)+(1))+(1)))=("U"),"false"),B2,U248),U248))</f>
        <v>#VALUE!</v>
      </c>
      <c r="V248" t="e">
        <f ca="1">IF((A1)=(2),"",IF((245)=(V3),IF(IF((INDEX(B1:XFD1,((A2)+(1))+(0)))=("store"),(INDEX(B1:XFD1,((A2)+(1))+(1)))=("V"),"false"),B2,V248),V248))</f>
        <v>#VALUE!</v>
      </c>
      <c r="W248" t="e">
        <f ca="1">IF((A1)=(2),"",IF((245)=(W3),IF(IF((INDEX(B1:XFD1,((A2)+(1))+(0)))=("store"),(INDEX(B1:XFD1,((A2)+(1))+(1)))=("W"),"false"),B2,W248),W248))</f>
        <v>#VALUE!</v>
      </c>
      <c r="X248" t="e">
        <f ca="1">IF((A1)=(2),"",IF((245)=(X3),IF(IF((INDEX(B1:XFD1,((A2)+(1))+(0)))=("store"),(INDEX(B1:XFD1,((A2)+(1))+(1)))=("X"),"false"),B2,X248),X248))</f>
        <v>#VALUE!</v>
      </c>
      <c r="Y248" t="e">
        <f ca="1">IF((A1)=(2),"",IF((245)=(Y3),IF(IF((INDEX(B1:XFD1,((A2)+(1))+(0)))=("store"),(INDEX(B1:XFD1,((A2)+(1))+(1)))=("Y"),"false"),B2,Y248),Y248))</f>
        <v>#VALUE!</v>
      </c>
      <c r="Z248" t="e">
        <f ca="1">IF((A1)=(2),"",IF((245)=(Z3),IF(IF((INDEX(B1:XFD1,((A2)+(1))+(0)))=("store"),(INDEX(B1:XFD1,((A2)+(1))+(1)))=("Z"),"false"),B2,Z248),Z248))</f>
        <v>#VALUE!</v>
      </c>
      <c r="AA248" t="e">
        <f ca="1">IF((A1)=(2),"",IF((245)=(AA3),IF(IF((INDEX(B1:XFD1,((A2)+(1))+(0)))=("store"),(INDEX(B1:XFD1,((A2)+(1))+(1)))=("AA"),"false"),B2,AA248),AA248))</f>
        <v>#VALUE!</v>
      </c>
      <c r="AB248" t="e">
        <f ca="1">IF((A1)=(2),"",IF((245)=(AB3),IF(IF((INDEX(B1:XFD1,((A2)+(1))+(0)))=("store"),(INDEX(B1:XFD1,((A2)+(1))+(1)))=("AB"),"false"),B2,AB248),AB248))</f>
        <v>#VALUE!</v>
      </c>
      <c r="AC248" t="e">
        <f ca="1">IF((A1)=(2),"",IF((245)=(AC3),IF(IF((INDEX(B1:XFD1,((A2)+(1))+(0)))=("store"),(INDEX(B1:XFD1,((A2)+(1))+(1)))=("AC"),"false"),B2,AC248),AC248))</f>
        <v>#VALUE!</v>
      </c>
      <c r="AD248" t="e">
        <f ca="1">IF((A1)=(2),"",IF((245)=(AD3),IF(IF((INDEX(B1:XFD1,((A2)+(1))+(0)))=("store"),(INDEX(B1:XFD1,((A2)+(1))+(1)))=("AD"),"false"),B2,AD248),AD248))</f>
        <v>#VALUE!</v>
      </c>
    </row>
    <row r="249" spans="1:30" x14ac:dyDescent="0.25">
      <c r="A249" t="e">
        <f ca="1">IF((A1)=(2),"",IF((246)=(A3),IF(("call")=(INDEX(B1:XFD1,((A2)+(1))+(0))),(B2)*(2),IF(("goto")=(INDEX(B1:XFD1,((A2)+(1))+(0))),(INDEX(B1:XFD1,((A2)+(1))+(1)))*(2),IF(("gotoiftrue")=(INDEX(B1:XFD1,((A2)+(1))+(0))),IF(B2,(INDEX(B1:XFD1,((A2)+(1))+(1)))*(2),(A249)+(2)),(A249)+(2)))),A249))</f>
        <v>#VALUE!</v>
      </c>
      <c r="B249" t="e">
        <f ca="1">IF((A1)=(2),"",IF((246)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249)+(1)),IF(("add")=(INDEX(B1:XFD1,((A2)+(1))+(0))),(INDEX(B4:B404,(B3)+(1)))+(B249),IF(("equals")=(INDEX(B1:XFD1,((A2)+(1))+(0))),(INDEX(B4:B404,(B3)+(1)))=(B249),IF(("leq")=(INDEX(B1:XFD1,((A2)+(1))+(0))),(INDEX(B4:B404,(B3)+(1)))&lt;=(B249),IF(("greater")=(INDEX(B1:XFD1,((A2)+(1))+(0))),(INDEX(B4:B404,(B3)+(1)))&gt;(B249),IF(("mod")=(INDEX(B1:XFD1,((A2)+(1))+(0))),MOD(INDEX(B4:B404,(B3)+(1)),B249),B249))))))))),B249))</f>
        <v>#VALUE!</v>
      </c>
      <c r="C249" t="e">
        <f ca="1">IF((A1)=(2),1,IF(AND((INDEX(B1:XFD1,((A2)+(1))+(0)))=("writeheap"),(INDEX(B4:B404,(B3)+(1)))=(245)),INDEX(B4:B404,(B3)+(2)),IF((A1)=(2),"",IF((246)=(C3),C249,C249))))</f>
        <v>#VALUE!</v>
      </c>
      <c r="E249" t="e">
        <f ca="1">IF((A1)=(2),"",IF((246)=(E3),IF(("outputline")=(INDEX(B1:XFD1,((A2)+(1))+(0))),B2,E249),E249))</f>
        <v>#VALUE!</v>
      </c>
      <c r="F249" t="e">
        <f ca="1">IF((A1)=(2),"",IF((246)=(F3),IF(IF((INDEX(B1:XFD1,((A2)+(1))+(0)))=("store"),(INDEX(B1:XFD1,((A2)+(1))+(1)))=("F"),"false"),B2,F249),F249))</f>
        <v>#VALUE!</v>
      </c>
      <c r="G249" t="e">
        <f ca="1">IF((A1)=(2),"",IF((246)=(G3),IF(IF((INDEX(B1:XFD1,((A2)+(1))+(0)))=("store"),(INDEX(B1:XFD1,((A2)+(1))+(1)))=("G"),"false"),B2,G249),G249))</f>
        <v>#VALUE!</v>
      </c>
      <c r="H249" t="e">
        <f ca="1">IF((A1)=(2),"",IF((246)=(H3),IF(IF((INDEX(B1:XFD1,((A2)+(1))+(0)))=("store"),(INDEX(B1:XFD1,((A2)+(1))+(1)))=("H"),"false"),B2,H249),H249))</f>
        <v>#VALUE!</v>
      </c>
      <c r="I249" t="e">
        <f ca="1">IF((A1)=(2),"",IF((246)=(I3),IF(IF((INDEX(B1:XFD1,((A2)+(1))+(0)))=("store"),(INDEX(B1:XFD1,((A2)+(1))+(1)))=("I"),"false"),B2,I249),I249))</f>
        <v>#VALUE!</v>
      </c>
      <c r="J249" t="e">
        <f ca="1">IF((A1)=(2),"",IF((246)=(J3),IF(IF((INDEX(B1:XFD1,((A2)+(1))+(0)))=("store"),(INDEX(B1:XFD1,((A2)+(1))+(1)))=("J"),"false"),B2,J249),J249))</f>
        <v>#VALUE!</v>
      </c>
      <c r="K249" t="e">
        <f ca="1">IF((A1)=(2),"",IF((246)=(K3),IF(IF((INDEX(B1:XFD1,((A2)+(1))+(0)))=("store"),(INDEX(B1:XFD1,((A2)+(1))+(1)))=("K"),"false"),B2,K249),K249))</f>
        <v>#VALUE!</v>
      </c>
      <c r="L249" t="e">
        <f ca="1">IF((A1)=(2),"",IF((246)=(L3),IF(IF((INDEX(B1:XFD1,((A2)+(1))+(0)))=("store"),(INDEX(B1:XFD1,((A2)+(1))+(1)))=("L"),"false"),B2,L249),L249))</f>
        <v>#VALUE!</v>
      </c>
      <c r="M249" t="e">
        <f ca="1">IF((A1)=(2),"",IF((246)=(M3),IF(IF((INDEX(B1:XFD1,((A2)+(1))+(0)))=("store"),(INDEX(B1:XFD1,((A2)+(1))+(1)))=("M"),"false"),B2,M249),M249))</f>
        <v>#VALUE!</v>
      </c>
      <c r="N249" t="e">
        <f ca="1">IF((A1)=(2),"",IF((246)=(N3),IF(IF((INDEX(B1:XFD1,((A2)+(1))+(0)))=("store"),(INDEX(B1:XFD1,((A2)+(1))+(1)))=("N"),"false"),B2,N249),N249))</f>
        <v>#VALUE!</v>
      </c>
      <c r="O249" t="e">
        <f ca="1">IF((A1)=(2),"",IF((246)=(O3),IF(IF((INDEX(B1:XFD1,((A2)+(1))+(0)))=("store"),(INDEX(B1:XFD1,((A2)+(1))+(1)))=("O"),"false"),B2,O249),O249))</f>
        <v>#VALUE!</v>
      </c>
      <c r="P249" t="e">
        <f ca="1">IF((A1)=(2),"",IF((246)=(P3),IF(IF((INDEX(B1:XFD1,((A2)+(1))+(0)))=("store"),(INDEX(B1:XFD1,((A2)+(1))+(1)))=("P"),"false"),B2,P249),P249))</f>
        <v>#VALUE!</v>
      </c>
      <c r="Q249" t="e">
        <f ca="1">IF((A1)=(2),"",IF((246)=(Q3),IF(IF((INDEX(B1:XFD1,((A2)+(1))+(0)))=("store"),(INDEX(B1:XFD1,((A2)+(1))+(1)))=("Q"),"false"),B2,Q249),Q249))</f>
        <v>#VALUE!</v>
      </c>
      <c r="R249" t="e">
        <f ca="1">IF((A1)=(2),"",IF((246)=(R3),IF(IF((INDEX(B1:XFD1,((A2)+(1))+(0)))=("store"),(INDEX(B1:XFD1,((A2)+(1))+(1)))=("R"),"false"),B2,R249),R249))</f>
        <v>#VALUE!</v>
      </c>
      <c r="S249" t="e">
        <f ca="1">IF((A1)=(2),"",IF((246)=(S3),IF(IF((INDEX(B1:XFD1,((A2)+(1))+(0)))=("store"),(INDEX(B1:XFD1,((A2)+(1))+(1)))=("S"),"false"),B2,S249),S249))</f>
        <v>#VALUE!</v>
      </c>
      <c r="T249" t="e">
        <f ca="1">IF((A1)=(2),"",IF((246)=(T3),IF(IF((INDEX(B1:XFD1,((A2)+(1))+(0)))=("store"),(INDEX(B1:XFD1,((A2)+(1))+(1)))=("T"),"false"),B2,T249),T249))</f>
        <v>#VALUE!</v>
      </c>
      <c r="U249" t="e">
        <f ca="1">IF((A1)=(2),"",IF((246)=(U3),IF(IF((INDEX(B1:XFD1,((A2)+(1))+(0)))=("store"),(INDEX(B1:XFD1,((A2)+(1))+(1)))=("U"),"false"),B2,U249),U249))</f>
        <v>#VALUE!</v>
      </c>
      <c r="V249" t="e">
        <f ca="1">IF((A1)=(2),"",IF((246)=(V3),IF(IF((INDEX(B1:XFD1,((A2)+(1))+(0)))=("store"),(INDEX(B1:XFD1,((A2)+(1))+(1)))=("V"),"false"),B2,V249),V249))</f>
        <v>#VALUE!</v>
      </c>
      <c r="W249" t="e">
        <f ca="1">IF((A1)=(2),"",IF((246)=(W3),IF(IF((INDEX(B1:XFD1,((A2)+(1))+(0)))=("store"),(INDEX(B1:XFD1,((A2)+(1))+(1)))=("W"),"false"),B2,W249),W249))</f>
        <v>#VALUE!</v>
      </c>
      <c r="X249" t="e">
        <f ca="1">IF((A1)=(2),"",IF((246)=(X3),IF(IF((INDEX(B1:XFD1,((A2)+(1))+(0)))=("store"),(INDEX(B1:XFD1,((A2)+(1))+(1)))=("X"),"false"),B2,X249),X249))</f>
        <v>#VALUE!</v>
      </c>
      <c r="Y249" t="e">
        <f ca="1">IF((A1)=(2),"",IF((246)=(Y3),IF(IF((INDEX(B1:XFD1,((A2)+(1))+(0)))=("store"),(INDEX(B1:XFD1,((A2)+(1))+(1)))=("Y"),"false"),B2,Y249),Y249))</f>
        <v>#VALUE!</v>
      </c>
      <c r="Z249" t="e">
        <f ca="1">IF((A1)=(2),"",IF((246)=(Z3),IF(IF((INDEX(B1:XFD1,((A2)+(1))+(0)))=("store"),(INDEX(B1:XFD1,((A2)+(1))+(1)))=("Z"),"false"),B2,Z249),Z249))</f>
        <v>#VALUE!</v>
      </c>
      <c r="AA249" t="e">
        <f ca="1">IF((A1)=(2),"",IF((246)=(AA3),IF(IF((INDEX(B1:XFD1,((A2)+(1))+(0)))=("store"),(INDEX(B1:XFD1,((A2)+(1))+(1)))=("AA"),"false"),B2,AA249),AA249))</f>
        <v>#VALUE!</v>
      </c>
      <c r="AB249" t="e">
        <f ca="1">IF((A1)=(2),"",IF((246)=(AB3),IF(IF((INDEX(B1:XFD1,((A2)+(1))+(0)))=("store"),(INDEX(B1:XFD1,((A2)+(1))+(1)))=("AB"),"false"),B2,AB249),AB249))</f>
        <v>#VALUE!</v>
      </c>
      <c r="AC249" t="e">
        <f ca="1">IF((A1)=(2),"",IF((246)=(AC3),IF(IF((INDEX(B1:XFD1,((A2)+(1))+(0)))=("store"),(INDEX(B1:XFD1,((A2)+(1))+(1)))=("AC"),"false"),B2,AC249),AC249))</f>
        <v>#VALUE!</v>
      </c>
      <c r="AD249" t="e">
        <f ca="1">IF((A1)=(2),"",IF((246)=(AD3),IF(IF((INDEX(B1:XFD1,((A2)+(1))+(0)))=("store"),(INDEX(B1:XFD1,((A2)+(1))+(1)))=("AD"),"false"),B2,AD249),AD249))</f>
        <v>#VALUE!</v>
      </c>
    </row>
    <row r="250" spans="1:30" x14ac:dyDescent="0.25">
      <c r="A250" t="e">
        <f ca="1">IF((A1)=(2),"",IF((247)=(A3),IF(("call")=(INDEX(B1:XFD1,((A2)+(1))+(0))),(B2)*(2),IF(("goto")=(INDEX(B1:XFD1,((A2)+(1))+(0))),(INDEX(B1:XFD1,((A2)+(1))+(1)))*(2),IF(("gotoiftrue")=(INDEX(B1:XFD1,((A2)+(1))+(0))),IF(B2,(INDEX(B1:XFD1,((A2)+(1))+(1)))*(2),(A250)+(2)),(A250)+(2)))),A250))</f>
        <v>#VALUE!</v>
      </c>
      <c r="B250" t="e">
        <f ca="1">IF((A1)=(2),"",IF((247)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250)+(1)),IF(("add")=(INDEX(B1:XFD1,((A2)+(1))+(0))),(INDEX(B4:B404,(B3)+(1)))+(B250),IF(("equals")=(INDEX(B1:XFD1,((A2)+(1))+(0))),(INDEX(B4:B404,(B3)+(1)))=(B250),IF(("leq")=(INDEX(B1:XFD1,((A2)+(1))+(0))),(INDEX(B4:B404,(B3)+(1)))&lt;=(B250),IF(("greater")=(INDEX(B1:XFD1,((A2)+(1))+(0))),(INDEX(B4:B404,(B3)+(1)))&gt;(B250),IF(("mod")=(INDEX(B1:XFD1,((A2)+(1))+(0))),MOD(INDEX(B4:B404,(B3)+(1)),B250),B250))))))))),B250))</f>
        <v>#VALUE!</v>
      </c>
      <c r="C250" t="e">
        <f ca="1">IF((A1)=(2),1,IF(AND((INDEX(B1:XFD1,((A2)+(1))+(0)))=("writeheap"),(INDEX(B4:B404,(B3)+(1)))=(246)),INDEX(B4:B404,(B3)+(2)),IF((A1)=(2),"",IF((247)=(C3),C250,C250))))</f>
        <v>#VALUE!</v>
      </c>
      <c r="E250" t="e">
        <f ca="1">IF((A1)=(2),"",IF((247)=(E3),IF(("outputline")=(INDEX(B1:XFD1,((A2)+(1))+(0))),B2,E250),E250))</f>
        <v>#VALUE!</v>
      </c>
      <c r="F250" t="e">
        <f ca="1">IF((A1)=(2),"",IF((247)=(F3),IF(IF((INDEX(B1:XFD1,((A2)+(1))+(0)))=("store"),(INDEX(B1:XFD1,((A2)+(1))+(1)))=("F"),"false"),B2,F250),F250))</f>
        <v>#VALUE!</v>
      </c>
      <c r="G250" t="e">
        <f ca="1">IF((A1)=(2),"",IF((247)=(G3),IF(IF((INDEX(B1:XFD1,((A2)+(1))+(0)))=("store"),(INDEX(B1:XFD1,((A2)+(1))+(1)))=("G"),"false"),B2,G250),G250))</f>
        <v>#VALUE!</v>
      </c>
      <c r="H250" t="e">
        <f ca="1">IF((A1)=(2),"",IF((247)=(H3),IF(IF((INDEX(B1:XFD1,((A2)+(1))+(0)))=("store"),(INDEX(B1:XFD1,((A2)+(1))+(1)))=("H"),"false"),B2,H250),H250))</f>
        <v>#VALUE!</v>
      </c>
      <c r="I250" t="e">
        <f ca="1">IF((A1)=(2),"",IF((247)=(I3),IF(IF((INDEX(B1:XFD1,((A2)+(1))+(0)))=("store"),(INDEX(B1:XFD1,((A2)+(1))+(1)))=("I"),"false"),B2,I250),I250))</f>
        <v>#VALUE!</v>
      </c>
      <c r="J250" t="e">
        <f ca="1">IF((A1)=(2),"",IF((247)=(J3),IF(IF((INDEX(B1:XFD1,((A2)+(1))+(0)))=("store"),(INDEX(B1:XFD1,((A2)+(1))+(1)))=("J"),"false"),B2,J250),J250))</f>
        <v>#VALUE!</v>
      </c>
      <c r="K250" t="e">
        <f ca="1">IF((A1)=(2),"",IF((247)=(K3),IF(IF((INDEX(B1:XFD1,((A2)+(1))+(0)))=("store"),(INDEX(B1:XFD1,((A2)+(1))+(1)))=("K"),"false"),B2,K250),K250))</f>
        <v>#VALUE!</v>
      </c>
      <c r="L250" t="e">
        <f ca="1">IF((A1)=(2),"",IF((247)=(L3),IF(IF((INDEX(B1:XFD1,((A2)+(1))+(0)))=("store"),(INDEX(B1:XFD1,((A2)+(1))+(1)))=("L"),"false"),B2,L250),L250))</f>
        <v>#VALUE!</v>
      </c>
      <c r="M250" t="e">
        <f ca="1">IF((A1)=(2),"",IF((247)=(M3),IF(IF((INDEX(B1:XFD1,((A2)+(1))+(0)))=("store"),(INDEX(B1:XFD1,((A2)+(1))+(1)))=("M"),"false"),B2,M250),M250))</f>
        <v>#VALUE!</v>
      </c>
      <c r="N250" t="e">
        <f ca="1">IF((A1)=(2),"",IF((247)=(N3),IF(IF((INDEX(B1:XFD1,((A2)+(1))+(0)))=("store"),(INDEX(B1:XFD1,((A2)+(1))+(1)))=("N"),"false"),B2,N250),N250))</f>
        <v>#VALUE!</v>
      </c>
      <c r="O250" t="e">
        <f ca="1">IF((A1)=(2),"",IF((247)=(O3),IF(IF((INDEX(B1:XFD1,((A2)+(1))+(0)))=("store"),(INDEX(B1:XFD1,((A2)+(1))+(1)))=("O"),"false"),B2,O250),O250))</f>
        <v>#VALUE!</v>
      </c>
      <c r="P250" t="e">
        <f ca="1">IF((A1)=(2),"",IF((247)=(P3),IF(IF((INDEX(B1:XFD1,((A2)+(1))+(0)))=("store"),(INDEX(B1:XFD1,((A2)+(1))+(1)))=("P"),"false"),B2,P250),P250))</f>
        <v>#VALUE!</v>
      </c>
      <c r="Q250" t="e">
        <f ca="1">IF((A1)=(2),"",IF((247)=(Q3),IF(IF((INDEX(B1:XFD1,((A2)+(1))+(0)))=("store"),(INDEX(B1:XFD1,((A2)+(1))+(1)))=("Q"),"false"),B2,Q250),Q250))</f>
        <v>#VALUE!</v>
      </c>
      <c r="R250" t="e">
        <f ca="1">IF((A1)=(2),"",IF((247)=(R3),IF(IF((INDEX(B1:XFD1,((A2)+(1))+(0)))=("store"),(INDEX(B1:XFD1,((A2)+(1))+(1)))=("R"),"false"),B2,R250),R250))</f>
        <v>#VALUE!</v>
      </c>
      <c r="S250" t="e">
        <f ca="1">IF((A1)=(2),"",IF((247)=(S3),IF(IF((INDEX(B1:XFD1,((A2)+(1))+(0)))=("store"),(INDEX(B1:XFD1,((A2)+(1))+(1)))=("S"),"false"),B2,S250),S250))</f>
        <v>#VALUE!</v>
      </c>
      <c r="T250" t="e">
        <f ca="1">IF((A1)=(2),"",IF((247)=(T3),IF(IF((INDEX(B1:XFD1,((A2)+(1))+(0)))=("store"),(INDEX(B1:XFD1,((A2)+(1))+(1)))=("T"),"false"),B2,T250),T250))</f>
        <v>#VALUE!</v>
      </c>
      <c r="U250" t="e">
        <f ca="1">IF((A1)=(2),"",IF((247)=(U3),IF(IF((INDEX(B1:XFD1,((A2)+(1))+(0)))=("store"),(INDEX(B1:XFD1,((A2)+(1))+(1)))=("U"),"false"),B2,U250),U250))</f>
        <v>#VALUE!</v>
      </c>
      <c r="V250" t="e">
        <f ca="1">IF((A1)=(2),"",IF((247)=(V3),IF(IF((INDEX(B1:XFD1,((A2)+(1))+(0)))=("store"),(INDEX(B1:XFD1,((A2)+(1))+(1)))=("V"),"false"),B2,V250),V250))</f>
        <v>#VALUE!</v>
      </c>
      <c r="W250" t="e">
        <f ca="1">IF((A1)=(2),"",IF((247)=(W3),IF(IF((INDEX(B1:XFD1,((A2)+(1))+(0)))=("store"),(INDEX(B1:XFD1,((A2)+(1))+(1)))=("W"),"false"),B2,W250),W250))</f>
        <v>#VALUE!</v>
      </c>
      <c r="X250" t="e">
        <f ca="1">IF((A1)=(2),"",IF((247)=(X3),IF(IF((INDEX(B1:XFD1,((A2)+(1))+(0)))=("store"),(INDEX(B1:XFD1,((A2)+(1))+(1)))=("X"),"false"),B2,X250),X250))</f>
        <v>#VALUE!</v>
      </c>
      <c r="Y250" t="e">
        <f ca="1">IF((A1)=(2),"",IF((247)=(Y3),IF(IF((INDEX(B1:XFD1,((A2)+(1))+(0)))=("store"),(INDEX(B1:XFD1,((A2)+(1))+(1)))=("Y"),"false"),B2,Y250),Y250))</f>
        <v>#VALUE!</v>
      </c>
      <c r="Z250" t="e">
        <f ca="1">IF((A1)=(2),"",IF((247)=(Z3),IF(IF((INDEX(B1:XFD1,((A2)+(1))+(0)))=("store"),(INDEX(B1:XFD1,((A2)+(1))+(1)))=("Z"),"false"),B2,Z250),Z250))</f>
        <v>#VALUE!</v>
      </c>
      <c r="AA250" t="e">
        <f ca="1">IF((A1)=(2),"",IF((247)=(AA3),IF(IF((INDEX(B1:XFD1,((A2)+(1))+(0)))=("store"),(INDEX(B1:XFD1,((A2)+(1))+(1)))=("AA"),"false"),B2,AA250),AA250))</f>
        <v>#VALUE!</v>
      </c>
      <c r="AB250" t="e">
        <f ca="1">IF((A1)=(2),"",IF((247)=(AB3),IF(IF((INDEX(B1:XFD1,((A2)+(1))+(0)))=("store"),(INDEX(B1:XFD1,((A2)+(1))+(1)))=("AB"),"false"),B2,AB250),AB250))</f>
        <v>#VALUE!</v>
      </c>
      <c r="AC250" t="e">
        <f ca="1">IF((A1)=(2),"",IF((247)=(AC3),IF(IF((INDEX(B1:XFD1,((A2)+(1))+(0)))=("store"),(INDEX(B1:XFD1,((A2)+(1))+(1)))=("AC"),"false"),B2,AC250),AC250))</f>
        <v>#VALUE!</v>
      </c>
      <c r="AD250" t="e">
        <f ca="1">IF((A1)=(2),"",IF((247)=(AD3),IF(IF((INDEX(B1:XFD1,((A2)+(1))+(0)))=("store"),(INDEX(B1:XFD1,((A2)+(1))+(1)))=("AD"),"false"),B2,AD250),AD250))</f>
        <v>#VALUE!</v>
      </c>
    </row>
    <row r="251" spans="1:30" x14ac:dyDescent="0.25">
      <c r="A251" t="e">
        <f ca="1">IF((A1)=(2),"",IF((248)=(A3),IF(("call")=(INDEX(B1:XFD1,((A2)+(1))+(0))),(B2)*(2),IF(("goto")=(INDEX(B1:XFD1,((A2)+(1))+(0))),(INDEX(B1:XFD1,((A2)+(1))+(1)))*(2),IF(("gotoiftrue")=(INDEX(B1:XFD1,((A2)+(1))+(0))),IF(B2,(INDEX(B1:XFD1,((A2)+(1))+(1)))*(2),(A251)+(2)),(A251)+(2)))),A251))</f>
        <v>#VALUE!</v>
      </c>
      <c r="B251" t="e">
        <f ca="1">IF((A1)=(2),"",IF((248)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251)+(1)),IF(("add")=(INDEX(B1:XFD1,((A2)+(1))+(0))),(INDEX(B4:B404,(B3)+(1)))+(B251),IF(("equals")=(INDEX(B1:XFD1,((A2)+(1))+(0))),(INDEX(B4:B404,(B3)+(1)))=(B251),IF(("leq")=(INDEX(B1:XFD1,((A2)+(1))+(0))),(INDEX(B4:B404,(B3)+(1)))&lt;=(B251),IF(("greater")=(INDEX(B1:XFD1,((A2)+(1))+(0))),(INDEX(B4:B404,(B3)+(1)))&gt;(B251),IF(("mod")=(INDEX(B1:XFD1,((A2)+(1))+(0))),MOD(INDEX(B4:B404,(B3)+(1)),B251),B251))))))))),B251))</f>
        <v>#VALUE!</v>
      </c>
      <c r="C251" t="e">
        <f ca="1">IF((A1)=(2),1,IF(AND((INDEX(B1:XFD1,((A2)+(1))+(0)))=("writeheap"),(INDEX(B4:B404,(B3)+(1)))=(247)),INDEX(B4:B404,(B3)+(2)),IF((A1)=(2),"",IF((248)=(C3),C251,C251))))</f>
        <v>#VALUE!</v>
      </c>
      <c r="E251" t="e">
        <f ca="1">IF((A1)=(2),"",IF((248)=(E3),IF(("outputline")=(INDEX(B1:XFD1,((A2)+(1))+(0))),B2,E251),E251))</f>
        <v>#VALUE!</v>
      </c>
      <c r="F251" t="e">
        <f ca="1">IF((A1)=(2),"",IF((248)=(F3),IF(IF((INDEX(B1:XFD1,((A2)+(1))+(0)))=("store"),(INDEX(B1:XFD1,((A2)+(1))+(1)))=("F"),"false"),B2,F251),F251))</f>
        <v>#VALUE!</v>
      </c>
      <c r="G251" t="e">
        <f ca="1">IF((A1)=(2),"",IF((248)=(G3),IF(IF((INDEX(B1:XFD1,((A2)+(1))+(0)))=("store"),(INDEX(B1:XFD1,((A2)+(1))+(1)))=("G"),"false"),B2,G251),G251))</f>
        <v>#VALUE!</v>
      </c>
      <c r="H251" t="e">
        <f ca="1">IF((A1)=(2),"",IF((248)=(H3),IF(IF((INDEX(B1:XFD1,((A2)+(1))+(0)))=("store"),(INDEX(B1:XFD1,((A2)+(1))+(1)))=("H"),"false"),B2,H251),H251))</f>
        <v>#VALUE!</v>
      </c>
      <c r="I251" t="e">
        <f ca="1">IF((A1)=(2),"",IF((248)=(I3),IF(IF((INDEX(B1:XFD1,((A2)+(1))+(0)))=("store"),(INDEX(B1:XFD1,((A2)+(1))+(1)))=("I"),"false"),B2,I251),I251))</f>
        <v>#VALUE!</v>
      </c>
      <c r="J251" t="e">
        <f ca="1">IF((A1)=(2),"",IF((248)=(J3),IF(IF((INDEX(B1:XFD1,((A2)+(1))+(0)))=("store"),(INDEX(B1:XFD1,((A2)+(1))+(1)))=("J"),"false"),B2,J251),J251))</f>
        <v>#VALUE!</v>
      </c>
      <c r="K251" t="e">
        <f ca="1">IF((A1)=(2),"",IF((248)=(K3),IF(IF((INDEX(B1:XFD1,((A2)+(1))+(0)))=("store"),(INDEX(B1:XFD1,((A2)+(1))+(1)))=("K"),"false"),B2,K251),K251))</f>
        <v>#VALUE!</v>
      </c>
      <c r="L251" t="e">
        <f ca="1">IF((A1)=(2),"",IF((248)=(L3),IF(IF((INDEX(B1:XFD1,((A2)+(1))+(0)))=("store"),(INDEX(B1:XFD1,((A2)+(1))+(1)))=("L"),"false"),B2,L251),L251))</f>
        <v>#VALUE!</v>
      </c>
      <c r="M251" t="e">
        <f ca="1">IF((A1)=(2),"",IF((248)=(M3),IF(IF((INDEX(B1:XFD1,((A2)+(1))+(0)))=("store"),(INDEX(B1:XFD1,((A2)+(1))+(1)))=("M"),"false"),B2,M251),M251))</f>
        <v>#VALUE!</v>
      </c>
      <c r="N251" t="e">
        <f ca="1">IF((A1)=(2),"",IF((248)=(N3),IF(IF((INDEX(B1:XFD1,((A2)+(1))+(0)))=("store"),(INDEX(B1:XFD1,((A2)+(1))+(1)))=("N"),"false"),B2,N251),N251))</f>
        <v>#VALUE!</v>
      </c>
      <c r="O251" t="e">
        <f ca="1">IF((A1)=(2),"",IF((248)=(O3),IF(IF((INDEX(B1:XFD1,((A2)+(1))+(0)))=("store"),(INDEX(B1:XFD1,((A2)+(1))+(1)))=("O"),"false"),B2,O251),O251))</f>
        <v>#VALUE!</v>
      </c>
      <c r="P251" t="e">
        <f ca="1">IF((A1)=(2),"",IF((248)=(P3),IF(IF((INDEX(B1:XFD1,((A2)+(1))+(0)))=("store"),(INDEX(B1:XFD1,((A2)+(1))+(1)))=("P"),"false"),B2,P251),P251))</f>
        <v>#VALUE!</v>
      </c>
      <c r="Q251" t="e">
        <f ca="1">IF((A1)=(2),"",IF((248)=(Q3),IF(IF((INDEX(B1:XFD1,((A2)+(1))+(0)))=("store"),(INDEX(B1:XFD1,((A2)+(1))+(1)))=("Q"),"false"),B2,Q251),Q251))</f>
        <v>#VALUE!</v>
      </c>
      <c r="R251" t="e">
        <f ca="1">IF((A1)=(2),"",IF((248)=(R3),IF(IF((INDEX(B1:XFD1,((A2)+(1))+(0)))=("store"),(INDEX(B1:XFD1,((A2)+(1))+(1)))=("R"),"false"),B2,R251),R251))</f>
        <v>#VALUE!</v>
      </c>
      <c r="S251" t="e">
        <f ca="1">IF((A1)=(2),"",IF((248)=(S3),IF(IF((INDEX(B1:XFD1,((A2)+(1))+(0)))=("store"),(INDEX(B1:XFD1,((A2)+(1))+(1)))=("S"),"false"),B2,S251),S251))</f>
        <v>#VALUE!</v>
      </c>
      <c r="T251" t="e">
        <f ca="1">IF((A1)=(2),"",IF((248)=(T3),IF(IF((INDEX(B1:XFD1,((A2)+(1))+(0)))=("store"),(INDEX(B1:XFD1,((A2)+(1))+(1)))=("T"),"false"),B2,T251),T251))</f>
        <v>#VALUE!</v>
      </c>
      <c r="U251" t="e">
        <f ca="1">IF((A1)=(2),"",IF((248)=(U3),IF(IF((INDEX(B1:XFD1,((A2)+(1))+(0)))=("store"),(INDEX(B1:XFD1,((A2)+(1))+(1)))=("U"),"false"),B2,U251),U251))</f>
        <v>#VALUE!</v>
      </c>
      <c r="V251" t="e">
        <f ca="1">IF((A1)=(2),"",IF((248)=(V3),IF(IF((INDEX(B1:XFD1,((A2)+(1))+(0)))=("store"),(INDEX(B1:XFD1,((A2)+(1))+(1)))=("V"),"false"),B2,V251),V251))</f>
        <v>#VALUE!</v>
      </c>
      <c r="W251" t="e">
        <f ca="1">IF((A1)=(2),"",IF((248)=(W3),IF(IF((INDEX(B1:XFD1,((A2)+(1))+(0)))=("store"),(INDEX(B1:XFD1,((A2)+(1))+(1)))=("W"),"false"),B2,W251),W251))</f>
        <v>#VALUE!</v>
      </c>
      <c r="X251" t="e">
        <f ca="1">IF((A1)=(2),"",IF((248)=(X3),IF(IF((INDEX(B1:XFD1,((A2)+(1))+(0)))=("store"),(INDEX(B1:XFD1,((A2)+(1))+(1)))=("X"),"false"),B2,X251),X251))</f>
        <v>#VALUE!</v>
      </c>
      <c r="Y251" t="e">
        <f ca="1">IF((A1)=(2),"",IF((248)=(Y3),IF(IF((INDEX(B1:XFD1,((A2)+(1))+(0)))=("store"),(INDEX(B1:XFD1,((A2)+(1))+(1)))=("Y"),"false"),B2,Y251),Y251))</f>
        <v>#VALUE!</v>
      </c>
      <c r="Z251" t="e">
        <f ca="1">IF((A1)=(2),"",IF((248)=(Z3),IF(IF((INDEX(B1:XFD1,((A2)+(1))+(0)))=("store"),(INDEX(B1:XFD1,((A2)+(1))+(1)))=("Z"),"false"),B2,Z251),Z251))</f>
        <v>#VALUE!</v>
      </c>
      <c r="AA251" t="e">
        <f ca="1">IF((A1)=(2),"",IF((248)=(AA3),IF(IF((INDEX(B1:XFD1,((A2)+(1))+(0)))=("store"),(INDEX(B1:XFD1,((A2)+(1))+(1)))=("AA"),"false"),B2,AA251),AA251))</f>
        <v>#VALUE!</v>
      </c>
      <c r="AB251" t="e">
        <f ca="1">IF((A1)=(2),"",IF((248)=(AB3),IF(IF((INDEX(B1:XFD1,((A2)+(1))+(0)))=("store"),(INDEX(B1:XFD1,((A2)+(1))+(1)))=("AB"),"false"),B2,AB251),AB251))</f>
        <v>#VALUE!</v>
      </c>
      <c r="AC251" t="e">
        <f ca="1">IF((A1)=(2),"",IF((248)=(AC3),IF(IF((INDEX(B1:XFD1,((A2)+(1))+(0)))=("store"),(INDEX(B1:XFD1,((A2)+(1))+(1)))=("AC"),"false"),B2,AC251),AC251))</f>
        <v>#VALUE!</v>
      </c>
      <c r="AD251" t="e">
        <f ca="1">IF((A1)=(2),"",IF((248)=(AD3),IF(IF((INDEX(B1:XFD1,((A2)+(1))+(0)))=("store"),(INDEX(B1:XFD1,((A2)+(1))+(1)))=("AD"),"false"),B2,AD251),AD251))</f>
        <v>#VALUE!</v>
      </c>
    </row>
    <row r="252" spans="1:30" x14ac:dyDescent="0.25">
      <c r="A252" t="e">
        <f ca="1">IF((A1)=(2),"",IF((249)=(A3),IF(("call")=(INDEX(B1:XFD1,((A2)+(1))+(0))),(B2)*(2),IF(("goto")=(INDEX(B1:XFD1,((A2)+(1))+(0))),(INDEX(B1:XFD1,((A2)+(1))+(1)))*(2),IF(("gotoiftrue")=(INDEX(B1:XFD1,((A2)+(1))+(0))),IF(B2,(INDEX(B1:XFD1,((A2)+(1))+(1)))*(2),(A252)+(2)),(A252)+(2)))),A252))</f>
        <v>#VALUE!</v>
      </c>
      <c r="B252" t="e">
        <f ca="1">IF((A1)=(2),"",IF((249)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252)+(1)),IF(("add")=(INDEX(B1:XFD1,((A2)+(1))+(0))),(INDEX(B4:B404,(B3)+(1)))+(B252),IF(("equals")=(INDEX(B1:XFD1,((A2)+(1))+(0))),(INDEX(B4:B404,(B3)+(1)))=(B252),IF(("leq")=(INDEX(B1:XFD1,((A2)+(1))+(0))),(INDEX(B4:B404,(B3)+(1)))&lt;=(B252),IF(("greater")=(INDEX(B1:XFD1,((A2)+(1))+(0))),(INDEX(B4:B404,(B3)+(1)))&gt;(B252),IF(("mod")=(INDEX(B1:XFD1,((A2)+(1))+(0))),MOD(INDEX(B4:B404,(B3)+(1)),B252),B252))))))))),B252))</f>
        <v>#VALUE!</v>
      </c>
      <c r="C252" t="e">
        <f ca="1">IF((A1)=(2),1,IF(AND((INDEX(B1:XFD1,((A2)+(1))+(0)))=("writeheap"),(INDEX(B4:B404,(B3)+(1)))=(248)),INDEX(B4:B404,(B3)+(2)),IF((A1)=(2),"",IF((249)=(C3),C252,C252))))</f>
        <v>#VALUE!</v>
      </c>
      <c r="E252" t="e">
        <f ca="1">IF((A1)=(2),"",IF((249)=(E3),IF(("outputline")=(INDEX(B1:XFD1,((A2)+(1))+(0))),B2,E252),E252))</f>
        <v>#VALUE!</v>
      </c>
      <c r="F252" t="e">
        <f ca="1">IF((A1)=(2),"",IF((249)=(F3),IF(IF((INDEX(B1:XFD1,((A2)+(1))+(0)))=("store"),(INDEX(B1:XFD1,((A2)+(1))+(1)))=("F"),"false"),B2,F252),F252))</f>
        <v>#VALUE!</v>
      </c>
      <c r="G252" t="e">
        <f ca="1">IF((A1)=(2),"",IF((249)=(G3),IF(IF((INDEX(B1:XFD1,((A2)+(1))+(0)))=("store"),(INDEX(B1:XFD1,((A2)+(1))+(1)))=("G"),"false"),B2,G252),G252))</f>
        <v>#VALUE!</v>
      </c>
      <c r="H252" t="e">
        <f ca="1">IF((A1)=(2),"",IF((249)=(H3),IF(IF((INDEX(B1:XFD1,((A2)+(1))+(0)))=("store"),(INDEX(B1:XFD1,((A2)+(1))+(1)))=("H"),"false"),B2,H252),H252))</f>
        <v>#VALUE!</v>
      </c>
      <c r="I252" t="e">
        <f ca="1">IF((A1)=(2),"",IF((249)=(I3),IF(IF((INDEX(B1:XFD1,((A2)+(1))+(0)))=("store"),(INDEX(B1:XFD1,((A2)+(1))+(1)))=("I"),"false"),B2,I252),I252))</f>
        <v>#VALUE!</v>
      </c>
      <c r="J252" t="e">
        <f ca="1">IF((A1)=(2),"",IF((249)=(J3),IF(IF((INDEX(B1:XFD1,((A2)+(1))+(0)))=("store"),(INDEX(B1:XFD1,((A2)+(1))+(1)))=("J"),"false"),B2,J252),J252))</f>
        <v>#VALUE!</v>
      </c>
      <c r="K252" t="e">
        <f ca="1">IF((A1)=(2),"",IF((249)=(K3),IF(IF((INDEX(B1:XFD1,((A2)+(1))+(0)))=("store"),(INDEX(B1:XFD1,((A2)+(1))+(1)))=("K"),"false"),B2,K252),K252))</f>
        <v>#VALUE!</v>
      </c>
      <c r="L252" t="e">
        <f ca="1">IF((A1)=(2),"",IF((249)=(L3),IF(IF((INDEX(B1:XFD1,((A2)+(1))+(0)))=("store"),(INDEX(B1:XFD1,((A2)+(1))+(1)))=("L"),"false"),B2,L252),L252))</f>
        <v>#VALUE!</v>
      </c>
      <c r="M252" t="e">
        <f ca="1">IF((A1)=(2),"",IF((249)=(M3),IF(IF((INDEX(B1:XFD1,((A2)+(1))+(0)))=("store"),(INDEX(B1:XFD1,((A2)+(1))+(1)))=("M"),"false"),B2,M252),M252))</f>
        <v>#VALUE!</v>
      </c>
      <c r="N252" t="e">
        <f ca="1">IF((A1)=(2),"",IF((249)=(N3),IF(IF((INDEX(B1:XFD1,((A2)+(1))+(0)))=("store"),(INDEX(B1:XFD1,((A2)+(1))+(1)))=("N"),"false"),B2,N252),N252))</f>
        <v>#VALUE!</v>
      </c>
      <c r="O252" t="e">
        <f ca="1">IF((A1)=(2),"",IF((249)=(O3),IF(IF((INDEX(B1:XFD1,((A2)+(1))+(0)))=("store"),(INDEX(B1:XFD1,((A2)+(1))+(1)))=("O"),"false"),B2,O252),O252))</f>
        <v>#VALUE!</v>
      </c>
      <c r="P252" t="e">
        <f ca="1">IF((A1)=(2),"",IF((249)=(P3),IF(IF((INDEX(B1:XFD1,((A2)+(1))+(0)))=("store"),(INDEX(B1:XFD1,((A2)+(1))+(1)))=("P"),"false"),B2,P252),P252))</f>
        <v>#VALUE!</v>
      </c>
      <c r="Q252" t="e">
        <f ca="1">IF((A1)=(2),"",IF((249)=(Q3),IF(IF((INDEX(B1:XFD1,((A2)+(1))+(0)))=("store"),(INDEX(B1:XFD1,((A2)+(1))+(1)))=("Q"),"false"),B2,Q252),Q252))</f>
        <v>#VALUE!</v>
      </c>
      <c r="R252" t="e">
        <f ca="1">IF((A1)=(2),"",IF((249)=(R3),IF(IF((INDEX(B1:XFD1,((A2)+(1))+(0)))=("store"),(INDEX(B1:XFD1,((A2)+(1))+(1)))=("R"),"false"),B2,R252),R252))</f>
        <v>#VALUE!</v>
      </c>
      <c r="S252" t="e">
        <f ca="1">IF((A1)=(2),"",IF((249)=(S3),IF(IF((INDEX(B1:XFD1,((A2)+(1))+(0)))=("store"),(INDEX(B1:XFD1,((A2)+(1))+(1)))=("S"),"false"),B2,S252),S252))</f>
        <v>#VALUE!</v>
      </c>
      <c r="T252" t="e">
        <f ca="1">IF((A1)=(2),"",IF((249)=(T3),IF(IF((INDEX(B1:XFD1,((A2)+(1))+(0)))=("store"),(INDEX(B1:XFD1,((A2)+(1))+(1)))=("T"),"false"),B2,T252),T252))</f>
        <v>#VALUE!</v>
      </c>
      <c r="U252" t="e">
        <f ca="1">IF((A1)=(2),"",IF((249)=(U3),IF(IF((INDEX(B1:XFD1,((A2)+(1))+(0)))=("store"),(INDEX(B1:XFD1,((A2)+(1))+(1)))=("U"),"false"),B2,U252),U252))</f>
        <v>#VALUE!</v>
      </c>
      <c r="V252" t="e">
        <f ca="1">IF((A1)=(2),"",IF((249)=(V3),IF(IF((INDEX(B1:XFD1,((A2)+(1))+(0)))=("store"),(INDEX(B1:XFD1,((A2)+(1))+(1)))=("V"),"false"),B2,V252),V252))</f>
        <v>#VALUE!</v>
      </c>
      <c r="W252" t="e">
        <f ca="1">IF((A1)=(2),"",IF((249)=(W3),IF(IF((INDEX(B1:XFD1,((A2)+(1))+(0)))=("store"),(INDEX(B1:XFD1,((A2)+(1))+(1)))=("W"),"false"),B2,W252),W252))</f>
        <v>#VALUE!</v>
      </c>
      <c r="X252" t="e">
        <f ca="1">IF((A1)=(2),"",IF((249)=(X3),IF(IF((INDEX(B1:XFD1,((A2)+(1))+(0)))=("store"),(INDEX(B1:XFD1,((A2)+(1))+(1)))=("X"),"false"),B2,X252),X252))</f>
        <v>#VALUE!</v>
      </c>
      <c r="Y252" t="e">
        <f ca="1">IF((A1)=(2),"",IF((249)=(Y3),IF(IF((INDEX(B1:XFD1,((A2)+(1))+(0)))=("store"),(INDEX(B1:XFD1,((A2)+(1))+(1)))=("Y"),"false"),B2,Y252),Y252))</f>
        <v>#VALUE!</v>
      </c>
      <c r="Z252" t="e">
        <f ca="1">IF((A1)=(2),"",IF((249)=(Z3),IF(IF((INDEX(B1:XFD1,((A2)+(1))+(0)))=("store"),(INDEX(B1:XFD1,((A2)+(1))+(1)))=("Z"),"false"),B2,Z252),Z252))</f>
        <v>#VALUE!</v>
      </c>
      <c r="AA252" t="e">
        <f ca="1">IF((A1)=(2),"",IF((249)=(AA3),IF(IF((INDEX(B1:XFD1,((A2)+(1))+(0)))=("store"),(INDEX(B1:XFD1,((A2)+(1))+(1)))=("AA"),"false"),B2,AA252),AA252))</f>
        <v>#VALUE!</v>
      </c>
      <c r="AB252" t="e">
        <f ca="1">IF((A1)=(2),"",IF((249)=(AB3),IF(IF((INDEX(B1:XFD1,((A2)+(1))+(0)))=("store"),(INDEX(B1:XFD1,((A2)+(1))+(1)))=("AB"),"false"),B2,AB252),AB252))</f>
        <v>#VALUE!</v>
      </c>
      <c r="AC252" t="e">
        <f ca="1">IF((A1)=(2),"",IF((249)=(AC3),IF(IF((INDEX(B1:XFD1,((A2)+(1))+(0)))=("store"),(INDEX(B1:XFD1,((A2)+(1))+(1)))=("AC"),"false"),B2,AC252),AC252))</f>
        <v>#VALUE!</v>
      </c>
      <c r="AD252" t="e">
        <f ca="1">IF((A1)=(2),"",IF((249)=(AD3),IF(IF((INDEX(B1:XFD1,((A2)+(1))+(0)))=("store"),(INDEX(B1:XFD1,((A2)+(1))+(1)))=("AD"),"false"),B2,AD252),AD252))</f>
        <v>#VALUE!</v>
      </c>
    </row>
    <row r="253" spans="1:30" x14ac:dyDescent="0.25">
      <c r="A253" t="e">
        <f ca="1">IF((A1)=(2),"",IF((250)=(A3),IF(("call")=(INDEX(B1:XFD1,((A2)+(1))+(0))),(B2)*(2),IF(("goto")=(INDEX(B1:XFD1,((A2)+(1))+(0))),(INDEX(B1:XFD1,((A2)+(1))+(1)))*(2),IF(("gotoiftrue")=(INDEX(B1:XFD1,((A2)+(1))+(0))),IF(B2,(INDEX(B1:XFD1,((A2)+(1))+(1)))*(2),(A253)+(2)),(A253)+(2)))),A253))</f>
        <v>#VALUE!</v>
      </c>
      <c r="B253" t="e">
        <f ca="1">IF((A1)=(2),"",IF((250)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253)+(1)),IF(("add")=(INDEX(B1:XFD1,((A2)+(1))+(0))),(INDEX(B4:B404,(B3)+(1)))+(B253),IF(("equals")=(INDEX(B1:XFD1,((A2)+(1))+(0))),(INDEX(B4:B404,(B3)+(1)))=(B253),IF(("leq")=(INDEX(B1:XFD1,((A2)+(1))+(0))),(INDEX(B4:B404,(B3)+(1)))&lt;=(B253),IF(("greater")=(INDEX(B1:XFD1,((A2)+(1))+(0))),(INDEX(B4:B404,(B3)+(1)))&gt;(B253),IF(("mod")=(INDEX(B1:XFD1,((A2)+(1))+(0))),MOD(INDEX(B4:B404,(B3)+(1)),B253),B253))))))))),B253))</f>
        <v>#VALUE!</v>
      </c>
      <c r="C253" t="e">
        <f ca="1">IF((A1)=(2),1,IF(AND((INDEX(B1:XFD1,((A2)+(1))+(0)))=("writeheap"),(INDEX(B4:B404,(B3)+(1)))=(249)),INDEX(B4:B404,(B3)+(2)),IF((A1)=(2),"",IF((250)=(C3),C253,C253))))</f>
        <v>#VALUE!</v>
      </c>
      <c r="E253" t="e">
        <f ca="1">IF((A1)=(2),"",IF((250)=(E3),IF(("outputline")=(INDEX(B1:XFD1,((A2)+(1))+(0))),B2,E253),E253))</f>
        <v>#VALUE!</v>
      </c>
      <c r="F253" t="e">
        <f ca="1">IF((A1)=(2),"",IF((250)=(F3),IF(IF((INDEX(B1:XFD1,((A2)+(1))+(0)))=("store"),(INDEX(B1:XFD1,((A2)+(1))+(1)))=("F"),"false"),B2,F253),F253))</f>
        <v>#VALUE!</v>
      </c>
      <c r="G253" t="e">
        <f ca="1">IF((A1)=(2),"",IF((250)=(G3),IF(IF((INDEX(B1:XFD1,((A2)+(1))+(0)))=("store"),(INDEX(B1:XFD1,((A2)+(1))+(1)))=("G"),"false"),B2,G253),G253))</f>
        <v>#VALUE!</v>
      </c>
      <c r="H253" t="e">
        <f ca="1">IF((A1)=(2),"",IF((250)=(H3),IF(IF((INDEX(B1:XFD1,((A2)+(1))+(0)))=("store"),(INDEX(B1:XFD1,((A2)+(1))+(1)))=("H"),"false"),B2,H253),H253))</f>
        <v>#VALUE!</v>
      </c>
      <c r="I253" t="e">
        <f ca="1">IF((A1)=(2),"",IF((250)=(I3),IF(IF((INDEX(B1:XFD1,((A2)+(1))+(0)))=("store"),(INDEX(B1:XFD1,((A2)+(1))+(1)))=("I"),"false"),B2,I253),I253))</f>
        <v>#VALUE!</v>
      </c>
      <c r="J253" t="e">
        <f ca="1">IF((A1)=(2),"",IF((250)=(J3),IF(IF((INDEX(B1:XFD1,((A2)+(1))+(0)))=("store"),(INDEX(B1:XFD1,((A2)+(1))+(1)))=("J"),"false"),B2,J253),J253))</f>
        <v>#VALUE!</v>
      </c>
      <c r="K253" t="e">
        <f ca="1">IF((A1)=(2),"",IF((250)=(K3),IF(IF((INDEX(B1:XFD1,((A2)+(1))+(0)))=("store"),(INDEX(B1:XFD1,((A2)+(1))+(1)))=("K"),"false"),B2,K253),K253))</f>
        <v>#VALUE!</v>
      </c>
      <c r="L253" t="e">
        <f ca="1">IF((A1)=(2),"",IF((250)=(L3),IF(IF((INDEX(B1:XFD1,((A2)+(1))+(0)))=("store"),(INDEX(B1:XFD1,((A2)+(1))+(1)))=("L"),"false"),B2,L253),L253))</f>
        <v>#VALUE!</v>
      </c>
      <c r="M253" t="e">
        <f ca="1">IF((A1)=(2),"",IF((250)=(M3),IF(IF((INDEX(B1:XFD1,((A2)+(1))+(0)))=("store"),(INDEX(B1:XFD1,((A2)+(1))+(1)))=("M"),"false"),B2,M253),M253))</f>
        <v>#VALUE!</v>
      </c>
      <c r="N253" t="e">
        <f ca="1">IF((A1)=(2),"",IF((250)=(N3),IF(IF((INDEX(B1:XFD1,((A2)+(1))+(0)))=("store"),(INDEX(B1:XFD1,((A2)+(1))+(1)))=("N"),"false"),B2,N253),N253))</f>
        <v>#VALUE!</v>
      </c>
      <c r="O253" t="e">
        <f ca="1">IF((A1)=(2),"",IF((250)=(O3),IF(IF((INDEX(B1:XFD1,((A2)+(1))+(0)))=("store"),(INDEX(B1:XFD1,((A2)+(1))+(1)))=("O"),"false"),B2,O253),O253))</f>
        <v>#VALUE!</v>
      </c>
      <c r="P253" t="e">
        <f ca="1">IF((A1)=(2),"",IF((250)=(P3),IF(IF((INDEX(B1:XFD1,((A2)+(1))+(0)))=("store"),(INDEX(B1:XFD1,((A2)+(1))+(1)))=("P"),"false"),B2,P253),P253))</f>
        <v>#VALUE!</v>
      </c>
      <c r="Q253" t="e">
        <f ca="1">IF((A1)=(2),"",IF((250)=(Q3),IF(IF((INDEX(B1:XFD1,((A2)+(1))+(0)))=("store"),(INDEX(B1:XFD1,((A2)+(1))+(1)))=("Q"),"false"),B2,Q253),Q253))</f>
        <v>#VALUE!</v>
      </c>
      <c r="R253" t="e">
        <f ca="1">IF((A1)=(2),"",IF((250)=(R3),IF(IF((INDEX(B1:XFD1,((A2)+(1))+(0)))=("store"),(INDEX(B1:XFD1,((A2)+(1))+(1)))=("R"),"false"),B2,R253),R253))</f>
        <v>#VALUE!</v>
      </c>
      <c r="S253" t="e">
        <f ca="1">IF((A1)=(2),"",IF((250)=(S3),IF(IF((INDEX(B1:XFD1,((A2)+(1))+(0)))=("store"),(INDEX(B1:XFD1,((A2)+(1))+(1)))=("S"),"false"),B2,S253),S253))</f>
        <v>#VALUE!</v>
      </c>
      <c r="T253" t="e">
        <f ca="1">IF((A1)=(2),"",IF((250)=(T3),IF(IF((INDEX(B1:XFD1,((A2)+(1))+(0)))=("store"),(INDEX(B1:XFD1,((A2)+(1))+(1)))=("T"),"false"),B2,T253),T253))</f>
        <v>#VALUE!</v>
      </c>
      <c r="U253" t="e">
        <f ca="1">IF((A1)=(2),"",IF((250)=(U3),IF(IF((INDEX(B1:XFD1,((A2)+(1))+(0)))=("store"),(INDEX(B1:XFD1,((A2)+(1))+(1)))=("U"),"false"),B2,U253),U253))</f>
        <v>#VALUE!</v>
      </c>
      <c r="V253" t="e">
        <f ca="1">IF((A1)=(2),"",IF((250)=(V3),IF(IF((INDEX(B1:XFD1,((A2)+(1))+(0)))=("store"),(INDEX(B1:XFD1,((A2)+(1))+(1)))=("V"),"false"),B2,V253),V253))</f>
        <v>#VALUE!</v>
      </c>
      <c r="W253" t="e">
        <f ca="1">IF((A1)=(2),"",IF((250)=(W3),IF(IF((INDEX(B1:XFD1,((A2)+(1))+(0)))=("store"),(INDEX(B1:XFD1,((A2)+(1))+(1)))=("W"),"false"),B2,W253),W253))</f>
        <v>#VALUE!</v>
      </c>
      <c r="X253" t="e">
        <f ca="1">IF((A1)=(2),"",IF((250)=(X3),IF(IF((INDEX(B1:XFD1,((A2)+(1))+(0)))=("store"),(INDEX(B1:XFD1,((A2)+(1))+(1)))=("X"),"false"),B2,X253),X253))</f>
        <v>#VALUE!</v>
      </c>
      <c r="Y253" t="e">
        <f ca="1">IF((A1)=(2),"",IF((250)=(Y3),IF(IF((INDEX(B1:XFD1,((A2)+(1))+(0)))=("store"),(INDEX(B1:XFD1,((A2)+(1))+(1)))=("Y"),"false"),B2,Y253),Y253))</f>
        <v>#VALUE!</v>
      </c>
      <c r="Z253" t="e">
        <f ca="1">IF((A1)=(2),"",IF((250)=(Z3),IF(IF((INDEX(B1:XFD1,((A2)+(1))+(0)))=("store"),(INDEX(B1:XFD1,((A2)+(1))+(1)))=("Z"),"false"),B2,Z253),Z253))</f>
        <v>#VALUE!</v>
      </c>
      <c r="AA253" t="e">
        <f ca="1">IF((A1)=(2),"",IF((250)=(AA3),IF(IF((INDEX(B1:XFD1,((A2)+(1))+(0)))=("store"),(INDEX(B1:XFD1,((A2)+(1))+(1)))=("AA"),"false"),B2,AA253),AA253))</f>
        <v>#VALUE!</v>
      </c>
      <c r="AB253" t="e">
        <f ca="1">IF((A1)=(2),"",IF((250)=(AB3),IF(IF((INDEX(B1:XFD1,((A2)+(1))+(0)))=("store"),(INDEX(B1:XFD1,((A2)+(1))+(1)))=("AB"),"false"),B2,AB253),AB253))</f>
        <v>#VALUE!</v>
      </c>
      <c r="AC253" t="e">
        <f ca="1">IF((A1)=(2),"",IF((250)=(AC3),IF(IF((INDEX(B1:XFD1,((A2)+(1))+(0)))=("store"),(INDEX(B1:XFD1,((A2)+(1))+(1)))=("AC"),"false"),B2,AC253),AC253))</f>
        <v>#VALUE!</v>
      </c>
      <c r="AD253" t="e">
        <f ca="1">IF((A1)=(2),"",IF((250)=(AD3),IF(IF((INDEX(B1:XFD1,((A2)+(1))+(0)))=("store"),(INDEX(B1:XFD1,((A2)+(1))+(1)))=("AD"),"false"),B2,AD253),AD253))</f>
        <v>#VALUE!</v>
      </c>
    </row>
    <row r="254" spans="1:30" x14ac:dyDescent="0.25">
      <c r="A254" t="e">
        <f ca="1">IF((A1)=(2),"",IF((251)=(A3),IF(("call")=(INDEX(B1:XFD1,((A2)+(1))+(0))),(B2)*(2),IF(("goto")=(INDEX(B1:XFD1,((A2)+(1))+(0))),(INDEX(B1:XFD1,((A2)+(1))+(1)))*(2),IF(("gotoiftrue")=(INDEX(B1:XFD1,((A2)+(1))+(0))),IF(B2,(INDEX(B1:XFD1,((A2)+(1))+(1)))*(2),(A254)+(2)),(A254)+(2)))),A254))</f>
        <v>#VALUE!</v>
      </c>
      <c r="B254" t="e">
        <f ca="1">IF((A1)=(2),"",IF((251)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254)+(1)),IF(("add")=(INDEX(B1:XFD1,((A2)+(1))+(0))),(INDEX(B4:B404,(B3)+(1)))+(B254),IF(("equals")=(INDEX(B1:XFD1,((A2)+(1))+(0))),(INDEX(B4:B404,(B3)+(1)))=(B254),IF(("leq")=(INDEX(B1:XFD1,((A2)+(1))+(0))),(INDEX(B4:B404,(B3)+(1)))&lt;=(B254),IF(("greater")=(INDEX(B1:XFD1,((A2)+(1))+(0))),(INDEX(B4:B404,(B3)+(1)))&gt;(B254),IF(("mod")=(INDEX(B1:XFD1,((A2)+(1))+(0))),MOD(INDEX(B4:B404,(B3)+(1)),B254),B254))))))))),B254))</f>
        <v>#VALUE!</v>
      </c>
      <c r="C254" t="e">
        <f ca="1">IF((A1)=(2),1,IF(AND((INDEX(B1:XFD1,((A2)+(1))+(0)))=("writeheap"),(INDEX(B4:B404,(B3)+(1)))=(250)),INDEX(B4:B404,(B3)+(2)),IF((A1)=(2),"",IF((251)=(C3),C254,C254))))</f>
        <v>#VALUE!</v>
      </c>
      <c r="E254" t="e">
        <f ca="1">IF((A1)=(2),"",IF((251)=(E3),IF(("outputline")=(INDEX(B1:XFD1,((A2)+(1))+(0))),B2,E254),E254))</f>
        <v>#VALUE!</v>
      </c>
      <c r="F254" t="e">
        <f ca="1">IF((A1)=(2),"",IF((251)=(F3),IF(IF((INDEX(B1:XFD1,((A2)+(1))+(0)))=("store"),(INDEX(B1:XFD1,((A2)+(1))+(1)))=("F"),"false"),B2,F254),F254))</f>
        <v>#VALUE!</v>
      </c>
      <c r="G254" t="e">
        <f ca="1">IF((A1)=(2),"",IF((251)=(G3),IF(IF((INDEX(B1:XFD1,((A2)+(1))+(0)))=("store"),(INDEX(B1:XFD1,((A2)+(1))+(1)))=("G"),"false"),B2,G254),G254))</f>
        <v>#VALUE!</v>
      </c>
      <c r="H254" t="e">
        <f ca="1">IF((A1)=(2),"",IF((251)=(H3),IF(IF((INDEX(B1:XFD1,((A2)+(1))+(0)))=("store"),(INDEX(B1:XFD1,((A2)+(1))+(1)))=("H"),"false"),B2,H254),H254))</f>
        <v>#VALUE!</v>
      </c>
      <c r="I254" t="e">
        <f ca="1">IF((A1)=(2),"",IF((251)=(I3),IF(IF((INDEX(B1:XFD1,((A2)+(1))+(0)))=("store"),(INDEX(B1:XFD1,((A2)+(1))+(1)))=("I"),"false"),B2,I254),I254))</f>
        <v>#VALUE!</v>
      </c>
      <c r="J254" t="e">
        <f ca="1">IF((A1)=(2),"",IF((251)=(J3),IF(IF((INDEX(B1:XFD1,((A2)+(1))+(0)))=("store"),(INDEX(B1:XFD1,((A2)+(1))+(1)))=("J"),"false"),B2,J254),J254))</f>
        <v>#VALUE!</v>
      </c>
      <c r="K254" t="e">
        <f ca="1">IF((A1)=(2),"",IF((251)=(K3),IF(IF((INDEX(B1:XFD1,((A2)+(1))+(0)))=("store"),(INDEX(B1:XFD1,((A2)+(1))+(1)))=("K"),"false"),B2,K254),K254))</f>
        <v>#VALUE!</v>
      </c>
      <c r="L254" t="e">
        <f ca="1">IF((A1)=(2),"",IF((251)=(L3),IF(IF((INDEX(B1:XFD1,((A2)+(1))+(0)))=("store"),(INDEX(B1:XFD1,((A2)+(1))+(1)))=("L"),"false"),B2,L254),L254))</f>
        <v>#VALUE!</v>
      </c>
      <c r="M254" t="e">
        <f ca="1">IF((A1)=(2),"",IF((251)=(M3),IF(IF((INDEX(B1:XFD1,((A2)+(1))+(0)))=("store"),(INDEX(B1:XFD1,((A2)+(1))+(1)))=("M"),"false"),B2,M254),M254))</f>
        <v>#VALUE!</v>
      </c>
      <c r="N254" t="e">
        <f ca="1">IF((A1)=(2),"",IF((251)=(N3),IF(IF((INDEX(B1:XFD1,((A2)+(1))+(0)))=("store"),(INDEX(B1:XFD1,((A2)+(1))+(1)))=("N"),"false"),B2,N254),N254))</f>
        <v>#VALUE!</v>
      </c>
      <c r="O254" t="e">
        <f ca="1">IF((A1)=(2),"",IF((251)=(O3),IF(IF((INDEX(B1:XFD1,((A2)+(1))+(0)))=("store"),(INDEX(B1:XFD1,((A2)+(1))+(1)))=("O"),"false"),B2,O254),O254))</f>
        <v>#VALUE!</v>
      </c>
      <c r="P254" t="e">
        <f ca="1">IF((A1)=(2),"",IF((251)=(P3),IF(IF((INDEX(B1:XFD1,((A2)+(1))+(0)))=("store"),(INDEX(B1:XFD1,((A2)+(1))+(1)))=("P"),"false"),B2,P254),P254))</f>
        <v>#VALUE!</v>
      </c>
      <c r="Q254" t="e">
        <f ca="1">IF((A1)=(2),"",IF((251)=(Q3),IF(IF((INDEX(B1:XFD1,((A2)+(1))+(0)))=("store"),(INDEX(B1:XFD1,((A2)+(1))+(1)))=("Q"),"false"),B2,Q254),Q254))</f>
        <v>#VALUE!</v>
      </c>
      <c r="R254" t="e">
        <f ca="1">IF((A1)=(2),"",IF((251)=(R3),IF(IF((INDEX(B1:XFD1,((A2)+(1))+(0)))=("store"),(INDEX(B1:XFD1,((A2)+(1))+(1)))=("R"),"false"),B2,R254),R254))</f>
        <v>#VALUE!</v>
      </c>
      <c r="S254" t="e">
        <f ca="1">IF((A1)=(2),"",IF((251)=(S3),IF(IF((INDEX(B1:XFD1,((A2)+(1))+(0)))=("store"),(INDEX(B1:XFD1,((A2)+(1))+(1)))=("S"),"false"),B2,S254),S254))</f>
        <v>#VALUE!</v>
      </c>
      <c r="T254" t="e">
        <f ca="1">IF((A1)=(2),"",IF((251)=(T3),IF(IF((INDEX(B1:XFD1,((A2)+(1))+(0)))=("store"),(INDEX(B1:XFD1,((A2)+(1))+(1)))=("T"),"false"),B2,T254),T254))</f>
        <v>#VALUE!</v>
      </c>
      <c r="U254" t="e">
        <f ca="1">IF((A1)=(2),"",IF((251)=(U3),IF(IF((INDEX(B1:XFD1,((A2)+(1))+(0)))=("store"),(INDEX(B1:XFD1,((A2)+(1))+(1)))=("U"),"false"),B2,U254),U254))</f>
        <v>#VALUE!</v>
      </c>
      <c r="V254" t="e">
        <f ca="1">IF((A1)=(2),"",IF((251)=(V3),IF(IF((INDEX(B1:XFD1,((A2)+(1))+(0)))=("store"),(INDEX(B1:XFD1,((A2)+(1))+(1)))=("V"),"false"),B2,V254),V254))</f>
        <v>#VALUE!</v>
      </c>
      <c r="W254" t="e">
        <f ca="1">IF((A1)=(2),"",IF((251)=(W3),IF(IF((INDEX(B1:XFD1,((A2)+(1))+(0)))=("store"),(INDEX(B1:XFD1,((A2)+(1))+(1)))=("W"),"false"),B2,W254),W254))</f>
        <v>#VALUE!</v>
      </c>
      <c r="X254" t="e">
        <f ca="1">IF((A1)=(2),"",IF((251)=(X3),IF(IF((INDEX(B1:XFD1,((A2)+(1))+(0)))=("store"),(INDEX(B1:XFD1,((A2)+(1))+(1)))=("X"),"false"),B2,X254),X254))</f>
        <v>#VALUE!</v>
      </c>
      <c r="Y254" t="e">
        <f ca="1">IF((A1)=(2),"",IF((251)=(Y3),IF(IF((INDEX(B1:XFD1,((A2)+(1))+(0)))=("store"),(INDEX(B1:XFD1,((A2)+(1))+(1)))=("Y"),"false"),B2,Y254),Y254))</f>
        <v>#VALUE!</v>
      </c>
      <c r="Z254" t="e">
        <f ca="1">IF((A1)=(2),"",IF((251)=(Z3),IF(IF((INDEX(B1:XFD1,((A2)+(1))+(0)))=("store"),(INDEX(B1:XFD1,((A2)+(1))+(1)))=("Z"),"false"),B2,Z254),Z254))</f>
        <v>#VALUE!</v>
      </c>
      <c r="AA254" t="e">
        <f ca="1">IF((A1)=(2),"",IF((251)=(AA3),IF(IF((INDEX(B1:XFD1,((A2)+(1))+(0)))=("store"),(INDEX(B1:XFD1,((A2)+(1))+(1)))=("AA"),"false"),B2,AA254),AA254))</f>
        <v>#VALUE!</v>
      </c>
      <c r="AB254" t="e">
        <f ca="1">IF((A1)=(2),"",IF((251)=(AB3),IF(IF((INDEX(B1:XFD1,((A2)+(1))+(0)))=("store"),(INDEX(B1:XFD1,((A2)+(1))+(1)))=("AB"),"false"),B2,AB254),AB254))</f>
        <v>#VALUE!</v>
      </c>
      <c r="AC254" t="e">
        <f ca="1">IF((A1)=(2),"",IF((251)=(AC3),IF(IF((INDEX(B1:XFD1,((A2)+(1))+(0)))=("store"),(INDEX(B1:XFD1,((A2)+(1))+(1)))=("AC"),"false"),B2,AC254),AC254))</f>
        <v>#VALUE!</v>
      </c>
      <c r="AD254" t="e">
        <f ca="1">IF((A1)=(2),"",IF((251)=(AD3),IF(IF((INDEX(B1:XFD1,((A2)+(1))+(0)))=("store"),(INDEX(B1:XFD1,((A2)+(1))+(1)))=("AD"),"false"),B2,AD254),AD254))</f>
        <v>#VALUE!</v>
      </c>
    </row>
    <row r="255" spans="1:30" x14ac:dyDescent="0.25">
      <c r="A255" t="e">
        <f ca="1">IF((A1)=(2),"",IF((252)=(A3),IF(("call")=(INDEX(B1:XFD1,((A2)+(1))+(0))),(B2)*(2),IF(("goto")=(INDEX(B1:XFD1,((A2)+(1))+(0))),(INDEX(B1:XFD1,((A2)+(1))+(1)))*(2),IF(("gotoiftrue")=(INDEX(B1:XFD1,((A2)+(1))+(0))),IF(B2,(INDEX(B1:XFD1,((A2)+(1))+(1)))*(2),(A255)+(2)),(A255)+(2)))),A255))</f>
        <v>#VALUE!</v>
      </c>
      <c r="B255" t="e">
        <f ca="1">IF((A1)=(2),"",IF((252)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255)+(1)),IF(("add")=(INDEX(B1:XFD1,((A2)+(1))+(0))),(INDEX(B4:B404,(B3)+(1)))+(B255),IF(("equals")=(INDEX(B1:XFD1,((A2)+(1))+(0))),(INDEX(B4:B404,(B3)+(1)))=(B255),IF(("leq")=(INDEX(B1:XFD1,((A2)+(1))+(0))),(INDEX(B4:B404,(B3)+(1)))&lt;=(B255),IF(("greater")=(INDEX(B1:XFD1,((A2)+(1))+(0))),(INDEX(B4:B404,(B3)+(1)))&gt;(B255),IF(("mod")=(INDEX(B1:XFD1,((A2)+(1))+(0))),MOD(INDEX(B4:B404,(B3)+(1)),B255),B255))))))))),B255))</f>
        <v>#VALUE!</v>
      </c>
      <c r="C255" t="e">
        <f ca="1">IF((A1)=(2),1,IF(AND((INDEX(B1:XFD1,((A2)+(1))+(0)))=("writeheap"),(INDEX(B4:B404,(B3)+(1)))=(251)),INDEX(B4:B404,(B3)+(2)),IF((A1)=(2),"",IF((252)=(C3),C255,C255))))</f>
        <v>#VALUE!</v>
      </c>
      <c r="E255" t="e">
        <f ca="1">IF((A1)=(2),"",IF((252)=(E3),IF(("outputline")=(INDEX(B1:XFD1,((A2)+(1))+(0))),B2,E255),E255))</f>
        <v>#VALUE!</v>
      </c>
      <c r="F255" t="e">
        <f ca="1">IF((A1)=(2),"",IF((252)=(F3),IF(IF((INDEX(B1:XFD1,((A2)+(1))+(0)))=("store"),(INDEX(B1:XFD1,((A2)+(1))+(1)))=("F"),"false"),B2,F255),F255))</f>
        <v>#VALUE!</v>
      </c>
      <c r="G255" t="e">
        <f ca="1">IF((A1)=(2),"",IF((252)=(G3),IF(IF((INDEX(B1:XFD1,((A2)+(1))+(0)))=("store"),(INDEX(B1:XFD1,((A2)+(1))+(1)))=("G"),"false"),B2,G255),G255))</f>
        <v>#VALUE!</v>
      </c>
      <c r="H255" t="e">
        <f ca="1">IF((A1)=(2),"",IF((252)=(H3),IF(IF((INDEX(B1:XFD1,((A2)+(1))+(0)))=("store"),(INDEX(B1:XFD1,((A2)+(1))+(1)))=("H"),"false"),B2,H255),H255))</f>
        <v>#VALUE!</v>
      </c>
      <c r="I255" t="e">
        <f ca="1">IF((A1)=(2),"",IF((252)=(I3),IF(IF((INDEX(B1:XFD1,((A2)+(1))+(0)))=("store"),(INDEX(B1:XFD1,((A2)+(1))+(1)))=("I"),"false"),B2,I255),I255))</f>
        <v>#VALUE!</v>
      </c>
      <c r="J255" t="e">
        <f ca="1">IF((A1)=(2),"",IF((252)=(J3),IF(IF((INDEX(B1:XFD1,((A2)+(1))+(0)))=("store"),(INDEX(B1:XFD1,((A2)+(1))+(1)))=("J"),"false"),B2,J255),J255))</f>
        <v>#VALUE!</v>
      </c>
      <c r="K255" t="e">
        <f ca="1">IF((A1)=(2),"",IF((252)=(K3),IF(IF((INDEX(B1:XFD1,((A2)+(1))+(0)))=("store"),(INDEX(B1:XFD1,((A2)+(1))+(1)))=("K"),"false"),B2,K255),K255))</f>
        <v>#VALUE!</v>
      </c>
      <c r="L255" t="e">
        <f ca="1">IF((A1)=(2),"",IF((252)=(L3),IF(IF((INDEX(B1:XFD1,((A2)+(1))+(0)))=("store"),(INDEX(B1:XFD1,((A2)+(1))+(1)))=("L"),"false"),B2,L255),L255))</f>
        <v>#VALUE!</v>
      </c>
      <c r="M255" t="e">
        <f ca="1">IF((A1)=(2),"",IF((252)=(M3),IF(IF((INDEX(B1:XFD1,((A2)+(1))+(0)))=("store"),(INDEX(B1:XFD1,((A2)+(1))+(1)))=("M"),"false"),B2,M255),M255))</f>
        <v>#VALUE!</v>
      </c>
      <c r="N255" t="e">
        <f ca="1">IF((A1)=(2),"",IF((252)=(N3),IF(IF((INDEX(B1:XFD1,((A2)+(1))+(0)))=("store"),(INDEX(B1:XFD1,((A2)+(1))+(1)))=("N"),"false"),B2,N255),N255))</f>
        <v>#VALUE!</v>
      </c>
      <c r="O255" t="e">
        <f ca="1">IF((A1)=(2),"",IF((252)=(O3),IF(IF((INDEX(B1:XFD1,((A2)+(1))+(0)))=("store"),(INDEX(B1:XFD1,((A2)+(1))+(1)))=("O"),"false"),B2,O255),O255))</f>
        <v>#VALUE!</v>
      </c>
      <c r="P255" t="e">
        <f ca="1">IF((A1)=(2),"",IF((252)=(P3),IF(IF((INDEX(B1:XFD1,((A2)+(1))+(0)))=("store"),(INDEX(B1:XFD1,((A2)+(1))+(1)))=("P"),"false"),B2,P255),P255))</f>
        <v>#VALUE!</v>
      </c>
      <c r="Q255" t="e">
        <f ca="1">IF((A1)=(2),"",IF((252)=(Q3),IF(IF((INDEX(B1:XFD1,((A2)+(1))+(0)))=("store"),(INDEX(B1:XFD1,((A2)+(1))+(1)))=("Q"),"false"),B2,Q255),Q255))</f>
        <v>#VALUE!</v>
      </c>
      <c r="R255" t="e">
        <f ca="1">IF((A1)=(2),"",IF((252)=(R3),IF(IF((INDEX(B1:XFD1,((A2)+(1))+(0)))=("store"),(INDEX(B1:XFD1,((A2)+(1))+(1)))=("R"),"false"),B2,R255),R255))</f>
        <v>#VALUE!</v>
      </c>
      <c r="S255" t="e">
        <f ca="1">IF((A1)=(2),"",IF((252)=(S3),IF(IF((INDEX(B1:XFD1,((A2)+(1))+(0)))=("store"),(INDEX(B1:XFD1,((A2)+(1))+(1)))=("S"),"false"),B2,S255),S255))</f>
        <v>#VALUE!</v>
      </c>
      <c r="T255" t="e">
        <f ca="1">IF((A1)=(2),"",IF((252)=(T3),IF(IF((INDEX(B1:XFD1,((A2)+(1))+(0)))=("store"),(INDEX(B1:XFD1,((A2)+(1))+(1)))=("T"),"false"),B2,T255),T255))</f>
        <v>#VALUE!</v>
      </c>
      <c r="U255" t="e">
        <f ca="1">IF((A1)=(2),"",IF((252)=(U3),IF(IF((INDEX(B1:XFD1,((A2)+(1))+(0)))=("store"),(INDEX(B1:XFD1,((A2)+(1))+(1)))=("U"),"false"),B2,U255),U255))</f>
        <v>#VALUE!</v>
      </c>
      <c r="V255" t="e">
        <f ca="1">IF((A1)=(2),"",IF((252)=(V3),IF(IF((INDEX(B1:XFD1,((A2)+(1))+(0)))=("store"),(INDEX(B1:XFD1,((A2)+(1))+(1)))=("V"),"false"),B2,V255),V255))</f>
        <v>#VALUE!</v>
      </c>
      <c r="W255" t="e">
        <f ca="1">IF((A1)=(2),"",IF((252)=(W3),IF(IF((INDEX(B1:XFD1,((A2)+(1))+(0)))=("store"),(INDEX(B1:XFD1,((A2)+(1))+(1)))=("W"),"false"),B2,W255),W255))</f>
        <v>#VALUE!</v>
      </c>
      <c r="X255" t="e">
        <f ca="1">IF((A1)=(2),"",IF((252)=(X3),IF(IF((INDEX(B1:XFD1,((A2)+(1))+(0)))=("store"),(INDEX(B1:XFD1,((A2)+(1))+(1)))=("X"),"false"),B2,X255),X255))</f>
        <v>#VALUE!</v>
      </c>
      <c r="Y255" t="e">
        <f ca="1">IF((A1)=(2),"",IF((252)=(Y3),IF(IF((INDEX(B1:XFD1,((A2)+(1))+(0)))=("store"),(INDEX(B1:XFD1,((A2)+(1))+(1)))=("Y"),"false"),B2,Y255),Y255))</f>
        <v>#VALUE!</v>
      </c>
      <c r="Z255" t="e">
        <f ca="1">IF((A1)=(2),"",IF((252)=(Z3),IF(IF((INDEX(B1:XFD1,((A2)+(1))+(0)))=("store"),(INDEX(B1:XFD1,((A2)+(1))+(1)))=("Z"),"false"),B2,Z255),Z255))</f>
        <v>#VALUE!</v>
      </c>
      <c r="AA255" t="e">
        <f ca="1">IF((A1)=(2),"",IF((252)=(AA3),IF(IF((INDEX(B1:XFD1,((A2)+(1))+(0)))=("store"),(INDEX(B1:XFD1,((A2)+(1))+(1)))=("AA"),"false"),B2,AA255),AA255))</f>
        <v>#VALUE!</v>
      </c>
      <c r="AB255" t="e">
        <f ca="1">IF((A1)=(2),"",IF((252)=(AB3),IF(IF((INDEX(B1:XFD1,((A2)+(1))+(0)))=("store"),(INDEX(B1:XFD1,((A2)+(1))+(1)))=("AB"),"false"),B2,AB255),AB255))</f>
        <v>#VALUE!</v>
      </c>
      <c r="AC255" t="e">
        <f ca="1">IF((A1)=(2),"",IF((252)=(AC3),IF(IF((INDEX(B1:XFD1,((A2)+(1))+(0)))=("store"),(INDEX(B1:XFD1,((A2)+(1))+(1)))=("AC"),"false"),B2,AC255),AC255))</f>
        <v>#VALUE!</v>
      </c>
      <c r="AD255" t="e">
        <f ca="1">IF((A1)=(2),"",IF((252)=(AD3),IF(IF((INDEX(B1:XFD1,((A2)+(1))+(0)))=("store"),(INDEX(B1:XFD1,((A2)+(1))+(1)))=("AD"),"false"),B2,AD255),AD255))</f>
        <v>#VALUE!</v>
      </c>
    </row>
    <row r="256" spans="1:30" x14ac:dyDescent="0.25">
      <c r="A256" t="e">
        <f ca="1">IF((A1)=(2),"",IF((253)=(A3),IF(("call")=(INDEX(B1:XFD1,((A2)+(1))+(0))),(B2)*(2),IF(("goto")=(INDEX(B1:XFD1,((A2)+(1))+(0))),(INDEX(B1:XFD1,((A2)+(1))+(1)))*(2),IF(("gotoiftrue")=(INDEX(B1:XFD1,((A2)+(1))+(0))),IF(B2,(INDEX(B1:XFD1,((A2)+(1))+(1)))*(2),(A256)+(2)),(A256)+(2)))),A256))</f>
        <v>#VALUE!</v>
      </c>
      <c r="B256" t="e">
        <f ca="1">IF((A1)=(2),"",IF((253)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256)+(1)),IF(("add")=(INDEX(B1:XFD1,((A2)+(1))+(0))),(INDEX(B4:B404,(B3)+(1)))+(B256),IF(("equals")=(INDEX(B1:XFD1,((A2)+(1))+(0))),(INDEX(B4:B404,(B3)+(1)))=(B256),IF(("leq")=(INDEX(B1:XFD1,((A2)+(1))+(0))),(INDEX(B4:B404,(B3)+(1)))&lt;=(B256),IF(("greater")=(INDEX(B1:XFD1,((A2)+(1))+(0))),(INDEX(B4:B404,(B3)+(1)))&gt;(B256),IF(("mod")=(INDEX(B1:XFD1,((A2)+(1))+(0))),MOD(INDEX(B4:B404,(B3)+(1)),B256),B256))))))))),B256))</f>
        <v>#VALUE!</v>
      </c>
      <c r="C256" t="e">
        <f ca="1">IF((A1)=(2),1,IF(AND((INDEX(B1:XFD1,((A2)+(1))+(0)))=("writeheap"),(INDEX(B4:B404,(B3)+(1)))=(252)),INDEX(B4:B404,(B3)+(2)),IF((A1)=(2),"",IF((253)=(C3),C256,C256))))</f>
        <v>#VALUE!</v>
      </c>
      <c r="E256" t="e">
        <f ca="1">IF((A1)=(2),"",IF((253)=(E3),IF(("outputline")=(INDEX(B1:XFD1,((A2)+(1))+(0))),B2,E256),E256))</f>
        <v>#VALUE!</v>
      </c>
      <c r="F256" t="e">
        <f ca="1">IF((A1)=(2),"",IF((253)=(F3),IF(IF((INDEX(B1:XFD1,((A2)+(1))+(0)))=("store"),(INDEX(B1:XFD1,((A2)+(1))+(1)))=("F"),"false"),B2,F256),F256))</f>
        <v>#VALUE!</v>
      </c>
      <c r="G256" t="e">
        <f ca="1">IF((A1)=(2),"",IF((253)=(G3),IF(IF((INDEX(B1:XFD1,((A2)+(1))+(0)))=("store"),(INDEX(B1:XFD1,((A2)+(1))+(1)))=("G"),"false"),B2,G256),G256))</f>
        <v>#VALUE!</v>
      </c>
      <c r="H256" t="e">
        <f ca="1">IF((A1)=(2),"",IF((253)=(H3),IF(IF((INDEX(B1:XFD1,((A2)+(1))+(0)))=("store"),(INDEX(B1:XFD1,((A2)+(1))+(1)))=("H"),"false"),B2,H256),H256))</f>
        <v>#VALUE!</v>
      </c>
      <c r="I256" t="e">
        <f ca="1">IF((A1)=(2),"",IF((253)=(I3),IF(IF((INDEX(B1:XFD1,((A2)+(1))+(0)))=("store"),(INDEX(B1:XFD1,((A2)+(1))+(1)))=("I"),"false"),B2,I256),I256))</f>
        <v>#VALUE!</v>
      </c>
      <c r="J256" t="e">
        <f ca="1">IF((A1)=(2),"",IF((253)=(J3),IF(IF((INDEX(B1:XFD1,((A2)+(1))+(0)))=("store"),(INDEX(B1:XFD1,((A2)+(1))+(1)))=("J"),"false"),B2,J256),J256))</f>
        <v>#VALUE!</v>
      </c>
      <c r="K256" t="e">
        <f ca="1">IF((A1)=(2),"",IF((253)=(K3),IF(IF((INDEX(B1:XFD1,((A2)+(1))+(0)))=("store"),(INDEX(B1:XFD1,((A2)+(1))+(1)))=("K"),"false"),B2,K256),K256))</f>
        <v>#VALUE!</v>
      </c>
      <c r="L256" t="e">
        <f ca="1">IF((A1)=(2),"",IF((253)=(L3),IF(IF((INDEX(B1:XFD1,((A2)+(1))+(0)))=("store"),(INDEX(B1:XFD1,((A2)+(1))+(1)))=("L"),"false"),B2,L256),L256))</f>
        <v>#VALUE!</v>
      </c>
      <c r="M256" t="e">
        <f ca="1">IF((A1)=(2),"",IF((253)=(M3),IF(IF((INDEX(B1:XFD1,((A2)+(1))+(0)))=("store"),(INDEX(B1:XFD1,((A2)+(1))+(1)))=("M"),"false"),B2,M256),M256))</f>
        <v>#VALUE!</v>
      </c>
      <c r="N256" t="e">
        <f ca="1">IF((A1)=(2),"",IF((253)=(N3),IF(IF((INDEX(B1:XFD1,((A2)+(1))+(0)))=("store"),(INDEX(B1:XFD1,((A2)+(1))+(1)))=("N"),"false"),B2,N256),N256))</f>
        <v>#VALUE!</v>
      </c>
      <c r="O256" t="e">
        <f ca="1">IF((A1)=(2),"",IF((253)=(O3),IF(IF((INDEX(B1:XFD1,((A2)+(1))+(0)))=("store"),(INDEX(B1:XFD1,((A2)+(1))+(1)))=("O"),"false"),B2,O256),O256))</f>
        <v>#VALUE!</v>
      </c>
      <c r="P256" t="e">
        <f ca="1">IF((A1)=(2),"",IF((253)=(P3),IF(IF((INDEX(B1:XFD1,((A2)+(1))+(0)))=("store"),(INDEX(B1:XFD1,((A2)+(1))+(1)))=("P"),"false"),B2,P256),P256))</f>
        <v>#VALUE!</v>
      </c>
      <c r="Q256" t="e">
        <f ca="1">IF((A1)=(2),"",IF((253)=(Q3),IF(IF((INDEX(B1:XFD1,((A2)+(1))+(0)))=("store"),(INDEX(B1:XFD1,((A2)+(1))+(1)))=("Q"),"false"),B2,Q256),Q256))</f>
        <v>#VALUE!</v>
      </c>
      <c r="R256" t="e">
        <f ca="1">IF((A1)=(2),"",IF((253)=(R3),IF(IF((INDEX(B1:XFD1,((A2)+(1))+(0)))=("store"),(INDEX(B1:XFD1,((A2)+(1))+(1)))=("R"),"false"),B2,R256),R256))</f>
        <v>#VALUE!</v>
      </c>
      <c r="S256" t="e">
        <f ca="1">IF((A1)=(2),"",IF((253)=(S3),IF(IF((INDEX(B1:XFD1,((A2)+(1))+(0)))=("store"),(INDEX(B1:XFD1,((A2)+(1))+(1)))=("S"),"false"),B2,S256),S256))</f>
        <v>#VALUE!</v>
      </c>
      <c r="T256" t="e">
        <f ca="1">IF((A1)=(2),"",IF((253)=(T3),IF(IF((INDEX(B1:XFD1,((A2)+(1))+(0)))=("store"),(INDEX(B1:XFD1,((A2)+(1))+(1)))=("T"),"false"),B2,T256),T256))</f>
        <v>#VALUE!</v>
      </c>
      <c r="U256" t="e">
        <f ca="1">IF((A1)=(2),"",IF((253)=(U3),IF(IF((INDEX(B1:XFD1,((A2)+(1))+(0)))=("store"),(INDEX(B1:XFD1,((A2)+(1))+(1)))=("U"),"false"),B2,U256),U256))</f>
        <v>#VALUE!</v>
      </c>
      <c r="V256" t="e">
        <f ca="1">IF((A1)=(2),"",IF((253)=(V3),IF(IF((INDEX(B1:XFD1,((A2)+(1))+(0)))=("store"),(INDEX(B1:XFD1,((A2)+(1))+(1)))=("V"),"false"),B2,V256),V256))</f>
        <v>#VALUE!</v>
      </c>
      <c r="W256" t="e">
        <f ca="1">IF((A1)=(2),"",IF((253)=(W3),IF(IF((INDEX(B1:XFD1,((A2)+(1))+(0)))=("store"),(INDEX(B1:XFD1,((A2)+(1))+(1)))=("W"),"false"),B2,W256),W256))</f>
        <v>#VALUE!</v>
      </c>
      <c r="X256" t="e">
        <f ca="1">IF((A1)=(2),"",IF((253)=(X3),IF(IF((INDEX(B1:XFD1,((A2)+(1))+(0)))=("store"),(INDEX(B1:XFD1,((A2)+(1))+(1)))=("X"),"false"),B2,X256),X256))</f>
        <v>#VALUE!</v>
      </c>
      <c r="Y256" t="e">
        <f ca="1">IF((A1)=(2),"",IF((253)=(Y3),IF(IF((INDEX(B1:XFD1,((A2)+(1))+(0)))=("store"),(INDEX(B1:XFD1,((A2)+(1))+(1)))=("Y"),"false"),B2,Y256),Y256))</f>
        <v>#VALUE!</v>
      </c>
      <c r="Z256" t="e">
        <f ca="1">IF((A1)=(2),"",IF((253)=(Z3),IF(IF((INDEX(B1:XFD1,((A2)+(1))+(0)))=("store"),(INDEX(B1:XFD1,((A2)+(1))+(1)))=("Z"),"false"),B2,Z256),Z256))</f>
        <v>#VALUE!</v>
      </c>
      <c r="AA256" t="e">
        <f ca="1">IF((A1)=(2),"",IF((253)=(AA3),IF(IF((INDEX(B1:XFD1,((A2)+(1))+(0)))=("store"),(INDEX(B1:XFD1,((A2)+(1))+(1)))=("AA"),"false"),B2,AA256),AA256))</f>
        <v>#VALUE!</v>
      </c>
      <c r="AB256" t="e">
        <f ca="1">IF((A1)=(2),"",IF((253)=(AB3),IF(IF((INDEX(B1:XFD1,((A2)+(1))+(0)))=("store"),(INDEX(B1:XFD1,((A2)+(1))+(1)))=("AB"),"false"),B2,AB256),AB256))</f>
        <v>#VALUE!</v>
      </c>
      <c r="AC256" t="e">
        <f ca="1">IF((A1)=(2),"",IF((253)=(AC3),IF(IF((INDEX(B1:XFD1,((A2)+(1))+(0)))=("store"),(INDEX(B1:XFD1,((A2)+(1))+(1)))=("AC"),"false"),B2,AC256),AC256))</f>
        <v>#VALUE!</v>
      </c>
      <c r="AD256" t="e">
        <f ca="1">IF((A1)=(2),"",IF((253)=(AD3),IF(IF((INDEX(B1:XFD1,((A2)+(1))+(0)))=("store"),(INDEX(B1:XFD1,((A2)+(1))+(1)))=("AD"),"false"),B2,AD256),AD256))</f>
        <v>#VALUE!</v>
      </c>
    </row>
    <row r="257" spans="1:30" x14ac:dyDescent="0.25">
      <c r="A257" t="e">
        <f ca="1">IF((A1)=(2),"",IF((254)=(A3),IF(("call")=(INDEX(B1:XFD1,((A2)+(1))+(0))),(B2)*(2),IF(("goto")=(INDEX(B1:XFD1,((A2)+(1))+(0))),(INDEX(B1:XFD1,((A2)+(1))+(1)))*(2),IF(("gotoiftrue")=(INDEX(B1:XFD1,((A2)+(1))+(0))),IF(B2,(INDEX(B1:XFD1,((A2)+(1))+(1)))*(2),(A257)+(2)),(A257)+(2)))),A257))</f>
        <v>#VALUE!</v>
      </c>
      <c r="B257" t="e">
        <f ca="1">IF((A1)=(2),"",IF((254)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257)+(1)),IF(("add")=(INDEX(B1:XFD1,((A2)+(1))+(0))),(INDEX(B4:B404,(B3)+(1)))+(B257),IF(("equals")=(INDEX(B1:XFD1,((A2)+(1))+(0))),(INDEX(B4:B404,(B3)+(1)))=(B257),IF(("leq")=(INDEX(B1:XFD1,((A2)+(1))+(0))),(INDEX(B4:B404,(B3)+(1)))&lt;=(B257),IF(("greater")=(INDEX(B1:XFD1,((A2)+(1))+(0))),(INDEX(B4:B404,(B3)+(1)))&gt;(B257),IF(("mod")=(INDEX(B1:XFD1,((A2)+(1))+(0))),MOD(INDEX(B4:B404,(B3)+(1)),B257),B257))))))))),B257))</f>
        <v>#VALUE!</v>
      </c>
      <c r="C257" t="e">
        <f ca="1">IF((A1)=(2),1,IF(AND((INDEX(B1:XFD1,((A2)+(1))+(0)))=("writeheap"),(INDEX(B4:B404,(B3)+(1)))=(253)),INDEX(B4:B404,(B3)+(2)),IF((A1)=(2),"",IF((254)=(C3),C257,C257))))</f>
        <v>#VALUE!</v>
      </c>
      <c r="E257" t="e">
        <f ca="1">IF((A1)=(2),"",IF((254)=(E3),IF(("outputline")=(INDEX(B1:XFD1,((A2)+(1))+(0))),B2,E257),E257))</f>
        <v>#VALUE!</v>
      </c>
      <c r="F257" t="e">
        <f ca="1">IF((A1)=(2),"",IF((254)=(F3),IF(IF((INDEX(B1:XFD1,((A2)+(1))+(0)))=("store"),(INDEX(B1:XFD1,((A2)+(1))+(1)))=("F"),"false"),B2,F257),F257))</f>
        <v>#VALUE!</v>
      </c>
      <c r="G257" t="e">
        <f ca="1">IF((A1)=(2),"",IF((254)=(G3),IF(IF((INDEX(B1:XFD1,((A2)+(1))+(0)))=("store"),(INDEX(B1:XFD1,((A2)+(1))+(1)))=("G"),"false"),B2,G257),G257))</f>
        <v>#VALUE!</v>
      </c>
      <c r="H257" t="e">
        <f ca="1">IF((A1)=(2),"",IF((254)=(H3),IF(IF((INDEX(B1:XFD1,((A2)+(1))+(0)))=("store"),(INDEX(B1:XFD1,((A2)+(1))+(1)))=("H"),"false"),B2,H257),H257))</f>
        <v>#VALUE!</v>
      </c>
      <c r="I257" t="e">
        <f ca="1">IF((A1)=(2),"",IF((254)=(I3),IF(IF((INDEX(B1:XFD1,((A2)+(1))+(0)))=("store"),(INDEX(B1:XFD1,((A2)+(1))+(1)))=("I"),"false"),B2,I257),I257))</f>
        <v>#VALUE!</v>
      </c>
      <c r="J257" t="e">
        <f ca="1">IF((A1)=(2),"",IF((254)=(J3),IF(IF((INDEX(B1:XFD1,((A2)+(1))+(0)))=("store"),(INDEX(B1:XFD1,((A2)+(1))+(1)))=("J"),"false"),B2,J257),J257))</f>
        <v>#VALUE!</v>
      </c>
      <c r="K257" t="e">
        <f ca="1">IF((A1)=(2),"",IF((254)=(K3),IF(IF((INDEX(B1:XFD1,((A2)+(1))+(0)))=("store"),(INDEX(B1:XFD1,((A2)+(1))+(1)))=("K"),"false"),B2,K257),K257))</f>
        <v>#VALUE!</v>
      </c>
      <c r="L257" t="e">
        <f ca="1">IF((A1)=(2),"",IF((254)=(L3),IF(IF((INDEX(B1:XFD1,((A2)+(1))+(0)))=("store"),(INDEX(B1:XFD1,((A2)+(1))+(1)))=("L"),"false"),B2,L257),L257))</f>
        <v>#VALUE!</v>
      </c>
      <c r="M257" t="e">
        <f ca="1">IF((A1)=(2),"",IF((254)=(M3),IF(IF((INDEX(B1:XFD1,((A2)+(1))+(0)))=("store"),(INDEX(B1:XFD1,((A2)+(1))+(1)))=("M"),"false"),B2,M257),M257))</f>
        <v>#VALUE!</v>
      </c>
      <c r="N257" t="e">
        <f ca="1">IF((A1)=(2),"",IF((254)=(N3),IF(IF((INDEX(B1:XFD1,((A2)+(1))+(0)))=("store"),(INDEX(B1:XFD1,((A2)+(1))+(1)))=("N"),"false"),B2,N257),N257))</f>
        <v>#VALUE!</v>
      </c>
      <c r="O257" t="e">
        <f ca="1">IF((A1)=(2),"",IF((254)=(O3),IF(IF((INDEX(B1:XFD1,((A2)+(1))+(0)))=("store"),(INDEX(B1:XFD1,((A2)+(1))+(1)))=("O"),"false"),B2,O257),O257))</f>
        <v>#VALUE!</v>
      </c>
      <c r="P257" t="e">
        <f ca="1">IF((A1)=(2),"",IF((254)=(P3),IF(IF((INDEX(B1:XFD1,((A2)+(1))+(0)))=("store"),(INDEX(B1:XFD1,((A2)+(1))+(1)))=("P"),"false"),B2,P257),P257))</f>
        <v>#VALUE!</v>
      </c>
      <c r="Q257" t="e">
        <f ca="1">IF((A1)=(2),"",IF((254)=(Q3),IF(IF((INDEX(B1:XFD1,((A2)+(1))+(0)))=("store"),(INDEX(B1:XFD1,((A2)+(1))+(1)))=("Q"),"false"),B2,Q257),Q257))</f>
        <v>#VALUE!</v>
      </c>
      <c r="R257" t="e">
        <f ca="1">IF((A1)=(2),"",IF((254)=(R3),IF(IF((INDEX(B1:XFD1,((A2)+(1))+(0)))=("store"),(INDEX(B1:XFD1,((A2)+(1))+(1)))=("R"),"false"),B2,R257),R257))</f>
        <v>#VALUE!</v>
      </c>
      <c r="S257" t="e">
        <f ca="1">IF((A1)=(2),"",IF((254)=(S3),IF(IF((INDEX(B1:XFD1,((A2)+(1))+(0)))=("store"),(INDEX(B1:XFD1,((A2)+(1))+(1)))=("S"),"false"),B2,S257),S257))</f>
        <v>#VALUE!</v>
      </c>
      <c r="T257" t="e">
        <f ca="1">IF((A1)=(2),"",IF((254)=(T3),IF(IF((INDEX(B1:XFD1,((A2)+(1))+(0)))=("store"),(INDEX(B1:XFD1,((A2)+(1))+(1)))=("T"),"false"),B2,T257),T257))</f>
        <v>#VALUE!</v>
      </c>
      <c r="U257" t="e">
        <f ca="1">IF((A1)=(2),"",IF((254)=(U3),IF(IF((INDEX(B1:XFD1,((A2)+(1))+(0)))=("store"),(INDEX(B1:XFD1,((A2)+(1))+(1)))=("U"),"false"),B2,U257),U257))</f>
        <v>#VALUE!</v>
      </c>
      <c r="V257" t="e">
        <f ca="1">IF((A1)=(2),"",IF((254)=(V3),IF(IF((INDEX(B1:XFD1,((A2)+(1))+(0)))=("store"),(INDEX(B1:XFD1,((A2)+(1))+(1)))=("V"),"false"),B2,V257),V257))</f>
        <v>#VALUE!</v>
      </c>
      <c r="W257" t="e">
        <f ca="1">IF((A1)=(2),"",IF((254)=(W3),IF(IF((INDEX(B1:XFD1,((A2)+(1))+(0)))=("store"),(INDEX(B1:XFD1,((A2)+(1))+(1)))=("W"),"false"),B2,W257),W257))</f>
        <v>#VALUE!</v>
      </c>
      <c r="X257" t="e">
        <f ca="1">IF((A1)=(2),"",IF((254)=(X3),IF(IF((INDEX(B1:XFD1,((A2)+(1))+(0)))=("store"),(INDEX(B1:XFD1,((A2)+(1))+(1)))=("X"),"false"),B2,X257),X257))</f>
        <v>#VALUE!</v>
      </c>
      <c r="Y257" t="e">
        <f ca="1">IF((A1)=(2),"",IF((254)=(Y3),IF(IF((INDEX(B1:XFD1,((A2)+(1))+(0)))=("store"),(INDEX(B1:XFD1,((A2)+(1))+(1)))=("Y"),"false"),B2,Y257),Y257))</f>
        <v>#VALUE!</v>
      </c>
      <c r="Z257" t="e">
        <f ca="1">IF((A1)=(2),"",IF((254)=(Z3),IF(IF((INDEX(B1:XFD1,((A2)+(1))+(0)))=("store"),(INDEX(B1:XFD1,((A2)+(1))+(1)))=("Z"),"false"),B2,Z257),Z257))</f>
        <v>#VALUE!</v>
      </c>
      <c r="AA257" t="e">
        <f ca="1">IF((A1)=(2),"",IF((254)=(AA3),IF(IF((INDEX(B1:XFD1,((A2)+(1))+(0)))=("store"),(INDEX(B1:XFD1,((A2)+(1))+(1)))=("AA"),"false"),B2,AA257),AA257))</f>
        <v>#VALUE!</v>
      </c>
      <c r="AB257" t="e">
        <f ca="1">IF((A1)=(2),"",IF((254)=(AB3),IF(IF((INDEX(B1:XFD1,((A2)+(1))+(0)))=("store"),(INDEX(B1:XFD1,((A2)+(1))+(1)))=("AB"),"false"),B2,AB257),AB257))</f>
        <v>#VALUE!</v>
      </c>
      <c r="AC257" t="e">
        <f ca="1">IF((A1)=(2),"",IF((254)=(AC3),IF(IF((INDEX(B1:XFD1,((A2)+(1))+(0)))=("store"),(INDEX(B1:XFD1,((A2)+(1))+(1)))=("AC"),"false"),B2,AC257),AC257))</f>
        <v>#VALUE!</v>
      </c>
      <c r="AD257" t="e">
        <f ca="1">IF((A1)=(2),"",IF((254)=(AD3),IF(IF((INDEX(B1:XFD1,((A2)+(1))+(0)))=("store"),(INDEX(B1:XFD1,((A2)+(1))+(1)))=("AD"),"false"),B2,AD257),AD257))</f>
        <v>#VALUE!</v>
      </c>
    </row>
    <row r="258" spans="1:30" x14ac:dyDescent="0.25">
      <c r="A258" t="e">
        <f ca="1">IF((A1)=(2),"",IF((255)=(A3),IF(("call")=(INDEX(B1:XFD1,((A2)+(1))+(0))),(B2)*(2),IF(("goto")=(INDEX(B1:XFD1,((A2)+(1))+(0))),(INDEX(B1:XFD1,((A2)+(1))+(1)))*(2),IF(("gotoiftrue")=(INDEX(B1:XFD1,((A2)+(1))+(0))),IF(B2,(INDEX(B1:XFD1,((A2)+(1))+(1)))*(2),(A258)+(2)),(A258)+(2)))),A258))</f>
        <v>#VALUE!</v>
      </c>
      <c r="B258" t="e">
        <f ca="1">IF((A1)=(2),"",IF((255)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258)+(1)),IF(("add")=(INDEX(B1:XFD1,((A2)+(1))+(0))),(INDEX(B4:B404,(B3)+(1)))+(B258),IF(("equals")=(INDEX(B1:XFD1,((A2)+(1))+(0))),(INDEX(B4:B404,(B3)+(1)))=(B258),IF(("leq")=(INDEX(B1:XFD1,((A2)+(1))+(0))),(INDEX(B4:B404,(B3)+(1)))&lt;=(B258),IF(("greater")=(INDEX(B1:XFD1,((A2)+(1))+(0))),(INDEX(B4:B404,(B3)+(1)))&gt;(B258),IF(("mod")=(INDEX(B1:XFD1,((A2)+(1))+(0))),MOD(INDEX(B4:B404,(B3)+(1)),B258),B258))))))))),B258))</f>
        <v>#VALUE!</v>
      </c>
      <c r="C258" t="e">
        <f ca="1">IF((A1)=(2),1,IF(AND((INDEX(B1:XFD1,((A2)+(1))+(0)))=("writeheap"),(INDEX(B4:B404,(B3)+(1)))=(254)),INDEX(B4:B404,(B3)+(2)),IF((A1)=(2),"",IF((255)=(C3),C258,C258))))</f>
        <v>#VALUE!</v>
      </c>
      <c r="E258" t="e">
        <f ca="1">IF((A1)=(2),"",IF((255)=(E3),IF(("outputline")=(INDEX(B1:XFD1,((A2)+(1))+(0))),B2,E258),E258))</f>
        <v>#VALUE!</v>
      </c>
      <c r="F258" t="e">
        <f ca="1">IF((A1)=(2),"",IF((255)=(F3),IF(IF((INDEX(B1:XFD1,((A2)+(1))+(0)))=("store"),(INDEX(B1:XFD1,((A2)+(1))+(1)))=("F"),"false"),B2,F258),F258))</f>
        <v>#VALUE!</v>
      </c>
      <c r="G258" t="e">
        <f ca="1">IF((A1)=(2),"",IF((255)=(G3),IF(IF((INDEX(B1:XFD1,((A2)+(1))+(0)))=("store"),(INDEX(B1:XFD1,((A2)+(1))+(1)))=("G"),"false"),B2,G258),G258))</f>
        <v>#VALUE!</v>
      </c>
      <c r="H258" t="e">
        <f ca="1">IF((A1)=(2),"",IF((255)=(H3),IF(IF((INDEX(B1:XFD1,((A2)+(1))+(0)))=("store"),(INDEX(B1:XFD1,((A2)+(1))+(1)))=("H"),"false"),B2,H258),H258))</f>
        <v>#VALUE!</v>
      </c>
      <c r="I258" t="e">
        <f ca="1">IF((A1)=(2),"",IF((255)=(I3),IF(IF((INDEX(B1:XFD1,((A2)+(1))+(0)))=("store"),(INDEX(B1:XFD1,((A2)+(1))+(1)))=("I"),"false"),B2,I258),I258))</f>
        <v>#VALUE!</v>
      </c>
      <c r="J258" t="e">
        <f ca="1">IF((A1)=(2),"",IF((255)=(J3),IF(IF((INDEX(B1:XFD1,((A2)+(1))+(0)))=("store"),(INDEX(B1:XFD1,((A2)+(1))+(1)))=("J"),"false"),B2,J258),J258))</f>
        <v>#VALUE!</v>
      </c>
      <c r="K258" t="e">
        <f ca="1">IF((A1)=(2),"",IF((255)=(K3),IF(IF((INDEX(B1:XFD1,((A2)+(1))+(0)))=("store"),(INDEX(B1:XFD1,((A2)+(1))+(1)))=("K"),"false"),B2,K258),K258))</f>
        <v>#VALUE!</v>
      </c>
      <c r="L258" t="e">
        <f ca="1">IF((A1)=(2),"",IF((255)=(L3),IF(IF((INDEX(B1:XFD1,((A2)+(1))+(0)))=("store"),(INDEX(B1:XFD1,((A2)+(1))+(1)))=("L"),"false"),B2,L258),L258))</f>
        <v>#VALUE!</v>
      </c>
      <c r="M258" t="e">
        <f ca="1">IF((A1)=(2),"",IF((255)=(M3),IF(IF((INDEX(B1:XFD1,((A2)+(1))+(0)))=("store"),(INDEX(B1:XFD1,((A2)+(1))+(1)))=("M"),"false"),B2,M258),M258))</f>
        <v>#VALUE!</v>
      </c>
      <c r="N258" t="e">
        <f ca="1">IF((A1)=(2),"",IF((255)=(N3),IF(IF((INDEX(B1:XFD1,((A2)+(1))+(0)))=("store"),(INDEX(B1:XFD1,((A2)+(1))+(1)))=("N"),"false"),B2,N258),N258))</f>
        <v>#VALUE!</v>
      </c>
      <c r="O258" t="e">
        <f ca="1">IF((A1)=(2),"",IF((255)=(O3),IF(IF((INDEX(B1:XFD1,((A2)+(1))+(0)))=("store"),(INDEX(B1:XFD1,((A2)+(1))+(1)))=("O"),"false"),B2,O258),O258))</f>
        <v>#VALUE!</v>
      </c>
      <c r="P258" t="e">
        <f ca="1">IF((A1)=(2),"",IF((255)=(P3),IF(IF((INDEX(B1:XFD1,((A2)+(1))+(0)))=("store"),(INDEX(B1:XFD1,((A2)+(1))+(1)))=("P"),"false"),B2,P258),P258))</f>
        <v>#VALUE!</v>
      </c>
      <c r="Q258" t="e">
        <f ca="1">IF((A1)=(2),"",IF((255)=(Q3),IF(IF((INDEX(B1:XFD1,((A2)+(1))+(0)))=("store"),(INDEX(B1:XFD1,((A2)+(1))+(1)))=("Q"),"false"),B2,Q258),Q258))</f>
        <v>#VALUE!</v>
      </c>
      <c r="R258" t="e">
        <f ca="1">IF((A1)=(2),"",IF((255)=(R3),IF(IF((INDEX(B1:XFD1,((A2)+(1))+(0)))=("store"),(INDEX(B1:XFD1,((A2)+(1))+(1)))=("R"),"false"),B2,R258),R258))</f>
        <v>#VALUE!</v>
      </c>
      <c r="S258" t="e">
        <f ca="1">IF((A1)=(2),"",IF((255)=(S3),IF(IF((INDEX(B1:XFD1,((A2)+(1))+(0)))=("store"),(INDEX(B1:XFD1,((A2)+(1))+(1)))=("S"),"false"),B2,S258),S258))</f>
        <v>#VALUE!</v>
      </c>
      <c r="T258" t="e">
        <f ca="1">IF((A1)=(2),"",IF((255)=(T3),IF(IF((INDEX(B1:XFD1,((A2)+(1))+(0)))=("store"),(INDEX(B1:XFD1,((A2)+(1))+(1)))=("T"),"false"),B2,T258),T258))</f>
        <v>#VALUE!</v>
      </c>
      <c r="U258" t="e">
        <f ca="1">IF((A1)=(2),"",IF((255)=(U3),IF(IF((INDEX(B1:XFD1,((A2)+(1))+(0)))=("store"),(INDEX(B1:XFD1,((A2)+(1))+(1)))=("U"),"false"),B2,U258),U258))</f>
        <v>#VALUE!</v>
      </c>
      <c r="V258" t="e">
        <f ca="1">IF((A1)=(2),"",IF((255)=(V3),IF(IF((INDEX(B1:XFD1,((A2)+(1))+(0)))=("store"),(INDEX(B1:XFD1,((A2)+(1))+(1)))=("V"),"false"),B2,V258),V258))</f>
        <v>#VALUE!</v>
      </c>
      <c r="W258" t="e">
        <f ca="1">IF((A1)=(2),"",IF((255)=(W3),IF(IF((INDEX(B1:XFD1,((A2)+(1))+(0)))=("store"),(INDEX(B1:XFD1,((A2)+(1))+(1)))=("W"),"false"),B2,W258),W258))</f>
        <v>#VALUE!</v>
      </c>
      <c r="X258" t="e">
        <f ca="1">IF((A1)=(2),"",IF((255)=(X3),IF(IF((INDEX(B1:XFD1,((A2)+(1))+(0)))=("store"),(INDEX(B1:XFD1,((A2)+(1))+(1)))=("X"),"false"),B2,X258),X258))</f>
        <v>#VALUE!</v>
      </c>
      <c r="Y258" t="e">
        <f ca="1">IF((A1)=(2),"",IF((255)=(Y3),IF(IF((INDEX(B1:XFD1,((A2)+(1))+(0)))=("store"),(INDEX(B1:XFD1,((A2)+(1))+(1)))=("Y"),"false"),B2,Y258),Y258))</f>
        <v>#VALUE!</v>
      </c>
      <c r="Z258" t="e">
        <f ca="1">IF((A1)=(2),"",IF((255)=(Z3),IF(IF((INDEX(B1:XFD1,((A2)+(1))+(0)))=("store"),(INDEX(B1:XFD1,((A2)+(1))+(1)))=("Z"),"false"),B2,Z258),Z258))</f>
        <v>#VALUE!</v>
      </c>
      <c r="AA258" t="e">
        <f ca="1">IF((A1)=(2),"",IF((255)=(AA3),IF(IF((INDEX(B1:XFD1,((A2)+(1))+(0)))=("store"),(INDEX(B1:XFD1,((A2)+(1))+(1)))=("AA"),"false"),B2,AA258),AA258))</f>
        <v>#VALUE!</v>
      </c>
      <c r="AB258" t="e">
        <f ca="1">IF((A1)=(2),"",IF((255)=(AB3),IF(IF((INDEX(B1:XFD1,((A2)+(1))+(0)))=("store"),(INDEX(B1:XFD1,((A2)+(1))+(1)))=("AB"),"false"),B2,AB258),AB258))</f>
        <v>#VALUE!</v>
      </c>
      <c r="AC258" t="e">
        <f ca="1">IF((A1)=(2),"",IF((255)=(AC3),IF(IF((INDEX(B1:XFD1,((A2)+(1))+(0)))=("store"),(INDEX(B1:XFD1,((A2)+(1))+(1)))=("AC"),"false"),B2,AC258),AC258))</f>
        <v>#VALUE!</v>
      </c>
      <c r="AD258" t="e">
        <f ca="1">IF((A1)=(2),"",IF((255)=(AD3),IF(IF((INDEX(B1:XFD1,((A2)+(1))+(0)))=("store"),(INDEX(B1:XFD1,((A2)+(1))+(1)))=("AD"),"false"),B2,AD258),AD258))</f>
        <v>#VALUE!</v>
      </c>
    </row>
    <row r="259" spans="1:30" x14ac:dyDescent="0.25">
      <c r="A259" t="e">
        <f ca="1">IF((A1)=(2),"",IF((256)=(A3),IF(("call")=(INDEX(B1:XFD1,((A2)+(1))+(0))),(B2)*(2),IF(("goto")=(INDEX(B1:XFD1,((A2)+(1))+(0))),(INDEX(B1:XFD1,((A2)+(1))+(1)))*(2),IF(("gotoiftrue")=(INDEX(B1:XFD1,((A2)+(1))+(0))),IF(B2,(INDEX(B1:XFD1,((A2)+(1))+(1)))*(2),(A259)+(2)),(A259)+(2)))),A259))</f>
        <v>#VALUE!</v>
      </c>
      <c r="B259" t="e">
        <f ca="1">IF((A1)=(2),"",IF((256)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259)+(1)),IF(("add")=(INDEX(B1:XFD1,((A2)+(1))+(0))),(INDEX(B4:B404,(B3)+(1)))+(B259),IF(("equals")=(INDEX(B1:XFD1,((A2)+(1))+(0))),(INDEX(B4:B404,(B3)+(1)))=(B259),IF(("leq")=(INDEX(B1:XFD1,((A2)+(1))+(0))),(INDEX(B4:B404,(B3)+(1)))&lt;=(B259),IF(("greater")=(INDEX(B1:XFD1,((A2)+(1))+(0))),(INDEX(B4:B404,(B3)+(1)))&gt;(B259),IF(("mod")=(INDEX(B1:XFD1,((A2)+(1))+(0))),MOD(INDEX(B4:B404,(B3)+(1)),B259),B259))))))))),B259))</f>
        <v>#VALUE!</v>
      </c>
      <c r="C259" t="e">
        <f ca="1">IF((A1)=(2),1,IF(AND((INDEX(B1:XFD1,((A2)+(1))+(0)))=("writeheap"),(INDEX(B4:B404,(B3)+(1)))=(255)),INDEX(B4:B404,(B3)+(2)),IF((A1)=(2),"",IF((256)=(C3),C259,C259))))</f>
        <v>#VALUE!</v>
      </c>
      <c r="E259" t="e">
        <f ca="1">IF((A1)=(2),"",IF((256)=(E3),IF(("outputline")=(INDEX(B1:XFD1,((A2)+(1))+(0))),B2,E259),E259))</f>
        <v>#VALUE!</v>
      </c>
      <c r="F259" t="e">
        <f ca="1">IF((A1)=(2),"",IF((256)=(F3),IF(IF((INDEX(B1:XFD1,((A2)+(1))+(0)))=("store"),(INDEX(B1:XFD1,((A2)+(1))+(1)))=("F"),"false"),B2,F259),F259))</f>
        <v>#VALUE!</v>
      </c>
      <c r="G259" t="e">
        <f ca="1">IF((A1)=(2),"",IF((256)=(G3),IF(IF((INDEX(B1:XFD1,((A2)+(1))+(0)))=("store"),(INDEX(B1:XFD1,((A2)+(1))+(1)))=("G"),"false"),B2,G259),G259))</f>
        <v>#VALUE!</v>
      </c>
      <c r="H259" t="e">
        <f ca="1">IF((A1)=(2),"",IF((256)=(H3),IF(IF((INDEX(B1:XFD1,((A2)+(1))+(0)))=("store"),(INDEX(B1:XFD1,((A2)+(1))+(1)))=("H"),"false"),B2,H259),H259))</f>
        <v>#VALUE!</v>
      </c>
      <c r="I259" t="e">
        <f ca="1">IF((A1)=(2),"",IF((256)=(I3),IF(IF((INDEX(B1:XFD1,((A2)+(1))+(0)))=("store"),(INDEX(B1:XFD1,((A2)+(1))+(1)))=("I"),"false"),B2,I259),I259))</f>
        <v>#VALUE!</v>
      </c>
      <c r="J259" t="e">
        <f ca="1">IF((A1)=(2),"",IF((256)=(J3),IF(IF((INDEX(B1:XFD1,((A2)+(1))+(0)))=("store"),(INDEX(B1:XFD1,((A2)+(1))+(1)))=("J"),"false"),B2,J259),J259))</f>
        <v>#VALUE!</v>
      </c>
      <c r="K259" t="e">
        <f ca="1">IF((A1)=(2),"",IF((256)=(K3),IF(IF((INDEX(B1:XFD1,((A2)+(1))+(0)))=("store"),(INDEX(B1:XFD1,((A2)+(1))+(1)))=("K"),"false"),B2,K259),K259))</f>
        <v>#VALUE!</v>
      </c>
      <c r="L259" t="e">
        <f ca="1">IF((A1)=(2),"",IF((256)=(L3),IF(IF((INDEX(B1:XFD1,((A2)+(1))+(0)))=("store"),(INDEX(B1:XFD1,((A2)+(1))+(1)))=("L"),"false"),B2,L259),L259))</f>
        <v>#VALUE!</v>
      </c>
      <c r="M259" t="e">
        <f ca="1">IF((A1)=(2),"",IF((256)=(M3),IF(IF((INDEX(B1:XFD1,((A2)+(1))+(0)))=("store"),(INDEX(B1:XFD1,((A2)+(1))+(1)))=("M"),"false"),B2,M259),M259))</f>
        <v>#VALUE!</v>
      </c>
      <c r="N259" t="e">
        <f ca="1">IF((A1)=(2),"",IF((256)=(N3),IF(IF((INDEX(B1:XFD1,((A2)+(1))+(0)))=("store"),(INDEX(B1:XFD1,((A2)+(1))+(1)))=("N"),"false"),B2,N259),N259))</f>
        <v>#VALUE!</v>
      </c>
      <c r="O259" t="e">
        <f ca="1">IF((A1)=(2),"",IF((256)=(O3),IF(IF((INDEX(B1:XFD1,((A2)+(1))+(0)))=("store"),(INDEX(B1:XFD1,((A2)+(1))+(1)))=("O"),"false"),B2,O259),O259))</f>
        <v>#VALUE!</v>
      </c>
      <c r="P259" t="e">
        <f ca="1">IF((A1)=(2),"",IF((256)=(P3),IF(IF((INDEX(B1:XFD1,((A2)+(1))+(0)))=("store"),(INDEX(B1:XFD1,((A2)+(1))+(1)))=("P"),"false"),B2,P259),P259))</f>
        <v>#VALUE!</v>
      </c>
      <c r="Q259" t="e">
        <f ca="1">IF((A1)=(2),"",IF((256)=(Q3),IF(IF((INDEX(B1:XFD1,((A2)+(1))+(0)))=("store"),(INDEX(B1:XFD1,((A2)+(1))+(1)))=("Q"),"false"),B2,Q259),Q259))</f>
        <v>#VALUE!</v>
      </c>
      <c r="R259" t="e">
        <f ca="1">IF((A1)=(2),"",IF((256)=(R3),IF(IF((INDEX(B1:XFD1,((A2)+(1))+(0)))=("store"),(INDEX(B1:XFD1,((A2)+(1))+(1)))=("R"),"false"),B2,R259),R259))</f>
        <v>#VALUE!</v>
      </c>
      <c r="S259" t="e">
        <f ca="1">IF((A1)=(2),"",IF((256)=(S3),IF(IF((INDEX(B1:XFD1,((A2)+(1))+(0)))=("store"),(INDEX(B1:XFD1,((A2)+(1))+(1)))=("S"),"false"),B2,S259),S259))</f>
        <v>#VALUE!</v>
      </c>
      <c r="T259" t="e">
        <f ca="1">IF((A1)=(2),"",IF((256)=(T3),IF(IF((INDEX(B1:XFD1,((A2)+(1))+(0)))=("store"),(INDEX(B1:XFD1,((A2)+(1))+(1)))=("T"),"false"),B2,T259),T259))</f>
        <v>#VALUE!</v>
      </c>
      <c r="U259" t="e">
        <f ca="1">IF((A1)=(2),"",IF((256)=(U3),IF(IF((INDEX(B1:XFD1,((A2)+(1))+(0)))=("store"),(INDEX(B1:XFD1,((A2)+(1))+(1)))=("U"),"false"),B2,U259),U259))</f>
        <v>#VALUE!</v>
      </c>
      <c r="V259" t="e">
        <f ca="1">IF((A1)=(2),"",IF((256)=(V3),IF(IF((INDEX(B1:XFD1,((A2)+(1))+(0)))=("store"),(INDEX(B1:XFD1,((A2)+(1))+(1)))=("V"),"false"),B2,V259),V259))</f>
        <v>#VALUE!</v>
      </c>
      <c r="W259" t="e">
        <f ca="1">IF((A1)=(2),"",IF((256)=(W3),IF(IF((INDEX(B1:XFD1,((A2)+(1))+(0)))=("store"),(INDEX(B1:XFD1,((A2)+(1))+(1)))=("W"),"false"),B2,W259),W259))</f>
        <v>#VALUE!</v>
      </c>
      <c r="X259" t="e">
        <f ca="1">IF((A1)=(2),"",IF((256)=(X3),IF(IF((INDEX(B1:XFD1,((A2)+(1))+(0)))=("store"),(INDEX(B1:XFD1,((A2)+(1))+(1)))=("X"),"false"),B2,X259),X259))</f>
        <v>#VALUE!</v>
      </c>
      <c r="Y259" t="e">
        <f ca="1">IF((A1)=(2),"",IF((256)=(Y3),IF(IF((INDEX(B1:XFD1,((A2)+(1))+(0)))=("store"),(INDEX(B1:XFD1,((A2)+(1))+(1)))=("Y"),"false"),B2,Y259),Y259))</f>
        <v>#VALUE!</v>
      </c>
      <c r="Z259" t="e">
        <f ca="1">IF((A1)=(2),"",IF((256)=(Z3),IF(IF((INDEX(B1:XFD1,((A2)+(1))+(0)))=("store"),(INDEX(B1:XFD1,((A2)+(1))+(1)))=("Z"),"false"),B2,Z259),Z259))</f>
        <v>#VALUE!</v>
      </c>
      <c r="AA259" t="e">
        <f ca="1">IF((A1)=(2),"",IF((256)=(AA3),IF(IF((INDEX(B1:XFD1,((A2)+(1))+(0)))=("store"),(INDEX(B1:XFD1,((A2)+(1))+(1)))=("AA"),"false"),B2,AA259),AA259))</f>
        <v>#VALUE!</v>
      </c>
      <c r="AB259" t="e">
        <f ca="1">IF((A1)=(2),"",IF((256)=(AB3),IF(IF((INDEX(B1:XFD1,((A2)+(1))+(0)))=("store"),(INDEX(B1:XFD1,((A2)+(1))+(1)))=("AB"),"false"),B2,AB259),AB259))</f>
        <v>#VALUE!</v>
      </c>
      <c r="AC259" t="e">
        <f ca="1">IF((A1)=(2),"",IF((256)=(AC3),IF(IF((INDEX(B1:XFD1,((A2)+(1))+(0)))=("store"),(INDEX(B1:XFD1,((A2)+(1))+(1)))=("AC"),"false"),B2,AC259),AC259))</f>
        <v>#VALUE!</v>
      </c>
      <c r="AD259" t="e">
        <f ca="1">IF((A1)=(2),"",IF((256)=(AD3),IF(IF((INDEX(B1:XFD1,((A2)+(1))+(0)))=("store"),(INDEX(B1:XFD1,((A2)+(1))+(1)))=("AD"),"false"),B2,AD259),AD259))</f>
        <v>#VALUE!</v>
      </c>
    </row>
    <row r="260" spans="1:30" x14ac:dyDescent="0.25">
      <c r="A260" t="e">
        <f ca="1">IF((A1)=(2),"",IF((257)=(A3),IF(("call")=(INDEX(B1:XFD1,((A2)+(1))+(0))),(B2)*(2),IF(("goto")=(INDEX(B1:XFD1,((A2)+(1))+(0))),(INDEX(B1:XFD1,((A2)+(1))+(1)))*(2),IF(("gotoiftrue")=(INDEX(B1:XFD1,((A2)+(1))+(0))),IF(B2,(INDEX(B1:XFD1,((A2)+(1))+(1)))*(2),(A260)+(2)),(A260)+(2)))),A260))</f>
        <v>#VALUE!</v>
      </c>
      <c r="B260" t="e">
        <f ca="1">IF((A1)=(2),"",IF((257)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260)+(1)),IF(("add")=(INDEX(B1:XFD1,((A2)+(1))+(0))),(INDEX(B4:B404,(B3)+(1)))+(B260),IF(("equals")=(INDEX(B1:XFD1,((A2)+(1))+(0))),(INDEX(B4:B404,(B3)+(1)))=(B260),IF(("leq")=(INDEX(B1:XFD1,((A2)+(1))+(0))),(INDEX(B4:B404,(B3)+(1)))&lt;=(B260),IF(("greater")=(INDEX(B1:XFD1,((A2)+(1))+(0))),(INDEX(B4:B404,(B3)+(1)))&gt;(B260),IF(("mod")=(INDEX(B1:XFD1,((A2)+(1))+(0))),MOD(INDEX(B4:B404,(B3)+(1)),B260),B260))))))))),B260))</f>
        <v>#VALUE!</v>
      </c>
      <c r="C260" t="e">
        <f ca="1">IF((A1)=(2),1,IF(AND((INDEX(B1:XFD1,((A2)+(1))+(0)))=("writeheap"),(INDEX(B4:B404,(B3)+(1)))=(256)),INDEX(B4:B404,(B3)+(2)),IF((A1)=(2),"",IF((257)=(C3),C260,C260))))</f>
        <v>#VALUE!</v>
      </c>
      <c r="E260" t="e">
        <f ca="1">IF((A1)=(2),"",IF((257)=(E3),IF(("outputline")=(INDEX(B1:XFD1,((A2)+(1))+(0))),B2,E260),E260))</f>
        <v>#VALUE!</v>
      </c>
      <c r="F260" t="e">
        <f ca="1">IF((A1)=(2),"",IF((257)=(F3),IF(IF((INDEX(B1:XFD1,((A2)+(1))+(0)))=("store"),(INDEX(B1:XFD1,((A2)+(1))+(1)))=("F"),"false"),B2,F260),F260))</f>
        <v>#VALUE!</v>
      </c>
      <c r="G260" t="e">
        <f ca="1">IF((A1)=(2),"",IF((257)=(G3),IF(IF((INDEX(B1:XFD1,((A2)+(1))+(0)))=("store"),(INDEX(B1:XFD1,((A2)+(1))+(1)))=("G"),"false"),B2,G260),G260))</f>
        <v>#VALUE!</v>
      </c>
      <c r="H260" t="e">
        <f ca="1">IF((A1)=(2),"",IF((257)=(H3),IF(IF((INDEX(B1:XFD1,((A2)+(1))+(0)))=("store"),(INDEX(B1:XFD1,((A2)+(1))+(1)))=("H"),"false"),B2,H260),H260))</f>
        <v>#VALUE!</v>
      </c>
      <c r="I260" t="e">
        <f ca="1">IF((A1)=(2),"",IF((257)=(I3),IF(IF((INDEX(B1:XFD1,((A2)+(1))+(0)))=("store"),(INDEX(B1:XFD1,((A2)+(1))+(1)))=("I"),"false"),B2,I260),I260))</f>
        <v>#VALUE!</v>
      </c>
      <c r="J260" t="e">
        <f ca="1">IF((A1)=(2),"",IF((257)=(J3),IF(IF((INDEX(B1:XFD1,((A2)+(1))+(0)))=("store"),(INDEX(B1:XFD1,((A2)+(1))+(1)))=("J"),"false"),B2,J260),J260))</f>
        <v>#VALUE!</v>
      </c>
      <c r="K260" t="e">
        <f ca="1">IF((A1)=(2),"",IF((257)=(K3),IF(IF((INDEX(B1:XFD1,((A2)+(1))+(0)))=("store"),(INDEX(B1:XFD1,((A2)+(1))+(1)))=("K"),"false"),B2,K260),K260))</f>
        <v>#VALUE!</v>
      </c>
      <c r="L260" t="e">
        <f ca="1">IF((A1)=(2),"",IF((257)=(L3),IF(IF((INDEX(B1:XFD1,((A2)+(1))+(0)))=("store"),(INDEX(B1:XFD1,((A2)+(1))+(1)))=("L"),"false"),B2,L260),L260))</f>
        <v>#VALUE!</v>
      </c>
      <c r="M260" t="e">
        <f ca="1">IF((A1)=(2),"",IF((257)=(M3),IF(IF((INDEX(B1:XFD1,((A2)+(1))+(0)))=("store"),(INDEX(B1:XFD1,((A2)+(1))+(1)))=("M"),"false"),B2,M260),M260))</f>
        <v>#VALUE!</v>
      </c>
      <c r="N260" t="e">
        <f ca="1">IF((A1)=(2),"",IF((257)=(N3),IF(IF((INDEX(B1:XFD1,((A2)+(1))+(0)))=("store"),(INDEX(B1:XFD1,((A2)+(1))+(1)))=("N"),"false"),B2,N260),N260))</f>
        <v>#VALUE!</v>
      </c>
      <c r="O260" t="e">
        <f ca="1">IF((A1)=(2),"",IF((257)=(O3),IF(IF((INDEX(B1:XFD1,((A2)+(1))+(0)))=("store"),(INDEX(B1:XFD1,((A2)+(1))+(1)))=("O"),"false"),B2,O260),O260))</f>
        <v>#VALUE!</v>
      </c>
      <c r="P260" t="e">
        <f ca="1">IF((A1)=(2),"",IF((257)=(P3),IF(IF((INDEX(B1:XFD1,((A2)+(1))+(0)))=("store"),(INDEX(B1:XFD1,((A2)+(1))+(1)))=("P"),"false"),B2,P260),P260))</f>
        <v>#VALUE!</v>
      </c>
      <c r="Q260" t="e">
        <f ca="1">IF((A1)=(2),"",IF((257)=(Q3),IF(IF((INDEX(B1:XFD1,((A2)+(1))+(0)))=("store"),(INDEX(B1:XFD1,((A2)+(1))+(1)))=("Q"),"false"),B2,Q260),Q260))</f>
        <v>#VALUE!</v>
      </c>
      <c r="R260" t="e">
        <f ca="1">IF((A1)=(2),"",IF((257)=(R3),IF(IF((INDEX(B1:XFD1,((A2)+(1))+(0)))=("store"),(INDEX(B1:XFD1,((A2)+(1))+(1)))=("R"),"false"),B2,R260),R260))</f>
        <v>#VALUE!</v>
      </c>
      <c r="S260" t="e">
        <f ca="1">IF((A1)=(2),"",IF((257)=(S3),IF(IF((INDEX(B1:XFD1,((A2)+(1))+(0)))=("store"),(INDEX(B1:XFD1,((A2)+(1))+(1)))=("S"),"false"),B2,S260),S260))</f>
        <v>#VALUE!</v>
      </c>
      <c r="T260" t="e">
        <f ca="1">IF((A1)=(2),"",IF((257)=(T3),IF(IF((INDEX(B1:XFD1,((A2)+(1))+(0)))=("store"),(INDEX(B1:XFD1,((A2)+(1))+(1)))=("T"),"false"),B2,T260),T260))</f>
        <v>#VALUE!</v>
      </c>
      <c r="U260" t="e">
        <f ca="1">IF((A1)=(2),"",IF((257)=(U3),IF(IF((INDEX(B1:XFD1,((A2)+(1))+(0)))=("store"),(INDEX(B1:XFD1,((A2)+(1))+(1)))=("U"),"false"),B2,U260),U260))</f>
        <v>#VALUE!</v>
      </c>
      <c r="V260" t="e">
        <f ca="1">IF((A1)=(2),"",IF((257)=(V3),IF(IF((INDEX(B1:XFD1,((A2)+(1))+(0)))=("store"),(INDEX(B1:XFD1,((A2)+(1))+(1)))=("V"),"false"),B2,V260),V260))</f>
        <v>#VALUE!</v>
      </c>
      <c r="W260" t="e">
        <f ca="1">IF((A1)=(2),"",IF((257)=(W3),IF(IF((INDEX(B1:XFD1,((A2)+(1))+(0)))=("store"),(INDEX(B1:XFD1,((A2)+(1))+(1)))=("W"),"false"),B2,W260),W260))</f>
        <v>#VALUE!</v>
      </c>
      <c r="X260" t="e">
        <f ca="1">IF((A1)=(2),"",IF((257)=(X3),IF(IF((INDEX(B1:XFD1,((A2)+(1))+(0)))=("store"),(INDEX(B1:XFD1,((A2)+(1))+(1)))=("X"),"false"),B2,X260),X260))</f>
        <v>#VALUE!</v>
      </c>
      <c r="Y260" t="e">
        <f ca="1">IF((A1)=(2),"",IF((257)=(Y3),IF(IF((INDEX(B1:XFD1,((A2)+(1))+(0)))=("store"),(INDEX(B1:XFD1,((A2)+(1))+(1)))=("Y"),"false"),B2,Y260),Y260))</f>
        <v>#VALUE!</v>
      </c>
      <c r="Z260" t="e">
        <f ca="1">IF((A1)=(2),"",IF((257)=(Z3),IF(IF((INDEX(B1:XFD1,((A2)+(1))+(0)))=("store"),(INDEX(B1:XFD1,((A2)+(1))+(1)))=("Z"),"false"),B2,Z260),Z260))</f>
        <v>#VALUE!</v>
      </c>
      <c r="AA260" t="e">
        <f ca="1">IF((A1)=(2),"",IF((257)=(AA3),IF(IF((INDEX(B1:XFD1,((A2)+(1))+(0)))=("store"),(INDEX(B1:XFD1,((A2)+(1))+(1)))=("AA"),"false"),B2,AA260),AA260))</f>
        <v>#VALUE!</v>
      </c>
      <c r="AB260" t="e">
        <f ca="1">IF((A1)=(2),"",IF((257)=(AB3),IF(IF((INDEX(B1:XFD1,((A2)+(1))+(0)))=("store"),(INDEX(B1:XFD1,((A2)+(1))+(1)))=("AB"),"false"),B2,AB260),AB260))</f>
        <v>#VALUE!</v>
      </c>
      <c r="AC260" t="e">
        <f ca="1">IF((A1)=(2),"",IF((257)=(AC3),IF(IF((INDEX(B1:XFD1,((A2)+(1))+(0)))=("store"),(INDEX(B1:XFD1,((A2)+(1))+(1)))=("AC"),"false"),B2,AC260),AC260))</f>
        <v>#VALUE!</v>
      </c>
      <c r="AD260" t="e">
        <f ca="1">IF((A1)=(2),"",IF((257)=(AD3),IF(IF((INDEX(B1:XFD1,((A2)+(1))+(0)))=("store"),(INDEX(B1:XFD1,((A2)+(1))+(1)))=("AD"),"false"),B2,AD260),AD260))</f>
        <v>#VALUE!</v>
      </c>
    </row>
    <row r="261" spans="1:30" x14ac:dyDescent="0.25">
      <c r="A261" t="e">
        <f ca="1">IF((A1)=(2),"",IF((258)=(A3),IF(("call")=(INDEX(B1:XFD1,((A2)+(1))+(0))),(B2)*(2),IF(("goto")=(INDEX(B1:XFD1,((A2)+(1))+(0))),(INDEX(B1:XFD1,((A2)+(1))+(1)))*(2),IF(("gotoiftrue")=(INDEX(B1:XFD1,((A2)+(1))+(0))),IF(B2,(INDEX(B1:XFD1,((A2)+(1))+(1)))*(2),(A261)+(2)),(A261)+(2)))),A261))</f>
        <v>#VALUE!</v>
      </c>
      <c r="B261" t="e">
        <f ca="1">IF((A1)=(2),"",IF((258)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261)+(1)),IF(("add")=(INDEX(B1:XFD1,((A2)+(1))+(0))),(INDEX(B4:B404,(B3)+(1)))+(B261),IF(("equals")=(INDEX(B1:XFD1,((A2)+(1))+(0))),(INDEX(B4:B404,(B3)+(1)))=(B261),IF(("leq")=(INDEX(B1:XFD1,((A2)+(1))+(0))),(INDEX(B4:B404,(B3)+(1)))&lt;=(B261),IF(("greater")=(INDEX(B1:XFD1,((A2)+(1))+(0))),(INDEX(B4:B404,(B3)+(1)))&gt;(B261),IF(("mod")=(INDEX(B1:XFD1,((A2)+(1))+(0))),MOD(INDEX(B4:B404,(B3)+(1)),B261),B261))))))))),B261))</f>
        <v>#VALUE!</v>
      </c>
      <c r="C261" t="e">
        <f ca="1">IF((A1)=(2),1,IF(AND((INDEX(B1:XFD1,((A2)+(1))+(0)))=("writeheap"),(INDEX(B4:B404,(B3)+(1)))=(257)),INDEX(B4:B404,(B3)+(2)),IF((A1)=(2),"",IF((258)=(C3),C261,C261))))</f>
        <v>#VALUE!</v>
      </c>
      <c r="E261" t="e">
        <f ca="1">IF((A1)=(2),"",IF((258)=(E3),IF(("outputline")=(INDEX(B1:XFD1,((A2)+(1))+(0))),B2,E261),E261))</f>
        <v>#VALUE!</v>
      </c>
      <c r="F261" t="e">
        <f ca="1">IF((A1)=(2),"",IF((258)=(F3),IF(IF((INDEX(B1:XFD1,((A2)+(1))+(0)))=("store"),(INDEX(B1:XFD1,((A2)+(1))+(1)))=("F"),"false"),B2,F261),F261))</f>
        <v>#VALUE!</v>
      </c>
      <c r="G261" t="e">
        <f ca="1">IF((A1)=(2),"",IF((258)=(G3),IF(IF((INDEX(B1:XFD1,((A2)+(1))+(0)))=("store"),(INDEX(B1:XFD1,((A2)+(1))+(1)))=("G"),"false"),B2,G261),G261))</f>
        <v>#VALUE!</v>
      </c>
      <c r="H261" t="e">
        <f ca="1">IF((A1)=(2),"",IF((258)=(H3),IF(IF((INDEX(B1:XFD1,((A2)+(1))+(0)))=("store"),(INDEX(B1:XFD1,((A2)+(1))+(1)))=("H"),"false"),B2,H261),H261))</f>
        <v>#VALUE!</v>
      </c>
      <c r="I261" t="e">
        <f ca="1">IF((A1)=(2),"",IF((258)=(I3),IF(IF((INDEX(B1:XFD1,((A2)+(1))+(0)))=("store"),(INDEX(B1:XFD1,((A2)+(1))+(1)))=("I"),"false"),B2,I261),I261))</f>
        <v>#VALUE!</v>
      </c>
      <c r="J261" t="e">
        <f ca="1">IF((A1)=(2),"",IF((258)=(J3),IF(IF((INDEX(B1:XFD1,((A2)+(1))+(0)))=("store"),(INDEX(B1:XFD1,((A2)+(1))+(1)))=("J"),"false"),B2,J261),J261))</f>
        <v>#VALUE!</v>
      </c>
      <c r="K261" t="e">
        <f ca="1">IF((A1)=(2),"",IF((258)=(K3),IF(IF((INDEX(B1:XFD1,((A2)+(1))+(0)))=("store"),(INDEX(B1:XFD1,((A2)+(1))+(1)))=("K"),"false"),B2,K261),K261))</f>
        <v>#VALUE!</v>
      </c>
      <c r="L261" t="e">
        <f ca="1">IF((A1)=(2),"",IF((258)=(L3),IF(IF((INDEX(B1:XFD1,((A2)+(1))+(0)))=("store"),(INDEX(B1:XFD1,((A2)+(1))+(1)))=("L"),"false"),B2,L261),L261))</f>
        <v>#VALUE!</v>
      </c>
      <c r="M261" t="e">
        <f ca="1">IF((A1)=(2),"",IF((258)=(M3),IF(IF((INDEX(B1:XFD1,((A2)+(1))+(0)))=("store"),(INDEX(B1:XFD1,((A2)+(1))+(1)))=("M"),"false"),B2,M261),M261))</f>
        <v>#VALUE!</v>
      </c>
      <c r="N261" t="e">
        <f ca="1">IF((A1)=(2),"",IF((258)=(N3),IF(IF((INDEX(B1:XFD1,((A2)+(1))+(0)))=("store"),(INDEX(B1:XFD1,((A2)+(1))+(1)))=("N"),"false"),B2,N261),N261))</f>
        <v>#VALUE!</v>
      </c>
      <c r="O261" t="e">
        <f ca="1">IF((A1)=(2),"",IF((258)=(O3),IF(IF((INDEX(B1:XFD1,((A2)+(1))+(0)))=("store"),(INDEX(B1:XFD1,((A2)+(1))+(1)))=("O"),"false"),B2,O261),O261))</f>
        <v>#VALUE!</v>
      </c>
      <c r="P261" t="e">
        <f ca="1">IF((A1)=(2),"",IF((258)=(P3),IF(IF((INDEX(B1:XFD1,((A2)+(1))+(0)))=("store"),(INDEX(B1:XFD1,((A2)+(1))+(1)))=("P"),"false"),B2,P261),P261))</f>
        <v>#VALUE!</v>
      </c>
      <c r="Q261" t="e">
        <f ca="1">IF((A1)=(2),"",IF((258)=(Q3),IF(IF((INDEX(B1:XFD1,((A2)+(1))+(0)))=("store"),(INDEX(B1:XFD1,((A2)+(1))+(1)))=("Q"),"false"),B2,Q261),Q261))</f>
        <v>#VALUE!</v>
      </c>
      <c r="R261" t="e">
        <f ca="1">IF((A1)=(2),"",IF((258)=(R3),IF(IF((INDEX(B1:XFD1,((A2)+(1))+(0)))=("store"),(INDEX(B1:XFD1,((A2)+(1))+(1)))=("R"),"false"),B2,R261),R261))</f>
        <v>#VALUE!</v>
      </c>
      <c r="S261" t="e">
        <f ca="1">IF((A1)=(2),"",IF((258)=(S3),IF(IF((INDEX(B1:XFD1,((A2)+(1))+(0)))=("store"),(INDEX(B1:XFD1,((A2)+(1))+(1)))=("S"),"false"),B2,S261),S261))</f>
        <v>#VALUE!</v>
      </c>
      <c r="T261" t="e">
        <f ca="1">IF((A1)=(2),"",IF((258)=(T3),IF(IF((INDEX(B1:XFD1,((A2)+(1))+(0)))=("store"),(INDEX(B1:XFD1,((A2)+(1))+(1)))=("T"),"false"),B2,T261),T261))</f>
        <v>#VALUE!</v>
      </c>
      <c r="U261" t="e">
        <f ca="1">IF((A1)=(2),"",IF((258)=(U3),IF(IF((INDEX(B1:XFD1,((A2)+(1))+(0)))=("store"),(INDEX(B1:XFD1,((A2)+(1))+(1)))=("U"),"false"),B2,U261),U261))</f>
        <v>#VALUE!</v>
      </c>
      <c r="V261" t="e">
        <f ca="1">IF((A1)=(2),"",IF((258)=(V3),IF(IF((INDEX(B1:XFD1,((A2)+(1))+(0)))=("store"),(INDEX(B1:XFD1,((A2)+(1))+(1)))=("V"),"false"),B2,V261),V261))</f>
        <v>#VALUE!</v>
      </c>
      <c r="W261" t="e">
        <f ca="1">IF((A1)=(2),"",IF((258)=(W3),IF(IF((INDEX(B1:XFD1,((A2)+(1))+(0)))=("store"),(INDEX(B1:XFD1,((A2)+(1))+(1)))=("W"),"false"),B2,W261),W261))</f>
        <v>#VALUE!</v>
      </c>
      <c r="X261" t="e">
        <f ca="1">IF((A1)=(2),"",IF((258)=(X3),IF(IF((INDEX(B1:XFD1,((A2)+(1))+(0)))=("store"),(INDEX(B1:XFD1,((A2)+(1))+(1)))=("X"),"false"),B2,X261),X261))</f>
        <v>#VALUE!</v>
      </c>
      <c r="Y261" t="e">
        <f ca="1">IF((A1)=(2),"",IF((258)=(Y3),IF(IF((INDEX(B1:XFD1,((A2)+(1))+(0)))=("store"),(INDEX(B1:XFD1,((A2)+(1))+(1)))=("Y"),"false"),B2,Y261),Y261))</f>
        <v>#VALUE!</v>
      </c>
      <c r="Z261" t="e">
        <f ca="1">IF((A1)=(2),"",IF((258)=(Z3),IF(IF((INDEX(B1:XFD1,((A2)+(1))+(0)))=("store"),(INDEX(B1:XFD1,((A2)+(1))+(1)))=("Z"),"false"),B2,Z261),Z261))</f>
        <v>#VALUE!</v>
      </c>
      <c r="AA261" t="e">
        <f ca="1">IF((A1)=(2),"",IF((258)=(AA3),IF(IF((INDEX(B1:XFD1,((A2)+(1))+(0)))=("store"),(INDEX(B1:XFD1,((A2)+(1))+(1)))=("AA"),"false"),B2,AA261),AA261))</f>
        <v>#VALUE!</v>
      </c>
      <c r="AB261" t="e">
        <f ca="1">IF((A1)=(2),"",IF((258)=(AB3),IF(IF((INDEX(B1:XFD1,((A2)+(1))+(0)))=("store"),(INDEX(B1:XFD1,((A2)+(1))+(1)))=("AB"),"false"),B2,AB261),AB261))</f>
        <v>#VALUE!</v>
      </c>
      <c r="AC261" t="e">
        <f ca="1">IF((A1)=(2),"",IF((258)=(AC3),IF(IF((INDEX(B1:XFD1,((A2)+(1))+(0)))=("store"),(INDEX(B1:XFD1,((A2)+(1))+(1)))=("AC"),"false"),B2,AC261),AC261))</f>
        <v>#VALUE!</v>
      </c>
      <c r="AD261" t="e">
        <f ca="1">IF((A1)=(2),"",IF((258)=(AD3),IF(IF((INDEX(B1:XFD1,((A2)+(1))+(0)))=("store"),(INDEX(B1:XFD1,((A2)+(1))+(1)))=("AD"),"false"),B2,AD261),AD261))</f>
        <v>#VALUE!</v>
      </c>
    </row>
    <row r="262" spans="1:30" x14ac:dyDescent="0.25">
      <c r="A262" t="e">
        <f ca="1">IF((A1)=(2),"",IF((259)=(A3),IF(("call")=(INDEX(B1:XFD1,((A2)+(1))+(0))),(B2)*(2),IF(("goto")=(INDEX(B1:XFD1,((A2)+(1))+(0))),(INDEX(B1:XFD1,((A2)+(1))+(1)))*(2),IF(("gotoiftrue")=(INDEX(B1:XFD1,((A2)+(1))+(0))),IF(B2,(INDEX(B1:XFD1,((A2)+(1))+(1)))*(2),(A262)+(2)),(A262)+(2)))),A262))</f>
        <v>#VALUE!</v>
      </c>
      <c r="B262" t="e">
        <f ca="1">IF((A1)=(2),"",IF((259)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262)+(1)),IF(("add")=(INDEX(B1:XFD1,((A2)+(1))+(0))),(INDEX(B4:B404,(B3)+(1)))+(B262),IF(("equals")=(INDEX(B1:XFD1,((A2)+(1))+(0))),(INDEX(B4:B404,(B3)+(1)))=(B262),IF(("leq")=(INDEX(B1:XFD1,((A2)+(1))+(0))),(INDEX(B4:B404,(B3)+(1)))&lt;=(B262),IF(("greater")=(INDEX(B1:XFD1,((A2)+(1))+(0))),(INDEX(B4:B404,(B3)+(1)))&gt;(B262),IF(("mod")=(INDEX(B1:XFD1,((A2)+(1))+(0))),MOD(INDEX(B4:B404,(B3)+(1)),B262),B262))))))))),B262))</f>
        <v>#VALUE!</v>
      </c>
      <c r="C262" t="e">
        <f ca="1">IF((A1)=(2),1,IF(AND((INDEX(B1:XFD1,((A2)+(1))+(0)))=("writeheap"),(INDEX(B4:B404,(B3)+(1)))=(258)),INDEX(B4:B404,(B3)+(2)),IF((A1)=(2),"",IF((259)=(C3),C262,C262))))</f>
        <v>#VALUE!</v>
      </c>
      <c r="E262" t="e">
        <f ca="1">IF((A1)=(2),"",IF((259)=(E3),IF(("outputline")=(INDEX(B1:XFD1,((A2)+(1))+(0))),B2,E262),E262))</f>
        <v>#VALUE!</v>
      </c>
      <c r="F262" t="e">
        <f ca="1">IF((A1)=(2),"",IF((259)=(F3),IF(IF((INDEX(B1:XFD1,((A2)+(1))+(0)))=("store"),(INDEX(B1:XFD1,((A2)+(1))+(1)))=("F"),"false"),B2,F262),F262))</f>
        <v>#VALUE!</v>
      </c>
      <c r="G262" t="e">
        <f ca="1">IF((A1)=(2),"",IF((259)=(G3),IF(IF((INDEX(B1:XFD1,((A2)+(1))+(0)))=("store"),(INDEX(B1:XFD1,((A2)+(1))+(1)))=("G"),"false"),B2,G262),G262))</f>
        <v>#VALUE!</v>
      </c>
      <c r="H262" t="e">
        <f ca="1">IF((A1)=(2),"",IF((259)=(H3),IF(IF((INDEX(B1:XFD1,((A2)+(1))+(0)))=("store"),(INDEX(B1:XFD1,((A2)+(1))+(1)))=("H"),"false"),B2,H262),H262))</f>
        <v>#VALUE!</v>
      </c>
      <c r="I262" t="e">
        <f ca="1">IF((A1)=(2),"",IF((259)=(I3),IF(IF((INDEX(B1:XFD1,((A2)+(1))+(0)))=("store"),(INDEX(B1:XFD1,((A2)+(1))+(1)))=("I"),"false"),B2,I262),I262))</f>
        <v>#VALUE!</v>
      </c>
      <c r="J262" t="e">
        <f ca="1">IF((A1)=(2),"",IF((259)=(J3),IF(IF((INDEX(B1:XFD1,((A2)+(1))+(0)))=("store"),(INDEX(B1:XFD1,((A2)+(1))+(1)))=("J"),"false"),B2,J262),J262))</f>
        <v>#VALUE!</v>
      </c>
      <c r="K262" t="e">
        <f ca="1">IF((A1)=(2),"",IF((259)=(K3),IF(IF((INDEX(B1:XFD1,((A2)+(1))+(0)))=("store"),(INDEX(B1:XFD1,((A2)+(1))+(1)))=("K"),"false"),B2,K262),K262))</f>
        <v>#VALUE!</v>
      </c>
      <c r="L262" t="e">
        <f ca="1">IF((A1)=(2),"",IF((259)=(L3),IF(IF((INDEX(B1:XFD1,((A2)+(1))+(0)))=("store"),(INDEX(B1:XFD1,((A2)+(1))+(1)))=("L"),"false"),B2,L262),L262))</f>
        <v>#VALUE!</v>
      </c>
      <c r="M262" t="e">
        <f ca="1">IF((A1)=(2),"",IF((259)=(M3),IF(IF((INDEX(B1:XFD1,((A2)+(1))+(0)))=("store"),(INDEX(B1:XFD1,((A2)+(1))+(1)))=("M"),"false"),B2,M262),M262))</f>
        <v>#VALUE!</v>
      </c>
      <c r="N262" t="e">
        <f ca="1">IF((A1)=(2),"",IF((259)=(N3),IF(IF((INDEX(B1:XFD1,((A2)+(1))+(0)))=("store"),(INDEX(B1:XFD1,((A2)+(1))+(1)))=("N"),"false"),B2,N262),N262))</f>
        <v>#VALUE!</v>
      </c>
      <c r="O262" t="e">
        <f ca="1">IF((A1)=(2),"",IF((259)=(O3),IF(IF((INDEX(B1:XFD1,((A2)+(1))+(0)))=("store"),(INDEX(B1:XFD1,((A2)+(1))+(1)))=("O"),"false"),B2,O262),O262))</f>
        <v>#VALUE!</v>
      </c>
      <c r="P262" t="e">
        <f ca="1">IF((A1)=(2),"",IF((259)=(P3),IF(IF((INDEX(B1:XFD1,((A2)+(1))+(0)))=("store"),(INDEX(B1:XFD1,((A2)+(1))+(1)))=("P"),"false"),B2,P262),P262))</f>
        <v>#VALUE!</v>
      </c>
      <c r="Q262" t="e">
        <f ca="1">IF((A1)=(2),"",IF((259)=(Q3),IF(IF((INDEX(B1:XFD1,((A2)+(1))+(0)))=("store"),(INDEX(B1:XFD1,((A2)+(1))+(1)))=("Q"),"false"),B2,Q262),Q262))</f>
        <v>#VALUE!</v>
      </c>
      <c r="R262" t="e">
        <f ca="1">IF((A1)=(2),"",IF((259)=(R3),IF(IF((INDEX(B1:XFD1,((A2)+(1))+(0)))=("store"),(INDEX(B1:XFD1,((A2)+(1))+(1)))=("R"),"false"),B2,R262),R262))</f>
        <v>#VALUE!</v>
      </c>
      <c r="S262" t="e">
        <f ca="1">IF((A1)=(2),"",IF((259)=(S3),IF(IF((INDEX(B1:XFD1,((A2)+(1))+(0)))=("store"),(INDEX(B1:XFD1,((A2)+(1))+(1)))=("S"),"false"),B2,S262),S262))</f>
        <v>#VALUE!</v>
      </c>
      <c r="T262" t="e">
        <f ca="1">IF((A1)=(2),"",IF((259)=(T3),IF(IF((INDEX(B1:XFD1,((A2)+(1))+(0)))=("store"),(INDEX(B1:XFD1,((A2)+(1))+(1)))=("T"),"false"),B2,T262),T262))</f>
        <v>#VALUE!</v>
      </c>
      <c r="U262" t="e">
        <f ca="1">IF((A1)=(2),"",IF((259)=(U3),IF(IF((INDEX(B1:XFD1,((A2)+(1))+(0)))=("store"),(INDEX(B1:XFD1,((A2)+(1))+(1)))=("U"),"false"),B2,U262),U262))</f>
        <v>#VALUE!</v>
      </c>
      <c r="V262" t="e">
        <f ca="1">IF((A1)=(2),"",IF((259)=(V3),IF(IF((INDEX(B1:XFD1,((A2)+(1))+(0)))=("store"),(INDEX(B1:XFD1,((A2)+(1))+(1)))=("V"),"false"),B2,V262),V262))</f>
        <v>#VALUE!</v>
      </c>
      <c r="W262" t="e">
        <f ca="1">IF((A1)=(2),"",IF((259)=(W3),IF(IF((INDEX(B1:XFD1,((A2)+(1))+(0)))=("store"),(INDEX(B1:XFD1,((A2)+(1))+(1)))=("W"),"false"),B2,W262),W262))</f>
        <v>#VALUE!</v>
      </c>
      <c r="X262" t="e">
        <f ca="1">IF((A1)=(2),"",IF((259)=(X3),IF(IF((INDEX(B1:XFD1,((A2)+(1))+(0)))=("store"),(INDEX(B1:XFD1,((A2)+(1))+(1)))=("X"),"false"),B2,X262),X262))</f>
        <v>#VALUE!</v>
      </c>
      <c r="Y262" t="e">
        <f ca="1">IF((A1)=(2),"",IF((259)=(Y3),IF(IF((INDEX(B1:XFD1,((A2)+(1))+(0)))=("store"),(INDEX(B1:XFD1,((A2)+(1))+(1)))=("Y"),"false"),B2,Y262),Y262))</f>
        <v>#VALUE!</v>
      </c>
      <c r="Z262" t="e">
        <f ca="1">IF((A1)=(2),"",IF((259)=(Z3),IF(IF((INDEX(B1:XFD1,((A2)+(1))+(0)))=("store"),(INDEX(B1:XFD1,((A2)+(1))+(1)))=("Z"),"false"),B2,Z262),Z262))</f>
        <v>#VALUE!</v>
      </c>
      <c r="AA262" t="e">
        <f ca="1">IF((A1)=(2),"",IF((259)=(AA3),IF(IF((INDEX(B1:XFD1,((A2)+(1))+(0)))=("store"),(INDEX(B1:XFD1,((A2)+(1))+(1)))=("AA"),"false"),B2,AA262),AA262))</f>
        <v>#VALUE!</v>
      </c>
      <c r="AB262" t="e">
        <f ca="1">IF((A1)=(2),"",IF((259)=(AB3),IF(IF((INDEX(B1:XFD1,((A2)+(1))+(0)))=("store"),(INDEX(B1:XFD1,((A2)+(1))+(1)))=("AB"),"false"),B2,AB262),AB262))</f>
        <v>#VALUE!</v>
      </c>
      <c r="AC262" t="e">
        <f ca="1">IF((A1)=(2),"",IF((259)=(AC3),IF(IF((INDEX(B1:XFD1,((A2)+(1))+(0)))=("store"),(INDEX(B1:XFD1,((A2)+(1))+(1)))=("AC"),"false"),B2,AC262),AC262))</f>
        <v>#VALUE!</v>
      </c>
      <c r="AD262" t="e">
        <f ca="1">IF((A1)=(2),"",IF((259)=(AD3),IF(IF((INDEX(B1:XFD1,((A2)+(1))+(0)))=("store"),(INDEX(B1:XFD1,((A2)+(1))+(1)))=("AD"),"false"),B2,AD262),AD262))</f>
        <v>#VALUE!</v>
      </c>
    </row>
    <row r="263" spans="1:30" x14ac:dyDescent="0.25">
      <c r="A263" t="e">
        <f ca="1">IF((A1)=(2),"",IF((260)=(A3),IF(("call")=(INDEX(B1:XFD1,((A2)+(1))+(0))),(B2)*(2),IF(("goto")=(INDEX(B1:XFD1,((A2)+(1))+(0))),(INDEX(B1:XFD1,((A2)+(1))+(1)))*(2),IF(("gotoiftrue")=(INDEX(B1:XFD1,((A2)+(1))+(0))),IF(B2,(INDEX(B1:XFD1,((A2)+(1))+(1)))*(2),(A263)+(2)),(A263)+(2)))),A263))</f>
        <v>#VALUE!</v>
      </c>
      <c r="B263" t="e">
        <f ca="1">IF((A1)=(2),"",IF((260)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263)+(1)),IF(("add")=(INDEX(B1:XFD1,((A2)+(1))+(0))),(INDEX(B4:B404,(B3)+(1)))+(B263),IF(("equals")=(INDEX(B1:XFD1,((A2)+(1))+(0))),(INDEX(B4:B404,(B3)+(1)))=(B263),IF(("leq")=(INDEX(B1:XFD1,((A2)+(1))+(0))),(INDEX(B4:B404,(B3)+(1)))&lt;=(B263),IF(("greater")=(INDEX(B1:XFD1,((A2)+(1))+(0))),(INDEX(B4:B404,(B3)+(1)))&gt;(B263),IF(("mod")=(INDEX(B1:XFD1,((A2)+(1))+(0))),MOD(INDEX(B4:B404,(B3)+(1)),B263),B263))))))))),B263))</f>
        <v>#VALUE!</v>
      </c>
      <c r="C263" t="e">
        <f ca="1">IF((A1)=(2),1,IF(AND((INDEX(B1:XFD1,((A2)+(1))+(0)))=("writeheap"),(INDEX(B4:B404,(B3)+(1)))=(259)),INDEX(B4:B404,(B3)+(2)),IF((A1)=(2),"",IF((260)=(C3),C263,C263))))</f>
        <v>#VALUE!</v>
      </c>
      <c r="E263" t="e">
        <f ca="1">IF((A1)=(2),"",IF((260)=(E3),IF(("outputline")=(INDEX(B1:XFD1,((A2)+(1))+(0))),B2,E263),E263))</f>
        <v>#VALUE!</v>
      </c>
      <c r="F263" t="e">
        <f ca="1">IF((A1)=(2),"",IF((260)=(F3),IF(IF((INDEX(B1:XFD1,((A2)+(1))+(0)))=("store"),(INDEX(B1:XFD1,((A2)+(1))+(1)))=("F"),"false"),B2,F263),F263))</f>
        <v>#VALUE!</v>
      </c>
      <c r="G263" t="e">
        <f ca="1">IF((A1)=(2),"",IF((260)=(G3),IF(IF((INDEX(B1:XFD1,((A2)+(1))+(0)))=("store"),(INDEX(B1:XFD1,((A2)+(1))+(1)))=("G"),"false"),B2,G263),G263))</f>
        <v>#VALUE!</v>
      </c>
      <c r="H263" t="e">
        <f ca="1">IF((A1)=(2),"",IF((260)=(H3),IF(IF((INDEX(B1:XFD1,((A2)+(1))+(0)))=("store"),(INDEX(B1:XFD1,((A2)+(1))+(1)))=("H"),"false"),B2,H263),H263))</f>
        <v>#VALUE!</v>
      </c>
      <c r="I263" t="e">
        <f ca="1">IF((A1)=(2),"",IF((260)=(I3),IF(IF((INDEX(B1:XFD1,((A2)+(1))+(0)))=("store"),(INDEX(B1:XFD1,((A2)+(1))+(1)))=("I"),"false"),B2,I263),I263))</f>
        <v>#VALUE!</v>
      </c>
      <c r="J263" t="e">
        <f ca="1">IF((A1)=(2),"",IF((260)=(J3),IF(IF((INDEX(B1:XFD1,((A2)+(1))+(0)))=("store"),(INDEX(B1:XFD1,((A2)+(1))+(1)))=("J"),"false"),B2,J263),J263))</f>
        <v>#VALUE!</v>
      </c>
      <c r="K263" t="e">
        <f ca="1">IF((A1)=(2),"",IF((260)=(K3),IF(IF((INDEX(B1:XFD1,((A2)+(1))+(0)))=("store"),(INDEX(B1:XFD1,((A2)+(1))+(1)))=("K"),"false"),B2,K263),K263))</f>
        <v>#VALUE!</v>
      </c>
      <c r="L263" t="e">
        <f ca="1">IF((A1)=(2),"",IF((260)=(L3),IF(IF((INDEX(B1:XFD1,((A2)+(1))+(0)))=("store"),(INDEX(B1:XFD1,((A2)+(1))+(1)))=("L"),"false"),B2,L263),L263))</f>
        <v>#VALUE!</v>
      </c>
      <c r="M263" t="e">
        <f ca="1">IF((A1)=(2),"",IF((260)=(M3),IF(IF((INDEX(B1:XFD1,((A2)+(1))+(0)))=("store"),(INDEX(B1:XFD1,((A2)+(1))+(1)))=("M"),"false"),B2,M263),M263))</f>
        <v>#VALUE!</v>
      </c>
      <c r="N263" t="e">
        <f ca="1">IF((A1)=(2),"",IF((260)=(N3),IF(IF((INDEX(B1:XFD1,((A2)+(1))+(0)))=("store"),(INDEX(B1:XFD1,((A2)+(1))+(1)))=("N"),"false"),B2,N263),N263))</f>
        <v>#VALUE!</v>
      </c>
      <c r="O263" t="e">
        <f ca="1">IF((A1)=(2),"",IF((260)=(O3),IF(IF((INDEX(B1:XFD1,((A2)+(1))+(0)))=("store"),(INDEX(B1:XFD1,((A2)+(1))+(1)))=("O"),"false"),B2,O263),O263))</f>
        <v>#VALUE!</v>
      </c>
      <c r="P263" t="e">
        <f ca="1">IF((A1)=(2),"",IF((260)=(P3),IF(IF((INDEX(B1:XFD1,((A2)+(1))+(0)))=("store"),(INDEX(B1:XFD1,((A2)+(1))+(1)))=("P"),"false"),B2,P263),P263))</f>
        <v>#VALUE!</v>
      </c>
      <c r="Q263" t="e">
        <f ca="1">IF((A1)=(2),"",IF((260)=(Q3),IF(IF((INDEX(B1:XFD1,((A2)+(1))+(0)))=("store"),(INDEX(B1:XFD1,((A2)+(1))+(1)))=("Q"),"false"),B2,Q263),Q263))</f>
        <v>#VALUE!</v>
      </c>
      <c r="R263" t="e">
        <f ca="1">IF((A1)=(2),"",IF((260)=(R3),IF(IF((INDEX(B1:XFD1,((A2)+(1))+(0)))=("store"),(INDEX(B1:XFD1,((A2)+(1))+(1)))=("R"),"false"),B2,R263),R263))</f>
        <v>#VALUE!</v>
      </c>
      <c r="S263" t="e">
        <f ca="1">IF((A1)=(2),"",IF((260)=(S3),IF(IF((INDEX(B1:XFD1,((A2)+(1))+(0)))=("store"),(INDEX(B1:XFD1,((A2)+(1))+(1)))=("S"),"false"),B2,S263),S263))</f>
        <v>#VALUE!</v>
      </c>
      <c r="T263" t="e">
        <f ca="1">IF((A1)=(2),"",IF((260)=(T3),IF(IF((INDEX(B1:XFD1,((A2)+(1))+(0)))=("store"),(INDEX(B1:XFD1,((A2)+(1))+(1)))=("T"),"false"),B2,T263),T263))</f>
        <v>#VALUE!</v>
      </c>
      <c r="U263" t="e">
        <f ca="1">IF((A1)=(2),"",IF((260)=(U3),IF(IF((INDEX(B1:XFD1,((A2)+(1))+(0)))=("store"),(INDEX(B1:XFD1,((A2)+(1))+(1)))=("U"),"false"),B2,U263),U263))</f>
        <v>#VALUE!</v>
      </c>
      <c r="V263" t="e">
        <f ca="1">IF((A1)=(2),"",IF((260)=(V3),IF(IF((INDEX(B1:XFD1,((A2)+(1))+(0)))=("store"),(INDEX(B1:XFD1,((A2)+(1))+(1)))=("V"),"false"),B2,V263),V263))</f>
        <v>#VALUE!</v>
      </c>
      <c r="W263" t="e">
        <f ca="1">IF((A1)=(2),"",IF((260)=(W3),IF(IF((INDEX(B1:XFD1,((A2)+(1))+(0)))=("store"),(INDEX(B1:XFD1,((A2)+(1))+(1)))=("W"),"false"),B2,W263),W263))</f>
        <v>#VALUE!</v>
      </c>
      <c r="X263" t="e">
        <f ca="1">IF((A1)=(2),"",IF((260)=(X3),IF(IF((INDEX(B1:XFD1,((A2)+(1))+(0)))=("store"),(INDEX(B1:XFD1,((A2)+(1))+(1)))=("X"),"false"),B2,X263),X263))</f>
        <v>#VALUE!</v>
      </c>
      <c r="Y263" t="e">
        <f ca="1">IF((A1)=(2),"",IF((260)=(Y3),IF(IF((INDEX(B1:XFD1,((A2)+(1))+(0)))=("store"),(INDEX(B1:XFD1,((A2)+(1))+(1)))=("Y"),"false"),B2,Y263),Y263))</f>
        <v>#VALUE!</v>
      </c>
      <c r="Z263" t="e">
        <f ca="1">IF((A1)=(2),"",IF((260)=(Z3),IF(IF((INDEX(B1:XFD1,((A2)+(1))+(0)))=("store"),(INDEX(B1:XFD1,((A2)+(1))+(1)))=("Z"),"false"),B2,Z263),Z263))</f>
        <v>#VALUE!</v>
      </c>
      <c r="AA263" t="e">
        <f ca="1">IF((A1)=(2),"",IF((260)=(AA3),IF(IF((INDEX(B1:XFD1,((A2)+(1))+(0)))=("store"),(INDEX(B1:XFD1,((A2)+(1))+(1)))=("AA"),"false"),B2,AA263),AA263))</f>
        <v>#VALUE!</v>
      </c>
      <c r="AB263" t="e">
        <f ca="1">IF((A1)=(2),"",IF((260)=(AB3),IF(IF((INDEX(B1:XFD1,((A2)+(1))+(0)))=("store"),(INDEX(B1:XFD1,((A2)+(1))+(1)))=("AB"),"false"),B2,AB263),AB263))</f>
        <v>#VALUE!</v>
      </c>
      <c r="AC263" t="e">
        <f ca="1">IF((A1)=(2),"",IF((260)=(AC3),IF(IF((INDEX(B1:XFD1,((A2)+(1))+(0)))=("store"),(INDEX(B1:XFD1,((A2)+(1))+(1)))=("AC"),"false"),B2,AC263),AC263))</f>
        <v>#VALUE!</v>
      </c>
      <c r="AD263" t="e">
        <f ca="1">IF((A1)=(2),"",IF((260)=(AD3),IF(IF((INDEX(B1:XFD1,((A2)+(1))+(0)))=("store"),(INDEX(B1:XFD1,((A2)+(1))+(1)))=("AD"),"false"),B2,AD263),AD263))</f>
        <v>#VALUE!</v>
      </c>
    </row>
    <row r="264" spans="1:30" x14ac:dyDescent="0.25">
      <c r="A264" t="e">
        <f ca="1">IF((A1)=(2),"",IF((261)=(A3),IF(("call")=(INDEX(B1:XFD1,((A2)+(1))+(0))),(B2)*(2),IF(("goto")=(INDEX(B1:XFD1,((A2)+(1))+(0))),(INDEX(B1:XFD1,((A2)+(1))+(1)))*(2),IF(("gotoiftrue")=(INDEX(B1:XFD1,((A2)+(1))+(0))),IF(B2,(INDEX(B1:XFD1,((A2)+(1))+(1)))*(2),(A264)+(2)),(A264)+(2)))),A264))</f>
        <v>#VALUE!</v>
      </c>
      <c r="B264" t="e">
        <f ca="1">IF((A1)=(2),"",IF((261)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264)+(1)),IF(("add")=(INDEX(B1:XFD1,((A2)+(1))+(0))),(INDEX(B4:B404,(B3)+(1)))+(B264),IF(("equals")=(INDEX(B1:XFD1,((A2)+(1))+(0))),(INDEX(B4:B404,(B3)+(1)))=(B264),IF(("leq")=(INDEX(B1:XFD1,((A2)+(1))+(0))),(INDEX(B4:B404,(B3)+(1)))&lt;=(B264),IF(("greater")=(INDEX(B1:XFD1,((A2)+(1))+(0))),(INDEX(B4:B404,(B3)+(1)))&gt;(B264),IF(("mod")=(INDEX(B1:XFD1,((A2)+(1))+(0))),MOD(INDEX(B4:B404,(B3)+(1)),B264),B264))))))))),B264))</f>
        <v>#VALUE!</v>
      </c>
      <c r="C264" t="e">
        <f ca="1">IF((A1)=(2),1,IF(AND((INDEX(B1:XFD1,((A2)+(1))+(0)))=("writeheap"),(INDEX(B4:B404,(B3)+(1)))=(260)),INDEX(B4:B404,(B3)+(2)),IF((A1)=(2),"",IF((261)=(C3),C264,C264))))</f>
        <v>#VALUE!</v>
      </c>
      <c r="E264" t="e">
        <f ca="1">IF((A1)=(2),"",IF((261)=(E3),IF(("outputline")=(INDEX(B1:XFD1,((A2)+(1))+(0))),B2,E264),E264))</f>
        <v>#VALUE!</v>
      </c>
      <c r="F264" t="e">
        <f ca="1">IF((A1)=(2),"",IF((261)=(F3),IF(IF((INDEX(B1:XFD1,((A2)+(1))+(0)))=("store"),(INDEX(B1:XFD1,((A2)+(1))+(1)))=("F"),"false"),B2,F264),F264))</f>
        <v>#VALUE!</v>
      </c>
      <c r="G264" t="e">
        <f ca="1">IF((A1)=(2),"",IF((261)=(G3),IF(IF((INDEX(B1:XFD1,((A2)+(1))+(0)))=("store"),(INDEX(B1:XFD1,((A2)+(1))+(1)))=("G"),"false"),B2,G264),G264))</f>
        <v>#VALUE!</v>
      </c>
      <c r="H264" t="e">
        <f ca="1">IF((A1)=(2),"",IF((261)=(H3),IF(IF((INDEX(B1:XFD1,((A2)+(1))+(0)))=("store"),(INDEX(B1:XFD1,((A2)+(1))+(1)))=("H"),"false"),B2,H264),H264))</f>
        <v>#VALUE!</v>
      </c>
      <c r="I264" t="e">
        <f ca="1">IF((A1)=(2),"",IF((261)=(I3),IF(IF((INDEX(B1:XFD1,((A2)+(1))+(0)))=("store"),(INDEX(B1:XFD1,((A2)+(1))+(1)))=("I"),"false"),B2,I264),I264))</f>
        <v>#VALUE!</v>
      </c>
      <c r="J264" t="e">
        <f ca="1">IF((A1)=(2),"",IF((261)=(J3),IF(IF((INDEX(B1:XFD1,((A2)+(1))+(0)))=("store"),(INDEX(B1:XFD1,((A2)+(1))+(1)))=("J"),"false"),B2,J264),J264))</f>
        <v>#VALUE!</v>
      </c>
      <c r="K264" t="e">
        <f ca="1">IF((A1)=(2),"",IF((261)=(K3),IF(IF((INDEX(B1:XFD1,((A2)+(1))+(0)))=("store"),(INDEX(B1:XFD1,((A2)+(1))+(1)))=("K"),"false"),B2,K264),K264))</f>
        <v>#VALUE!</v>
      </c>
      <c r="L264" t="e">
        <f ca="1">IF((A1)=(2),"",IF((261)=(L3),IF(IF((INDEX(B1:XFD1,((A2)+(1))+(0)))=("store"),(INDEX(B1:XFD1,((A2)+(1))+(1)))=("L"),"false"),B2,L264),L264))</f>
        <v>#VALUE!</v>
      </c>
      <c r="M264" t="e">
        <f ca="1">IF((A1)=(2),"",IF((261)=(M3),IF(IF((INDEX(B1:XFD1,((A2)+(1))+(0)))=("store"),(INDEX(B1:XFD1,((A2)+(1))+(1)))=("M"),"false"),B2,M264),M264))</f>
        <v>#VALUE!</v>
      </c>
      <c r="N264" t="e">
        <f ca="1">IF((A1)=(2),"",IF((261)=(N3),IF(IF((INDEX(B1:XFD1,((A2)+(1))+(0)))=("store"),(INDEX(B1:XFD1,((A2)+(1))+(1)))=("N"),"false"),B2,N264),N264))</f>
        <v>#VALUE!</v>
      </c>
      <c r="O264" t="e">
        <f ca="1">IF((A1)=(2),"",IF((261)=(O3),IF(IF((INDEX(B1:XFD1,((A2)+(1))+(0)))=("store"),(INDEX(B1:XFD1,((A2)+(1))+(1)))=("O"),"false"),B2,O264),O264))</f>
        <v>#VALUE!</v>
      </c>
      <c r="P264" t="e">
        <f ca="1">IF((A1)=(2),"",IF((261)=(P3),IF(IF((INDEX(B1:XFD1,((A2)+(1))+(0)))=("store"),(INDEX(B1:XFD1,((A2)+(1))+(1)))=("P"),"false"),B2,P264),P264))</f>
        <v>#VALUE!</v>
      </c>
      <c r="Q264" t="e">
        <f ca="1">IF((A1)=(2),"",IF((261)=(Q3),IF(IF((INDEX(B1:XFD1,((A2)+(1))+(0)))=("store"),(INDEX(B1:XFD1,((A2)+(1))+(1)))=("Q"),"false"),B2,Q264),Q264))</f>
        <v>#VALUE!</v>
      </c>
      <c r="R264" t="e">
        <f ca="1">IF((A1)=(2),"",IF((261)=(R3),IF(IF((INDEX(B1:XFD1,((A2)+(1))+(0)))=("store"),(INDEX(B1:XFD1,((A2)+(1))+(1)))=("R"),"false"),B2,R264),R264))</f>
        <v>#VALUE!</v>
      </c>
      <c r="S264" t="e">
        <f ca="1">IF((A1)=(2),"",IF((261)=(S3),IF(IF((INDEX(B1:XFD1,((A2)+(1))+(0)))=("store"),(INDEX(B1:XFD1,((A2)+(1))+(1)))=("S"),"false"),B2,S264),S264))</f>
        <v>#VALUE!</v>
      </c>
      <c r="T264" t="e">
        <f ca="1">IF((A1)=(2),"",IF((261)=(T3),IF(IF((INDEX(B1:XFD1,((A2)+(1))+(0)))=("store"),(INDEX(B1:XFD1,((A2)+(1))+(1)))=("T"),"false"),B2,T264),T264))</f>
        <v>#VALUE!</v>
      </c>
      <c r="U264" t="e">
        <f ca="1">IF((A1)=(2),"",IF((261)=(U3),IF(IF((INDEX(B1:XFD1,((A2)+(1))+(0)))=("store"),(INDEX(B1:XFD1,((A2)+(1))+(1)))=("U"),"false"),B2,U264),U264))</f>
        <v>#VALUE!</v>
      </c>
      <c r="V264" t="e">
        <f ca="1">IF((A1)=(2),"",IF((261)=(V3),IF(IF((INDEX(B1:XFD1,((A2)+(1))+(0)))=("store"),(INDEX(B1:XFD1,((A2)+(1))+(1)))=("V"),"false"),B2,V264),V264))</f>
        <v>#VALUE!</v>
      </c>
      <c r="W264" t="e">
        <f ca="1">IF((A1)=(2),"",IF((261)=(W3),IF(IF((INDEX(B1:XFD1,((A2)+(1))+(0)))=("store"),(INDEX(B1:XFD1,((A2)+(1))+(1)))=("W"),"false"),B2,W264),W264))</f>
        <v>#VALUE!</v>
      </c>
      <c r="X264" t="e">
        <f ca="1">IF((A1)=(2),"",IF((261)=(X3),IF(IF((INDEX(B1:XFD1,((A2)+(1))+(0)))=("store"),(INDEX(B1:XFD1,((A2)+(1))+(1)))=("X"),"false"),B2,X264),X264))</f>
        <v>#VALUE!</v>
      </c>
      <c r="Y264" t="e">
        <f ca="1">IF((A1)=(2),"",IF((261)=(Y3),IF(IF((INDEX(B1:XFD1,((A2)+(1))+(0)))=("store"),(INDEX(B1:XFD1,((A2)+(1))+(1)))=("Y"),"false"),B2,Y264),Y264))</f>
        <v>#VALUE!</v>
      </c>
      <c r="Z264" t="e">
        <f ca="1">IF((A1)=(2),"",IF((261)=(Z3),IF(IF((INDEX(B1:XFD1,((A2)+(1))+(0)))=("store"),(INDEX(B1:XFD1,((A2)+(1))+(1)))=("Z"),"false"),B2,Z264),Z264))</f>
        <v>#VALUE!</v>
      </c>
      <c r="AA264" t="e">
        <f ca="1">IF((A1)=(2),"",IF((261)=(AA3),IF(IF((INDEX(B1:XFD1,((A2)+(1))+(0)))=("store"),(INDEX(B1:XFD1,((A2)+(1))+(1)))=("AA"),"false"),B2,AA264),AA264))</f>
        <v>#VALUE!</v>
      </c>
      <c r="AB264" t="e">
        <f ca="1">IF((A1)=(2),"",IF((261)=(AB3),IF(IF((INDEX(B1:XFD1,((A2)+(1))+(0)))=("store"),(INDEX(B1:XFD1,((A2)+(1))+(1)))=("AB"),"false"),B2,AB264),AB264))</f>
        <v>#VALUE!</v>
      </c>
      <c r="AC264" t="e">
        <f ca="1">IF((A1)=(2),"",IF((261)=(AC3),IF(IF((INDEX(B1:XFD1,((A2)+(1))+(0)))=("store"),(INDEX(B1:XFD1,((A2)+(1))+(1)))=("AC"),"false"),B2,AC264),AC264))</f>
        <v>#VALUE!</v>
      </c>
      <c r="AD264" t="e">
        <f ca="1">IF((A1)=(2),"",IF((261)=(AD3),IF(IF((INDEX(B1:XFD1,((A2)+(1))+(0)))=("store"),(INDEX(B1:XFD1,((A2)+(1))+(1)))=("AD"),"false"),B2,AD264),AD264))</f>
        <v>#VALUE!</v>
      </c>
    </row>
    <row r="265" spans="1:30" x14ac:dyDescent="0.25">
      <c r="A265" t="e">
        <f ca="1">IF((A1)=(2),"",IF((262)=(A3),IF(("call")=(INDEX(B1:XFD1,((A2)+(1))+(0))),(B2)*(2),IF(("goto")=(INDEX(B1:XFD1,((A2)+(1))+(0))),(INDEX(B1:XFD1,((A2)+(1))+(1)))*(2),IF(("gotoiftrue")=(INDEX(B1:XFD1,((A2)+(1))+(0))),IF(B2,(INDEX(B1:XFD1,((A2)+(1))+(1)))*(2),(A265)+(2)),(A265)+(2)))),A265))</f>
        <v>#VALUE!</v>
      </c>
      <c r="B265" t="e">
        <f ca="1">IF((A1)=(2),"",IF((262)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265)+(1)),IF(("add")=(INDEX(B1:XFD1,((A2)+(1))+(0))),(INDEX(B4:B404,(B3)+(1)))+(B265),IF(("equals")=(INDEX(B1:XFD1,((A2)+(1))+(0))),(INDEX(B4:B404,(B3)+(1)))=(B265),IF(("leq")=(INDEX(B1:XFD1,((A2)+(1))+(0))),(INDEX(B4:B404,(B3)+(1)))&lt;=(B265),IF(("greater")=(INDEX(B1:XFD1,((A2)+(1))+(0))),(INDEX(B4:B404,(B3)+(1)))&gt;(B265),IF(("mod")=(INDEX(B1:XFD1,((A2)+(1))+(0))),MOD(INDEX(B4:B404,(B3)+(1)),B265),B265))))))))),B265))</f>
        <v>#VALUE!</v>
      </c>
      <c r="C265" t="e">
        <f ca="1">IF((A1)=(2),1,IF(AND((INDEX(B1:XFD1,((A2)+(1))+(0)))=("writeheap"),(INDEX(B4:B404,(B3)+(1)))=(261)),INDEX(B4:B404,(B3)+(2)),IF((A1)=(2),"",IF((262)=(C3),C265,C265))))</f>
        <v>#VALUE!</v>
      </c>
      <c r="E265" t="e">
        <f ca="1">IF((A1)=(2),"",IF((262)=(E3),IF(("outputline")=(INDEX(B1:XFD1,((A2)+(1))+(0))),B2,E265),E265))</f>
        <v>#VALUE!</v>
      </c>
      <c r="F265" t="e">
        <f ca="1">IF((A1)=(2),"",IF((262)=(F3),IF(IF((INDEX(B1:XFD1,((A2)+(1))+(0)))=("store"),(INDEX(B1:XFD1,((A2)+(1))+(1)))=("F"),"false"),B2,F265),F265))</f>
        <v>#VALUE!</v>
      </c>
      <c r="G265" t="e">
        <f ca="1">IF((A1)=(2),"",IF((262)=(G3),IF(IF((INDEX(B1:XFD1,((A2)+(1))+(0)))=("store"),(INDEX(B1:XFD1,((A2)+(1))+(1)))=("G"),"false"),B2,G265),G265))</f>
        <v>#VALUE!</v>
      </c>
      <c r="H265" t="e">
        <f ca="1">IF((A1)=(2),"",IF((262)=(H3),IF(IF((INDEX(B1:XFD1,((A2)+(1))+(0)))=("store"),(INDEX(B1:XFD1,((A2)+(1))+(1)))=("H"),"false"),B2,H265),H265))</f>
        <v>#VALUE!</v>
      </c>
      <c r="I265" t="e">
        <f ca="1">IF((A1)=(2),"",IF((262)=(I3),IF(IF((INDEX(B1:XFD1,((A2)+(1))+(0)))=("store"),(INDEX(B1:XFD1,((A2)+(1))+(1)))=("I"),"false"),B2,I265),I265))</f>
        <v>#VALUE!</v>
      </c>
      <c r="J265" t="e">
        <f ca="1">IF((A1)=(2),"",IF((262)=(J3),IF(IF((INDEX(B1:XFD1,((A2)+(1))+(0)))=("store"),(INDEX(B1:XFD1,((A2)+(1))+(1)))=("J"),"false"),B2,J265),J265))</f>
        <v>#VALUE!</v>
      </c>
      <c r="K265" t="e">
        <f ca="1">IF((A1)=(2),"",IF((262)=(K3),IF(IF((INDEX(B1:XFD1,((A2)+(1))+(0)))=("store"),(INDEX(B1:XFD1,((A2)+(1))+(1)))=("K"),"false"),B2,K265),K265))</f>
        <v>#VALUE!</v>
      </c>
      <c r="L265" t="e">
        <f ca="1">IF((A1)=(2),"",IF((262)=(L3),IF(IF((INDEX(B1:XFD1,((A2)+(1))+(0)))=("store"),(INDEX(B1:XFD1,((A2)+(1))+(1)))=("L"),"false"),B2,L265),L265))</f>
        <v>#VALUE!</v>
      </c>
      <c r="M265" t="e">
        <f ca="1">IF((A1)=(2),"",IF((262)=(M3),IF(IF((INDEX(B1:XFD1,((A2)+(1))+(0)))=("store"),(INDEX(B1:XFD1,((A2)+(1))+(1)))=("M"),"false"),B2,M265),M265))</f>
        <v>#VALUE!</v>
      </c>
      <c r="N265" t="e">
        <f ca="1">IF((A1)=(2),"",IF((262)=(N3),IF(IF((INDEX(B1:XFD1,((A2)+(1))+(0)))=("store"),(INDEX(B1:XFD1,((A2)+(1))+(1)))=("N"),"false"),B2,N265),N265))</f>
        <v>#VALUE!</v>
      </c>
      <c r="O265" t="e">
        <f ca="1">IF((A1)=(2),"",IF((262)=(O3),IF(IF((INDEX(B1:XFD1,((A2)+(1))+(0)))=("store"),(INDEX(B1:XFD1,((A2)+(1))+(1)))=("O"),"false"),B2,O265),O265))</f>
        <v>#VALUE!</v>
      </c>
      <c r="P265" t="e">
        <f ca="1">IF((A1)=(2),"",IF((262)=(P3),IF(IF((INDEX(B1:XFD1,((A2)+(1))+(0)))=("store"),(INDEX(B1:XFD1,((A2)+(1))+(1)))=("P"),"false"),B2,P265),P265))</f>
        <v>#VALUE!</v>
      </c>
      <c r="Q265" t="e">
        <f ca="1">IF((A1)=(2),"",IF((262)=(Q3),IF(IF((INDEX(B1:XFD1,((A2)+(1))+(0)))=("store"),(INDEX(B1:XFD1,((A2)+(1))+(1)))=("Q"),"false"),B2,Q265),Q265))</f>
        <v>#VALUE!</v>
      </c>
      <c r="R265" t="e">
        <f ca="1">IF((A1)=(2),"",IF((262)=(R3),IF(IF((INDEX(B1:XFD1,((A2)+(1))+(0)))=("store"),(INDEX(B1:XFD1,((A2)+(1))+(1)))=("R"),"false"),B2,R265),R265))</f>
        <v>#VALUE!</v>
      </c>
      <c r="S265" t="e">
        <f ca="1">IF((A1)=(2),"",IF((262)=(S3),IF(IF((INDEX(B1:XFD1,((A2)+(1))+(0)))=("store"),(INDEX(B1:XFD1,((A2)+(1))+(1)))=("S"),"false"),B2,S265),S265))</f>
        <v>#VALUE!</v>
      </c>
      <c r="T265" t="e">
        <f ca="1">IF((A1)=(2),"",IF((262)=(T3),IF(IF((INDEX(B1:XFD1,((A2)+(1))+(0)))=("store"),(INDEX(B1:XFD1,((A2)+(1))+(1)))=("T"),"false"),B2,T265),T265))</f>
        <v>#VALUE!</v>
      </c>
      <c r="U265" t="e">
        <f ca="1">IF((A1)=(2),"",IF((262)=(U3),IF(IF((INDEX(B1:XFD1,((A2)+(1))+(0)))=("store"),(INDEX(B1:XFD1,((A2)+(1))+(1)))=("U"),"false"),B2,U265),U265))</f>
        <v>#VALUE!</v>
      </c>
      <c r="V265" t="e">
        <f ca="1">IF((A1)=(2),"",IF((262)=(V3),IF(IF((INDEX(B1:XFD1,((A2)+(1))+(0)))=("store"),(INDEX(B1:XFD1,((A2)+(1))+(1)))=("V"),"false"),B2,V265),V265))</f>
        <v>#VALUE!</v>
      </c>
      <c r="W265" t="e">
        <f ca="1">IF((A1)=(2),"",IF((262)=(W3),IF(IF((INDEX(B1:XFD1,((A2)+(1))+(0)))=("store"),(INDEX(B1:XFD1,((A2)+(1))+(1)))=("W"),"false"),B2,W265),W265))</f>
        <v>#VALUE!</v>
      </c>
      <c r="X265" t="e">
        <f ca="1">IF((A1)=(2),"",IF((262)=(X3),IF(IF((INDEX(B1:XFD1,((A2)+(1))+(0)))=("store"),(INDEX(B1:XFD1,((A2)+(1))+(1)))=("X"),"false"),B2,X265),X265))</f>
        <v>#VALUE!</v>
      </c>
      <c r="Y265" t="e">
        <f ca="1">IF((A1)=(2),"",IF((262)=(Y3),IF(IF((INDEX(B1:XFD1,((A2)+(1))+(0)))=("store"),(INDEX(B1:XFD1,((A2)+(1))+(1)))=("Y"),"false"),B2,Y265),Y265))</f>
        <v>#VALUE!</v>
      </c>
      <c r="Z265" t="e">
        <f ca="1">IF((A1)=(2),"",IF((262)=(Z3),IF(IF((INDEX(B1:XFD1,((A2)+(1))+(0)))=("store"),(INDEX(B1:XFD1,((A2)+(1))+(1)))=("Z"),"false"),B2,Z265),Z265))</f>
        <v>#VALUE!</v>
      </c>
      <c r="AA265" t="e">
        <f ca="1">IF((A1)=(2),"",IF((262)=(AA3),IF(IF((INDEX(B1:XFD1,((A2)+(1))+(0)))=("store"),(INDEX(B1:XFD1,((A2)+(1))+(1)))=("AA"),"false"),B2,AA265),AA265))</f>
        <v>#VALUE!</v>
      </c>
      <c r="AB265" t="e">
        <f ca="1">IF((A1)=(2),"",IF((262)=(AB3),IF(IF((INDEX(B1:XFD1,((A2)+(1))+(0)))=("store"),(INDEX(B1:XFD1,((A2)+(1))+(1)))=("AB"),"false"),B2,AB265),AB265))</f>
        <v>#VALUE!</v>
      </c>
      <c r="AC265" t="e">
        <f ca="1">IF((A1)=(2),"",IF((262)=(AC3),IF(IF((INDEX(B1:XFD1,((A2)+(1))+(0)))=("store"),(INDEX(B1:XFD1,((A2)+(1))+(1)))=("AC"),"false"),B2,AC265),AC265))</f>
        <v>#VALUE!</v>
      </c>
      <c r="AD265" t="e">
        <f ca="1">IF((A1)=(2),"",IF((262)=(AD3),IF(IF((INDEX(B1:XFD1,((A2)+(1))+(0)))=("store"),(INDEX(B1:XFD1,((A2)+(1))+(1)))=("AD"),"false"),B2,AD265),AD265))</f>
        <v>#VALUE!</v>
      </c>
    </row>
    <row r="266" spans="1:30" x14ac:dyDescent="0.25">
      <c r="A266" t="e">
        <f ca="1">IF((A1)=(2),"",IF((263)=(A3),IF(("call")=(INDEX(B1:XFD1,((A2)+(1))+(0))),(B2)*(2),IF(("goto")=(INDEX(B1:XFD1,((A2)+(1))+(0))),(INDEX(B1:XFD1,((A2)+(1))+(1)))*(2),IF(("gotoiftrue")=(INDEX(B1:XFD1,((A2)+(1))+(0))),IF(B2,(INDEX(B1:XFD1,((A2)+(1))+(1)))*(2),(A266)+(2)),(A266)+(2)))),A266))</f>
        <v>#VALUE!</v>
      </c>
      <c r="B266" t="e">
        <f ca="1">IF((A1)=(2),"",IF((263)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266)+(1)),IF(("add")=(INDEX(B1:XFD1,((A2)+(1))+(0))),(INDEX(B4:B404,(B3)+(1)))+(B266),IF(("equals")=(INDEX(B1:XFD1,((A2)+(1))+(0))),(INDEX(B4:B404,(B3)+(1)))=(B266),IF(("leq")=(INDEX(B1:XFD1,((A2)+(1))+(0))),(INDEX(B4:B404,(B3)+(1)))&lt;=(B266),IF(("greater")=(INDEX(B1:XFD1,((A2)+(1))+(0))),(INDEX(B4:B404,(B3)+(1)))&gt;(B266),IF(("mod")=(INDEX(B1:XFD1,((A2)+(1))+(0))),MOD(INDEX(B4:B404,(B3)+(1)),B266),B266))))))))),B266))</f>
        <v>#VALUE!</v>
      </c>
      <c r="C266" t="e">
        <f ca="1">IF((A1)=(2),1,IF(AND((INDEX(B1:XFD1,((A2)+(1))+(0)))=("writeheap"),(INDEX(B4:B404,(B3)+(1)))=(262)),INDEX(B4:B404,(B3)+(2)),IF((A1)=(2),"",IF((263)=(C3),C266,C266))))</f>
        <v>#VALUE!</v>
      </c>
      <c r="E266" t="e">
        <f ca="1">IF((A1)=(2),"",IF((263)=(E3),IF(("outputline")=(INDEX(B1:XFD1,((A2)+(1))+(0))),B2,E266),E266))</f>
        <v>#VALUE!</v>
      </c>
      <c r="F266" t="e">
        <f ca="1">IF((A1)=(2),"",IF((263)=(F3),IF(IF((INDEX(B1:XFD1,((A2)+(1))+(0)))=("store"),(INDEX(B1:XFD1,((A2)+(1))+(1)))=("F"),"false"),B2,F266),F266))</f>
        <v>#VALUE!</v>
      </c>
      <c r="G266" t="e">
        <f ca="1">IF((A1)=(2),"",IF((263)=(G3),IF(IF((INDEX(B1:XFD1,((A2)+(1))+(0)))=("store"),(INDEX(B1:XFD1,((A2)+(1))+(1)))=("G"),"false"),B2,G266),G266))</f>
        <v>#VALUE!</v>
      </c>
      <c r="H266" t="e">
        <f ca="1">IF((A1)=(2),"",IF((263)=(H3),IF(IF((INDEX(B1:XFD1,((A2)+(1))+(0)))=("store"),(INDEX(B1:XFD1,((A2)+(1))+(1)))=("H"),"false"),B2,H266),H266))</f>
        <v>#VALUE!</v>
      </c>
      <c r="I266" t="e">
        <f ca="1">IF((A1)=(2),"",IF((263)=(I3),IF(IF((INDEX(B1:XFD1,((A2)+(1))+(0)))=("store"),(INDEX(B1:XFD1,((A2)+(1))+(1)))=("I"),"false"),B2,I266),I266))</f>
        <v>#VALUE!</v>
      </c>
      <c r="J266" t="e">
        <f ca="1">IF((A1)=(2),"",IF((263)=(J3),IF(IF((INDEX(B1:XFD1,((A2)+(1))+(0)))=("store"),(INDEX(B1:XFD1,((A2)+(1))+(1)))=("J"),"false"),B2,J266),J266))</f>
        <v>#VALUE!</v>
      </c>
      <c r="K266" t="e">
        <f ca="1">IF((A1)=(2),"",IF((263)=(K3),IF(IF((INDEX(B1:XFD1,((A2)+(1))+(0)))=("store"),(INDEX(B1:XFD1,((A2)+(1))+(1)))=("K"),"false"),B2,K266),K266))</f>
        <v>#VALUE!</v>
      </c>
      <c r="L266" t="e">
        <f ca="1">IF((A1)=(2),"",IF((263)=(L3),IF(IF((INDEX(B1:XFD1,((A2)+(1))+(0)))=("store"),(INDEX(B1:XFD1,((A2)+(1))+(1)))=("L"),"false"),B2,L266),L266))</f>
        <v>#VALUE!</v>
      </c>
      <c r="M266" t="e">
        <f ca="1">IF((A1)=(2),"",IF((263)=(M3),IF(IF((INDEX(B1:XFD1,((A2)+(1))+(0)))=("store"),(INDEX(B1:XFD1,((A2)+(1))+(1)))=("M"),"false"),B2,M266),M266))</f>
        <v>#VALUE!</v>
      </c>
      <c r="N266" t="e">
        <f ca="1">IF((A1)=(2),"",IF((263)=(N3),IF(IF((INDEX(B1:XFD1,((A2)+(1))+(0)))=("store"),(INDEX(B1:XFD1,((A2)+(1))+(1)))=("N"),"false"),B2,N266),N266))</f>
        <v>#VALUE!</v>
      </c>
      <c r="O266" t="e">
        <f ca="1">IF((A1)=(2),"",IF((263)=(O3),IF(IF((INDEX(B1:XFD1,((A2)+(1))+(0)))=("store"),(INDEX(B1:XFD1,((A2)+(1))+(1)))=("O"),"false"),B2,O266),O266))</f>
        <v>#VALUE!</v>
      </c>
      <c r="P266" t="e">
        <f ca="1">IF((A1)=(2),"",IF((263)=(P3),IF(IF((INDEX(B1:XFD1,((A2)+(1))+(0)))=("store"),(INDEX(B1:XFD1,((A2)+(1))+(1)))=("P"),"false"),B2,P266),P266))</f>
        <v>#VALUE!</v>
      </c>
      <c r="Q266" t="e">
        <f ca="1">IF((A1)=(2),"",IF((263)=(Q3),IF(IF((INDEX(B1:XFD1,((A2)+(1))+(0)))=("store"),(INDEX(B1:XFD1,((A2)+(1))+(1)))=("Q"),"false"),B2,Q266),Q266))</f>
        <v>#VALUE!</v>
      </c>
      <c r="R266" t="e">
        <f ca="1">IF((A1)=(2),"",IF((263)=(R3),IF(IF((INDEX(B1:XFD1,((A2)+(1))+(0)))=("store"),(INDEX(B1:XFD1,((A2)+(1))+(1)))=("R"),"false"),B2,R266),R266))</f>
        <v>#VALUE!</v>
      </c>
      <c r="S266" t="e">
        <f ca="1">IF((A1)=(2),"",IF((263)=(S3),IF(IF((INDEX(B1:XFD1,((A2)+(1))+(0)))=("store"),(INDEX(B1:XFD1,((A2)+(1))+(1)))=("S"),"false"),B2,S266),S266))</f>
        <v>#VALUE!</v>
      </c>
      <c r="T266" t="e">
        <f ca="1">IF((A1)=(2),"",IF((263)=(T3),IF(IF((INDEX(B1:XFD1,((A2)+(1))+(0)))=("store"),(INDEX(B1:XFD1,((A2)+(1))+(1)))=("T"),"false"),B2,T266),T266))</f>
        <v>#VALUE!</v>
      </c>
      <c r="U266" t="e">
        <f ca="1">IF((A1)=(2),"",IF((263)=(U3),IF(IF((INDEX(B1:XFD1,((A2)+(1))+(0)))=("store"),(INDEX(B1:XFD1,((A2)+(1))+(1)))=("U"),"false"),B2,U266),U266))</f>
        <v>#VALUE!</v>
      </c>
      <c r="V266" t="e">
        <f ca="1">IF((A1)=(2),"",IF((263)=(V3),IF(IF((INDEX(B1:XFD1,((A2)+(1))+(0)))=("store"),(INDEX(B1:XFD1,((A2)+(1))+(1)))=("V"),"false"),B2,V266),V266))</f>
        <v>#VALUE!</v>
      </c>
      <c r="W266" t="e">
        <f ca="1">IF((A1)=(2),"",IF((263)=(W3),IF(IF((INDEX(B1:XFD1,((A2)+(1))+(0)))=("store"),(INDEX(B1:XFD1,((A2)+(1))+(1)))=("W"),"false"),B2,W266),W266))</f>
        <v>#VALUE!</v>
      </c>
      <c r="X266" t="e">
        <f ca="1">IF((A1)=(2),"",IF((263)=(X3),IF(IF((INDEX(B1:XFD1,((A2)+(1))+(0)))=("store"),(INDEX(B1:XFD1,((A2)+(1))+(1)))=("X"),"false"),B2,X266),X266))</f>
        <v>#VALUE!</v>
      </c>
      <c r="Y266" t="e">
        <f ca="1">IF((A1)=(2),"",IF((263)=(Y3),IF(IF((INDEX(B1:XFD1,((A2)+(1))+(0)))=("store"),(INDEX(B1:XFD1,((A2)+(1))+(1)))=("Y"),"false"),B2,Y266),Y266))</f>
        <v>#VALUE!</v>
      </c>
      <c r="Z266" t="e">
        <f ca="1">IF((A1)=(2),"",IF((263)=(Z3),IF(IF((INDEX(B1:XFD1,((A2)+(1))+(0)))=("store"),(INDEX(B1:XFD1,((A2)+(1))+(1)))=("Z"),"false"),B2,Z266),Z266))</f>
        <v>#VALUE!</v>
      </c>
      <c r="AA266" t="e">
        <f ca="1">IF((A1)=(2),"",IF((263)=(AA3),IF(IF((INDEX(B1:XFD1,((A2)+(1))+(0)))=("store"),(INDEX(B1:XFD1,((A2)+(1))+(1)))=("AA"),"false"),B2,AA266),AA266))</f>
        <v>#VALUE!</v>
      </c>
      <c r="AB266" t="e">
        <f ca="1">IF((A1)=(2),"",IF((263)=(AB3),IF(IF((INDEX(B1:XFD1,((A2)+(1))+(0)))=("store"),(INDEX(B1:XFD1,((A2)+(1))+(1)))=("AB"),"false"),B2,AB266),AB266))</f>
        <v>#VALUE!</v>
      </c>
      <c r="AC266" t="e">
        <f ca="1">IF((A1)=(2),"",IF((263)=(AC3),IF(IF((INDEX(B1:XFD1,((A2)+(1))+(0)))=("store"),(INDEX(B1:XFD1,((A2)+(1))+(1)))=("AC"),"false"),B2,AC266),AC266))</f>
        <v>#VALUE!</v>
      </c>
      <c r="AD266" t="e">
        <f ca="1">IF((A1)=(2),"",IF((263)=(AD3),IF(IF((INDEX(B1:XFD1,((A2)+(1))+(0)))=("store"),(INDEX(B1:XFD1,((A2)+(1))+(1)))=("AD"),"false"),B2,AD266),AD266))</f>
        <v>#VALUE!</v>
      </c>
    </row>
    <row r="267" spans="1:30" x14ac:dyDescent="0.25">
      <c r="A267" t="e">
        <f ca="1">IF((A1)=(2),"",IF((264)=(A3),IF(("call")=(INDEX(B1:XFD1,((A2)+(1))+(0))),(B2)*(2),IF(("goto")=(INDEX(B1:XFD1,((A2)+(1))+(0))),(INDEX(B1:XFD1,((A2)+(1))+(1)))*(2),IF(("gotoiftrue")=(INDEX(B1:XFD1,((A2)+(1))+(0))),IF(B2,(INDEX(B1:XFD1,((A2)+(1))+(1)))*(2),(A267)+(2)),(A267)+(2)))),A267))</f>
        <v>#VALUE!</v>
      </c>
      <c r="B267" t="e">
        <f ca="1">IF((A1)=(2),"",IF((264)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267)+(1)),IF(("add")=(INDEX(B1:XFD1,((A2)+(1))+(0))),(INDEX(B4:B404,(B3)+(1)))+(B267),IF(("equals")=(INDEX(B1:XFD1,((A2)+(1))+(0))),(INDEX(B4:B404,(B3)+(1)))=(B267),IF(("leq")=(INDEX(B1:XFD1,((A2)+(1))+(0))),(INDEX(B4:B404,(B3)+(1)))&lt;=(B267),IF(("greater")=(INDEX(B1:XFD1,((A2)+(1))+(0))),(INDEX(B4:B404,(B3)+(1)))&gt;(B267),IF(("mod")=(INDEX(B1:XFD1,((A2)+(1))+(0))),MOD(INDEX(B4:B404,(B3)+(1)),B267),B267))))))))),B267))</f>
        <v>#VALUE!</v>
      </c>
      <c r="C267" t="e">
        <f ca="1">IF((A1)=(2),1,IF(AND((INDEX(B1:XFD1,((A2)+(1))+(0)))=("writeheap"),(INDEX(B4:B404,(B3)+(1)))=(263)),INDEX(B4:B404,(B3)+(2)),IF((A1)=(2),"",IF((264)=(C3),C267,C267))))</f>
        <v>#VALUE!</v>
      </c>
      <c r="E267" t="e">
        <f ca="1">IF((A1)=(2),"",IF((264)=(E3),IF(("outputline")=(INDEX(B1:XFD1,((A2)+(1))+(0))),B2,E267),E267))</f>
        <v>#VALUE!</v>
      </c>
      <c r="F267" t="e">
        <f ca="1">IF((A1)=(2),"",IF((264)=(F3),IF(IF((INDEX(B1:XFD1,((A2)+(1))+(0)))=("store"),(INDEX(B1:XFD1,((A2)+(1))+(1)))=("F"),"false"),B2,F267),F267))</f>
        <v>#VALUE!</v>
      </c>
      <c r="G267" t="e">
        <f ca="1">IF((A1)=(2),"",IF((264)=(G3),IF(IF((INDEX(B1:XFD1,((A2)+(1))+(0)))=("store"),(INDEX(B1:XFD1,((A2)+(1))+(1)))=("G"),"false"),B2,G267),G267))</f>
        <v>#VALUE!</v>
      </c>
      <c r="H267" t="e">
        <f ca="1">IF((A1)=(2),"",IF((264)=(H3),IF(IF((INDEX(B1:XFD1,((A2)+(1))+(0)))=("store"),(INDEX(B1:XFD1,((A2)+(1))+(1)))=("H"),"false"),B2,H267),H267))</f>
        <v>#VALUE!</v>
      </c>
      <c r="I267" t="e">
        <f ca="1">IF((A1)=(2),"",IF((264)=(I3),IF(IF((INDEX(B1:XFD1,((A2)+(1))+(0)))=("store"),(INDEX(B1:XFD1,((A2)+(1))+(1)))=("I"),"false"),B2,I267),I267))</f>
        <v>#VALUE!</v>
      </c>
      <c r="J267" t="e">
        <f ca="1">IF((A1)=(2),"",IF((264)=(J3),IF(IF((INDEX(B1:XFD1,((A2)+(1))+(0)))=("store"),(INDEX(B1:XFD1,((A2)+(1))+(1)))=("J"),"false"),B2,J267),J267))</f>
        <v>#VALUE!</v>
      </c>
      <c r="K267" t="e">
        <f ca="1">IF((A1)=(2),"",IF((264)=(K3),IF(IF((INDEX(B1:XFD1,((A2)+(1))+(0)))=("store"),(INDEX(B1:XFD1,((A2)+(1))+(1)))=("K"),"false"),B2,K267),K267))</f>
        <v>#VALUE!</v>
      </c>
      <c r="L267" t="e">
        <f ca="1">IF((A1)=(2),"",IF((264)=(L3),IF(IF((INDEX(B1:XFD1,((A2)+(1))+(0)))=("store"),(INDEX(B1:XFD1,((A2)+(1))+(1)))=("L"),"false"),B2,L267),L267))</f>
        <v>#VALUE!</v>
      </c>
      <c r="M267" t="e">
        <f ca="1">IF((A1)=(2),"",IF((264)=(M3),IF(IF((INDEX(B1:XFD1,((A2)+(1))+(0)))=("store"),(INDEX(B1:XFD1,((A2)+(1))+(1)))=("M"),"false"),B2,M267),M267))</f>
        <v>#VALUE!</v>
      </c>
      <c r="N267" t="e">
        <f ca="1">IF((A1)=(2),"",IF((264)=(N3),IF(IF((INDEX(B1:XFD1,((A2)+(1))+(0)))=("store"),(INDEX(B1:XFD1,((A2)+(1))+(1)))=("N"),"false"),B2,N267),N267))</f>
        <v>#VALUE!</v>
      </c>
      <c r="O267" t="e">
        <f ca="1">IF((A1)=(2),"",IF((264)=(O3),IF(IF((INDEX(B1:XFD1,((A2)+(1))+(0)))=("store"),(INDEX(B1:XFD1,((A2)+(1))+(1)))=("O"),"false"),B2,O267),O267))</f>
        <v>#VALUE!</v>
      </c>
      <c r="P267" t="e">
        <f ca="1">IF((A1)=(2),"",IF((264)=(P3),IF(IF((INDEX(B1:XFD1,((A2)+(1))+(0)))=("store"),(INDEX(B1:XFD1,((A2)+(1))+(1)))=("P"),"false"),B2,P267),P267))</f>
        <v>#VALUE!</v>
      </c>
      <c r="Q267" t="e">
        <f ca="1">IF((A1)=(2),"",IF((264)=(Q3),IF(IF((INDEX(B1:XFD1,((A2)+(1))+(0)))=("store"),(INDEX(B1:XFD1,((A2)+(1))+(1)))=("Q"),"false"),B2,Q267),Q267))</f>
        <v>#VALUE!</v>
      </c>
      <c r="R267" t="e">
        <f ca="1">IF((A1)=(2),"",IF((264)=(R3),IF(IF((INDEX(B1:XFD1,((A2)+(1))+(0)))=("store"),(INDEX(B1:XFD1,((A2)+(1))+(1)))=("R"),"false"),B2,R267),R267))</f>
        <v>#VALUE!</v>
      </c>
      <c r="S267" t="e">
        <f ca="1">IF((A1)=(2),"",IF((264)=(S3),IF(IF((INDEX(B1:XFD1,((A2)+(1))+(0)))=("store"),(INDEX(B1:XFD1,((A2)+(1))+(1)))=("S"),"false"),B2,S267),S267))</f>
        <v>#VALUE!</v>
      </c>
      <c r="T267" t="e">
        <f ca="1">IF((A1)=(2),"",IF((264)=(T3),IF(IF((INDEX(B1:XFD1,((A2)+(1))+(0)))=("store"),(INDEX(B1:XFD1,((A2)+(1))+(1)))=("T"),"false"),B2,T267),T267))</f>
        <v>#VALUE!</v>
      </c>
      <c r="U267" t="e">
        <f ca="1">IF((A1)=(2),"",IF((264)=(U3),IF(IF((INDEX(B1:XFD1,((A2)+(1))+(0)))=("store"),(INDEX(B1:XFD1,((A2)+(1))+(1)))=("U"),"false"),B2,U267),U267))</f>
        <v>#VALUE!</v>
      </c>
      <c r="V267" t="e">
        <f ca="1">IF((A1)=(2),"",IF((264)=(V3),IF(IF((INDEX(B1:XFD1,((A2)+(1))+(0)))=("store"),(INDEX(B1:XFD1,((A2)+(1))+(1)))=("V"),"false"),B2,V267),V267))</f>
        <v>#VALUE!</v>
      </c>
      <c r="W267" t="e">
        <f ca="1">IF((A1)=(2),"",IF((264)=(W3),IF(IF((INDEX(B1:XFD1,((A2)+(1))+(0)))=("store"),(INDEX(B1:XFD1,((A2)+(1))+(1)))=("W"),"false"),B2,W267),W267))</f>
        <v>#VALUE!</v>
      </c>
      <c r="X267" t="e">
        <f ca="1">IF((A1)=(2),"",IF((264)=(X3),IF(IF((INDEX(B1:XFD1,((A2)+(1))+(0)))=("store"),(INDEX(B1:XFD1,((A2)+(1))+(1)))=("X"),"false"),B2,X267),X267))</f>
        <v>#VALUE!</v>
      </c>
      <c r="Y267" t="e">
        <f ca="1">IF((A1)=(2),"",IF((264)=(Y3),IF(IF((INDEX(B1:XFD1,((A2)+(1))+(0)))=("store"),(INDEX(B1:XFD1,((A2)+(1))+(1)))=("Y"),"false"),B2,Y267),Y267))</f>
        <v>#VALUE!</v>
      </c>
      <c r="Z267" t="e">
        <f ca="1">IF((A1)=(2),"",IF((264)=(Z3),IF(IF((INDEX(B1:XFD1,((A2)+(1))+(0)))=("store"),(INDEX(B1:XFD1,((A2)+(1))+(1)))=("Z"),"false"),B2,Z267),Z267))</f>
        <v>#VALUE!</v>
      </c>
      <c r="AA267" t="e">
        <f ca="1">IF((A1)=(2),"",IF((264)=(AA3),IF(IF((INDEX(B1:XFD1,((A2)+(1))+(0)))=("store"),(INDEX(B1:XFD1,((A2)+(1))+(1)))=("AA"),"false"),B2,AA267),AA267))</f>
        <v>#VALUE!</v>
      </c>
      <c r="AB267" t="e">
        <f ca="1">IF((A1)=(2),"",IF((264)=(AB3),IF(IF((INDEX(B1:XFD1,((A2)+(1))+(0)))=("store"),(INDEX(B1:XFD1,((A2)+(1))+(1)))=("AB"),"false"),B2,AB267),AB267))</f>
        <v>#VALUE!</v>
      </c>
      <c r="AC267" t="e">
        <f ca="1">IF((A1)=(2),"",IF((264)=(AC3),IF(IF((INDEX(B1:XFD1,((A2)+(1))+(0)))=("store"),(INDEX(B1:XFD1,((A2)+(1))+(1)))=("AC"),"false"),B2,AC267),AC267))</f>
        <v>#VALUE!</v>
      </c>
      <c r="AD267" t="e">
        <f ca="1">IF((A1)=(2),"",IF((264)=(AD3),IF(IF((INDEX(B1:XFD1,((A2)+(1))+(0)))=("store"),(INDEX(B1:XFD1,((A2)+(1))+(1)))=("AD"),"false"),B2,AD267),AD267))</f>
        <v>#VALUE!</v>
      </c>
    </row>
    <row r="268" spans="1:30" x14ac:dyDescent="0.25">
      <c r="A268" t="e">
        <f ca="1">IF((A1)=(2),"",IF((265)=(A3),IF(("call")=(INDEX(B1:XFD1,((A2)+(1))+(0))),(B2)*(2),IF(("goto")=(INDEX(B1:XFD1,((A2)+(1))+(0))),(INDEX(B1:XFD1,((A2)+(1))+(1)))*(2),IF(("gotoiftrue")=(INDEX(B1:XFD1,((A2)+(1))+(0))),IF(B2,(INDEX(B1:XFD1,((A2)+(1))+(1)))*(2),(A268)+(2)),(A268)+(2)))),A268))</f>
        <v>#VALUE!</v>
      </c>
      <c r="B268" t="e">
        <f ca="1">IF((A1)=(2),"",IF((265)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268)+(1)),IF(("add")=(INDEX(B1:XFD1,((A2)+(1))+(0))),(INDEX(B4:B404,(B3)+(1)))+(B268),IF(("equals")=(INDEX(B1:XFD1,((A2)+(1))+(0))),(INDEX(B4:B404,(B3)+(1)))=(B268),IF(("leq")=(INDEX(B1:XFD1,((A2)+(1))+(0))),(INDEX(B4:B404,(B3)+(1)))&lt;=(B268),IF(("greater")=(INDEX(B1:XFD1,((A2)+(1))+(0))),(INDEX(B4:B404,(B3)+(1)))&gt;(B268),IF(("mod")=(INDEX(B1:XFD1,((A2)+(1))+(0))),MOD(INDEX(B4:B404,(B3)+(1)),B268),B268))))))))),B268))</f>
        <v>#VALUE!</v>
      </c>
      <c r="C268" t="e">
        <f ca="1">IF((A1)=(2),1,IF(AND((INDEX(B1:XFD1,((A2)+(1))+(0)))=("writeheap"),(INDEX(B4:B404,(B3)+(1)))=(264)),INDEX(B4:B404,(B3)+(2)),IF((A1)=(2),"",IF((265)=(C3),C268,C268))))</f>
        <v>#VALUE!</v>
      </c>
      <c r="E268" t="e">
        <f ca="1">IF((A1)=(2),"",IF((265)=(E3),IF(("outputline")=(INDEX(B1:XFD1,((A2)+(1))+(0))),B2,E268),E268))</f>
        <v>#VALUE!</v>
      </c>
      <c r="F268" t="e">
        <f ca="1">IF((A1)=(2),"",IF((265)=(F3),IF(IF((INDEX(B1:XFD1,((A2)+(1))+(0)))=("store"),(INDEX(B1:XFD1,((A2)+(1))+(1)))=("F"),"false"),B2,F268),F268))</f>
        <v>#VALUE!</v>
      </c>
      <c r="G268" t="e">
        <f ca="1">IF((A1)=(2),"",IF((265)=(G3),IF(IF((INDEX(B1:XFD1,((A2)+(1))+(0)))=("store"),(INDEX(B1:XFD1,((A2)+(1))+(1)))=("G"),"false"),B2,G268),G268))</f>
        <v>#VALUE!</v>
      </c>
      <c r="H268" t="e">
        <f ca="1">IF((A1)=(2),"",IF((265)=(H3),IF(IF((INDEX(B1:XFD1,((A2)+(1))+(0)))=("store"),(INDEX(B1:XFD1,((A2)+(1))+(1)))=("H"),"false"),B2,H268),H268))</f>
        <v>#VALUE!</v>
      </c>
      <c r="I268" t="e">
        <f ca="1">IF((A1)=(2),"",IF((265)=(I3),IF(IF((INDEX(B1:XFD1,((A2)+(1))+(0)))=("store"),(INDEX(B1:XFD1,((A2)+(1))+(1)))=("I"),"false"),B2,I268),I268))</f>
        <v>#VALUE!</v>
      </c>
      <c r="J268" t="e">
        <f ca="1">IF((A1)=(2),"",IF((265)=(J3),IF(IF((INDEX(B1:XFD1,((A2)+(1))+(0)))=("store"),(INDEX(B1:XFD1,((A2)+(1))+(1)))=("J"),"false"),B2,J268),J268))</f>
        <v>#VALUE!</v>
      </c>
      <c r="K268" t="e">
        <f ca="1">IF((A1)=(2),"",IF((265)=(K3),IF(IF((INDEX(B1:XFD1,((A2)+(1))+(0)))=("store"),(INDEX(B1:XFD1,((A2)+(1))+(1)))=("K"),"false"),B2,K268),K268))</f>
        <v>#VALUE!</v>
      </c>
      <c r="L268" t="e">
        <f ca="1">IF((A1)=(2),"",IF((265)=(L3),IF(IF((INDEX(B1:XFD1,((A2)+(1))+(0)))=("store"),(INDEX(B1:XFD1,((A2)+(1))+(1)))=("L"),"false"),B2,L268),L268))</f>
        <v>#VALUE!</v>
      </c>
      <c r="M268" t="e">
        <f ca="1">IF((A1)=(2),"",IF((265)=(M3),IF(IF((INDEX(B1:XFD1,((A2)+(1))+(0)))=("store"),(INDEX(B1:XFD1,((A2)+(1))+(1)))=("M"),"false"),B2,M268),M268))</f>
        <v>#VALUE!</v>
      </c>
      <c r="N268" t="e">
        <f ca="1">IF((A1)=(2),"",IF((265)=(N3),IF(IF((INDEX(B1:XFD1,((A2)+(1))+(0)))=("store"),(INDEX(B1:XFD1,((A2)+(1))+(1)))=("N"),"false"),B2,N268),N268))</f>
        <v>#VALUE!</v>
      </c>
      <c r="O268" t="e">
        <f ca="1">IF((A1)=(2),"",IF((265)=(O3),IF(IF((INDEX(B1:XFD1,((A2)+(1))+(0)))=("store"),(INDEX(B1:XFD1,((A2)+(1))+(1)))=("O"),"false"),B2,O268),O268))</f>
        <v>#VALUE!</v>
      </c>
      <c r="P268" t="e">
        <f ca="1">IF((A1)=(2),"",IF((265)=(P3),IF(IF((INDEX(B1:XFD1,((A2)+(1))+(0)))=("store"),(INDEX(B1:XFD1,((A2)+(1))+(1)))=("P"),"false"),B2,P268),P268))</f>
        <v>#VALUE!</v>
      </c>
      <c r="Q268" t="e">
        <f ca="1">IF((A1)=(2),"",IF((265)=(Q3),IF(IF((INDEX(B1:XFD1,((A2)+(1))+(0)))=("store"),(INDEX(B1:XFD1,((A2)+(1))+(1)))=("Q"),"false"),B2,Q268),Q268))</f>
        <v>#VALUE!</v>
      </c>
      <c r="R268" t="e">
        <f ca="1">IF((A1)=(2),"",IF((265)=(R3),IF(IF((INDEX(B1:XFD1,((A2)+(1))+(0)))=("store"),(INDEX(B1:XFD1,((A2)+(1))+(1)))=("R"),"false"),B2,R268),R268))</f>
        <v>#VALUE!</v>
      </c>
      <c r="S268" t="e">
        <f ca="1">IF((A1)=(2),"",IF((265)=(S3),IF(IF((INDEX(B1:XFD1,((A2)+(1))+(0)))=("store"),(INDEX(B1:XFD1,((A2)+(1))+(1)))=("S"),"false"),B2,S268),S268))</f>
        <v>#VALUE!</v>
      </c>
      <c r="T268" t="e">
        <f ca="1">IF((A1)=(2),"",IF((265)=(T3),IF(IF((INDEX(B1:XFD1,((A2)+(1))+(0)))=("store"),(INDEX(B1:XFD1,((A2)+(1))+(1)))=("T"),"false"),B2,T268),T268))</f>
        <v>#VALUE!</v>
      </c>
      <c r="U268" t="e">
        <f ca="1">IF((A1)=(2),"",IF((265)=(U3),IF(IF((INDEX(B1:XFD1,((A2)+(1))+(0)))=("store"),(INDEX(B1:XFD1,((A2)+(1))+(1)))=("U"),"false"),B2,U268),U268))</f>
        <v>#VALUE!</v>
      </c>
      <c r="V268" t="e">
        <f ca="1">IF((A1)=(2),"",IF((265)=(V3),IF(IF((INDEX(B1:XFD1,((A2)+(1))+(0)))=("store"),(INDEX(B1:XFD1,((A2)+(1))+(1)))=("V"),"false"),B2,V268),V268))</f>
        <v>#VALUE!</v>
      </c>
      <c r="W268" t="e">
        <f ca="1">IF((A1)=(2),"",IF((265)=(W3),IF(IF((INDEX(B1:XFD1,((A2)+(1))+(0)))=("store"),(INDEX(B1:XFD1,((A2)+(1))+(1)))=("W"),"false"),B2,W268),W268))</f>
        <v>#VALUE!</v>
      </c>
      <c r="X268" t="e">
        <f ca="1">IF((A1)=(2),"",IF((265)=(X3),IF(IF((INDEX(B1:XFD1,((A2)+(1))+(0)))=("store"),(INDEX(B1:XFD1,((A2)+(1))+(1)))=("X"),"false"),B2,X268),X268))</f>
        <v>#VALUE!</v>
      </c>
      <c r="Y268" t="e">
        <f ca="1">IF((A1)=(2),"",IF((265)=(Y3),IF(IF((INDEX(B1:XFD1,((A2)+(1))+(0)))=("store"),(INDEX(B1:XFD1,((A2)+(1))+(1)))=("Y"),"false"),B2,Y268),Y268))</f>
        <v>#VALUE!</v>
      </c>
      <c r="Z268" t="e">
        <f ca="1">IF((A1)=(2),"",IF((265)=(Z3),IF(IF((INDEX(B1:XFD1,((A2)+(1))+(0)))=("store"),(INDEX(B1:XFD1,((A2)+(1))+(1)))=("Z"),"false"),B2,Z268),Z268))</f>
        <v>#VALUE!</v>
      </c>
      <c r="AA268" t="e">
        <f ca="1">IF((A1)=(2),"",IF((265)=(AA3),IF(IF((INDEX(B1:XFD1,((A2)+(1))+(0)))=("store"),(INDEX(B1:XFD1,((A2)+(1))+(1)))=("AA"),"false"),B2,AA268),AA268))</f>
        <v>#VALUE!</v>
      </c>
      <c r="AB268" t="e">
        <f ca="1">IF((A1)=(2),"",IF((265)=(AB3),IF(IF((INDEX(B1:XFD1,((A2)+(1))+(0)))=("store"),(INDEX(B1:XFD1,((A2)+(1))+(1)))=("AB"),"false"),B2,AB268),AB268))</f>
        <v>#VALUE!</v>
      </c>
      <c r="AC268" t="e">
        <f ca="1">IF((A1)=(2),"",IF((265)=(AC3),IF(IF((INDEX(B1:XFD1,((A2)+(1))+(0)))=("store"),(INDEX(B1:XFD1,((A2)+(1))+(1)))=("AC"),"false"),B2,AC268),AC268))</f>
        <v>#VALUE!</v>
      </c>
      <c r="AD268" t="e">
        <f ca="1">IF((A1)=(2),"",IF((265)=(AD3),IF(IF((INDEX(B1:XFD1,((A2)+(1))+(0)))=("store"),(INDEX(B1:XFD1,((A2)+(1))+(1)))=("AD"),"false"),B2,AD268),AD268))</f>
        <v>#VALUE!</v>
      </c>
    </row>
    <row r="269" spans="1:30" x14ac:dyDescent="0.25">
      <c r="A269" t="e">
        <f ca="1">IF((A1)=(2),"",IF((266)=(A3),IF(("call")=(INDEX(B1:XFD1,((A2)+(1))+(0))),(B2)*(2),IF(("goto")=(INDEX(B1:XFD1,((A2)+(1))+(0))),(INDEX(B1:XFD1,((A2)+(1))+(1)))*(2),IF(("gotoiftrue")=(INDEX(B1:XFD1,((A2)+(1))+(0))),IF(B2,(INDEX(B1:XFD1,((A2)+(1))+(1)))*(2),(A269)+(2)),(A269)+(2)))),A269))</f>
        <v>#VALUE!</v>
      </c>
      <c r="B269" t="e">
        <f ca="1">IF((A1)=(2),"",IF((266)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269)+(1)),IF(("add")=(INDEX(B1:XFD1,((A2)+(1))+(0))),(INDEX(B4:B404,(B3)+(1)))+(B269),IF(("equals")=(INDEX(B1:XFD1,((A2)+(1))+(0))),(INDEX(B4:B404,(B3)+(1)))=(B269),IF(("leq")=(INDEX(B1:XFD1,((A2)+(1))+(0))),(INDEX(B4:B404,(B3)+(1)))&lt;=(B269),IF(("greater")=(INDEX(B1:XFD1,((A2)+(1))+(0))),(INDEX(B4:B404,(B3)+(1)))&gt;(B269),IF(("mod")=(INDEX(B1:XFD1,((A2)+(1))+(0))),MOD(INDEX(B4:B404,(B3)+(1)),B269),B269))))))))),B269))</f>
        <v>#VALUE!</v>
      </c>
      <c r="C269" t="e">
        <f ca="1">IF((A1)=(2),1,IF(AND((INDEX(B1:XFD1,((A2)+(1))+(0)))=("writeheap"),(INDEX(B4:B404,(B3)+(1)))=(265)),INDEX(B4:B404,(B3)+(2)),IF((A1)=(2),"",IF((266)=(C3),C269,C269))))</f>
        <v>#VALUE!</v>
      </c>
      <c r="E269" t="e">
        <f ca="1">IF((A1)=(2),"",IF((266)=(E3),IF(("outputline")=(INDEX(B1:XFD1,((A2)+(1))+(0))),B2,E269),E269))</f>
        <v>#VALUE!</v>
      </c>
      <c r="F269" t="e">
        <f ca="1">IF((A1)=(2),"",IF((266)=(F3),IF(IF((INDEX(B1:XFD1,((A2)+(1))+(0)))=("store"),(INDEX(B1:XFD1,((A2)+(1))+(1)))=("F"),"false"),B2,F269),F269))</f>
        <v>#VALUE!</v>
      </c>
      <c r="G269" t="e">
        <f ca="1">IF((A1)=(2),"",IF((266)=(G3),IF(IF((INDEX(B1:XFD1,((A2)+(1))+(0)))=("store"),(INDEX(B1:XFD1,((A2)+(1))+(1)))=("G"),"false"),B2,G269),G269))</f>
        <v>#VALUE!</v>
      </c>
      <c r="H269" t="e">
        <f ca="1">IF((A1)=(2),"",IF((266)=(H3),IF(IF((INDEX(B1:XFD1,((A2)+(1))+(0)))=("store"),(INDEX(B1:XFD1,((A2)+(1))+(1)))=("H"),"false"),B2,H269),H269))</f>
        <v>#VALUE!</v>
      </c>
      <c r="I269" t="e">
        <f ca="1">IF((A1)=(2),"",IF((266)=(I3),IF(IF((INDEX(B1:XFD1,((A2)+(1))+(0)))=("store"),(INDEX(B1:XFD1,((A2)+(1))+(1)))=("I"),"false"),B2,I269),I269))</f>
        <v>#VALUE!</v>
      </c>
      <c r="J269" t="e">
        <f ca="1">IF((A1)=(2),"",IF((266)=(J3),IF(IF((INDEX(B1:XFD1,((A2)+(1))+(0)))=("store"),(INDEX(B1:XFD1,((A2)+(1))+(1)))=("J"),"false"),B2,J269),J269))</f>
        <v>#VALUE!</v>
      </c>
      <c r="K269" t="e">
        <f ca="1">IF((A1)=(2),"",IF((266)=(K3),IF(IF((INDEX(B1:XFD1,((A2)+(1))+(0)))=("store"),(INDEX(B1:XFD1,((A2)+(1))+(1)))=("K"),"false"),B2,K269),K269))</f>
        <v>#VALUE!</v>
      </c>
      <c r="L269" t="e">
        <f ca="1">IF((A1)=(2),"",IF((266)=(L3),IF(IF((INDEX(B1:XFD1,((A2)+(1))+(0)))=("store"),(INDEX(B1:XFD1,((A2)+(1))+(1)))=("L"),"false"),B2,L269),L269))</f>
        <v>#VALUE!</v>
      </c>
      <c r="M269" t="e">
        <f ca="1">IF((A1)=(2),"",IF((266)=(M3),IF(IF((INDEX(B1:XFD1,((A2)+(1))+(0)))=("store"),(INDEX(B1:XFD1,((A2)+(1))+(1)))=("M"),"false"),B2,M269),M269))</f>
        <v>#VALUE!</v>
      </c>
      <c r="N269" t="e">
        <f ca="1">IF((A1)=(2),"",IF((266)=(N3),IF(IF((INDEX(B1:XFD1,((A2)+(1))+(0)))=("store"),(INDEX(B1:XFD1,((A2)+(1))+(1)))=("N"),"false"),B2,N269),N269))</f>
        <v>#VALUE!</v>
      </c>
      <c r="O269" t="e">
        <f ca="1">IF((A1)=(2),"",IF((266)=(O3),IF(IF((INDEX(B1:XFD1,((A2)+(1))+(0)))=("store"),(INDEX(B1:XFD1,((A2)+(1))+(1)))=("O"),"false"),B2,O269),O269))</f>
        <v>#VALUE!</v>
      </c>
      <c r="P269" t="e">
        <f ca="1">IF((A1)=(2),"",IF((266)=(P3),IF(IF((INDEX(B1:XFD1,((A2)+(1))+(0)))=("store"),(INDEX(B1:XFD1,((A2)+(1))+(1)))=("P"),"false"),B2,P269),P269))</f>
        <v>#VALUE!</v>
      </c>
      <c r="Q269" t="e">
        <f ca="1">IF((A1)=(2),"",IF((266)=(Q3),IF(IF((INDEX(B1:XFD1,((A2)+(1))+(0)))=("store"),(INDEX(B1:XFD1,((A2)+(1))+(1)))=("Q"),"false"),B2,Q269),Q269))</f>
        <v>#VALUE!</v>
      </c>
      <c r="R269" t="e">
        <f ca="1">IF((A1)=(2),"",IF((266)=(R3),IF(IF((INDEX(B1:XFD1,((A2)+(1))+(0)))=("store"),(INDEX(B1:XFD1,((A2)+(1))+(1)))=("R"),"false"),B2,R269),R269))</f>
        <v>#VALUE!</v>
      </c>
      <c r="S269" t="e">
        <f ca="1">IF((A1)=(2),"",IF((266)=(S3),IF(IF((INDEX(B1:XFD1,((A2)+(1))+(0)))=("store"),(INDEX(B1:XFD1,((A2)+(1))+(1)))=("S"),"false"),B2,S269),S269))</f>
        <v>#VALUE!</v>
      </c>
      <c r="T269" t="e">
        <f ca="1">IF((A1)=(2),"",IF((266)=(T3),IF(IF((INDEX(B1:XFD1,((A2)+(1))+(0)))=("store"),(INDEX(B1:XFD1,((A2)+(1))+(1)))=("T"),"false"),B2,T269),T269))</f>
        <v>#VALUE!</v>
      </c>
      <c r="U269" t="e">
        <f ca="1">IF((A1)=(2),"",IF((266)=(U3),IF(IF((INDEX(B1:XFD1,((A2)+(1))+(0)))=("store"),(INDEX(B1:XFD1,((A2)+(1))+(1)))=("U"),"false"),B2,U269),U269))</f>
        <v>#VALUE!</v>
      </c>
      <c r="V269" t="e">
        <f ca="1">IF((A1)=(2),"",IF((266)=(V3),IF(IF((INDEX(B1:XFD1,((A2)+(1))+(0)))=("store"),(INDEX(B1:XFD1,((A2)+(1))+(1)))=("V"),"false"),B2,V269),V269))</f>
        <v>#VALUE!</v>
      </c>
      <c r="W269" t="e">
        <f ca="1">IF((A1)=(2),"",IF((266)=(W3),IF(IF((INDEX(B1:XFD1,((A2)+(1))+(0)))=("store"),(INDEX(B1:XFD1,((A2)+(1))+(1)))=("W"),"false"),B2,W269),W269))</f>
        <v>#VALUE!</v>
      </c>
      <c r="X269" t="e">
        <f ca="1">IF((A1)=(2),"",IF((266)=(X3),IF(IF((INDEX(B1:XFD1,((A2)+(1))+(0)))=("store"),(INDEX(B1:XFD1,((A2)+(1))+(1)))=("X"),"false"),B2,X269),X269))</f>
        <v>#VALUE!</v>
      </c>
      <c r="Y269" t="e">
        <f ca="1">IF((A1)=(2),"",IF((266)=(Y3),IF(IF((INDEX(B1:XFD1,((A2)+(1))+(0)))=("store"),(INDEX(B1:XFD1,((A2)+(1))+(1)))=("Y"),"false"),B2,Y269),Y269))</f>
        <v>#VALUE!</v>
      </c>
      <c r="Z269" t="e">
        <f ca="1">IF((A1)=(2),"",IF((266)=(Z3),IF(IF((INDEX(B1:XFD1,((A2)+(1))+(0)))=("store"),(INDEX(B1:XFD1,((A2)+(1))+(1)))=("Z"),"false"),B2,Z269),Z269))</f>
        <v>#VALUE!</v>
      </c>
      <c r="AA269" t="e">
        <f ca="1">IF((A1)=(2),"",IF((266)=(AA3),IF(IF((INDEX(B1:XFD1,((A2)+(1))+(0)))=("store"),(INDEX(B1:XFD1,((A2)+(1))+(1)))=("AA"),"false"),B2,AA269),AA269))</f>
        <v>#VALUE!</v>
      </c>
      <c r="AB269" t="e">
        <f ca="1">IF((A1)=(2),"",IF((266)=(AB3),IF(IF((INDEX(B1:XFD1,((A2)+(1))+(0)))=("store"),(INDEX(B1:XFD1,((A2)+(1))+(1)))=("AB"),"false"),B2,AB269),AB269))</f>
        <v>#VALUE!</v>
      </c>
      <c r="AC269" t="e">
        <f ca="1">IF((A1)=(2),"",IF((266)=(AC3),IF(IF((INDEX(B1:XFD1,((A2)+(1))+(0)))=("store"),(INDEX(B1:XFD1,((A2)+(1))+(1)))=("AC"),"false"),B2,AC269),AC269))</f>
        <v>#VALUE!</v>
      </c>
      <c r="AD269" t="e">
        <f ca="1">IF((A1)=(2),"",IF((266)=(AD3),IF(IF((INDEX(B1:XFD1,((A2)+(1))+(0)))=("store"),(INDEX(B1:XFD1,((A2)+(1))+(1)))=("AD"),"false"),B2,AD269),AD269))</f>
        <v>#VALUE!</v>
      </c>
    </row>
    <row r="270" spans="1:30" x14ac:dyDescent="0.25">
      <c r="A270" t="e">
        <f ca="1">IF((A1)=(2),"",IF((267)=(A3),IF(("call")=(INDEX(B1:XFD1,((A2)+(1))+(0))),(B2)*(2),IF(("goto")=(INDEX(B1:XFD1,((A2)+(1))+(0))),(INDEX(B1:XFD1,((A2)+(1))+(1)))*(2),IF(("gotoiftrue")=(INDEX(B1:XFD1,((A2)+(1))+(0))),IF(B2,(INDEX(B1:XFD1,((A2)+(1))+(1)))*(2),(A270)+(2)),(A270)+(2)))),A270))</f>
        <v>#VALUE!</v>
      </c>
      <c r="B270" t="e">
        <f ca="1">IF((A1)=(2),"",IF((267)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270)+(1)),IF(("add")=(INDEX(B1:XFD1,((A2)+(1))+(0))),(INDEX(B4:B404,(B3)+(1)))+(B270),IF(("equals")=(INDEX(B1:XFD1,((A2)+(1))+(0))),(INDEX(B4:B404,(B3)+(1)))=(B270),IF(("leq")=(INDEX(B1:XFD1,((A2)+(1))+(0))),(INDEX(B4:B404,(B3)+(1)))&lt;=(B270),IF(("greater")=(INDEX(B1:XFD1,((A2)+(1))+(0))),(INDEX(B4:B404,(B3)+(1)))&gt;(B270),IF(("mod")=(INDEX(B1:XFD1,((A2)+(1))+(0))),MOD(INDEX(B4:B404,(B3)+(1)),B270),B270))))))))),B270))</f>
        <v>#VALUE!</v>
      </c>
      <c r="C270" t="e">
        <f ca="1">IF((A1)=(2),1,IF(AND((INDEX(B1:XFD1,((A2)+(1))+(0)))=("writeheap"),(INDEX(B4:B404,(B3)+(1)))=(266)),INDEX(B4:B404,(B3)+(2)),IF((A1)=(2),"",IF((267)=(C3),C270,C270))))</f>
        <v>#VALUE!</v>
      </c>
      <c r="E270" t="e">
        <f ca="1">IF((A1)=(2),"",IF((267)=(E3),IF(("outputline")=(INDEX(B1:XFD1,((A2)+(1))+(0))),B2,E270),E270))</f>
        <v>#VALUE!</v>
      </c>
      <c r="F270" t="e">
        <f ca="1">IF((A1)=(2),"",IF((267)=(F3),IF(IF((INDEX(B1:XFD1,((A2)+(1))+(0)))=("store"),(INDEX(B1:XFD1,((A2)+(1))+(1)))=("F"),"false"),B2,F270),F270))</f>
        <v>#VALUE!</v>
      </c>
      <c r="G270" t="e">
        <f ca="1">IF((A1)=(2),"",IF((267)=(G3),IF(IF((INDEX(B1:XFD1,((A2)+(1))+(0)))=("store"),(INDEX(B1:XFD1,((A2)+(1))+(1)))=("G"),"false"),B2,G270),G270))</f>
        <v>#VALUE!</v>
      </c>
      <c r="H270" t="e">
        <f ca="1">IF((A1)=(2),"",IF((267)=(H3),IF(IF((INDEX(B1:XFD1,((A2)+(1))+(0)))=("store"),(INDEX(B1:XFD1,((A2)+(1))+(1)))=("H"),"false"),B2,H270),H270))</f>
        <v>#VALUE!</v>
      </c>
      <c r="I270" t="e">
        <f ca="1">IF((A1)=(2),"",IF((267)=(I3),IF(IF((INDEX(B1:XFD1,((A2)+(1))+(0)))=("store"),(INDEX(B1:XFD1,((A2)+(1))+(1)))=("I"),"false"),B2,I270),I270))</f>
        <v>#VALUE!</v>
      </c>
      <c r="J270" t="e">
        <f ca="1">IF((A1)=(2),"",IF((267)=(J3),IF(IF((INDEX(B1:XFD1,((A2)+(1))+(0)))=("store"),(INDEX(B1:XFD1,((A2)+(1))+(1)))=("J"),"false"),B2,J270),J270))</f>
        <v>#VALUE!</v>
      </c>
      <c r="K270" t="e">
        <f ca="1">IF((A1)=(2),"",IF((267)=(K3),IF(IF((INDEX(B1:XFD1,((A2)+(1))+(0)))=("store"),(INDEX(B1:XFD1,((A2)+(1))+(1)))=("K"),"false"),B2,K270),K270))</f>
        <v>#VALUE!</v>
      </c>
      <c r="L270" t="e">
        <f ca="1">IF((A1)=(2),"",IF((267)=(L3),IF(IF((INDEX(B1:XFD1,((A2)+(1))+(0)))=("store"),(INDEX(B1:XFD1,((A2)+(1))+(1)))=("L"),"false"),B2,L270),L270))</f>
        <v>#VALUE!</v>
      </c>
      <c r="M270" t="e">
        <f ca="1">IF((A1)=(2),"",IF((267)=(M3),IF(IF((INDEX(B1:XFD1,((A2)+(1))+(0)))=("store"),(INDEX(B1:XFD1,((A2)+(1))+(1)))=("M"),"false"),B2,M270),M270))</f>
        <v>#VALUE!</v>
      </c>
      <c r="N270" t="e">
        <f ca="1">IF((A1)=(2),"",IF((267)=(N3),IF(IF((INDEX(B1:XFD1,((A2)+(1))+(0)))=("store"),(INDEX(B1:XFD1,((A2)+(1))+(1)))=("N"),"false"),B2,N270),N270))</f>
        <v>#VALUE!</v>
      </c>
      <c r="O270" t="e">
        <f ca="1">IF((A1)=(2),"",IF((267)=(O3),IF(IF((INDEX(B1:XFD1,((A2)+(1))+(0)))=("store"),(INDEX(B1:XFD1,((A2)+(1))+(1)))=("O"),"false"),B2,O270),O270))</f>
        <v>#VALUE!</v>
      </c>
      <c r="P270" t="e">
        <f ca="1">IF((A1)=(2),"",IF((267)=(P3),IF(IF((INDEX(B1:XFD1,((A2)+(1))+(0)))=("store"),(INDEX(B1:XFD1,((A2)+(1))+(1)))=("P"),"false"),B2,P270),P270))</f>
        <v>#VALUE!</v>
      </c>
      <c r="Q270" t="e">
        <f ca="1">IF((A1)=(2),"",IF((267)=(Q3),IF(IF((INDEX(B1:XFD1,((A2)+(1))+(0)))=("store"),(INDEX(B1:XFD1,((A2)+(1))+(1)))=("Q"),"false"),B2,Q270),Q270))</f>
        <v>#VALUE!</v>
      </c>
      <c r="R270" t="e">
        <f ca="1">IF((A1)=(2),"",IF((267)=(R3),IF(IF((INDEX(B1:XFD1,((A2)+(1))+(0)))=("store"),(INDEX(B1:XFD1,((A2)+(1))+(1)))=("R"),"false"),B2,R270),R270))</f>
        <v>#VALUE!</v>
      </c>
      <c r="S270" t="e">
        <f ca="1">IF((A1)=(2),"",IF((267)=(S3),IF(IF((INDEX(B1:XFD1,((A2)+(1))+(0)))=("store"),(INDEX(B1:XFD1,((A2)+(1))+(1)))=("S"),"false"),B2,S270),S270))</f>
        <v>#VALUE!</v>
      </c>
      <c r="T270" t="e">
        <f ca="1">IF((A1)=(2),"",IF((267)=(T3),IF(IF((INDEX(B1:XFD1,((A2)+(1))+(0)))=("store"),(INDEX(B1:XFD1,((A2)+(1))+(1)))=("T"),"false"),B2,T270),T270))</f>
        <v>#VALUE!</v>
      </c>
      <c r="U270" t="e">
        <f ca="1">IF((A1)=(2),"",IF((267)=(U3),IF(IF((INDEX(B1:XFD1,((A2)+(1))+(0)))=("store"),(INDEX(B1:XFD1,((A2)+(1))+(1)))=("U"),"false"),B2,U270),U270))</f>
        <v>#VALUE!</v>
      </c>
      <c r="V270" t="e">
        <f ca="1">IF((A1)=(2),"",IF((267)=(V3),IF(IF((INDEX(B1:XFD1,((A2)+(1))+(0)))=("store"),(INDEX(B1:XFD1,((A2)+(1))+(1)))=("V"),"false"),B2,V270),V270))</f>
        <v>#VALUE!</v>
      </c>
      <c r="W270" t="e">
        <f ca="1">IF((A1)=(2),"",IF((267)=(W3),IF(IF((INDEX(B1:XFD1,((A2)+(1))+(0)))=("store"),(INDEX(B1:XFD1,((A2)+(1))+(1)))=("W"),"false"),B2,W270),W270))</f>
        <v>#VALUE!</v>
      </c>
      <c r="X270" t="e">
        <f ca="1">IF((A1)=(2),"",IF((267)=(X3),IF(IF((INDEX(B1:XFD1,((A2)+(1))+(0)))=("store"),(INDEX(B1:XFD1,((A2)+(1))+(1)))=("X"),"false"),B2,X270),X270))</f>
        <v>#VALUE!</v>
      </c>
      <c r="Y270" t="e">
        <f ca="1">IF((A1)=(2),"",IF((267)=(Y3),IF(IF((INDEX(B1:XFD1,((A2)+(1))+(0)))=("store"),(INDEX(B1:XFD1,((A2)+(1))+(1)))=("Y"),"false"),B2,Y270),Y270))</f>
        <v>#VALUE!</v>
      </c>
      <c r="Z270" t="e">
        <f ca="1">IF((A1)=(2),"",IF((267)=(Z3),IF(IF((INDEX(B1:XFD1,((A2)+(1))+(0)))=("store"),(INDEX(B1:XFD1,((A2)+(1))+(1)))=("Z"),"false"),B2,Z270),Z270))</f>
        <v>#VALUE!</v>
      </c>
      <c r="AA270" t="e">
        <f ca="1">IF((A1)=(2),"",IF((267)=(AA3),IF(IF((INDEX(B1:XFD1,((A2)+(1))+(0)))=("store"),(INDEX(B1:XFD1,((A2)+(1))+(1)))=("AA"),"false"),B2,AA270),AA270))</f>
        <v>#VALUE!</v>
      </c>
      <c r="AB270" t="e">
        <f ca="1">IF((A1)=(2),"",IF((267)=(AB3),IF(IF((INDEX(B1:XFD1,((A2)+(1))+(0)))=("store"),(INDEX(B1:XFD1,((A2)+(1))+(1)))=("AB"),"false"),B2,AB270),AB270))</f>
        <v>#VALUE!</v>
      </c>
      <c r="AC270" t="e">
        <f ca="1">IF((A1)=(2),"",IF((267)=(AC3),IF(IF((INDEX(B1:XFD1,((A2)+(1))+(0)))=("store"),(INDEX(B1:XFD1,((A2)+(1))+(1)))=("AC"),"false"),B2,AC270),AC270))</f>
        <v>#VALUE!</v>
      </c>
      <c r="AD270" t="e">
        <f ca="1">IF((A1)=(2),"",IF((267)=(AD3),IF(IF((INDEX(B1:XFD1,((A2)+(1))+(0)))=("store"),(INDEX(B1:XFD1,((A2)+(1))+(1)))=("AD"),"false"),B2,AD270),AD270))</f>
        <v>#VALUE!</v>
      </c>
    </row>
    <row r="271" spans="1:30" x14ac:dyDescent="0.25">
      <c r="A271" t="e">
        <f ca="1">IF((A1)=(2),"",IF((268)=(A3),IF(("call")=(INDEX(B1:XFD1,((A2)+(1))+(0))),(B2)*(2),IF(("goto")=(INDEX(B1:XFD1,((A2)+(1))+(0))),(INDEX(B1:XFD1,((A2)+(1))+(1)))*(2),IF(("gotoiftrue")=(INDEX(B1:XFD1,((A2)+(1))+(0))),IF(B2,(INDEX(B1:XFD1,((A2)+(1))+(1)))*(2),(A271)+(2)),(A271)+(2)))),A271))</f>
        <v>#VALUE!</v>
      </c>
      <c r="B271" t="e">
        <f ca="1">IF((A1)=(2),"",IF((268)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271)+(1)),IF(("add")=(INDEX(B1:XFD1,((A2)+(1))+(0))),(INDEX(B4:B404,(B3)+(1)))+(B271),IF(("equals")=(INDEX(B1:XFD1,((A2)+(1))+(0))),(INDEX(B4:B404,(B3)+(1)))=(B271),IF(("leq")=(INDEX(B1:XFD1,((A2)+(1))+(0))),(INDEX(B4:B404,(B3)+(1)))&lt;=(B271),IF(("greater")=(INDEX(B1:XFD1,((A2)+(1))+(0))),(INDEX(B4:B404,(B3)+(1)))&gt;(B271),IF(("mod")=(INDEX(B1:XFD1,((A2)+(1))+(0))),MOD(INDEX(B4:B404,(B3)+(1)),B271),B271))))))))),B271))</f>
        <v>#VALUE!</v>
      </c>
      <c r="C271" t="e">
        <f ca="1">IF((A1)=(2),1,IF(AND((INDEX(B1:XFD1,((A2)+(1))+(0)))=("writeheap"),(INDEX(B4:B404,(B3)+(1)))=(267)),INDEX(B4:B404,(B3)+(2)),IF((A1)=(2),"",IF((268)=(C3),C271,C271))))</f>
        <v>#VALUE!</v>
      </c>
      <c r="E271" t="e">
        <f ca="1">IF((A1)=(2),"",IF((268)=(E3),IF(("outputline")=(INDEX(B1:XFD1,((A2)+(1))+(0))),B2,E271),E271))</f>
        <v>#VALUE!</v>
      </c>
      <c r="F271" t="e">
        <f ca="1">IF((A1)=(2),"",IF((268)=(F3),IF(IF((INDEX(B1:XFD1,((A2)+(1))+(0)))=("store"),(INDEX(B1:XFD1,((A2)+(1))+(1)))=("F"),"false"),B2,F271),F271))</f>
        <v>#VALUE!</v>
      </c>
      <c r="G271" t="e">
        <f ca="1">IF((A1)=(2),"",IF((268)=(G3),IF(IF((INDEX(B1:XFD1,((A2)+(1))+(0)))=("store"),(INDEX(B1:XFD1,((A2)+(1))+(1)))=("G"),"false"),B2,G271),G271))</f>
        <v>#VALUE!</v>
      </c>
      <c r="H271" t="e">
        <f ca="1">IF((A1)=(2),"",IF((268)=(H3),IF(IF((INDEX(B1:XFD1,((A2)+(1))+(0)))=("store"),(INDEX(B1:XFD1,((A2)+(1))+(1)))=("H"),"false"),B2,H271),H271))</f>
        <v>#VALUE!</v>
      </c>
      <c r="I271" t="e">
        <f ca="1">IF((A1)=(2),"",IF((268)=(I3),IF(IF((INDEX(B1:XFD1,((A2)+(1))+(0)))=("store"),(INDEX(B1:XFD1,((A2)+(1))+(1)))=("I"),"false"),B2,I271),I271))</f>
        <v>#VALUE!</v>
      </c>
      <c r="J271" t="e">
        <f ca="1">IF((A1)=(2),"",IF((268)=(J3),IF(IF((INDEX(B1:XFD1,((A2)+(1))+(0)))=("store"),(INDEX(B1:XFD1,((A2)+(1))+(1)))=("J"),"false"),B2,J271),J271))</f>
        <v>#VALUE!</v>
      </c>
      <c r="K271" t="e">
        <f ca="1">IF((A1)=(2),"",IF((268)=(K3),IF(IF((INDEX(B1:XFD1,((A2)+(1))+(0)))=("store"),(INDEX(B1:XFD1,((A2)+(1))+(1)))=("K"),"false"),B2,K271),K271))</f>
        <v>#VALUE!</v>
      </c>
      <c r="L271" t="e">
        <f ca="1">IF((A1)=(2),"",IF((268)=(L3),IF(IF((INDEX(B1:XFD1,((A2)+(1))+(0)))=("store"),(INDEX(B1:XFD1,((A2)+(1))+(1)))=("L"),"false"),B2,L271),L271))</f>
        <v>#VALUE!</v>
      </c>
      <c r="M271" t="e">
        <f ca="1">IF((A1)=(2),"",IF((268)=(M3),IF(IF((INDEX(B1:XFD1,((A2)+(1))+(0)))=("store"),(INDEX(B1:XFD1,((A2)+(1))+(1)))=("M"),"false"),B2,M271),M271))</f>
        <v>#VALUE!</v>
      </c>
      <c r="N271" t="e">
        <f ca="1">IF((A1)=(2),"",IF((268)=(N3),IF(IF((INDEX(B1:XFD1,((A2)+(1))+(0)))=("store"),(INDEX(B1:XFD1,((A2)+(1))+(1)))=("N"),"false"),B2,N271),N271))</f>
        <v>#VALUE!</v>
      </c>
      <c r="O271" t="e">
        <f ca="1">IF((A1)=(2),"",IF((268)=(O3),IF(IF((INDEX(B1:XFD1,((A2)+(1))+(0)))=("store"),(INDEX(B1:XFD1,((A2)+(1))+(1)))=("O"),"false"),B2,O271),O271))</f>
        <v>#VALUE!</v>
      </c>
      <c r="P271" t="e">
        <f ca="1">IF((A1)=(2),"",IF((268)=(P3),IF(IF((INDEX(B1:XFD1,((A2)+(1))+(0)))=("store"),(INDEX(B1:XFD1,((A2)+(1))+(1)))=("P"),"false"),B2,P271),P271))</f>
        <v>#VALUE!</v>
      </c>
      <c r="Q271" t="e">
        <f ca="1">IF((A1)=(2),"",IF((268)=(Q3),IF(IF((INDEX(B1:XFD1,((A2)+(1))+(0)))=("store"),(INDEX(B1:XFD1,((A2)+(1))+(1)))=("Q"),"false"),B2,Q271),Q271))</f>
        <v>#VALUE!</v>
      </c>
      <c r="R271" t="e">
        <f ca="1">IF((A1)=(2),"",IF((268)=(R3),IF(IF((INDEX(B1:XFD1,((A2)+(1))+(0)))=("store"),(INDEX(B1:XFD1,((A2)+(1))+(1)))=("R"),"false"),B2,R271),R271))</f>
        <v>#VALUE!</v>
      </c>
      <c r="S271" t="e">
        <f ca="1">IF((A1)=(2),"",IF((268)=(S3),IF(IF((INDEX(B1:XFD1,((A2)+(1))+(0)))=("store"),(INDEX(B1:XFD1,((A2)+(1))+(1)))=("S"),"false"),B2,S271),S271))</f>
        <v>#VALUE!</v>
      </c>
      <c r="T271" t="e">
        <f ca="1">IF((A1)=(2),"",IF((268)=(T3),IF(IF((INDEX(B1:XFD1,((A2)+(1))+(0)))=("store"),(INDEX(B1:XFD1,((A2)+(1))+(1)))=("T"),"false"),B2,T271),T271))</f>
        <v>#VALUE!</v>
      </c>
      <c r="U271" t="e">
        <f ca="1">IF((A1)=(2),"",IF((268)=(U3),IF(IF((INDEX(B1:XFD1,((A2)+(1))+(0)))=("store"),(INDEX(B1:XFD1,((A2)+(1))+(1)))=("U"),"false"),B2,U271),U271))</f>
        <v>#VALUE!</v>
      </c>
      <c r="V271" t="e">
        <f ca="1">IF((A1)=(2),"",IF((268)=(V3),IF(IF((INDEX(B1:XFD1,((A2)+(1))+(0)))=("store"),(INDEX(B1:XFD1,((A2)+(1))+(1)))=("V"),"false"),B2,V271),V271))</f>
        <v>#VALUE!</v>
      </c>
      <c r="W271" t="e">
        <f ca="1">IF((A1)=(2),"",IF((268)=(W3),IF(IF((INDEX(B1:XFD1,((A2)+(1))+(0)))=("store"),(INDEX(B1:XFD1,((A2)+(1))+(1)))=("W"),"false"),B2,W271),W271))</f>
        <v>#VALUE!</v>
      </c>
      <c r="X271" t="e">
        <f ca="1">IF((A1)=(2),"",IF((268)=(X3),IF(IF((INDEX(B1:XFD1,((A2)+(1))+(0)))=("store"),(INDEX(B1:XFD1,((A2)+(1))+(1)))=("X"),"false"),B2,X271),X271))</f>
        <v>#VALUE!</v>
      </c>
      <c r="Y271" t="e">
        <f ca="1">IF((A1)=(2),"",IF((268)=(Y3),IF(IF((INDEX(B1:XFD1,((A2)+(1))+(0)))=("store"),(INDEX(B1:XFD1,((A2)+(1))+(1)))=("Y"),"false"),B2,Y271),Y271))</f>
        <v>#VALUE!</v>
      </c>
      <c r="Z271" t="e">
        <f ca="1">IF((A1)=(2),"",IF((268)=(Z3),IF(IF((INDEX(B1:XFD1,((A2)+(1))+(0)))=("store"),(INDEX(B1:XFD1,((A2)+(1))+(1)))=("Z"),"false"),B2,Z271),Z271))</f>
        <v>#VALUE!</v>
      </c>
      <c r="AA271" t="e">
        <f ca="1">IF((A1)=(2),"",IF((268)=(AA3),IF(IF((INDEX(B1:XFD1,((A2)+(1))+(0)))=("store"),(INDEX(B1:XFD1,((A2)+(1))+(1)))=("AA"),"false"),B2,AA271),AA271))</f>
        <v>#VALUE!</v>
      </c>
      <c r="AB271" t="e">
        <f ca="1">IF((A1)=(2),"",IF((268)=(AB3),IF(IF((INDEX(B1:XFD1,((A2)+(1))+(0)))=("store"),(INDEX(B1:XFD1,((A2)+(1))+(1)))=("AB"),"false"),B2,AB271),AB271))</f>
        <v>#VALUE!</v>
      </c>
      <c r="AC271" t="e">
        <f ca="1">IF((A1)=(2),"",IF((268)=(AC3),IF(IF((INDEX(B1:XFD1,((A2)+(1))+(0)))=("store"),(INDEX(B1:XFD1,((A2)+(1))+(1)))=("AC"),"false"),B2,AC271),AC271))</f>
        <v>#VALUE!</v>
      </c>
      <c r="AD271" t="e">
        <f ca="1">IF((A1)=(2),"",IF((268)=(AD3),IF(IF((INDEX(B1:XFD1,((A2)+(1))+(0)))=("store"),(INDEX(B1:XFD1,((A2)+(1))+(1)))=("AD"),"false"),B2,AD271),AD271))</f>
        <v>#VALUE!</v>
      </c>
    </row>
    <row r="272" spans="1:30" x14ac:dyDescent="0.25">
      <c r="A272" t="e">
        <f ca="1">IF((A1)=(2),"",IF((269)=(A3),IF(("call")=(INDEX(B1:XFD1,((A2)+(1))+(0))),(B2)*(2),IF(("goto")=(INDEX(B1:XFD1,((A2)+(1))+(0))),(INDEX(B1:XFD1,((A2)+(1))+(1)))*(2),IF(("gotoiftrue")=(INDEX(B1:XFD1,((A2)+(1))+(0))),IF(B2,(INDEX(B1:XFD1,((A2)+(1))+(1)))*(2),(A272)+(2)),(A272)+(2)))),A272))</f>
        <v>#VALUE!</v>
      </c>
      <c r="B272" t="e">
        <f ca="1">IF((A1)=(2),"",IF((269)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272)+(1)),IF(("add")=(INDEX(B1:XFD1,((A2)+(1))+(0))),(INDEX(B4:B404,(B3)+(1)))+(B272),IF(("equals")=(INDEX(B1:XFD1,((A2)+(1))+(0))),(INDEX(B4:B404,(B3)+(1)))=(B272),IF(("leq")=(INDEX(B1:XFD1,((A2)+(1))+(0))),(INDEX(B4:B404,(B3)+(1)))&lt;=(B272),IF(("greater")=(INDEX(B1:XFD1,((A2)+(1))+(0))),(INDEX(B4:B404,(B3)+(1)))&gt;(B272),IF(("mod")=(INDEX(B1:XFD1,((A2)+(1))+(0))),MOD(INDEX(B4:B404,(B3)+(1)),B272),B272))))))))),B272))</f>
        <v>#VALUE!</v>
      </c>
      <c r="C272" t="e">
        <f ca="1">IF((A1)=(2),1,IF(AND((INDEX(B1:XFD1,((A2)+(1))+(0)))=("writeheap"),(INDEX(B4:B404,(B3)+(1)))=(268)),INDEX(B4:B404,(B3)+(2)),IF((A1)=(2),"",IF((269)=(C3),C272,C272))))</f>
        <v>#VALUE!</v>
      </c>
      <c r="E272" t="e">
        <f ca="1">IF((A1)=(2),"",IF((269)=(E3),IF(("outputline")=(INDEX(B1:XFD1,((A2)+(1))+(0))),B2,E272),E272))</f>
        <v>#VALUE!</v>
      </c>
      <c r="F272" t="e">
        <f ca="1">IF((A1)=(2),"",IF((269)=(F3),IF(IF((INDEX(B1:XFD1,((A2)+(1))+(0)))=("store"),(INDEX(B1:XFD1,((A2)+(1))+(1)))=("F"),"false"),B2,F272),F272))</f>
        <v>#VALUE!</v>
      </c>
      <c r="G272" t="e">
        <f ca="1">IF((A1)=(2),"",IF((269)=(G3),IF(IF((INDEX(B1:XFD1,((A2)+(1))+(0)))=("store"),(INDEX(B1:XFD1,((A2)+(1))+(1)))=("G"),"false"),B2,G272),G272))</f>
        <v>#VALUE!</v>
      </c>
      <c r="H272" t="e">
        <f ca="1">IF((A1)=(2),"",IF((269)=(H3),IF(IF((INDEX(B1:XFD1,((A2)+(1))+(0)))=("store"),(INDEX(B1:XFD1,((A2)+(1))+(1)))=("H"),"false"),B2,H272),H272))</f>
        <v>#VALUE!</v>
      </c>
      <c r="I272" t="e">
        <f ca="1">IF((A1)=(2),"",IF((269)=(I3),IF(IF((INDEX(B1:XFD1,((A2)+(1))+(0)))=("store"),(INDEX(B1:XFD1,((A2)+(1))+(1)))=("I"),"false"),B2,I272),I272))</f>
        <v>#VALUE!</v>
      </c>
      <c r="J272" t="e">
        <f ca="1">IF((A1)=(2),"",IF((269)=(J3),IF(IF((INDEX(B1:XFD1,((A2)+(1))+(0)))=("store"),(INDEX(B1:XFD1,((A2)+(1))+(1)))=("J"),"false"),B2,J272),J272))</f>
        <v>#VALUE!</v>
      </c>
      <c r="K272" t="e">
        <f ca="1">IF((A1)=(2),"",IF((269)=(K3),IF(IF((INDEX(B1:XFD1,((A2)+(1))+(0)))=("store"),(INDEX(B1:XFD1,((A2)+(1))+(1)))=("K"),"false"),B2,K272),K272))</f>
        <v>#VALUE!</v>
      </c>
      <c r="L272" t="e">
        <f ca="1">IF((A1)=(2),"",IF((269)=(L3),IF(IF((INDEX(B1:XFD1,((A2)+(1))+(0)))=("store"),(INDEX(B1:XFD1,((A2)+(1))+(1)))=("L"),"false"),B2,L272),L272))</f>
        <v>#VALUE!</v>
      </c>
      <c r="M272" t="e">
        <f ca="1">IF((A1)=(2),"",IF((269)=(M3),IF(IF((INDEX(B1:XFD1,((A2)+(1))+(0)))=("store"),(INDEX(B1:XFD1,((A2)+(1))+(1)))=("M"),"false"),B2,M272),M272))</f>
        <v>#VALUE!</v>
      </c>
      <c r="N272" t="e">
        <f ca="1">IF((A1)=(2),"",IF((269)=(N3),IF(IF((INDEX(B1:XFD1,((A2)+(1))+(0)))=("store"),(INDEX(B1:XFD1,((A2)+(1))+(1)))=("N"),"false"),B2,N272),N272))</f>
        <v>#VALUE!</v>
      </c>
      <c r="O272" t="e">
        <f ca="1">IF((A1)=(2),"",IF((269)=(O3),IF(IF((INDEX(B1:XFD1,((A2)+(1))+(0)))=("store"),(INDEX(B1:XFD1,((A2)+(1))+(1)))=("O"),"false"),B2,O272),O272))</f>
        <v>#VALUE!</v>
      </c>
      <c r="P272" t="e">
        <f ca="1">IF((A1)=(2),"",IF((269)=(P3),IF(IF((INDEX(B1:XFD1,((A2)+(1))+(0)))=("store"),(INDEX(B1:XFD1,((A2)+(1))+(1)))=("P"),"false"),B2,P272),P272))</f>
        <v>#VALUE!</v>
      </c>
      <c r="Q272" t="e">
        <f ca="1">IF((A1)=(2),"",IF((269)=(Q3),IF(IF((INDEX(B1:XFD1,((A2)+(1))+(0)))=("store"),(INDEX(B1:XFD1,((A2)+(1))+(1)))=("Q"),"false"),B2,Q272),Q272))</f>
        <v>#VALUE!</v>
      </c>
      <c r="R272" t="e">
        <f ca="1">IF((A1)=(2),"",IF((269)=(R3),IF(IF((INDEX(B1:XFD1,((A2)+(1))+(0)))=("store"),(INDEX(B1:XFD1,((A2)+(1))+(1)))=("R"),"false"),B2,R272),R272))</f>
        <v>#VALUE!</v>
      </c>
      <c r="S272" t="e">
        <f ca="1">IF((A1)=(2),"",IF((269)=(S3),IF(IF((INDEX(B1:XFD1,((A2)+(1))+(0)))=("store"),(INDEX(B1:XFD1,((A2)+(1))+(1)))=("S"),"false"),B2,S272),S272))</f>
        <v>#VALUE!</v>
      </c>
      <c r="T272" t="e">
        <f ca="1">IF((A1)=(2),"",IF((269)=(T3),IF(IF((INDEX(B1:XFD1,((A2)+(1))+(0)))=("store"),(INDEX(B1:XFD1,((A2)+(1))+(1)))=("T"),"false"),B2,T272),T272))</f>
        <v>#VALUE!</v>
      </c>
      <c r="U272" t="e">
        <f ca="1">IF((A1)=(2),"",IF((269)=(U3),IF(IF((INDEX(B1:XFD1,((A2)+(1))+(0)))=("store"),(INDEX(B1:XFD1,((A2)+(1))+(1)))=("U"),"false"),B2,U272),U272))</f>
        <v>#VALUE!</v>
      </c>
      <c r="V272" t="e">
        <f ca="1">IF((A1)=(2),"",IF((269)=(V3),IF(IF((INDEX(B1:XFD1,((A2)+(1))+(0)))=("store"),(INDEX(B1:XFD1,((A2)+(1))+(1)))=("V"),"false"),B2,V272),V272))</f>
        <v>#VALUE!</v>
      </c>
      <c r="W272" t="e">
        <f ca="1">IF((A1)=(2),"",IF((269)=(W3),IF(IF((INDEX(B1:XFD1,((A2)+(1))+(0)))=("store"),(INDEX(B1:XFD1,((A2)+(1))+(1)))=("W"),"false"),B2,W272),W272))</f>
        <v>#VALUE!</v>
      </c>
      <c r="X272" t="e">
        <f ca="1">IF((A1)=(2),"",IF((269)=(X3),IF(IF((INDEX(B1:XFD1,((A2)+(1))+(0)))=("store"),(INDEX(B1:XFD1,((A2)+(1))+(1)))=("X"),"false"),B2,X272),X272))</f>
        <v>#VALUE!</v>
      </c>
      <c r="Y272" t="e">
        <f ca="1">IF((A1)=(2),"",IF((269)=(Y3),IF(IF((INDEX(B1:XFD1,((A2)+(1))+(0)))=("store"),(INDEX(B1:XFD1,((A2)+(1))+(1)))=("Y"),"false"),B2,Y272),Y272))</f>
        <v>#VALUE!</v>
      </c>
      <c r="Z272" t="e">
        <f ca="1">IF((A1)=(2),"",IF((269)=(Z3),IF(IF((INDEX(B1:XFD1,((A2)+(1))+(0)))=("store"),(INDEX(B1:XFD1,((A2)+(1))+(1)))=("Z"),"false"),B2,Z272),Z272))</f>
        <v>#VALUE!</v>
      </c>
      <c r="AA272" t="e">
        <f ca="1">IF((A1)=(2),"",IF((269)=(AA3),IF(IF((INDEX(B1:XFD1,((A2)+(1))+(0)))=("store"),(INDEX(B1:XFD1,((A2)+(1))+(1)))=("AA"),"false"),B2,AA272),AA272))</f>
        <v>#VALUE!</v>
      </c>
      <c r="AB272" t="e">
        <f ca="1">IF((A1)=(2),"",IF((269)=(AB3),IF(IF((INDEX(B1:XFD1,((A2)+(1))+(0)))=("store"),(INDEX(B1:XFD1,((A2)+(1))+(1)))=("AB"),"false"),B2,AB272),AB272))</f>
        <v>#VALUE!</v>
      </c>
      <c r="AC272" t="e">
        <f ca="1">IF((A1)=(2),"",IF((269)=(AC3),IF(IF((INDEX(B1:XFD1,((A2)+(1))+(0)))=("store"),(INDEX(B1:XFD1,((A2)+(1))+(1)))=("AC"),"false"),B2,AC272),AC272))</f>
        <v>#VALUE!</v>
      </c>
      <c r="AD272" t="e">
        <f ca="1">IF((A1)=(2),"",IF((269)=(AD3),IF(IF((INDEX(B1:XFD1,((A2)+(1))+(0)))=("store"),(INDEX(B1:XFD1,((A2)+(1))+(1)))=("AD"),"false"),B2,AD272),AD272))</f>
        <v>#VALUE!</v>
      </c>
    </row>
    <row r="273" spans="1:30" x14ac:dyDescent="0.25">
      <c r="A273" t="e">
        <f ca="1">IF((A1)=(2),"",IF((270)=(A3),IF(("call")=(INDEX(B1:XFD1,((A2)+(1))+(0))),(B2)*(2),IF(("goto")=(INDEX(B1:XFD1,((A2)+(1))+(0))),(INDEX(B1:XFD1,((A2)+(1))+(1)))*(2),IF(("gotoiftrue")=(INDEX(B1:XFD1,((A2)+(1))+(0))),IF(B2,(INDEX(B1:XFD1,((A2)+(1))+(1)))*(2),(A273)+(2)),(A273)+(2)))),A273))</f>
        <v>#VALUE!</v>
      </c>
      <c r="B273" t="e">
        <f ca="1">IF((A1)=(2),"",IF((270)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273)+(1)),IF(("add")=(INDEX(B1:XFD1,((A2)+(1))+(0))),(INDEX(B4:B404,(B3)+(1)))+(B273),IF(("equals")=(INDEX(B1:XFD1,((A2)+(1))+(0))),(INDEX(B4:B404,(B3)+(1)))=(B273),IF(("leq")=(INDEX(B1:XFD1,((A2)+(1))+(0))),(INDEX(B4:B404,(B3)+(1)))&lt;=(B273),IF(("greater")=(INDEX(B1:XFD1,((A2)+(1))+(0))),(INDEX(B4:B404,(B3)+(1)))&gt;(B273),IF(("mod")=(INDEX(B1:XFD1,((A2)+(1))+(0))),MOD(INDEX(B4:B404,(B3)+(1)),B273),B273))))))))),B273))</f>
        <v>#VALUE!</v>
      </c>
      <c r="C273" t="e">
        <f ca="1">IF((A1)=(2),1,IF(AND((INDEX(B1:XFD1,((A2)+(1))+(0)))=("writeheap"),(INDEX(B4:B404,(B3)+(1)))=(269)),INDEX(B4:B404,(B3)+(2)),IF((A1)=(2),"",IF((270)=(C3),C273,C273))))</f>
        <v>#VALUE!</v>
      </c>
      <c r="E273" t="e">
        <f ca="1">IF((A1)=(2),"",IF((270)=(E3),IF(("outputline")=(INDEX(B1:XFD1,((A2)+(1))+(0))),B2,E273),E273))</f>
        <v>#VALUE!</v>
      </c>
      <c r="F273" t="e">
        <f ca="1">IF((A1)=(2),"",IF((270)=(F3),IF(IF((INDEX(B1:XFD1,((A2)+(1))+(0)))=("store"),(INDEX(B1:XFD1,((A2)+(1))+(1)))=("F"),"false"),B2,F273),F273))</f>
        <v>#VALUE!</v>
      </c>
      <c r="G273" t="e">
        <f ca="1">IF((A1)=(2),"",IF((270)=(G3),IF(IF((INDEX(B1:XFD1,((A2)+(1))+(0)))=("store"),(INDEX(B1:XFD1,((A2)+(1))+(1)))=("G"),"false"),B2,G273),G273))</f>
        <v>#VALUE!</v>
      </c>
      <c r="H273" t="e">
        <f ca="1">IF((A1)=(2),"",IF((270)=(H3),IF(IF((INDEX(B1:XFD1,((A2)+(1))+(0)))=("store"),(INDEX(B1:XFD1,((A2)+(1))+(1)))=("H"),"false"),B2,H273),H273))</f>
        <v>#VALUE!</v>
      </c>
      <c r="I273" t="e">
        <f ca="1">IF((A1)=(2),"",IF((270)=(I3),IF(IF((INDEX(B1:XFD1,((A2)+(1))+(0)))=("store"),(INDEX(B1:XFD1,((A2)+(1))+(1)))=("I"),"false"),B2,I273),I273))</f>
        <v>#VALUE!</v>
      </c>
      <c r="J273" t="e">
        <f ca="1">IF((A1)=(2),"",IF((270)=(J3),IF(IF((INDEX(B1:XFD1,((A2)+(1))+(0)))=("store"),(INDEX(B1:XFD1,((A2)+(1))+(1)))=("J"),"false"),B2,J273),J273))</f>
        <v>#VALUE!</v>
      </c>
      <c r="K273" t="e">
        <f ca="1">IF((A1)=(2),"",IF((270)=(K3),IF(IF((INDEX(B1:XFD1,((A2)+(1))+(0)))=("store"),(INDEX(B1:XFD1,((A2)+(1))+(1)))=("K"),"false"),B2,K273),K273))</f>
        <v>#VALUE!</v>
      </c>
      <c r="L273" t="e">
        <f ca="1">IF((A1)=(2),"",IF((270)=(L3),IF(IF((INDEX(B1:XFD1,((A2)+(1))+(0)))=("store"),(INDEX(B1:XFD1,((A2)+(1))+(1)))=("L"),"false"),B2,L273),L273))</f>
        <v>#VALUE!</v>
      </c>
      <c r="M273" t="e">
        <f ca="1">IF((A1)=(2),"",IF((270)=(M3),IF(IF((INDEX(B1:XFD1,((A2)+(1))+(0)))=("store"),(INDEX(B1:XFD1,((A2)+(1))+(1)))=("M"),"false"),B2,M273),M273))</f>
        <v>#VALUE!</v>
      </c>
      <c r="N273" t="e">
        <f ca="1">IF((A1)=(2),"",IF((270)=(N3),IF(IF((INDEX(B1:XFD1,((A2)+(1))+(0)))=("store"),(INDEX(B1:XFD1,((A2)+(1))+(1)))=("N"),"false"),B2,N273),N273))</f>
        <v>#VALUE!</v>
      </c>
      <c r="O273" t="e">
        <f ca="1">IF((A1)=(2),"",IF((270)=(O3),IF(IF((INDEX(B1:XFD1,((A2)+(1))+(0)))=("store"),(INDEX(B1:XFD1,((A2)+(1))+(1)))=("O"),"false"),B2,O273),O273))</f>
        <v>#VALUE!</v>
      </c>
      <c r="P273" t="e">
        <f ca="1">IF((A1)=(2),"",IF((270)=(P3),IF(IF((INDEX(B1:XFD1,((A2)+(1))+(0)))=("store"),(INDEX(B1:XFD1,((A2)+(1))+(1)))=("P"),"false"),B2,P273),P273))</f>
        <v>#VALUE!</v>
      </c>
      <c r="Q273" t="e">
        <f ca="1">IF((A1)=(2),"",IF((270)=(Q3),IF(IF((INDEX(B1:XFD1,((A2)+(1))+(0)))=("store"),(INDEX(B1:XFD1,((A2)+(1))+(1)))=("Q"),"false"),B2,Q273),Q273))</f>
        <v>#VALUE!</v>
      </c>
      <c r="R273" t="e">
        <f ca="1">IF((A1)=(2),"",IF((270)=(R3),IF(IF((INDEX(B1:XFD1,((A2)+(1))+(0)))=("store"),(INDEX(B1:XFD1,((A2)+(1))+(1)))=("R"),"false"),B2,R273),R273))</f>
        <v>#VALUE!</v>
      </c>
      <c r="S273" t="e">
        <f ca="1">IF((A1)=(2),"",IF((270)=(S3),IF(IF((INDEX(B1:XFD1,((A2)+(1))+(0)))=("store"),(INDEX(B1:XFD1,((A2)+(1))+(1)))=("S"),"false"),B2,S273),S273))</f>
        <v>#VALUE!</v>
      </c>
      <c r="T273" t="e">
        <f ca="1">IF((A1)=(2),"",IF((270)=(T3),IF(IF((INDEX(B1:XFD1,((A2)+(1))+(0)))=("store"),(INDEX(B1:XFD1,((A2)+(1))+(1)))=("T"),"false"),B2,T273),T273))</f>
        <v>#VALUE!</v>
      </c>
      <c r="U273" t="e">
        <f ca="1">IF((A1)=(2),"",IF((270)=(U3),IF(IF((INDEX(B1:XFD1,((A2)+(1))+(0)))=("store"),(INDEX(B1:XFD1,((A2)+(1))+(1)))=("U"),"false"),B2,U273),U273))</f>
        <v>#VALUE!</v>
      </c>
      <c r="V273" t="e">
        <f ca="1">IF((A1)=(2),"",IF((270)=(V3),IF(IF((INDEX(B1:XFD1,((A2)+(1))+(0)))=("store"),(INDEX(B1:XFD1,((A2)+(1))+(1)))=("V"),"false"),B2,V273),V273))</f>
        <v>#VALUE!</v>
      </c>
      <c r="W273" t="e">
        <f ca="1">IF((A1)=(2),"",IF((270)=(W3),IF(IF((INDEX(B1:XFD1,((A2)+(1))+(0)))=("store"),(INDEX(B1:XFD1,((A2)+(1))+(1)))=("W"),"false"),B2,W273),W273))</f>
        <v>#VALUE!</v>
      </c>
      <c r="X273" t="e">
        <f ca="1">IF((A1)=(2),"",IF((270)=(X3),IF(IF((INDEX(B1:XFD1,((A2)+(1))+(0)))=("store"),(INDEX(B1:XFD1,((A2)+(1))+(1)))=("X"),"false"),B2,X273),X273))</f>
        <v>#VALUE!</v>
      </c>
      <c r="Y273" t="e">
        <f ca="1">IF((A1)=(2),"",IF((270)=(Y3),IF(IF((INDEX(B1:XFD1,((A2)+(1))+(0)))=("store"),(INDEX(B1:XFD1,((A2)+(1))+(1)))=("Y"),"false"),B2,Y273),Y273))</f>
        <v>#VALUE!</v>
      </c>
      <c r="Z273" t="e">
        <f ca="1">IF((A1)=(2),"",IF((270)=(Z3),IF(IF((INDEX(B1:XFD1,((A2)+(1))+(0)))=("store"),(INDEX(B1:XFD1,((A2)+(1))+(1)))=("Z"),"false"),B2,Z273),Z273))</f>
        <v>#VALUE!</v>
      </c>
      <c r="AA273" t="e">
        <f ca="1">IF((A1)=(2),"",IF((270)=(AA3),IF(IF((INDEX(B1:XFD1,((A2)+(1))+(0)))=("store"),(INDEX(B1:XFD1,((A2)+(1))+(1)))=("AA"),"false"),B2,AA273),AA273))</f>
        <v>#VALUE!</v>
      </c>
      <c r="AB273" t="e">
        <f ca="1">IF((A1)=(2),"",IF((270)=(AB3),IF(IF((INDEX(B1:XFD1,((A2)+(1))+(0)))=("store"),(INDEX(B1:XFD1,((A2)+(1))+(1)))=("AB"),"false"),B2,AB273),AB273))</f>
        <v>#VALUE!</v>
      </c>
      <c r="AC273" t="e">
        <f ca="1">IF((A1)=(2),"",IF((270)=(AC3),IF(IF((INDEX(B1:XFD1,((A2)+(1))+(0)))=("store"),(INDEX(B1:XFD1,((A2)+(1))+(1)))=("AC"),"false"),B2,AC273),AC273))</f>
        <v>#VALUE!</v>
      </c>
      <c r="AD273" t="e">
        <f ca="1">IF((A1)=(2),"",IF((270)=(AD3),IF(IF((INDEX(B1:XFD1,((A2)+(1))+(0)))=("store"),(INDEX(B1:XFD1,((A2)+(1))+(1)))=("AD"),"false"),B2,AD273),AD273))</f>
        <v>#VALUE!</v>
      </c>
    </row>
    <row r="274" spans="1:30" x14ac:dyDescent="0.25">
      <c r="A274" t="e">
        <f ca="1">IF((A1)=(2),"",IF((271)=(A3),IF(("call")=(INDEX(B1:XFD1,((A2)+(1))+(0))),(B2)*(2),IF(("goto")=(INDEX(B1:XFD1,((A2)+(1))+(0))),(INDEX(B1:XFD1,((A2)+(1))+(1)))*(2),IF(("gotoiftrue")=(INDEX(B1:XFD1,((A2)+(1))+(0))),IF(B2,(INDEX(B1:XFD1,((A2)+(1))+(1)))*(2),(A274)+(2)),(A274)+(2)))),A274))</f>
        <v>#VALUE!</v>
      </c>
      <c r="B274" t="e">
        <f ca="1">IF((A1)=(2),"",IF((271)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274)+(1)),IF(("add")=(INDEX(B1:XFD1,((A2)+(1))+(0))),(INDEX(B4:B404,(B3)+(1)))+(B274),IF(("equals")=(INDEX(B1:XFD1,((A2)+(1))+(0))),(INDEX(B4:B404,(B3)+(1)))=(B274),IF(("leq")=(INDEX(B1:XFD1,((A2)+(1))+(0))),(INDEX(B4:B404,(B3)+(1)))&lt;=(B274),IF(("greater")=(INDEX(B1:XFD1,((A2)+(1))+(0))),(INDEX(B4:B404,(B3)+(1)))&gt;(B274),IF(("mod")=(INDEX(B1:XFD1,((A2)+(1))+(0))),MOD(INDEX(B4:B404,(B3)+(1)),B274),B274))))))))),B274))</f>
        <v>#VALUE!</v>
      </c>
      <c r="C274" t="e">
        <f ca="1">IF((A1)=(2),1,IF(AND((INDEX(B1:XFD1,((A2)+(1))+(0)))=("writeheap"),(INDEX(B4:B404,(B3)+(1)))=(270)),INDEX(B4:B404,(B3)+(2)),IF((A1)=(2),"",IF((271)=(C3),C274,C274))))</f>
        <v>#VALUE!</v>
      </c>
      <c r="E274" t="e">
        <f ca="1">IF((A1)=(2),"",IF((271)=(E3),IF(("outputline")=(INDEX(B1:XFD1,((A2)+(1))+(0))),B2,E274),E274))</f>
        <v>#VALUE!</v>
      </c>
      <c r="F274" t="e">
        <f ca="1">IF((A1)=(2),"",IF((271)=(F3),IF(IF((INDEX(B1:XFD1,((A2)+(1))+(0)))=("store"),(INDEX(B1:XFD1,((A2)+(1))+(1)))=("F"),"false"),B2,F274),F274))</f>
        <v>#VALUE!</v>
      </c>
      <c r="G274" t="e">
        <f ca="1">IF((A1)=(2),"",IF((271)=(G3),IF(IF((INDEX(B1:XFD1,((A2)+(1))+(0)))=("store"),(INDEX(B1:XFD1,((A2)+(1))+(1)))=("G"),"false"),B2,G274),G274))</f>
        <v>#VALUE!</v>
      </c>
      <c r="H274" t="e">
        <f ca="1">IF((A1)=(2),"",IF((271)=(H3),IF(IF((INDEX(B1:XFD1,((A2)+(1))+(0)))=("store"),(INDEX(B1:XFD1,((A2)+(1))+(1)))=("H"),"false"),B2,H274),H274))</f>
        <v>#VALUE!</v>
      </c>
      <c r="I274" t="e">
        <f ca="1">IF((A1)=(2),"",IF((271)=(I3),IF(IF((INDEX(B1:XFD1,((A2)+(1))+(0)))=("store"),(INDEX(B1:XFD1,((A2)+(1))+(1)))=("I"),"false"),B2,I274),I274))</f>
        <v>#VALUE!</v>
      </c>
      <c r="J274" t="e">
        <f ca="1">IF((A1)=(2),"",IF((271)=(J3),IF(IF((INDEX(B1:XFD1,((A2)+(1))+(0)))=("store"),(INDEX(B1:XFD1,((A2)+(1))+(1)))=("J"),"false"),B2,J274),J274))</f>
        <v>#VALUE!</v>
      </c>
      <c r="K274" t="e">
        <f ca="1">IF((A1)=(2),"",IF((271)=(K3),IF(IF((INDEX(B1:XFD1,((A2)+(1))+(0)))=("store"),(INDEX(B1:XFD1,((A2)+(1))+(1)))=("K"),"false"),B2,K274),K274))</f>
        <v>#VALUE!</v>
      </c>
      <c r="L274" t="e">
        <f ca="1">IF((A1)=(2),"",IF((271)=(L3),IF(IF((INDEX(B1:XFD1,((A2)+(1))+(0)))=("store"),(INDEX(B1:XFD1,((A2)+(1))+(1)))=("L"),"false"),B2,L274),L274))</f>
        <v>#VALUE!</v>
      </c>
      <c r="M274" t="e">
        <f ca="1">IF((A1)=(2),"",IF((271)=(M3),IF(IF((INDEX(B1:XFD1,((A2)+(1))+(0)))=("store"),(INDEX(B1:XFD1,((A2)+(1))+(1)))=("M"),"false"),B2,M274),M274))</f>
        <v>#VALUE!</v>
      </c>
      <c r="N274" t="e">
        <f ca="1">IF((A1)=(2),"",IF((271)=(N3),IF(IF((INDEX(B1:XFD1,((A2)+(1))+(0)))=("store"),(INDEX(B1:XFD1,((A2)+(1))+(1)))=("N"),"false"),B2,N274),N274))</f>
        <v>#VALUE!</v>
      </c>
      <c r="O274" t="e">
        <f ca="1">IF((A1)=(2),"",IF((271)=(O3),IF(IF((INDEX(B1:XFD1,((A2)+(1))+(0)))=("store"),(INDEX(B1:XFD1,((A2)+(1))+(1)))=("O"),"false"),B2,O274),O274))</f>
        <v>#VALUE!</v>
      </c>
      <c r="P274" t="e">
        <f ca="1">IF((A1)=(2),"",IF((271)=(P3),IF(IF((INDEX(B1:XFD1,((A2)+(1))+(0)))=("store"),(INDEX(B1:XFD1,((A2)+(1))+(1)))=("P"),"false"),B2,P274),P274))</f>
        <v>#VALUE!</v>
      </c>
      <c r="Q274" t="e">
        <f ca="1">IF((A1)=(2),"",IF((271)=(Q3),IF(IF((INDEX(B1:XFD1,((A2)+(1))+(0)))=("store"),(INDEX(B1:XFD1,((A2)+(1))+(1)))=("Q"),"false"),B2,Q274),Q274))</f>
        <v>#VALUE!</v>
      </c>
      <c r="R274" t="e">
        <f ca="1">IF((A1)=(2),"",IF((271)=(R3),IF(IF((INDEX(B1:XFD1,((A2)+(1))+(0)))=("store"),(INDEX(B1:XFD1,((A2)+(1))+(1)))=("R"),"false"),B2,R274),R274))</f>
        <v>#VALUE!</v>
      </c>
      <c r="S274" t="e">
        <f ca="1">IF((A1)=(2),"",IF((271)=(S3),IF(IF((INDEX(B1:XFD1,((A2)+(1))+(0)))=("store"),(INDEX(B1:XFD1,((A2)+(1))+(1)))=("S"),"false"),B2,S274),S274))</f>
        <v>#VALUE!</v>
      </c>
      <c r="T274" t="e">
        <f ca="1">IF((A1)=(2),"",IF((271)=(T3),IF(IF((INDEX(B1:XFD1,((A2)+(1))+(0)))=("store"),(INDEX(B1:XFD1,((A2)+(1))+(1)))=("T"),"false"),B2,T274),T274))</f>
        <v>#VALUE!</v>
      </c>
      <c r="U274" t="e">
        <f ca="1">IF((A1)=(2),"",IF((271)=(U3),IF(IF((INDEX(B1:XFD1,((A2)+(1))+(0)))=("store"),(INDEX(B1:XFD1,((A2)+(1))+(1)))=("U"),"false"),B2,U274),U274))</f>
        <v>#VALUE!</v>
      </c>
      <c r="V274" t="e">
        <f ca="1">IF((A1)=(2),"",IF((271)=(V3),IF(IF((INDEX(B1:XFD1,((A2)+(1))+(0)))=("store"),(INDEX(B1:XFD1,((A2)+(1))+(1)))=("V"),"false"),B2,V274),V274))</f>
        <v>#VALUE!</v>
      </c>
      <c r="W274" t="e">
        <f ca="1">IF((A1)=(2),"",IF((271)=(W3),IF(IF((INDEX(B1:XFD1,((A2)+(1))+(0)))=("store"),(INDEX(B1:XFD1,((A2)+(1))+(1)))=("W"),"false"),B2,W274),W274))</f>
        <v>#VALUE!</v>
      </c>
      <c r="X274" t="e">
        <f ca="1">IF((A1)=(2),"",IF((271)=(X3),IF(IF((INDEX(B1:XFD1,((A2)+(1))+(0)))=("store"),(INDEX(B1:XFD1,((A2)+(1))+(1)))=("X"),"false"),B2,X274),X274))</f>
        <v>#VALUE!</v>
      </c>
      <c r="Y274" t="e">
        <f ca="1">IF((A1)=(2),"",IF((271)=(Y3),IF(IF((INDEX(B1:XFD1,((A2)+(1))+(0)))=("store"),(INDEX(B1:XFD1,((A2)+(1))+(1)))=("Y"),"false"),B2,Y274),Y274))</f>
        <v>#VALUE!</v>
      </c>
      <c r="Z274" t="e">
        <f ca="1">IF((A1)=(2),"",IF((271)=(Z3),IF(IF((INDEX(B1:XFD1,((A2)+(1))+(0)))=("store"),(INDEX(B1:XFD1,((A2)+(1))+(1)))=("Z"),"false"),B2,Z274),Z274))</f>
        <v>#VALUE!</v>
      </c>
      <c r="AA274" t="e">
        <f ca="1">IF((A1)=(2),"",IF((271)=(AA3),IF(IF((INDEX(B1:XFD1,((A2)+(1))+(0)))=("store"),(INDEX(B1:XFD1,((A2)+(1))+(1)))=("AA"),"false"),B2,AA274),AA274))</f>
        <v>#VALUE!</v>
      </c>
      <c r="AB274" t="e">
        <f ca="1">IF((A1)=(2),"",IF((271)=(AB3),IF(IF((INDEX(B1:XFD1,((A2)+(1))+(0)))=("store"),(INDEX(B1:XFD1,((A2)+(1))+(1)))=("AB"),"false"),B2,AB274),AB274))</f>
        <v>#VALUE!</v>
      </c>
      <c r="AC274" t="e">
        <f ca="1">IF((A1)=(2),"",IF((271)=(AC3),IF(IF((INDEX(B1:XFD1,((A2)+(1))+(0)))=("store"),(INDEX(B1:XFD1,((A2)+(1))+(1)))=("AC"),"false"),B2,AC274),AC274))</f>
        <v>#VALUE!</v>
      </c>
      <c r="AD274" t="e">
        <f ca="1">IF((A1)=(2),"",IF((271)=(AD3),IF(IF((INDEX(B1:XFD1,((A2)+(1))+(0)))=("store"),(INDEX(B1:XFD1,((A2)+(1))+(1)))=("AD"),"false"),B2,AD274),AD274))</f>
        <v>#VALUE!</v>
      </c>
    </row>
    <row r="275" spans="1:30" x14ac:dyDescent="0.25">
      <c r="A275" t="e">
        <f ca="1">IF((A1)=(2),"",IF((272)=(A3),IF(("call")=(INDEX(B1:XFD1,((A2)+(1))+(0))),(B2)*(2),IF(("goto")=(INDEX(B1:XFD1,((A2)+(1))+(0))),(INDEX(B1:XFD1,((A2)+(1))+(1)))*(2),IF(("gotoiftrue")=(INDEX(B1:XFD1,((A2)+(1))+(0))),IF(B2,(INDEX(B1:XFD1,((A2)+(1))+(1)))*(2),(A275)+(2)),(A275)+(2)))),A275))</f>
        <v>#VALUE!</v>
      </c>
      <c r="B275" t="e">
        <f ca="1">IF((A1)=(2),"",IF((272)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275)+(1)),IF(("add")=(INDEX(B1:XFD1,((A2)+(1))+(0))),(INDEX(B4:B404,(B3)+(1)))+(B275),IF(("equals")=(INDEX(B1:XFD1,((A2)+(1))+(0))),(INDEX(B4:B404,(B3)+(1)))=(B275),IF(("leq")=(INDEX(B1:XFD1,((A2)+(1))+(0))),(INDEX(B4:B404,(B3)+(1)))&lt;=(B275),IF(("greater")=(INDEX(B1:XFD1,((A2)+(1))+(0))),(INDEX(B4:B404,(B3)+(1)))&gt;(B275),IF(("mod")=(INDEX(B1:XFD1,((A2)+(1))+(0))),MOD(INDEX(B4:B404,(B3)+(1)),B275),B275))))))))),B275))</f>
        <v>#VALUE!</v>
      </c>
      <c r="C275" t="e">
        <f ca="1">IF((A1)=(2),1,IF(AND((INDEX(B1:XFD1,((A2)+(1))+(0)))=("writeheap"),(INDEX(B4:B404,(B3)+(1)))=(271)),INDEX(B4:B404,(B3)+(2)),IF((A1)=(2),"",IF((272)=(C3),C275,C275))))</f>
        <v>#VALUE!</v>
      </c>
      <c r="E275" t="e">
        <f ca="1">IF((A1)=(2),"",IF((272)=(E3),IF(("outputline")=(INDEX(B1:XFD1,((A2)+(1))+(0))),B2,E275),E275))</f>
        <v>#VALUE!</v>
      </c>
      <c r="F275" t="e">
        <f ca="1">IF((A1)=(2),"",IF((272)=(F3),IF(IF((INDEX(B1:XFD1,((A2)+(1))+(0)))=("store"),(INDEX(B1:XFD1,((A2)+(1))+(1)))=("F"),"false"),B2,F275),F275))</f>
        <v>#VALUE!</v>
      </c>
      <c r="G275" t="e">
        <f ca="1">IF((A1)=(2),"",IF((272)=(G3),IF(IF((INDEX(B1:XFD1,((A2)+(1))+(0)))=("store"),(INDEX(B1:XFD1,((A2)+(1))+(1)))=("G"),"false"),B2,G275),G275))</f>
        <v>#VALUE!</v>
      </c>
      <c r="H275" t="e">
        <f ca="1">IF((A1)=(2),"",IF((272)=(H3),IF(IF((INDEX(B1:XFD1,((A2)+(1))+(0)))=("store"),(INDEX(B1:XFD1,((A2)+(1))+(1)))=("H"),"false"),B2,H275),H275))</f>
        <v>#VALUE!</v>
      </c>
      <c r="I275" t="e">
        <f ca="1">IF((A1)=(2),"",IF((272)=(I3),IF(IF((INDEX(B1:XFD1,((A2)+(1))+(0)))=("store"),(INDEX(B1:XFD1,((A2)+(1))+(1)))=("I"),"false"),B2,I275),I275))</f>
        <v>#VALUE!</v>
      </c>
      <c r="J275" t="e">
        <f ca="1">IF((A1)=(2),"",IF((272)=(J3),IF(IF((INDEX(B1:XFD1,((A2)+(1))+(0)))=("store"),(INDEX(B1:XFD1,((A2)+(1))+(1)))=("J"),"false"),B2,J275),J275))</f>
        <v>#VALUE!</v>
      </c>
      <c r="K275" t="e">
        <f ca="1">IF((A1)=(2),"",IF((272)=(K3),IF(IF((INDEX(B1:XFD1,((A2)+(1))+(0)))=("store"),(INDEX(B1:XFD1,((A2)+(1))+(1)))=("K"),"false"),B2,K275),K275))</f>
        <v>#VALUE!</v>
      </c>
      <c r="L275" t="e">
        <f ca="1">IF((A1)=(2),"",IF((272)=(L3),IF(IF((INDEX(B1:XFD1,((A2)+(1))+(0)))=("store"),(INDEX(B1:XFD1,((A2)+(1))+(1)))=("L"),"false"),B2,L275),L275))</f>
        <v>#VALUE!</v>
      </c>
      <c r="M275" t="e">
        <f ca="1">IF((A1)=(2),"",IF((272)=(M3),IF(IF((INDEX(B1:XFD1,((A2)+(1))+(0)))=("store"),(INDEX(B1:XFD1,((A2)+(1))+(1)))=("M"),"false"),B2,M275),M275))</f>
        <v>#VALUE!</v>
      </c>
      <c r="N275" t="e">
        <f ca="1">IF((A1)=(2),"",IF((272)=(N3),IF(IF((INDEX(B1:XFD1,((A2)+(1))+(0)))=("store"),(INDEX(B1:XFD1,((A2)+(1))+(1)))=("N"),"false"),B2,N275),N275))</f>
        <v>#VALUE!</v>
      </c>
      <c r="O275" t="e">
        <f ca="1">IF((A1)=(2),"",IF((272)=(O3),IF(IF((INDEX(B1:XFD1,((A2)+(1))+(0)))=("store"),(INDEX(B1:XFD1,((A2)+(1))+(1)))=("O"),"false"),B2,O275),O275))</f>
        <v>#VALUE!</v>
      </c>
      <c r="P275" t="e">
        <f ca="1">IF((A1)=(2),"",IF((272)=(P3),IF(IF((INDEX(B1:XFD1,((A2)+(1))+(0)))=("store"),(INDEX(B1:XFD1,((A2)+(1))+(1)))=("P"),"false"),B2,P275),P275))</f>
        <v>#VALUE!</v>
      </c>
      <c r="Q275" t="e">
        <f ca="1">IF((A1)=(2),"",IF((272)=(Q3),IF(IF((INDEX(B1:XFD1,((A2)+(1))+(0)))=("store"),(INDEX(B1:XFD1,((A2)+(1))+(1)))=("Q"),"false"),B2,Q275),Q275))</f>
        <v>#VALUE!</v>
      </c>
      <c r="R275" t="e">
        <f ca="1">IF((A1)=(2),"",IF((272)=(R3),IF(IF((INDEX(B1:XFD1,((A2)+(1))+(0)))=("store"),(INDEX(B1:XFD1,((A2)+(1))+(1)))=("R"),"false"),B2,R275),R275))</f>
        <v>#VALUE!</v>
      </c>
      <c r="S275" t="e">
        <f ca="1">IF((A1)=(2),"",IF((272)=(S3),IF(IF((INDEX(B1:XFD1,((A2)+(1))+(0)))=("store"),(INDEX(B1:XFD1,((A2)+(1))+(1)))=("S"),"false"),B2,S275),S275))</f>
        <v>#VALUE!</v>
      </c>
      <c r="T275" t="e">
        <f ca="1">IF((A1)=(2),"",IF((272)=(T3),IF(IF((INDEX(B1:XFD1,((A2)+(1))+(0)))=("store"),(INDEX(B1:XFD1,((A2)+(1))+(1)))=("T"),"false"),B2,T275),T275))</f>
        <v>#VALUE!</v>
      </c>
      <c r="U275" t="e">
        <f ca="1">IF((A1)=(2),"",IF((272)=(U3),IF(IF((INDEX(B1:XFD1,((A2)+(1))+(0)))=("store"),(INDEX(B1:XFD1,((A2)+(1))+(1)))=("U"),"false"),B2,U275),U275))</f>
        <v>#VALUE!</v>
      </c>
      <c r="V275" t="e">
        <f ca="1">IF((A1)=(2),"",IF((272)=(V3),IF(IF((INDEX(B1:XFD1,((A2)+(1))+(0)))=("store"),(INDEX(B1:XFD1,((A2)+(1))+(1)))=("V"),"false"),B2,V275),V275))</f>
        <v>#VALUE!</v>
      </c>
      <c r="W275" t="e">
        <f ca="1">IF((A1)=(2),"",IF((272)=(W3),IF(IF((INDEX(B1:XFD1,((A2)+(1))+(0)))=("store"),(INDEX(B1:XFD1,((A2)+(1))+(1)))=("W"),"false"),B2,W275),W275))</f>
        <v>#VALUE!</v>
      </c>
      <c r="X275" t="e">
        <f ca="1">IF((A1)=(2),"",IF((272)=(X3),IF(IF((INDEX(B1:XFD1,((A2)+(1))+(0)))=("store"),(INDEX(B1:XFD1,((A2)+(1))+(1)))=("X"),"false"),B2,X275),X275))</f>
        <v>#VALUE!</v>
      </c>
      <c r="Y275" t="e">
        <f ca="1">IF((A1)=(2),"",IF((272)=(Y3),IF(IF((INDEX(B1:XFD1,((A2)+(1))+(0)))=("store"),(INDEX(B1:XFD1,((A2)+(1))+(1)))=("Y"),"false"),B2,Y275),Y275))</f>
        <v>#VALUE!</v>
      </c>
      <c r="Z275" t="e">
        <f ca="1">IF((A1)=(2),"",IF((272)=(Z3),IF(IF((INDEX(B1:XFD1,((A2)+(1))+(0)))=("store"),(INDEX(B1:XFD1,((A2)+(1))+(1)))=("Z"),"false"),B2,Z275),Z275))</f>
        <v>#VALUE!</v>
      </c>
      <c r="AA275" t="e">
        <f ca="1">IF((A1)=(2),"",IF((272)=(AA3),IF(IF((INDEX(B1:XFD1,((A2)+(1))+(0)))=("store"),(INDEX(B1:XFD1,((A2)+(1))+(1)))=("AA"),"false"),B2,AA275),AA275))</f>
        <v>#VALUE!</v>
      </c>
      <c r="AB275" t="e">
        <f ca="1">IF((A1)=(2),"",IF((272)=(AB3),IF(IF((INDEX(B1:XFD1,((A2)+(1))+(0)))=("store"),(INDEX(B1:XFD1,((A2)+(1))+(1)))=("AB"),"false"),B2,AB275),AB275))</f>
        <v>#VALUE!</v>
      </c>
      <c r="AC275" t="e">
        <f ca="1">IF((A1)=(2),"",IF((272)=(AC3),IF(IF((INDEX(B1:XFD1,((A2)+(1))+(0)))=("store"),(INDEX(B1:XFD1,((A2)+(1))+(1)))=("AC"),"false"),B2,AC275),AC275))</f>
        <v>#VALUE!</v>
      </c>
      <c r="AD275" t="e">
        <f ca="1">IF((A1)=(2),"",IF((272)=(AD3),IF(IF((INDEX(B1:XFD1,((A2)+(1))+(0)))=("store"),(INDEX(B1:XFD1,((A2)+(1))+(1)))=("AD"),"false"),B2,AD275),AD275))</f>
        <v>#VALUE!</v>
      </c>
    </row>
    <row r="276" spans="1:30" x14ac:dyDescent="0.25">
      <c r="A276" t="e">
        <f ca="1">IF((A1)=(2),"",IF((273)=(A3),IF(("call")=(INDEX(B1:XFD1,((A2)+(1))+(0))),(B2)*(2),IF(("goto")=(INDEX(B1:XFD1,((A2)+(1))+(0))),(INDEX(B1:XFD1,((A2)+(1))+(1)))*(2),IF(("gotoiftrue")=(INDEX(B1:XFD1,((A2)+(1))+(0))),IF(B2,(INDEX(B1:XFD1,((A2)+(1))+(1)))*(2),(A276)+(2)),(A276)+(2)))),A276))</f>
        <v>#VALUE!</v>
      </c>
      <c r="B276" t="e">
        <f ca="1">IF((A1)=(2),"",IF((273)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276)+(1)),IF(("add")=(INDEX(B1:XFD1,((A2)+(1))+(0))),(INDEX(B4:B404,(B3)+(1)))+(B276),IF(("equals")=(INDEX(B1:XFD1,((A2)+(1))+(0))),(INDEX(B4:B404,(B3)+(1)))=(B276),IF(("leq")=(INDEX(B1:XFD1,((A2)+(1))+(0))),(INDEX(B4:B404,(B3)+(1)))&lt;=(B276),IF(("greater")=(INDEX(B1:XFD1,((A2)+(1))+(0))),(INDEX(B4:B404,(B3)+(1)))&gt;(B276),IF(("mod")=(INDEX(B1:XFD1,((A2)+(1))+(0))),MOD(INDEX(B4:B404,(B3)+(1)),B276),B276))))))))),B276))</f>
        <v>#VALUE!</v>
      </c>
      <c r="C276" t="e">
        <f ca="1">IF((A1)=(2),1,IF(AND((INDEX(B1:XFD1,((A2)+(1))+(0)))=("writeheap"),(INDEX(B4:B404,(B3)+(1)))=(272)),INDEX(B4:B404,(B3)+(2)),IF((A1)=(2),"",IF((273)=(C3),C276,C276))))</f>
        <v>#VALUE!</v>
      </c>
      <c r="E276" t="e">
        <f ca="1">IF((A1)=(2),"",IF((273)=(E3),IF(("outputline")=(INDEX(B1:XFD1,((A2)+(1))+(0))),B2,E276),E276))</f>
        <v>#VALUE!</v>
      </c>
      <c r="F276" t="e">
        <f ca="1">IF((A1)=(2),"",IF((273)=(F3),IF(IF((INDEX(B1:XFD1,((A2)+(1))+(0)))=("store"),(INDEX(B1:XFD1,((A2)+(1))+(1)))=("F"),"false"),B2,F276),F276))</f>
        <v>#VALUE!</v>
      </c>
      <c r="G276" t="e">
        <f ca="1">IF((A1)=(2),"",IF((273)=(G3),IF(IF((INDEX(B1:XFD1,((A2)+(1))+(0)))=("store"),(INDEX(B1:XFD1,((A2)+(1))+(1)))=("G"),"false"),B2,G276),G276))</f>
        <v>#VALUE!</v>
      </c>
      <c r="H276" t="e">
        <f ca="1">IF((A1)=(2),"",IF((273)=(H3),IF(IF((INDEX(B1:XFD1,((A2)+(1))+(0)))=("store"),(INDEX(B1:XFD1,((A2)+(1))+(1)))=("H"),"false"),B2,H276),H276))</f>
        <v>#VALUE!</v>
      </c>
      <c r="I276" t="e">
        <f ca="1">IF((A1)=(2),"",IF((273)=(I3),IF(IF((INDEX(B1:XFD1,((A2)+(1))+(0)))=("store"),(INDEX(B1:XFD1,((A2)+(1))+(1)))=("I"),"false"),B2,I276),I276))</f>
        <v>#VALUE!</v>
      </c>
      <c r="J276" t="e">
        <f ca="1">IF((A1)=(2),"",IF((273)=(J3),IF(IF((INDEX(B1:XFD1,((A2)+(1))+(0)))=("store"),(INDEX(B1:XFD1,((A2)+(1))+(1)))=("J"),"false"),B2,J276),J276))</f>
        <v>#VALUE!</v>
      </c>
      <c r="K276" t="e">
        <f ca="1">IF((A1)=(2),"",IF((273)=(K3),IF(IF((INDEX(B1:XFD1,((A2)+(1))+(0)))=("store"),(INDEX(B1:XFD1,((A2)+(1))+(1)))=("K"),"false"),B2,K276),K276))</f>
        <v>#VALUE!</v>
      </c>
      <c r="L276" t="e">
        <f ca="1">IF((A1)=(2),"",IF((273)=(L3),IF(IF((INDEX(B1:XFD1,((A2)+(1))+(0)))=("store"),(INDEX(B1:XFD1,((A2)+(1))+(1)))=("L"),"false"),B2,L276),L276))</f>
        <v>#VALUE!</v>
      </c>
      <c r="M276" t="e">
        <f ca="1">IF((A1)=(2),"",IF((273)=(M3),IF(IF((INDEX(B1:XFD1,((A2)+(1))+(0)))=("store"),(INDEX(B1:XFD1,((A2)+(1))+(1)))=("M"),"false"),B2,M276),M276))</f>
        <v>#VALUE!</v>
      </c>
      <c r="N276" t="e">
        <f ca="1">IF((A1)=(2),"",IF((273)=(N3),IF(IF((INDEX(B1:XFD1,((A2)+(1))+(0)))=("store"),(INDEX(B1:XFD1,((A2)+(1))+(1)))=("N"),"false"),B2,N276),N276))</f>
        <v>#VALUE!</v>
      </c>
      <c r="O276" t="e">
        <f ca="1">IF((A1)=(2),"",IF((273)=(O3),IF(IF((INDEX(B1:XFD1,((A2)+(1))+(0)))=("store"),(INDEX(B1:XFD1,((A2)+(1))+(1)))=("O"),"false"),B2,O276),O276))</f>
        <v>#VALUE!</v>
      </c>
      <c r="P276" t="e">
        <f ca="1">IF((A1)=(2),"",IF((273)=(P3),IF(IF((INDEX(B1:XFD1,((A2)+(1))+(0)))=("store"),(INDEX(B1:XFD1,((A2)+(1))+(1)))=("P"),"false"),B2,P276),P276))</f>
        <v>#VALUE!</v>
      </c>
      <c r="Q276" t="e">
        <f ca="1">IF((A1)=(2),"",IF((273)=(Q3),IF(IF((INDEX(B1:XFD1,((A2)+(1))+(0)))=("store"),(INDEX(B1:XFD1,((A2)+(1))+(1)))=("Q"),"false"),B2,Q276),Q276))</f>
        <v>#VALUE!</v>
      </c>
      <c r="R276" t="e">
        <f ca="1">IF((A1)=(2),"",IF((273)=(R3),IF(IF((INDEX(B1:XFD1,((A2)+(1))+(0)))=("store"),(INDEX(B1:XFD1,((A2)+(1))+(1)))=("R"),"false"),B2,R276),R276))</f>
        <v>#VALUE!</v>
      </c>
      <c r="S276" t="e">
        <f ca="1">IF((A1)=(2),"",IF((273)=(S3),IF(IF((INDEX(B1:XFD1,((A2)+(1))+(0)))=("store"),(INDEX(B1:XFD1,((A2)+(1))+(1)))=("S"),"false"),B2,S276),S276))</f>
        <v>#VALUE!</v>
      </c>
      <c r="T276" t="e">
        <f ca="1">IF((A1)=(2),"",IF((273)=(T3),IF(IF((INDEX(B1:XFD1,((A2)+(1))+(0)))=("store"),(INDEX(B1:XFD1,((A2)+(1))+(1)))=("T"),"false"),B2,T276),T276))</f>
        <v>#VALUE!</v>
      </c>
      <c r="U276" t="e">
        <f ca="1">IF((A1)=(2),"",IF((273)=(U3),IF(IF((INDEX(B1:XFD1,((A2)+(1))+(0)))=("store"),(INDEX(B1:XFD1,((A2)+(1))+(1)))=("U"),"false"),B2,U276),U276))</f>
        <v>#VALUE!</v>
      </c>
      <c r="V276" t="e">
        <f ca="1">IF((A1)=(2),"",IF((273)=(V3),IF(IF((INDEX(B1:XFD1,((A2)+(1))+(0)))=("store"),(INDEX(B1:XFD1,((A2)+(1))+(1)))=("V"),"false"),B2,V276),V276))</f>
        <v>#VALUE!</v>
      </c>
      <c r="W276" t="e">
        <f ca="1">IF((A1)=(2),"",IF((273)=(W3),IF(IF((INDEX(B1:XFD1,((A2)+(1))+(0)))=("store"),(INDEX(B1:XFD1,((A2)+(1))+(1)))=("W"),"false"),B2,W276),W276))</f>
        <v>#VALUE!</v>
      </c>
      <c r="X276" t="e">
        <f ca="1">IF((A1)=(2),"",IF((273)=(X3),IF(IF((INDEX(B1:XFD1,((A2)+(1))+(0)))=("store"),(INDEX(B1:XFD1,((A2)+(1))+(1)))=("X"),"false"),B2,X276),X276))</f>
        <v>#VALUE!</v>
      </c>
      <c r="Y276" t="e">
        <f ca="1">IF((A1)=(2),"",IF((273)=(Y3),IF(IF((INDEX(B1:XFD1,((A2)+(1))+(0)))=("store"),(INDEX(B1:XFD1,((A2)+(1))+(1)))=("Y"),"false"),B2,Y276),Y276))</f>
        <v>#VALUE!</v>
      </c>
      <c r="Z276" t="e">
        <f ca="1">IF((A1)=(2),"",IF((273)=(Z3),IF(IF((INDEX(B1:XFD1,((A2)+(1))+(0)))=("store"),(INDEX(B1:XFD1,((A2)+(1))+(1)))=("Z"),"false"),B2,Z276),Z276))</f>
        <v>#VALUE!</v>
      </c>
      <c r="AA276" t="e">
        <f ca="1">IF((A1)=(2),"",IF((273)=(AA3),IF(IF((INDEX(B1:XFD1,((A2)+(1))+(0)))=("store"),(INDEX(B1:XFD1,((A2)+(1))+(1)))=("AA"),"false"),B2,AA276),AA276))</f>
        <v>#VALUE!</v>
      </c>
      <c r="AB276" t="e">
        <f ca="1">IF((A1)=(2),"",IF((273)=(AB3),IF(IF((INDEX(B1:XFD1,((A2)+(1))+(0)))=("store"),(INDEX(B1:XFD1,((A2)+(1))+(1)))=("AB"),"false"),B2,AB276),AB276))</f>
        <v>#VALUE!</v>
      </c>
      <c r="AC276" t="e">
        <f ca="1">IF((A1)=(2),"",IF((273)=(AC3),IF(IF((INDEX(B1:XFD1,((A2)+(1))+(0)))=("store"),(INDEX(B1:XFD1,((A2)+(1))+(1)))=("AC"),"false"),B2,AC276),AC276))</f>
        <v>#VALUE!</v>
      </c>
      <c r="AD276" t="e">
        <f ca="1">IF((A1)=(2),"",IF((273)=(AD3),IF(IF((INDEX(B1:XFD1,((A2)+(1))+(0)))=("store"),(INDEX(B1:XFD1,((A2)+(1))+(1)))=("AD"),"false"),B2,AD276),AD276))</f>
        <v>#VALUE!</v>
      </c>
    </row>
    <row r="277" spans="1:30" x14ac:dyDescent="0.25">
      <c r="A277" t="e">
        <f ca="1">IF((A1)=(2),"",IF((274)=(A3),IF(("call")=(INDEX(B1:XFD1,((A2)+(1))+(0))),(B2)*(2),IF(("goto")=(INDEX(B1:XFD1,((A2)+(1))+(0))),(INDEX(B1:XFD1,((A2)+(1))+(1)))*(2),IF(("gotoiftrue")=(INDEX(B1:XFD1,((A2)+(1))+(0))),IF(B2,(INDEX(B1:XFD1,((A2)+(1))+(1)))*(2),(A277)+(2)),(A277)+(2)))),A277))</f>
        <v>#VALUE!</v>
      </c>
      <c r="B277" t="e">
        <f ca="1">IF((A1)=(2),"",IF((274)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277)+(1)),IF(("add")=(INDEX(B1:XFD1,((A2)+(1))+(0))),(INDEX(B4:B404,(B3)+(1)))+(B277),IF(("equals")=(INDEX(B1:XFD1,((A2)+(1))+(0))),(INDEX(B4:B404,(B3)+(1)))=(B277),IF(("leq")=(INDEX(B1:XFD1,((A2)+(1))+(0))),(INDEX(B4:B404,(B3)+(1)))&lt;=(B277),IF(("greater")=(INDEX(B1:XFD1,((A2)+(1))+(0))),(INDEX(B4:B404,(B3)+(1)))&gt;(B277),IF(("mod")=(INDEX(B1:XFD1,((A2)+(1))+(0))),MOD(INDEX(B4:B404,(B3)+(1)),B277),B277))))))))),B277))</f>
        <v>#VALUE!</v>
      </c>
      <c r="C277" t="e">
        <f ca="1">IF((A1)=(2),1,IF(AND((INDEX(B1:XFD1,((A2)+(1))+(0)))=("writeheap"),(INDEX(B4:B404,(B3)+(1)))=(273)),INDEX(B4:B404,(B3)+(2)),IF((A1)=(2),"",IF((274)=(C3),C277,C277))))</f>
        <v>#VALUE!</v>
      </c>
      <c r="E277" t="e">
        <f ca="1">IF((A1)=(2),"",IF((274)=(E3),IF(("outputline")=(INDEX(B1:XFD1,((A2)+(1))+(0))),B2,E277),E277))</f>
        <v>#VALUE!</v>
      </c>
      <c r="F277" t="e">
        <f ca="1">IF((A1)=(2),"",IF((274)=(F3),IF(IF((INDEX(B1:XFD1,((A2)+(1))+(0)))=("store"),(INDEX(B1:XFD1,((A2)+(1))+(1)))=("F"),"false"),B2,F277),F277))</f>
        <v>#VALUE!</v>
      </c>
      <c r="G277" t="e">
        <f ca="1">IF((A1)=(2),"",IF((274)=(G3),IF(IF((INDEX(B1:XFD1,((A2)+(1))+(0)))=("store"),(INDEX(B1:XFD1,((A2)+(1))+(1)))=("G"),"false"),B2,G277),G277))</f>
        <v>#VALUE!</v>
      </c>
      <c r="H277" t="e">
        <f ca="1">IF((A1)=(2),"",IF((274)=(H3),IF(IF((INDEX(B1:XFD1,((A2)+(1))+(0)))=("store"),(INDEX(B1:XFD1,((A2)+(1))+(1)))=("H"),"false"),B2,H277),H277))</f>
        <v>#VALUE!</v>
      </c>
      <c r="I277" t="e">
        <f ca="1">IF((A1)=(2),"",IF((274)=(I3),IF(IF((INDEX(B1:XFD1,((A2)+(1))+(0)))=("store"),(INDEX(B1:XFD1,((A2)+(1))+(1)))=("I"),"false"),B2,I277),I277))</f>
        <v>#VALUE!</v>
      </c>
      <c r="J277" t="e">
        <f ca="1">IF((A1)=(2),"",IF((274)=(J3),IF(IF((INDEX(B1:XFD1,((A2)+(1))+(0)))=("store"),(INDEX(B1:XFD1,((A2)+(1))+(1)))=("J"),"false"),B2,J277),J277))</f>
        <v>#VALUE!</v>
      </c>
      <c r="K277" t="e">
        <f ca="1">IF((A1)=(2),"",IF((274)=(K3),IF(IF((INDEX(B1:XFD1,((A2)+(1))+(0)))=("store"),(INDEX(B1:XFD1,((A2)+(1))+(1)))=("K"),"false"),B2,K277),K277))</f>
        <v>#VALUE!</v>
      </c>
      <c r="L277" t="e">
        <f ca="1">IF((A1)=(2),"",IF((274)=(L3),IF(IF((INDEX(B1:XFD1,((A2)+(1))+(0)))=("store"),(INDEX(B1:XFD1,((A2)+(1))+(1)))=("L"),"false"),B2,L277),L277))</f>
        <v>#VALUE!</v>
      </c>
      <c r="M277" t="e">
        <f ca="1">IF((A1)=(2),"",IF((274)=(M3),IF(IF((INDEX(B1:XFD1,((A2)+(1))+(0)))=("store"),(INDEX(B1:XFD1,((A2)+(1))+(1)))=("M"),"false"),B2,M277),M277))</f>
        <v>#VALUE!</v>
      </c>
      <c r="N277" t="e">
        <f ca="1">IF((A1)=(2),"",IF((274)=(N3),IF(IF((INDEX(B1:XFD1,((A2)+(1))+(0)))=("store"),(INDEX(B1:XFD1,((A2)+(1))+(1)))=("N"),"false"),B2,N277),N277))</f>
        <v>#VALUE!</v>
      </c>
      <c r="O277" t="e">
        <f ca="1">IF((A1)=(2),"",IF((274)=(O3),IF(IF((INDEX(B1:XFD1,((A2)+(1))+(0)))=("store"),(INDEX(B1:XFD1,((A2)+(1))+(1)))=("O"),"false"),B2,O277),O277))</f>
        <v>#VALUE!</v>
      </c>
      <c r="P277" t="e">
        <f ca="1">IF((A1)=(2),"",IF((274)=(P3),IF(IF((INDEX(B1:XFD1,((A2)+(1))+(0)))=("store"),(INDEX(B1:XFD1,((A2)+(1))+(1)))=("P"),"false"),B2,P277),P277))</f>
        <v>#VALUE!</v>
      </c>
      <c r="Q277" t="e">
        <f ca="1">IF((A1)=(2),"",IF((274)=(Q3),IF(IF((INDEX(B1:XFD1,((A2)+(1))+(0)))=("store"),(INDEX(B1:XFD1,((A2)+(1))+(1)))=("Q"),"false"),B2,Q277),Q277))</f>
        <v>#VALUE!</v>
      </c>
      <c r="R277" t="e">
        <f ca="1">IF((A1)=(2),"",IF((274)=(R3),IF(IF((INDEX(B1:XFD1,((A2)+(1))+(0)))=("store"),(INDEX(B1:XFD1,((A2)+(1))+(1)))=("R"),"false"),B2,R277),R277))</f>
        <v>#VALUE!</v>
      </c>
      <c r="S277" t="e">
        <f ca="1">IF((A1)=(2),"",IF((274)=(S3),IF(IF((INDEX(B1:XFD1,((A2)+(1))+(0)))=("store"),(INDEX(B1:XFD1,((A2)+(1))+(1)))=("S"),"false"),B2,S277),S277))</f>
        <v>#VALUE!</v>
      </c>
      <c r="T277" t="e">
        <f ca="1">IF((A1)=(2),"",IF((274)=(T3),IF(IF((INDEX(B1:XFD1,((A2)+(1))+(0)))=("store"),(INDEX(B1:XFD1,((A2)+(1))+(1)))=("T"),"false"),B2,T277),T277))</f>
        <v>#VALUE!</v>
      </c>
      <c r="U277" t="e">
        <f ca="1">IF((A1)=(2),"",IF((274)=(U3),IF(IF((INDEX(B1:XFD1,((A2)+(1))+(0)))=("store"),(INDEX(B1:XFD1,((A2)+(1))+(1)))=("U"),"false"),B2,U277),U277))</f>
        <v>#VALUE!</v>
      </c>
      <c r="V277" t="e">
        <f ca="1">IF((A1)=(2),"",IF((274)=(V3),IF(IF((INDEX(B1:XFD1,((A2)+(1))+(0)))=("store"),(INDEX(B1:XFD1,((A2)+(1))+(1)))=("V"),"false"),B2,V277),V277))</f>
        <v>#VALUE!</v>
      </c>
      <c r="W277" t="e">
        <f ca="1">IF((A1)=(2),"",IF((274)=(W3),IF(IF((INDEX(B1:XFD1,((A2)+(1))+(0)))=("store"),(INDEX(B1:XFD1,((A2)+(1))+(1)))=("W"),"false"),B2,W277),W277))</f>
        <v>#VALUE!</v>
      </c>
      <c r="X277" t="e">
        <f ca="1">IF((A1)=(2),"",IF((274)=(X3),IF(IF((INDEX(B1:XFD1,((A2)+(1))+(0)))=("store"),(INDEX(B1:XFD1,((A2)+(1))+(1)))=("X"),"false"),B2,X277),X277))</f>
        <v>#VALUE!</v>
      </c>
      <c r="Y277" t="e">
        <f ca="1">IF((A1)=(2),"",IF((274)=(Y3),IF(IF((INDEX(B1:XFD1,((A2)+(1))+(0)))=("store"),(INDEX(B1:XFD1,((A2)+(1))+(1)))=("Y"),"false"),B2,Y277),Y277))</f>
        <v>#VALUE!</v>
      </c>
      <c r="Z277" t="e">
        <f ca="1">IF((A1)=(2),"",IF((274)=(Z3),IF(IF((INDEX(B1:XFD1,((A2)+(1))+(0)))=("store"),(INDEX(B1:XFD1,((A2)+(1))+(1)))=("Z"),"false"),B2,Z277),Z277))</f>
        <v>#VALUE!</v>
      </c>
      <c r="AA277" t="e">
        <f ca="1">IF((A1)=(2),"",IF((274)=(AA3),IF(IF((INDEX(B1:XFD1,((A2)+(1))+(0)))=("store"),(INDEX(B1:XFD1,((A2)+(1))+(1)))=("AA"),"false"),B2,AA277),AA277))</f>
        <v>#VALUE!</v>
      </c>
      <c r="AB277" t="e">
        <f ca="1">IF((A1)=(2),"",IF((274)=(AB3),IF(IF((INDEX(B1:XFD1,((A2)+(1))+(0)))=("store"),(INDEX(B1:XFD1,((A2)+(1))+(1)))=("AB"),"false"),B2,AB277),AB277))</f>
        <v>#VALUE!</v>
      </c>
      <c r="AC277" t="e">
        <f ca="1">IF((A1)=(2),"",IF((274)=(AC3),IF(IF((INDEX(B1:XFD1,((A2)+(1))+(0)))=("store"),(INDEX(B1:XFD1,((A2)+(1))+(1)))=("AC"),"false"),B2,AC277),AC277))</f>
        <v>#VALUE!</v>
      </c>
      <c r="AD277" t="e">
        <f ca="1">IF((A1)=(2),"",IF((274)=(AD3),IF(IF((INDEX(B1:XFD1,((A2)+(1))+(0)))=("store"),(INDEX(B1:XFD1,((A2)+(1))+(1)))=("AD"),"false"),B2,AD277),AD277))</f>
        <v>#VALUE!</v>
      </c>
    </row>
    <row r="278" spans="1:30" x14ac:dyDescent="0.25">
      <c r="A278" t="e">
        <f ca="1">IF((A1)=(2),"",IF((275)=(A3),IF(("call")=(INDEX(B1:XFD1,((A2)+(1))+(0))),(B2)*(2),IF(("goto")=(INDEX(B1:XFD1,((A2)+(1))+(0))),(INDEX(B1:XFD1,((A2)+(1))+(1)))*(2),IF(("gotoiftrue")=(INDEX(B1:XFD1,((A2)+(1))+(0))),IF(B2,(INDEX(B1:XFD1,((A2)+(1))+(1)))*(2),(A278)+(2)),(A278)+(2)))),A278))</f>
        <v>#VALUE!</v>
      </c>
      <c r="B278" t="e">
        <f ca="1">IF((A1)=(2),"",IF((275)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278)+(1)),IF(("add")=(INDEX(B1:XFD1,((A2)+(1))+(0))),(INDEX(B4:B404,(B3)+(1)))+(B278),IF(("equals")=(INDEX(B1:XFD1,((A2)+(1))+(0))),(INDEX(B4:B404,(B3)+(1)))=(B278),IF(("leq")=(INDEX(B1:XFD1,((A2)+(1))+(0))),(INDEX(B4:B404,(B3)+(1)))&lt;=(B278),IF(("greater")=(INDEX(B1:XFD1,((A2)+(1))+(0))),(INDEX(B4:B404,(B3)+(1)))&gt;(B278),IF(("mod")=(INDEX(B1:XFD1,((A2)+(1))+(0))),MOD(INDEX(B4:B404,(B3)+(1)),B278),B278))))))))),B278))</f>
        <v>#VALUE!</v>
      </c>
      <c r="C278" t="e">
        <f ca="1">IF((A1)=(2),1,IF(AND((INDEX(B1:XFD1,((A2)+(1))+(0)))=("writeheap"),(INDEX(B4:B404,(B3)+(1)))=(274)),INDEX(B4:B404,(B3)+(2)),IF((A1)=(2),"",IF((275)=(C3),C278,C278))))</f>
        <v>#VALUE!</v>
      </c>
      <c r="E278" t="e">
        <f ca="1">IF((A1)=(2),"",IF((275)=(E3),IF(("outputline")=(INDEX(B1:XFD1,((A2)+(1))+(0))),B2,E278),E278))</f>
        <v>#VALUE!</v>
      </c>
      <c r="F278" t="e">
        <f ca="1">IF((A1)=(2),"",IF((275)=(F3),IF(IF((INDEX(B1:XFD1,((A2)+(1))+(0)))=("store"),(INDEX(B1:XFD1,((A2)+(1))+(1)))=("F"),"false"),B2,F278),F278))</f>
        <v>#VALUE!</v>
      </c>
      <c r="G278" t="e">
        <f ca="1">IF((A1)=(2),"",IF((275)=(G3),IF(IF((INDEX(B1:XFD1,((A2)+(1))+(0)))=("store"),(INDEX(B1:XFD1,((A2)+(1))+(1)))=("G"),"false"),B2,G278),G278))</f>
        <v>#VALUE!</v>
      </c>
      <c r="H278" t="e">
        <f ca="1">IF((A1)=(2),"",IF((275)=(H3),IF(IF((INDEX(B1:XFD1,((A2)+(1))+(0)))=("store"),(INDEX(B1:XFD1,((A2)+(1))+(1)))=("H"),"false"),B2,H278),H278))</f>
        <v>#VALUE!</v>
      </c>
      <c r="I278" t="e">
        <f ca="1">IF((A1)=(2),"",IF((275)=(I3),IF(IF((INDEX(B1:XFD1,((A2)+(1))+(0)))=("store"),(INDEX(B1:XFD1,((A2)+(1))+(1)))=("I"),"false"),B2,I278),I278))</f>
        <v>#VALUE!</v>
      </c>
      <c r="J278" t="e">
        <f ca="1">IF((A1)=(2),"",IF((275)=(J3),IF(IF((INDEX(B1:XFD1,((A2)+(1))+(0)))=("store"),(INDEX(B1:XFD1,((A2)+(1))+(1)))=("J"),"false"),B2,J278),J278))</f>
        <v>#VALUE!</v>
      </c>
      <c r="K278" t="e">
        <f ca="1">IF((A1)=(2),"",IF((275)=(K3),IF(IF((INDEX(B1:XFD1,((A2)+(1))+(0)))=("store"),(INDEX(B1:XFD1,((A2)+(1))+(1)))=("K"),"false"),B2,K278),K278))</f>
        <v>#VALUE!</v>
      </c>
      <c r="L278" t="e">
        <f ca="1">IF((A1)=(2),"",IF((275)=(L3),IF(IF((INDEX(B1:XFD1,((A2)+(1))+(0)))=("store"),(INDEX(B1:XFD1,((A2)+(1))+(1)))=("L"),"false"),B2,L278),L278))</f>
        <v>#VALUE!</v>
      </c>
      <c r="M278" t="e">
        <f ca="1">IF((A1)=(2),"",IF((275)=(M3),IF(IF((INDEX(B1:XFD1,((A2)+(1))+(0)))=("store"),(INDEX(B1:XFD1,((A2)+(1))+(1)))=("M"),"false"),B2,M278),M278))</f>
        <v>#VALUE!</v>
      </c>
      <c r="N278" t="e">
        <f ca="1">IF((A1)=(2),"",IF((275)=(N3),IF(IF((INDEX(B1:XFD1,((A2)+(1))+(0)))=("store"),(INDEX(B1:XFD1,((A2)+(1))+(1)))=("N"),"false"),B2,N278),N278))</f>
        <v>#VALUE!</v>
      </c>
      <c r="O278" t="e">
        <f ca="1">IF((A1)=(2),"",IF((275)=(O3),IF(IF((INDEX(B1:XFD1,((A2)+(1))+(0)))=("store"),(INDEX(B1:XFD1,((A2)+(1))+(1)))=("O"),"false"),B2,O278),O278))</f>
        <v>#VALUE!</v>
      </c>
      <c r="P278" t="e">
        <f ca="1">IF((A1)=(2),"",IF((275)=(P3),IF(IF((INDEX(B1:XFD1,((A2)+(1))+(0)))=("store"),(INDEX(B1:XFD1,((A2)+(1))+(1)))=("P"),"false"),B2,P278),P278))</f>
        <v>#VALUE!</v>
      </c>
      <c r="Q278" t="e">
        <f ca="1">IF((A1)=(2),"",IF((275)=(Q3),IF(IF((INDEX(B1:XFD1,((A2)+(1))+(0)))=("store"),(INDEX(B1:XFD1,((A2)+(1))+(1)))=("Q"),"false"),B2,Q278),Q278))</f>
        <v>#VALUE!</v>
      </c>
      <c r="R278" t="e">
        <f ca="1">IF((A1)=(2),"",IF((275)=(R3),IF(IF((INDEX(B1:XFD1,((A2)+(1))+(0)))=("store"),(INDEX(B1:XFD1,((A2)+(1))+(1)))=("R"),"false"),B2,R278),R278))</f>
        <v>#VALUE!</v>
      </c>
      <c r="S278" t="e">
        <f ca="1">IF((A1)=(2),"",IF((275)=(S3),IF(IF((INDEX(B1:XFD1,((A2)+(1))+(0)))=("store"),(INDEX(B1:XFD1,((A2)+(1))+(1)))=("S"),"false"),B2,S278),S278))</f>
        <v>#VALUE!</v>
      </c>
      <c r="T278" t="e">
        <f ca="1">IF((A1)=(2),"",IF((275)=(T3),IF(IF((INDEX(B1:XFD1,((A2)+(1))+(0)))=("store"),(INDEX(B1:XFD1,((A2)+(1))+(1)))=("T"),"false"),B2,T278),T278))</f>
        <v>#VALUE!</v>
      </c>
      <c r="U278" t="e">
        <f ca="1">IF((A1)=(2),"",IF((275)=(U3),IF(IF((INDEX(B1:XFD1,((A2)+(1))+(0)))=("store"),(INDEX(B1:XFD1,((A2)+(1))+(1)))=("U"),"false"),B2,U278),U278))</f>
        <v>#VALUE!</v>
      </c>
      <c r="V278" t="e">
        <f ca="1">IF((A1)=(2),"",IF((275)=(V3),IF(IF((INDEX(B1:XFD1,((A2)+(1))+(0)))=("store"),(INDEX(B1:XFD1,((A2)+(1))+(1)))=("V"),"false"),B2,V278),V278))</f>
        <v>#VALUE!</v>
      </c>
      <c r="W278" t="e">
        <f ca="1">IF((A1)=(2),"",IF((275)=(W3),IF(IF((INDEX(B1:XFD1,((A2)+(1))+(0)))=("store"),(INDEX(B1:XFD1,((A2)+(1))+(1)))=("W"),"false"),B2,W278),W278))</f>
        <v>#VALUE!</v>
      </c>
      <c r="X278" t="e">
        <f ca="1">IF((A1)=(2),"",IF((275)=(X3),IF(IF((INDEX(B1:XFD1,((A2)+(1))+(0)))=("store"),(INDEX(B1:XFD1,((A2)+(1))+(1)))=("X"),"false"),B2,X278),X278))</f>
        <v>#VALUE!</v>
      </c>
      <c r="Y278" t="e">
        <f ca="1">IF((A1)=(2),"",IF((275)=(Y3),IF(IF((INDEX(B1:XFD1,((A2)+(1))+(0)))=("store"),(INDEX(B1:XFD1,((A2)+(1))+(1)))=("Y"),"false"),B2,Y278),Y278))</f>
        <v>#VALUE!</v>
      </c>
      <c r="Z278" t="e">
        <f ca="1">IF((A1)=(2),"",IF((275)=(Z3),IF(IF((INDEX(B1:XFD1,((A2)+(1))+(0)))=("store"),(INDEX(B1:XFD1,((A2)+(1))+(1)))=("Z"),"false"),B2,Z278),Z278))</f>
        <v>#VALUE!</v>
      </c>
      <c r="AA278" t="e">
        <f ca="1">IF((A1)=(2),"",IF((275)=(AA3),IF(IF((INDEX(B1:XFD1,((A2)+(1))+(0)))=("store"),(INDEX(B1:XFD1,((A2)+(1))+(1)))=("AA"),"false"),B2,AA278),AA278))</f>
        <v>#VALUE!</v>
      </c>
      <c r="AB278" t="e">
        <f ca="1">IF((A1)=(2),"",IF((275)=(AB3),IF(IF((INDEX(B1:XFD1,((A2)+(1))+(0)))=("store"),(INDEX(B1:XFD1,((A2)+(1))+(1)))=("AB"),"false"),B2,AB278),AB278))</f>
        <v>#VALUE!</v>
      </c>
      <c r="AC278" t="e">
        <f ca="1">IF((A1)=(2),"",IF((275)=(AC3),IF(IF((INDEX(B1:XFD1,((A2)+(1))+(0)))=("store"),(INDEX(B1:XFD1,((A2)+(1))+(1)))=("AC"),"false"),B2,AC278),AC278))</f>
        <v>#VALUE!</v>
      </c>
      <c r="AD278" t="e">
        <f ca="1">IF((A1)=(2),"",IF((275)=(AD3),IF(IF((INDEX(B1:XFD1,((A2)+(1))+(0)))=("store"),(INDEX(B1:XFD1,((A2)+(1))+(1)))=("AD"),"false"),B2,AD278),AD278))</f>
        <v>#VALUE!</v>
      </c>
    </row>
    <row r="279" spans="1:30" x14ac:dyDescent="0.25">
      <c r="A279" t="e">
        <f ca="1">IF((A1)=(2),"",IF((276)=(A3),IF(("call")=(INDEX(B1:XFD1,((A2)+(1))+(0))),(B2)*(2),IF(("goto")=(INDEX(B1:XFD1,((A2)+(1))+(0))),(INDEX(B1:XFD1,((A2)+(1))+(1)))*(2),IF(("gotoiftrue")=(INDEX(B1:XFD1,((A2)+(1))+(0))),IF(B2,(INDEX(B1:XFD1,((A2)+(1))+(1)))*(2),(A279)+(2)),(A279)+(2)))),A279))</f>
        <v>#VALUE!</v>
      </c>
      <c r="B279" t="e">
        <f ca="1">IF((A1)=(2),"",IF((276)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279)+(1)),IF(("add")=(INDEX(B1:XFD1,((A2)+(1))+(0))),(INDEX(B4:B404,(B3)+(1)))+(B279),IF(("equals")=(INDEX(B1:XFD1,((A2)+(1))+(0))),(INDEX(B4:B404,(B3)+(1)))=(B279),IF(("leq")=(INDEX(B1:XFD1,((A2)+(1))+(0))),(INDEX(B4:B404,(B3)+(1)))&lt;=(B279),IF(("greater")=(INDEX(B1:XFD1,((A2)+(1))+(0))),(INDEX(B4:B404,(B3)+(1)))&gt;(B279),IF(("mod")=(INDEX(B1:XFD1,((A2)+(1))+(0))),MOD(INDEX(B4:B404,(B3)+(1)),B279),B279))))))))),B279))</f>
        <v>#VALUE!</v>
      </c>
      <c r="C279" t="e">
        <f ca="1">IF((A1)=(2),1,IF(AND((INDEX(B1:XFD1,((A2)+(1))+(0)))=("writeheap"),(INDEX(B4:B404,(B3)+(1)))=(275)),INDEX(B4:B404,(B3)+(2)),IF((A1)=(2),"",IF((276)=(C3),C279,C279))))</f>
        <v>#VALUE!</v>
      </c>
      <c r="E279" t="e">
        <f ca="1">IF((A1)=(2),"",IF((276)=(E3),IF(("outputline")=(INDEX(B1:XFD1,((A2)+(1))+(0))),B2,E279),E279))</f>
        <v>#VALUE!</v>
      </c>
      <c r="F279" t="e">
        <f ca="1">IF((A1)=(2),"",IF((276)=(F3),IF(IF((INDEX(B1:XFD1,((A2)+(1))+(0)))=("store"),(INDEX(B1:XFD1,((A2)+(1))+(1)))=("F"),"false"),B2,F279),F279))</f>
        <v>#VALUE!</v>
      </c>
      <c r="G279" t="e">
        <f ca="1">IF((A1)=(2),"",IF((276)=(G3),IF(IF((INDEX(B1:XFD1,((A2)+(1))+(0)))=("store"),(INDEX(B1:XFD1,((A2)+(1))+(1)))=("G"),"false"),B2,G279),G279))</f>
        <v>#VALUE!</v>
      </c>
      <c r="H279" t="e">
        <f ca="1">IF((A1)=(2),"",IF((276)=(H3),IF(IF((INDEX(B1:XFD1,((A2)+(1))+(0)))=("store"),(INDEX(B1:XFD1,((A2)+(1))+(1)))=("H"),"false"),B2,H279),H279))</f>
        <v>#VALUE!</v>
      </c>
      <c r="I279" t="e">
        <f ca="1">IF((A1)=(2),"",IF((276)=(I3),IF(IF((INDEX(B1:XFD1,((A2)+(1))+(0)))=("store"),(INDEX(B1:XFD1,((A2)+(1))+(1)))=("I"),"false"),B2,I279),I279))</f>
        <v>#VALUE!</v>
      </c>
      <c r="J279" t="e">
        <f ca="1">IF((A1)=(2),"",IF((276)=(J3),IF(IF((INDEX(B1:XFD1,((A2)+(1))+(0)))=("store"),(INDEX(B1:XFD1,((A2)+(1))+(1)))=("J"),"false"),B2,J279),J279))</f>
        <v>#VALUE!</v>
      </c>
      <c r="K279" t="e">
        <f ca="1">IF((A1)=(2),"",IF((276)=(K3),IF(IF((INDEX(B1:XFD1,((A2)+(1))+(0)))=("store"),(INDEX(B1:XFD1,((A2)+(1))+(1)))=("K"),"false"),B2,K279),K279))</f>
        <v>#VALUE!</v>
      </c>
      <c r="L279" t="e">
        <f ca="1">IF((A1)=(2),"",IF((276)=(L3),IF(IF((INDEX(B1:XFD1,((A2)+(1))+(0)))=("store"),(INDEX(B1:XFD1,((A2)+(1))+(1)))=("L"),"false"),B2,L279),L279))</f>
        <v>#VALUE!</v>
      </c>
      <c r="M279" t="e">
        <f ca="1">IF((A1)=(2),"",IF((276)=(M3),IF(IF((INDEX(B1:XFD1,((A2)+(1))+(0)))=("store"),(INDEX(B1:XFD1,((A2)+(1))+(1)))=("M"),"false"),B2,M279),M279))</f>
        <v>#VALUE!</v>
      </c>
      <c r="N279" t="e">
        <f ca="1">IF((A1)=(2),"",IF((276)=(N3),IF(IF((INDEX(B1:XFD1,((A2)+(1))+(0)))=("store"),(INDEX(B1:XFD1,((A2)+(1))+(1)))=("N"),"false"),B2,N279),N279))</f>
        <v>#VALUE!</v>
      </c>
      <c r="O279" t="e">
        <f ca="1">IF((A1)=(2),"",IF((276)=(O3),IF(IF((INDEX(B1:XFD1,((A2)+(1))+(0)))=("store"),(INDEX(B1:XFD1,((A2)+(1))+(1)))=("O"),"false"),B2,O279),O279))</f>
        <v>#VALUE!</v>
      </c>
      <c r="P279" t="e">
        <f ca="1">IF((A1)=(2),"",IF((276)=(P3),IF(IF((INDEX(B1:XFD1,((A2)+(1))+(0)))=("store"),(INDEX(B1:XFD1,((A2)+(1))+(1)))=("P"),"false"),B2,P279),P279))</f>
        <v>#VALUE!</v>
      </c>
      <c r="Q279" t="e">
        <f ca="1">IF((A1)=(2),"",IF((276)=(Q3),IF(IF((INDEX(B1:XFD1,((A2)+(1))+(0)))=("store"),(INDEX(B1:XFD1,((A2)+(1))+(1)))=("Q"),"false"),B2,Q279),Q279))</f>
        <v>#VALUE!</v>
      </c>
      <c r="R279" t="e">
        <f ca="1">IF((A1)=(2),"",IF((276)=(R3),IF(IF((INDEX(B1:XFD1,((A2)+(1))+(0)))=("store"),(INDEX(B1:XFD1,((A2)+(1))+(1)))=("R"),"false"),B2,R279),R279))</f>
        <v>#VALUE!</v>
      </c>
      <c r="S279" t="e">
        <f ca="1">IF((A1)=(2),"",IF((276)=(S3),IF(IF((INDEX(B1:XFD1,((A2)+(1))+(0)))=("store"),(INDEX(B1:XFD1,((A2)+(1))+(1)))=("S"),"false"),B2,S279),S279))</f>
        <v>#VALUE!</v>
      </c>
      <c r="T279" t="e">
        <f ca="1">IF((A1)=(2),"",IF((276)=(T3),IF(IF((INDEX(B1:XFD1,((A2)+(1))+(0)))=("store"),(INDEX(B1:XFD1,((A2)+(1))+(1)))=("T"),"false"),B2,T279),T279))</f>
        <v>#VALUE!</v>
      </c>
      <c r="U279" t="e">
        <f ca="1">IF((A1)=(2),"",IF((276)=(U3),IF(IF((INDEX(B1:XFD1,((A2)+(1))+(0)))=("store"),(INDEX(B1:XFD1,((A2)+(1))+(1)))=("U"),"false"),B2,U279),U279))</f>
        <v>#VALUE!</v>
      </c>
      <c r="V279" t="e">
        <f ca="1">IF((A1)=(2),"",IF((276)=(V3),IF(IF((INDEX(B1:XFD1,((A2)+(1))+(0)))=("store"),(INDEX(B1:XFD1,((A2)+(1))+(1)))=("V"),"false"),B2,V279),V279))</f>
        <v>#VALUE!</v>
      </c>
      <c r="W279" t="e">
        <f ca="1">IF((A1)=(2),"",IF((276)=(W3),IF(IF((INDEX(B1:XFD1,((A2)+(1))+(0)))=("store"),(INDEX(B1:XFD1,((A2)+(1))+(1)))=("W"),"false"),B2,W279),W279))</f>
        <v>#VALUE!</v>
      </c>
      <c r="X279" t="e">
        <f ca="1">IF((A1)=(2),"",IF((276)=(X3),IF(IF((INDEX(B1:XFD1,((A2)+(1))+(0)))=("store"),(INDEX(B1:XFD1,((A2)+(1))+(1)))=("X"),"false"),B2,X279),X279))</f>
        <v>#VALUE!</v>
      </c>
      <c r="Y279" t="e">
        <f ca="1">IF((A1)=(2),"",IF((276)=(Y3),IF(IF((INDEX(B1:XFD1,((A2)+(1))+(0)))=("store"),(INDEX(B1:XFD1,((A2)+(1))+(1)))=("Y"),"false"),B2,Y279),Y279))</f>
        <v>#VALUE!</v>
      </c>
      <c r="Z279" t="e">
        <f ca="1">IF((A1)=(2),"",IF((276)=(Z3),IF(IF((INDEX(B1:XFD1,((A2)+(1))+(0)))=("store"),(INDEX(B1:XFD1,((A2)+(1))+(1)))=("Z"),"false"),B2,Z279),Z279))</f>
        <v>#VALUE!</v>
      </c>
      <c r="AA279" t="e">
        <f ca="1">IF((A1)=(2),"",IF((276)=(AA3),IF(IF((INDEX(B1:XFD1,((A2)+(1))+(0)))=("store"),(INDEX(B1:XFD1,((A2)+(1))+(1)))=("AA"),"false"),B2,AA279),AA279))</f>
        <v>#VALUE!</v>
      </c>
      <c r="AB279" t="e">
        <f ca="1">IF((A1)=(2),"",IF((276)=(AB3),IF(IF((INDEX(B1:XFD1,((A2)+(1))+(0)))=("store"),(INDEX(B1:XFD1,((A2)+(1))+(1)))=("AB"),"false"),B2,AB279),AB279))</f>
        <v>#VALUE!</v>
      </c>
      <c r="AC279" t="e">
        <f ca="1">IF((A1)=(2),"",IF((276)=(AC3),IF(IF((INDEX(B1:XFD1,((A2)+(1))+(0)))=("store"),(INDEX(B1:XFD1,((A2)+(1))+(1)))=("AC"),"false"),B2,AC279),AC279))</f>
        <v>#VALUE!</v>
      </c>
      <c r="AD279" t="e">
        <f ca="1">IF((A1)=(2),"",IF((276)=(AD3),IF(IF((INDEX(B1:XFD1,((A2)+(1))+(0)))=("store"),(INDEX(B1:XFD1,((A2)+(1))+(1)))=("AD"),"false"),B2,AD279),AD279))</f>
        <v>#VALUE!</v>
      </c>
    </row>
    <row r="280" spans="1:30" x14ac:dyDescent="0.25">
      <c r="A280" t="e">
        <f ca="1">IF((A1)=(2),"",IF((277)=(A3),IF(("call")=(INDEX(B1:XFD1,((A2)+(1))+(0))),(B2)*(2),IF(("goto")=(INDEX(B1:XFD1,((A2)+(1))+(0))),(INDEX(B1:XFD1,((A2)+(1))+(1)))*(2),IF(("gotoiftrue")=(INDEX(B1:XFD1,((A2)+(1))+(0))),IF(B2,(INDEX(B1:XFD1,((A2)+(1))+(1)))*(2),(A280)+(2)),(A280)+(2)))),A280))</f>
        <v>#VALUE!</v>
      </c>
      <c r="B280" t="e">
        <f ca="1">IF((A1)=(2),"",IF((277)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280)+(1)),IF(("add")=(INDEX(B1:XFD1,((A2)+(1))+(0))),(INDEX(B4:B404,(B3)+(1)))+(B280),IF(("equals")=(INDEX(B1:XFD1,((A2)+(1))+(0))),(INDEX(B4:B404,(B3)+(1)))=(B280),IF(("leq")=(INDEX(B1:XFD1,((A2)+(1))+(0))),(INDEX(B4:B404,(B3)+(1)))&lt;=(B280),IF(("greater")=(INDEX(B1:XFD1,((A2)+(1))+(0))),(INDEX(B4:B404,(B3)+(1)))&gt;(B280),IF(("mod")=(INDEX(B1:XFD1,((A2)+(1))+(0))),MOD(INDEX(B4:B404,(B3)+(1)),B280),B280))))))))),B280))</f>
        <v>#VALUE!</v>
      </c>
      <c r="C280" t="e">
        <f ca="1">IF((A1)=(2),1,IF(AND((INDEX(B1:XFD1,((A2)+(1))+(0)))=("writeheap"),(INDEX(B4:B404,(B3)+(1)))=(276)),INDEX(B4:B404,(B3)+(2)),IF((A1)=(2),"",IF((277)=(C3),C280,C280))))</f>
        <v>#VALUE!</v>
      </c>
      <c r="E280" t="e">
        <f ca="1">IF((A1)=(2),"",IF((277)=(E3),IF(("outputline")=(INDEX(B1:XFD1,((A2)+(1))+(0))),B2,E280),E280))</f>
        <v>#VALUE!</v>
      </c>
      <c r="F280" t="e">
        <f ca="1">IF((A1)=(2),"",IF((277)=(F3),IF(IF((INDEX(B1:XFD1,((A2)+(1))+(0)))=("store"),(INDEX(B1:XFD1,((A2)+(1))+(1)))=("F"),"false"),B2,F280),F280))</f>
        <v>#VALUE!</v>
      </c>
      <c r="G280" t="e">
        <f ca="1">IF((A1)=(2),"",IF((277)=(G3),IF(IF((INDEX(B1:XFD1,((A2)+(1))+(0)))=("store"),(INDEX(B1:XFD1,((A2)+(1))+(1)))=("G"),"false"),B2,G280),G280))</f>
        <v>#VALUE!</v>
      </c>
      <c r="H280" t="e">
        <f ca="1">IF((A1)=(2),"",IF((277)=(H3),IF(IF((INDEX(B1:XFD1,((A2)+(1))+(0)))=("store"),(INDEX(B1:XFD1,((A2)+(1))+(1)))=("H"),"false"),B2,H280),H280))</f>
        <v>#VALUE!</v>
      </c>
      <c r="I280" t="e">
        <f ca="1">IF((A1)=(2),"",IF((277)=(I3),IF(IF((INDEX(B1:XFD1,((A2)+(1))+(0)))=("store"),(INDEX(B1:XFD1,((A2)+(1))+(1)))=("I"),"false"),B2,I280),I280))</f>
        <v>#VALUE!</v>
      </c>
      <c r="J280" t="e">
        <f ca="1">IF((A1)=(2),"",IF((277)=(J3),IF(IF((INDEX(B1:XFD1,((A2)+(1))+(0)))=("store"),(INDEX(B1:XFD1,((A2)+(1))+(1)))=("J"),"false"),B2,J280),J280))</f>
        <v>#VALUE!</v>
      </c>
      <c r="K280" t="e">
        <f ca="1">IF((A1)=(2),"",IF((277)=(K3),IF(IF((INDEX(B1:XFD1,((A2)+(1))+(0)))=("store"),(INDEX(B1:XFD1,((A2)+(1))+(1)))=("K"),"false"),B2,K280),K280))</f>
        <v>#VALUE!</v>
      </c>
      <c r="L280" t="e">
        <f ca="1">IF((A1)=(2),"",IF((277)=(L3),IF(IF((INDEX(B1:XFD1,((A2)+(1))+(0)))=("store"),(INDEX(B1:XFD1,((A2)+(1))+(1)))=("L"),"false"),B2,L280),L280))</f>
        <v>#VALUE!</v>
      </c>
      <c r="M280" t="e">
        <f ca="1">IF((A1)=(2),"",IF((277)=(M3),IF(IF((INDEX(B1:XFD1,((A2)+(1))+(0)))=("store"),(INDEX(B1:XFD1,((A2)+(1))+(1)))=("M"),"false"),B2,M280),M280))</f>
        <v>#VALUE!</v>
      </c>
      <c r="N280" t="e">
        <f ca="1">IF((A1)=(2),"",IF((277)=(N3),IF(IF((INDEX(B1:XFD1,((A2)+(1))+(0)))=("store"),(INDEX(B1:XFD1,((A2)+(1))+(1)))=("N"),"false"),B2,N280),N280))</f>
        <v>#VALUE!</v>
      </c>
      <c r="O280" t="e">
        <f ca="1">IF((A1)=(2),"",IF((277)=(O3),IF(IF((INDEX(B1:XFD1,((A2)+(1))+(0)))=("store"),(INDEX(B1:XFD1,((A2)+(1))+(1)))=("O"),"false"),B2,O280),O280))</f>
        <v>#VALUE!</v>
      </c>
      <c r="P280" t="e">
        <f ca="1">IF((A1)=(2),"",IF((277)=(P3),IF(IF((INDEX(B1:XFD1,((A2)+(1))+(0)))=("store"),(INDEX(B1:XFD1,((A2)+(1))+(1)))=("P"),"false"),B2,P280),P280))</f>
        <v>#VALUE!</v>
      </c>
      <c r="Q280" t="e">
        <f ca="1">IF((A1)=(2),"",IF((277)=(Q3),IF(IF((INDEX(B1:XFD1,((A2)+(1))+(0)))=("store"),(INDEX(B1:XFD1,((A2)+(1))+(1)))=("Q"),"false"),B2,Q280),Q280))</f>
        <v>#VALUE!</v>
      </c>
      <c r="R280" t="e">
        <f ca="1">IF((A1)=(2),"",IF((277)=(R3),IF(IF((INDEX(B1:XFD1,((A2)+(1))+(0)))=("store"),(INDEX(B1:XFD1,((A2)+(1))+(1)))=("R"),"false"),B2,R280),R280))</f>
        <v>#VALUE!</v>
      </c>
      <c r="S280" t="e">
        <f ca="1">IF((A1)=(2),"",IF((277)=(S3),IF(IF((INDEX(B1:XFD1,((A2)+(1))+(0)))=("store"),(INDEX(B1:XFD1,((A2)+(1))+(1)))=("S"),"false"),B2,S280),S280))</f>
        <v>#VALUE!</v>
      </c>
      <c r="T280" t="e">
        <f ca="1">IF((A1)=(2),"",IF((277)=(T3),IF(IF((INDEX(B1:XFD1,((A2)+(1))+(0)))=("store"),(INDEX(B1:XFD1,((A2)+(1))+(1)))=("T"),"false"),B2,T280),T280))</f>
        <v>#VALUE!</v>
      </c>
      <c r="U280" t="e">
        <f ca="1">IF((A1)=(2),"",IF((277)=(U3),IF(IF((INDEX(B1:XFD1,((A2)+(1))+(0)))=("store"),(INDEX(B1:XFD1,((A2)+(1))+(1)))=("U"),"false"),B2,U280),U280))</f>
        <v>#VALUE!</v>
      </c>
      <c r="V280" t="e">
        <f ca="1">IF((A1)=(2),"",IF((277)=(V3),IF(IF((INDEX(B1:XFD1,((A2)+(1))+(0)))=("store"),(INDEX(B1:XFD1,((A2)+(1))+(1)))=("V"),"false"),B2,V280),V280))</f>
        <v>#VALUE!</v>
      </c>
      <c r="W280" t="e">
        <f ca="1">IF((A1)=(2),"",IF((277)=(W3),IF(IF((INDEX(B1:XFD1,((A2)+(1))+(0)))=("store"),(INDEX(B1:XFD1,((A2)+(1))+(1)))=("W"),"false"),B2,W280),W280))</f>
        <v>#VALUE!</v>
      </c>
      <c r="X280" t="e">
        <f ca="1">IF((A1)=(2),"",IF((277)=(X3),IF(IF((INDEX(B1:XFD1,((A2)+(1))+(0)))=("store"),(INDEX(B1:XFD1,((A2)+(1))+(1)))=("X"),"false"),B2,X280),X280))</f>
        <v>#VALUE!</v>
      </c>
      <c r="Y280" t="e">
        <f ca="1">IF((A1)=(2),"",IF((277)=(Y3),IF(IF((INDEX(B1:XFD1,((A2)+(1))+(0)))=("store"),(INDEX(B1:XFD1,((A2)+(1))+(1)))=("Y"),"false"),B2,Y280),Y280))</f>
        <v>#VALUE!</v>
      </c>
      <c r="Z280" t="e">
        <f ca="1">IF((A1)=(2),"",IF((277)=(Z3),IF(IF((INDEX(B1:XFD1,((A2)+(1))+(0)))=("store"),(INDEX(B1:XFD1,((A2)+(1))+(1)))=("Z"),"false"),B2,Z280),Z280))</f>
        <v>#VALUE!</v>
      </c>
      <c r="AA280" t="e">
        <f ca="1">IF((A1)=(2),"",IF((277)=(AA3),IF(IF((INDEX(B1:XFD1,((A2)+(1))+(0)))=("store"),(INDEX(B1:XFD1,((A2)+(1))+(1)))=("AA"),"false"),B2,AA280),AA280))</f>
        <v>#VALUE!</v>
      </c>
      <c r="AB280" t="e">
        <f ca="1">IF((A1)=(2),"",IF((277)=(AB3),IF(IF((INDEX(B1:XFD1,((A2)+(1))+(0)))=("store"),(INDEX(B1:XFD1,((A2)+(1))+(1)))=("AB"),"false"),B2,AB280),AB280))</f>
        <v>#VALUE!</v>
      </c>
      <c r="AC280" t="e">
        <f ca="1">IF((A1)=(2),"",IF((277)=(AC3),IF(IF((INDEX(B1:XFD1,((A2)+(1))+(0)))=("store"),(INDEX(B1:XFD1,((A2)+(1))+(1)))=("AC"),"false"),B2,AC280),AC280))</f>
        <v>#VALUE!</v>
      </c>
      <c r="AD280" t="e">
        <f ca="1">IF((A1)=(2),"",IF((277)=(AD3),IF(IF((INDEX(B1:XFD1,((A2)+(1))+(0)))=("store"),(INDEX(B1:XFD1,((A2)+(1))+(1)))=("AD"),"false"),B2,AD280),AD280))</f>
        <v>#VALUE!</v>
      </c>
    </row>
    <row r="281" spans="1:30" x14ac:dyDescent="0.25">
      <c r="A281" t="e">
        <f ca="1">IF((A1)=(2),"",IF((278)=(A3),IF(("call")=(INDEX(B1:XFD1,((A2)+(1))+(0))),(B2)*(2),IF(("goto")=(INDEX(B1:XFD1,((A2)+(1))+(0))),(INDEX(B1:XFD1,((A2)+(1))+(1)))*(2),IF(("gotoiftrue")=(INDEX(B1:XFD1,((A2)+(1))+(0))),IF(B2,(INDEX(B1:XFD1,((A2)+(1))+(1)))*(2),(A281)+(2)),(A281)+(2)))),A281))</f>
        <v>#VALUE!</v>
      </c>
      <c r="B281" t="e">
        <f ca="1">IF((A1)=(2),"",IF((278)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281)+(1)),IF(("add")=(INDEX(B1:XFD1,((A2)+(1))+(0))),(INDEX(B4:B404,(B3)+(1)))+(B281),IF(("equals")=(INDEX(B1:XFD1,((A2)+(1))+(0))),(INDEX(B4:B404,(B3)+(1)))=(B281),IF(("leq")=(INDEX(B1:XFD1,((A2)+(1))+(0))),(INDEX(B4:B404,(B3)+(1)))&lt;=(B281),IF(("greater")=(INDEX(B1:XFD1,((A2)+(1))+(0))),(INDEX(B4:B404,(B3)+(1)))&gt;(B281),IF(("mod")=(INDEX(B1:XFD1,((A2)+(1))+(0))),MOD(INDEX(B4:B404,(B3)+(1)),B281),B281))))))))),B281))</f>
        <v>#VALUE!</v>
      </c>
      <c r="C281" t="e">
        <f ca="1">IF((A1)=(2),1,IF(AND((INDEX(B1:XFD1,((A2)+(1))+(0)))=("writeheap"),(INDEX(B4:B404,(B3)+(1)))=(277)),INDEX(B4:B404,(B3)+(2)),IF((A1)=(2),"",IF((278)=(C3),C281,C281))))</f>
        <v>#VALUE!</v>
      </c>
      <c r="E281" t="e">
        <f ca="1">IF((A1)=(2),"",IF((278)=(E3),IF(("outputline")=(INDEX(B1:XFD1,((A2)+(1))+(0))),B2,E281),E281))</f>
        <v>#VALUE!</v>
      </c>
      <c r="F281" t="e">
        <f ca="1">IF((A1)=(2),"",IF((278)=(F3),IF(IF((INDEX(B1:XFD1,((A2)+(1))+(0)))=("store"),(INDEX(B1:XFD1,((A2)+(1))+(1)))=("F"),"false"),B2,F281),F281))</f>
        <v>#VALUE!</v>
      </c>
      <c r="G281" t="e">
        <f ca="1">IF((A1)=(2),"",IF((278)=(G3),IF(IF((INDEX(B1:XFD1,((A2)+(1))+(0)))=("store"),(INDEX(B1:XFD1,((A2)+(1))+(1)))=("G"),"false"),B2,G281),G281))</f>
        <v>#VALUE!</v>
      </c>
      <c r="H281" t="e">
        <f ca="1">IF((A1)=(2),"",IF((278)=(H3),IF(IF((INDEX(B1:XFD1,((A2)+(1))+(0)))=("store"),(INDEX(B1:XFD1,((A2)+(1))+(1)))=("H"),"false"),B2,H281),H281))</f>
        <v>#VALUE!</v>
      </c>
      <c r="I281" t="e">
        <f ca="1">IF((A1)=(2),"",IF((278)=(I3),IF(IF((INDEX(B1:XFD1,((A2)+(1))+(0)))=("store"),(INDEX(B1:XFD1,((A2)+(1))+(1)))=("I"),"false"),B2,I281),I281))</f>
        <v>#VALUE!</v>
      </c>
      <c r="J281" t="e">
        <f ca="1">IF((A1)=(2),"",IF((278)=(J3),IF(IF((INDEX(B1:XFD1,((A2)+(1))+(0)))=("store"),(INDEX(B1:XFD1,((A2)+(1))+(1)))=("J"),"false"),B2,J281),J281))</f>
        <v>#VALUE!</v>
      </c>
      <c r="K281" t="e">
        <f ca="1">IF((A1)=(2),"",IF((278)=(K3),IF(IF((INDEX(B1:XFD1,((A2)+(1))+(0)))=("store"),(INDEX(B1:XFD1,((A2)+(1))+(1)))=("K"),"false"),B2,K281),K281))</f>
        <v>#VALUE!</v>
      </c>
      <c r="L281" t="e">
        <f ca="1">IF((A1)=(2),"",IF((278)=(L3),IF(IF((INDEX(B1:XFD1,((A2)+(1))+(0)))=("store"),(INDEX(B1:XFD1,((A2)+(1))+(1)))=("L"),"false"),B2,L281),L281))</f>
        <v>#VALUE!</v>
      </c>
      <c r="M281" t="e">
        <f ca="1">IF((A1)=(2),"",IF((278)=(M3),IF(IF((INDEX(B1:XFD1,((A2)+(1))+(0)))=("store"),(INDEX(B1:XFD1,((A2)+(1))+(1)))=("M"),"false"),B2,M281),M281))</f>
        <v>#VALUE!</v>
      </c>
      <c r="N281" t="e">
        <f ca="1">IF((A1)=(2),"",IF((278)=(N3),IF(IF((INDEX(B1:XFD1,((A2)+(1))+(0)))=("store"),(INDEX(B1:XFD1,((A2)+(1))+(1)))=("N"),"false"),B2,N281),N281))</f>
        <v>#VALUE!</v>
      </c>
      <c r="O281" t="e">
        <f ca="1">IF((A1)=(2),"",IF((278)=(O3),IF(IF((INDEX(B1:XFD1,((A2)+(1))+(0)))=("store"),(INDEX(B1:XFD1,((A2)+(1))+(1)))=("O"),"false"),B2,O281),O281))</f>
        <v>#VALUE!</v>
      </c>
      <c r="P281" t="e">
        <f ca="1">IF((A1)=(2),"",IF((278)=(P3),IF(IF((INDEX(B1:XFD1,((A2)+(1))+(0)))=("store"),(INDEX(B1:XFD1,((A2)+(1))+(1)))=("P"),"false"),B2,P281),P281))</f>
        <v>#VALUE!</v>
      </c>
      <c r="Q281" t="e">
        <f ca="1">IF((A1)=(2),"",IF((278)=(Q3),IF(IF((INDEX(B1:XFD1,((A2)+(1))+(0)))=("store"),(INDEX(B1:XFD1,((A2)+(1))+(1)))=("Q"),"false"),B2,Q281),Q281))</f>
        <v>#VALUE!</v>
      </c>
      <c r="R281" t="e">
        <f ca="1">IF((A1)=(2),"",IF((278)=(R3),IF(IF((INDEX(B1:XFD1,((A2)+(1))+(0)))=("store"),(INDEX(B1:XFD1,((A2)+(1))+(1)))=("R"),"false"),B2,R281),R281))</f>
        <v>#VALUE!</v>
      </c>
      <c r="S281" t="e">
        <f ca="1">IF((A1)=(2),"",IF((278)=(S3),IF(IF((INDEX(B1:XFD1,((A2)+(1))+(0)))=("store"),(INDEX(B1:XFD1,((A2)+(1))+(1)))=("S"),"false"),B2,S281),S281))</f>
        <v>#VALUE!</v>
      </c>
      <c r="T281" t="e">
        <f ca="1">IF((A1)=(2),"",IF((278)=(T3),IF(IF((INDEX(B1:XFD1,((A2)+(1))+(0)))=("store"),(INDEX(B1:XFD1,((A2)+(1))+(1)))=("T"),"false"),B2,T281),T281))</f>
        <v>#VALUE!</v>
      </c>
      <c r="U281" t="e">
        <f ca="1">IF((A1)=(2),"",IF((278)=(U3),IF(IF((INDEX(B1:XFD1,((A2)+(1))+(0)))=("store"),(INDEX(B1:XFD1,((A2)+(1))+(1)))=("U"),"false"),B2,U281),U281))</f>
        <v>#VALUE!</v>
      </c>
      <c r="V281" t="e">
        <f ca="1">IF((A1)=(2),"",IF((278)=(V3),IF(IF((INDEX(B1:XFD1,((A2)+(1))+(0)))=("store"),(INDEX(B1:XFD1,((A2)+(1))+(1)))=("V"),"false"),B2,V281),V281))</f>
        <v>#VALUE!</v>
      </c>
      <c r="W281" t="e">
        <f ca="1">IF((A1)=(2),"",IF((278)=(W3),IF(IF((INDEX(B1:XFD1,((A2)+(1))+(0)))=("store"),(INDEX(B1:XFD1,((A2)+(1))+(1)))=("W"),"false"),B2,W281),W281))</f>
        <v>#VALUE!</v>
      </c>
      <c r="X281" t="e">
        <f ca="1">IF((A1)=(2),"",IF((278)=(X3),IF(IF((INDEX(B1:XFD1,((A2)+(1))+(0)))=("store"),(INDEX(B1:XFD1,((A2)+(1))+(1)))=("X"),"false"),B2,X281),X281))</f>
        <v>#VALUE!</v>
      </c>
      <c r="Y281" t="e">
        <f ca="1">IF((A1)=(2),"",IF((278)=(Y3),IF(IF((INDEX(B1:XFD1,((A2)+(1))+(0)))=("store"),(INDEX(B1:XFD1,((A2)+(1))+(1)))=("Y"),"false"),B2,Y281),Y281))</f>
        <v>#VALUE!</v>
      </c>
      <c r="Z281" t="e">
        <f ca="1">IF((A1)=(2),"",IF((278)=(Z3),IF(IF((INDEX(B1:XFD1,((A2)+(1))+(0)))=("store"),(INDEX(B1:XFD1,((A2)+(1))+(1)))=("Z"),"false"),B2,Z281),Z281))</f>
        <v>#VALUE!</v>
      </c>
      <c r="AA281" t="e">
        <f ca="1">IF((A1)=(2),"",IF((278)=(AA3),IF(IF((INDEX(B1:XFD1,((A2)+(1))+(0)))=("store"),(INDEX(B1:XFD1,((A2)+(1))+(1)))=("AA"),"false"),B2,AA281),AA281))</f>
        <v>#VALUE!</v>
      </c>
      <c r="AB281" t="e">
        <f ca="1">IF((A1)=(2),"",IF((278)=(AB3),IF(IF((INDEX(B1:XFD1,((A2)+(1))+(0)))=("store"),(INDEX(B1:XFD1,((A2)+(1))+(1)))=("AB"),"false"),B2,AB281),AB281))</f>
        <v>#VALUE!</v>
      </c>
      <c r="AC281" t="e">
        <f ca="1">IF((A1)=(2),"",IF((278)=(AC3),IF(IF((INDEX(B1:XFD1,((A2)+(1))+(0)))=("store"),(INDEX(B1:XFD1,((A2)+(1))+(1)))=("AC"),"false"),B2,AC281),AC281))</f>
        <v>#VALUE!</v>
      </c>
      <c r="AD281" t="e">
        <f ca="1">IF((A1)=(2),"",IF((278)=(AD3),IF(IF((INDEX(B1:XFD1,((A2)+(1))+(0)))=("store"),(INDEX(B1:XFD1,((A2)+(1))+(1)))=("AD"),"false"),B2,AD281),AD281))</f>
        <v>#VALUE!</v>
      </c>
    </row>
    <row r="282" spans="1:30" x14ac:dyDescent="0.25">
      <c r="A282" t="e">
        <f ca="1">IF((A1)=(2),"",IF((279)=(A3),IF(("call")=(INDEX(B1:XFD1,((A2)+(1))+(0))),(B2)*(2),IF(("goto")=(INDEX(B1:XFD1,((A2)+(1))+(0))),(INDEX(B1:XFD1,((A2)+(1))+(1)))*(2),IF(("gotoiftrue")=(INDEX(B1:XFD1,((A2)+(1))+(0))),IF(B2,(INDEX(B1:XFD1,((A2)+(1))+(1)))*(2),(A282)+(2)),(A282)+(2)))),A282))</f>
        <v>#VALUE!</v>
      </c>
      <c r="B282" t="e">
        <f ca="1">IF((A1)=(2),"",IF((279)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282)+(1)),IF(("add")=(INDEX(B1:XFD1,((A2)+(1))+(0))),(INDEX(B4:B404,(B3)+(1)))+(B282),IF(("equals")=(INDEX(B1:XFD1,((A2)+(1))+(0))),(INDEX(B4:B404,(B3)+(1)))=(B282),IF(("leq")=(INDEX(B1:XFD1,((A2)+(1))+(0))),(INDEX(B4:B404,(B3)+(1)))&lt;=(B282),IF(("greater")=(INDEX(B1:XFD1,((A2)+(1))+(0))),(INDEX(B4:B404,(B3)+(1)))&gt;(B282),IF(("mod")=(INDEX(B1:XFD1,((A2)+(1))+(0))),MOD(INDEX(B4:B404,(B3)+(1)),B282),B282))))))))),B282))</f>
        <v>#VALUE!</v>
      </c>
      <c r="C282" t="e">
        <f ca="1">IF((A1)=(2),1,IF(AND((INDEX(B1:XFD1,((A2)+(1))+(0)))=("writeheap"),(INDEX(B4:B404,(B3)+(1)))=(278)),INDEX(B4:B404,(B3)+(2)),IF((A1)=(2),"",IF((279)=(C3),C282,C282))))</f>
        <v>#VALUE!</v>
      </c>
      <c r="E282" t="e">
        <f ca="1">IF((A1)=(2),"",IF((279)=(E3),IF(("outputline")=(INDEX(B1:XFD1,((A2)+(1))+(0))),B2,E282),E282))</f>
        <v>#VALUE!</v>
      </c>
      <c r="F282" t="e">
        <f ca="1">IF((A1)=(2),"",IF((279)=(F3),IF(IF((INDEX(B1:XFD1,((A2)+(1))+(0)))=("store"),(INDEX(B1:XFD1,((A2)+(1))+(1)))=("F"),"false"),B2,F282),F282))</f>
        <v>#VALUE!</v>
      </c>
      <c r="G282" t="e">
        <f ca="1">IF((A1)=(2),"",IF((279)=(G3),IF(IF((INDEX(B1:XFD1,((A2)+(1))+(0)))=("store"),(INDEX(B1:XFD1,((A2)+(1))+(1)))=("G"),"false"),B2,G282),G282))</f>
        <v>#VALUE!</v>
      </c>
      <c r="H282" t="e">
        <f ca="1">IF((A1)=(2),"",IF((279)=(H3),IF(IF((INDEX(B1:XFD1,((A2)+(1))+(0)))=("store"),(INDEX(B1:XFD1,((A2)+(1))+(1)))=("H"),"false"),B2,H282),H282))</f>
        <v>#VALUE!</v>
      </c>
      <c r="I282" t="e">
        <f ca="1">IF((A1)=(2),"",IF((279)=(I3),IF(IF((INDEX(B1:XFD1,((A2)+(1))+(0)))=("store"),(INDEX(B1:XFD1,((A2)+(1))+(1)))=("I"),"false"),B2,I282),I282))</f>
        <v>#VALUE!</v>
      </c>
      <c r="J282" t="e">
        <f ca="1">IF((A1)=(2),"",IF((279)=(J3),IF(IF((INDEX(B1:XFD1,((A2)+(1))+(0)))=("store"),(INDEX(B1:XFD1,((A2)+(1))+(1)))=("J"),"false"),B2,J282),J282))</f>
        <v>#VALUE!</v>
      </c>
      <c r="K282" t="e">
        <f ca="1">IF((A1)=(2),"",IF((279)=(K3),IF(IF((INDEX(B1:XFD1,((A2)+(1))+(0)))=("store"),(INDEX(B1:XFD1,((A2)+(1))+(1)))=("K"),"false"),B2,K282),K282))</f>
        <v>#VALUE!</v>
      </c>
      <c r="L282" t="e">
        <f ca="1">IF((A1)=(2),"",IF((279)=(L3),IF(IF((INDEX(B1:XFD1,((A2)+(1))+(0)))=("store"),(INDEX(B1:XFD1,((A2)+(1))+(1)))=("L"),"false"),B2,L282),L282))</f>
        <v>#VALUE!</v>
      </c>
      <c r="M282" t="e">
        <f ca="1">IF((A1)=(2),"",IF((279)=(M3),IF(IF((INDEX(B1:XFD1,((A2)+(1))+(0)))=("store"),(INDEX(B1:XFD1,((A2)+(1))+(1)))=("M"),"false"),B2,M282),M282))</f>
        <v>#VALUE!</v>
      </c>
      <c r="N282" t="e">
        <f ca="1">IF((A1)=(2),"",IF((279)=(N3),IF(IF((INDEX(B1:XFD1,((A2)+(1))+(0)))=("store"),(INDEX(B1:XFD1,((A2)+(1))+(1)))=("N"),"false"),B2,N282),N282))</f>
        <v>#VALUE!</v>
      </c>
      <c r="O282" t="e">
        <f ca="1">IF((A1)=(2),"",IF((279)=(O3),IF(IF((INDEX(B1:XFD1,((A2)+(1))+(0)))=("store"),(INDEX(B1:XFD1,((A2)+(1))+(1)))=("O"),"false"),B2,O282),O282))</f>
        <v>#VALUE!</v>
      </c>
      <c r="P282" t="e">
        <f ca="1">IF((A1)=(2),"",IF((279)=(P3),IF(IF((INDEX(B1:XFD1,((A2)+(1))+(0)))=("store"),(INDEX(B1:XFD1,((A2)+(1))+(1)))=("P"),"false"),B2,P282),P282))</f>
        <v>#VALUE!</v>
      </c>
      <c r="Q282" t="e">
        <f ca="1">IF((A1)=(2),"",IF((279)=(Q3),IF(IF((INDEX(B1:XFD1,((A2)+(1))+(0)))=("store"),(INDEX(B1:XFD1,((A2)+(1))+(1)))=("Q"),"false"),B2,Q282),Q282))</f>
        <v>#VALUE!</v>
      </c>
      <c r="R282" t="e">
        <f ca="1">IF((A1)=(2),"",IF((279)=(R3),IF(IF((INDEX(B1:XFD1,((A2)+(1))+(0)))=("store"),(INDEX(B1:XFD1,((A2)+(1))+(1)))=("R"),"false"),B2,R282),R282))</f>
        <v>#VALUE!</v>
      </c>
      <c r="S282" t="e">
        <f ca="1">IF((A1)=(2),"",IF((279)=(S3),IF(IF((INDEX(B1:XFD1,((A2)+(1))+(0)))=("store"),(INDEX(B1:XFD1,((A2)+(1))+(1)))=("S"),"false"),B2,S282),S282))</f>
        <v>#VALUE!</v>
      </c>
      <c r="T282" t="e">
        <f ca="1">IF((A1)=(2),"",IF((279)=(T3),IF(IF((INDEX(B1:XFD1,((A2)+(1))+(0)))=("store"),(INDEX(B1:XFD1,((A2)+(1))+(1)))=("T"),"false"),B2,T282),T282))</f>
        <v>#VALUE!</v>
      </c>
      <c r="U282" t="e">
        <f ca="1">IF((A1)=(2),"",IF((279)=(U3),IF(IF((INDEX(B1:XFD1,((A2)+(1))+(0)))=("store"),(INDEX(B1:XFD1,((A2)+(1))+(1)))=("U"),"false"),B2,U282),U282))</f>
        <v>#VALUE!</v>
      </c>
      <c r="V282" t="e">
        <f ca="1">IF((A1)=(2),"",IF((279)=(V3),IF(IF((INDEX(B1:XFD1,((A2)+(1))+(0)))=("store"),(INDEX(B1:XFD1,((A2)+(1))+(1)))=("V"),"false"),B2,V282),V282))</f>
        <v>#VALUE!</v>
      </c>
      <c r="W282" t="e">
        <f ca="1">IF((A1)=(2),"",IF((279)=(W3),IF(IF((INDEX(B1:XFD1,((A2)+(1))+(0)))=("store"),(INDEX(B1:XFD1,((A2)+(1))+(1)))=("W"),"false"),B2,W282),W282))</f>
        <v>#VALUE!</v>
      </c>
      <c r="X282" t="e">
        <f ca="1">IF((A1)=(2),"",IF((279)=(X3),IF(IF((INDEX(B1:XFD1,((A2)+(1))+(0)))=("store"),(INDEX(B1:XFD1,((A2)+(1))+(1)))=("X"),"false"),B2,X282),X282))</f>
        <v>#VALUE!</v>
      </c>
      <c r="Y282" t="e">
        <f ca="1">IF((A1)=(2),"",IF((279)=(Y3),IF(IF((INDEX(B1:XFD1,((A2)+(1))+(0)))=("store"),(INDEX(B1:XFD1,((A2)+(1))+(1)))=("Y"),"false"),B2,Y282),Y282))</f>
        <v>#VALUE!</v>
      </c>
      <c r="Z282" t="e">
        <f ca="1">IF((A1)=(2),"",IF((279)=(Z3),IF(IF((INDEX(B1:XFD1,((A2)+(1))+(0)))=("store"),(INDEX(B1:XFD1,((A2)+(1))+(1)))=("Z"),"false"),B2,Z282),Z282))</f>
        <v>#VALUE!</v>
      </c>
      <c r="AA282" t="e">
        <f ca="1">IF((A1)=(2),"",IF((279)=(AA3),IF(IF((INDEX(B1:XFD1,((A2)+(1))+(0)))=("store"),(INDEX(B1:XFD1,((A2)+(1))+(1)))=("AA"),"false"),B2,AA282),AA282))</f>
        <v>#VALUE!</v>
      </c>
      <c r="AB282" t="e">
        <f ca="1">IF((A1)=(2),"",IF((279)=(AB3),IF(IF((INDEX(B1:XFD1,((A2)+(1))+(0)))=("store"),(INDEX(B1:XFD1,((A2)+(1))+(1)))=("AB"),"false"),B2,AB282),AB282))</f>
        <v>#VALUE!</v>
      </c>
      <c r="AC282" t="e">
        <f ca="1">IF((A1)=(2),"",IF((279)=(AC3),IF(IF((INDEX(B1:XFD1,((A2)+(1))+(0)))=("store"),(INDEX(B1:XFD1,((A2)+(1))+(1)))=("AC"),"false"),B2,AC282),AC282))</f>
        <v>#VALUE!</v>
      </c>
      <c r="AD282" t="e">
        <f ca="1">IF((A1)=(2),"",IF((279)=(AD3),IF(IF((INDEX(B1:XFD1,((A2)+(1))+(0)))=("store"),(INDEX(B1:XFD1,((A2)+(1))+(1)))=("AD"),"false"),B2,AD282),AD282))</f>
        <v>#VALUE!</v>
      </c>
    </row>
    <row r="283" spans="1:30" x14ac:dyDescent="0.25">
      <c r="A283" t="e">
        <f ca="1">IF((A1)=(2),"",IF((280)=(A3),IF(("call")=(INDEX(B1:XFD1,((A2)+(1))+(0))),(B2)*(2),IF(("goto")=(INDEX(B1:XFD1,((A2)+(1))+(0))),(INDEX(B1:XFD1,((A2)+(1))+(1)))*(2),IF(("gotoiftrue")=(INDEX(B1:XFD1,((A2)+(1))+(0))),IF(B2,(INDEX(B1:XFD1,((A2)+(1))+(1)))*(2),(A283)+(2)),(A283)+(2)))),A283))</f>
        <v>#VALUE!</v>
      </c>
      <c r="B283" t="e">
        <f ca="1">IF((A1)=(2),"",IF((280)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283)+(1)),IF(("add")=(INDEX(B1:XFD1,((A2)+(1))+(0))),(INDEX(B4:B404,(B3)+(1)))+(B283),IF(("equals")=(INDEX(B1:XFD1,((A2)+(1))+(0))),(INDEX(B4:B404,(B3)+(1)))=(B283),IF(("leq")=(INDEX(B1:XFD1,((A2)+(1))+(0))),(INDEX(B4:B404,(B3)+(1)))&lt;=(B283),IF(("greater")=(INDEX(B1:XFD1,((A2)+(1))+(0))),(INDEX(B4:B404,(B3)+(1)))&gt;(B283),IF(("mod")=(INDEX(B1:XFD1,((A2)+(1))+(0))),MOD(INDEX(B4:B404,(B3)+(1)),B283),B283))))))))),B283))</f>
        <v>#VALUE!</v>
      </c>
      <c r="C283" t="e">
        <f ca="1">IF((A1)=(2),1,IF(AND((INDEX(B1:XFD1,((A2)+(1))+(0)))=("writeheap"),(INDEX(B4:B404,(B3)+(1)))=(279)),INDEX(B4:B404,(B3)+(2)),IF((A1)=(2),"",IF((280)=(C3),C283,C283))))</f>
        <v>#VALUE!</v>
      </c>
      <c r="E283" t="e">
        <f ca="1">IF((A1)=(2),"",IF((280)=(E3),IF(("outputline")=(INDEX(B1:XFD1,((A2)+(1))+(0))),B2,E283),E283))</f>
        <v>#VALUE!</v>
      </c>
      <c r="F283" t="e">
        <f ca="1">IF((A1)=(2),"",IF((280)=(F3),IF(IF((INDEX(B1:XFD1,((A2)+(1))+(0)))=("store"),(INDEX(B1:XFD1,((A2)+(1))+(1)))=("F"),"false"),B2,F283),F283))</f>
        <v>#VALUE!</v>
      </c>
      <c r="G283" t="e">
        <f ca="1">IF((A1)=(2),"",IF((280)=(G3),IF(IF((INDEX(B1:XFD1,((A2)+(1))+(0)))=("store"),(INDEX(B1:XFD1,((A2)+(1))+(1)))=("G"),"false"),B2,G283),G283))</f>
        <v>#VALUE!</v>
      </c>
      <c r="H283" t="e">
        <f ca="1">IF((A1)=(2),"",IF((280)=(H3),IF(IF((INDEX(B1:XFD1,((A2)+(1))+(0)))=("store"),(INDEX(B1:XFD1,((A2)+(1))+(1)))=("H"),"false"),B2,H283),H283))</f>
        <v>#VALUE!</v>
      </c>
      <c r="I283" t="e">
        <f ca="1">IF((A1)=(2),"",IF((280)=(I3),IF(IF((INDEX(B1:XFD1,((A2)+(1))+(0)))=("store"),(INDEX(B1:XFD1,((A2)+(1))+(1)))=("I"),"false"),B2,I283),I283))</f>
        <v>#VALUE!</v>
      </c>
      <c r="J283" t="e">
        <f ca="1">IF((A1)=(2),"",IF((280)=(J3),IF(IF((INDEX(B1:XFD1,((A2)+(1))+(0)))=("store"),(INDEX(B1:XFD1,((A2)+(1))+(1)))=("J"),"false"),B2,J283),J283))</f>
        <v>#VALUE!</v>
      </c>
      <c r="K283" t="e">
        <f ca="1">IF((A1)=(2),"",IF((280)=(K3),IF(IF((INDEX(B1:XFD1,((A2)+(1))+(0)))=("store"),(INDEX(B1:XFD1,((A2)+(1))+(1)))=("K"),"false"),B2,K283),K283))</f>
        <v>#VALUE!</v>
      </c>
      <c r="L283" t="e">
        <f ca="1">IF((A1)=(2),"",IF((280)=(L3),IF(IF((INDEX(B1:XFD1,((A2)+(1))+(0)))=("store"),(INDEX(B1:XFD1,((A2)+(1))+(1)))=("L"),"false"),B2,L283),L283))</f>
        <v>#VALUE!</v>
      </c>
      <c r="M283" t="e">
        <f ca="1">IF((A1)=(2),"",IF((280)=(M3),IF(IF((INDEX(B1:XFD1,((A2)+(1))+(0)))=("store"),(INDEX(B1:XFD1,((A2)+(1))+(1)))=("M"),"false"),B2,M283),M283))</f>
        <v>#VALUE!</v>
      </c>
      <c r="N283" t="e">
        <f ca="1">IF((A1)=(2),"",IF((280)=(N3),IF(IF((INDEX(B1:XFD1,((A2)+(1))+(0)))=("store"),(INDEX(B1:XFD1,((A2)+(1))+(1)))=("N"),"false"),B2,N283),N283))</f>
        <v>#VALUE!</v>
      </c>
      <c r="O283" t="e">
        <f ca="1">IF((A1)=(2),"",IF((280)=(O3),IF(IF((INDEX(B1:XFD1,((A2)+(1))+(0)))=("store"),(INDEX(B1:XFD1,((A2)+(1))+(1)))=("O"),"false"),B2,O283),O283))</f>
        <v>#VALUE!</v>
      </c>
      <c r="P283" t="e">
        <f ca="1">IF((A1)=(2),"",IF((280)=(P3),IF(IF((INDEX(B1:XFD1,((A2)+(1))+(0)))=("store"),(INDEX(B1:XFD1,((A2)+(1))+(1)))=("P"),"false"),B2,P283),P283))</f>
        <v>#VALUE!</v>
      </c>
      <c r="Q283" t="e">
        <f ca="1">IF((A1)=(2),"",IF((280)=(Q3),IF(IF((INDEX(B1:XFD1,((A2)+(1))+(0)))=("store"),(INDEX(B1:XFD1,((A2)+(1))+(1)))=("Q"),"false"),B2,Q283),Q283))</f>
        <v>#VALUE!</v>
      </c>
      <c r="R283" t="e">
        <f ca="1">IF((A1)=(2),"",IF((280)=(R3),IF(IF((INDEX(B1:XFD1,((A2)+(1))+(0)))=("store"),(INDEX(B1:XFD1,((A2)+(1))+(1)))=("R"),"false"),B2,R283),R283))</f>
        <v>#VALUE!</v>
      </c>
      <c r="S283" t="e">
        <f ca="1">IF((A1)=(2),"",IF((280)=(S3),IF(IF((INDEX(B1:XFD1,((A2)+(1))+(0)))=("store"),(INDEX(B1:XFD1,((A2)+(1))+(1)))=("S"),"false"),B2,S283),S283))</f>
        <v>#VALUE!</v>
      </c>
      <c r="T283" t="e">
        <f ca="1">IF((A1)=(2),"",IF((280)=(T3),IF(IF((INDEX(B1:XFD1,((A2)+(1))+(0)))=("store"),(INDEX(B1:XFD1,((A2)+(1))+(1)))=("T"),"false"),B2,T283),T283))</f>
        <v>#VALUE!</v>
      </c>
      <c r="U283" t="e">
        <f ca="1">IF((A1)=(2),"",IF((280)=(U3),IF(IF((INDEX(B1:XFD1,((A2)+(1))+(0)))=("store"),(INDEX(B1:XFD1,((A2)+(1))+(1)))=("U"),"false"),B2,U283),U283))</f>
        <v>#VALUE!</v>
      </c>
      <c r="V283" t="e">
        <f ca="1">IF((A1)=(2),"",IF((280)=(V3),IF(IF((INDEX(B1:XFD1,((A2)+(1))+(0)))=("store"),(INDEX(B1:XFD1,((A2)+(1))+(1)))=("V"),"false"),B2,V283),V283))</f>
        <v>#VALUE!</v>
      </c>
      <c r="W283" t="e">
        <f ca="1">IF((A1)=(2),"",IF((280)=(W3),IF(IF((INDEX(B1:XFD1,((A2)+(1))+(0)))=("store"),(INDEX(B1:XFD1,((A2)+(1))+(1)))=("W"),"false"),B2,W283),W283))</f>
        <v>#VALUE!</v>
      </c>
      <c r="X283" t="e">
        <f ca="1">IF((A1)=(2),"",IF((280)=(X3),IF(IF((INDEX(B1:XFD1,((A2)+(1))+(0)))=("store"),(INDEX(B1:XFD1,((A2)+(1))+(1)))=("X"),"false"),B2,X283),X283))</f>
        <v>#VALUE!</v>
      </c>
      <c r="Y283" t="e">
        <f ca="1">IF((A1)=(2),"",IF((280)=(Y3),IF(IF((INDEX(B1:XFD1,((A2)+(1))+(0)))=("store"),(INDEX(B1:XFD1,((A2)+(1))+(1)))=("Y"),"false"),B2,Y283),Y283))</f>
        <v>#VALUE!</v>
      </c>
      <c r="Z283" t="e">
        <f ca="1">IF((A1)=(2),"",IF((280)=(Z3),IF(IF((INDEX(B1:XFD1,((A2)+(1))+(0)))=("store"),(INDEX(B1:XFD1,((A2)+(1))+(1)))=("Z"),"false"),B2,Z283),Z283))</f>
        <v>#VALUE!</v>
      </c>
      <c r="AA283" t="e">
        <f ca="1">IF((A1)=(2),"",IF((280)=(AA3),IF(IF((INDEX(B1:XFD1,((A2)+(1))+(0)))=("store"),(INDEX(B1:XFD1,((A2)+(1))+(1)))=("AA"),"false"),B2,AA283),AA283))</f>
        <v>#VALUE!</v>
      </c>
      <c r="AB283" t="e">
        <f ca="1">IF((A1)=(2),"",IF((280)=(AB3),IF(IF((INDEX(B1:XFD1,((A2)+(1))+(0)))=("store"),(INDEX(B1:XFD1,((A2)+(1))+(1)))=("AB"),"false"),B2,AB283),AB283))</f>
        <v>#VALUE!</v>
      </c>
      <c r="AC283" t="e">
        <f ca="1">IF((A1)=(2),"",IF((280)=(AC3),IF(IF((INDEX(B1:XFD1,((A2)+(1))+(0)))=("store"),(INDEX(B1:XFD1,((A2)+(1))+(1)))=("AC"),"false"),B2,AC283),AC283))</f>
        <v>#VALUE!</v>
      </c>
      <c r="AD283" t="e">
        <f ca="1">IF((A1)=(2),"",IF((280)=(AD3),IF(IF((INDEX(B1:XFD1,((A2)+(1))+(0)))=("store"),(INDEX(B1:XFD1,((A2)+(1))+(1)))=("AD"),"false"),B2,AD283),AD283))</f>
        <v>#VALUE!</v>
      </c>
    </row>
    <row r="284" spans="1:30" x14ac:dyDescent="0.25">
      <c r="A284" t="e">
        <f ca="1">IF((A1)=(2),"",IF((281)=(A3),IF(("call")=(INDEX(B1:XFD1,((A2)+(1))+(0))),(B2)*(2),IF(("goto")=(INDEX(B1:XFD1,((A2)+(1))+(0))),(INDEX(B1:XFD1,((A2)+(1))+(1)))*(2),IF(("gotoiftrue")=(INDEX(B1:XFD1,((A2)+(1))+(0))),IF(B2,(INDEX(B1:XFD1,((A2)+(1))+(1)))*(2),(A284)+(2)),(A284)+(2)))),A284))</f>
        <v>#VALUE!</v>
      </c>
      <c r="B284" t="e">
        <f ca="1">IF((A1)=(2),"",IF((281)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284)+(1)),IF(("add")=(INDEX(B1:XFD1,((A2)+(1))+(0))),(INDEX(B4:B404,(B3)+(1)))+(B284),IF(("equals")=(INDEX(B1:XFD1,((A2)+(1))+(0))),(INDEX(B4:B404,(B3)+(1)))=(B284),IF(("leq")=(INDEX(B1:XFD1,((A2)+(1))+(0))),(INDEX(B4:B404,(B3)+(1)))&lt;=(B284),IF(("greater")=(INDEX(B1:XFD1,((A2)+(1))+(0))),(INDEX(B4:B404,(B3)+(1)))&gt;(B284),IF(("mod")=(INDEX(B1:XFD1,((A2)+(1))+(0))),MOD(INDEX(B4:B404,(B3)+(1)),B284),B284))))))))),B284))</f>
        <v>#VALUE!</v>
      </c>
      <c r="C284" t="e">
        <f ca="1">IF((A1)=(2),1,IF(AND((INDEX(B1:XFD1,((A2)+(1))+(0)))=("writeheap"),(INDEX(B4:B404,(B3)+(1)))=(280)),INDEX(B4:B404,(B3)+(2)),IF((A1)=(2),"",IF((281)=(C3),C284,C284))))</f>
        <v>#VALUE!</v>
      </c>
      <c r="E284" t="e">
        <f ca="1">IF((A1)=(2),"",IF((281)=(E3),IF(("outputline")=(INDEX(B1:XFD1,((A2)+(1))+(0))),B2,E284),E284))</f>
        <v>#VALUE!</v>
      </c>
      <c r="F284" t="e">
        <f ca="1">IF((A1)=(2),"",IF((281)=(F3),IF(IF((INDEX(B1:XFD1,((A2)+(1))+(0)))=("store"),(INDEX(B1:XFD1,((A2)+(1))+(1)))=("F"),"false"),B2,F284),F284))</f>
        <v>#VALUE!</v>
      </c>
      <c r="G284" t="e">
        <f ca="1">IF((A1)=(2),"",IF((281)=(G3),IF(IF((INDEX(B1:XFD1,((A2)+(1))+(0)))=("store"),(INDEX(B1:XFD1,((A2)+(1))+(1)))=("G"),"false"),B2,G284),G284))</f>
        <v>#VALUE!</v>
      </c>
      <c r="H284" t="e">
        <f ca="1">IF((A1)=(2),"",IF((281)=(H3),IF(IF((INDEX(B1:XFD1,((A2)+(1))+(0)))=("store"),(INDEX(B1:XFD1,((A2)+(1))+(1)))=("H"),"false"),B2,H284),H284))</f>
        <v>#VALUE!</v>
      </c>
      <c r="I284" t="e">
        <f ca="1">IF((A1)=(2),"",IF((281)=(I3),IF(IF((INDEX(B1:XFD1,((A2)+(1))+(0)))=("store"),(INDEX(B1:XFD1,((A2)+(1))+(1)))=("I"),"false"),B2,I284),I284))</f>
        <v>#VALUE!</v>
      </c>
      <c r="J284" t="e">
        <f ca="1">IF((A1)=(2),"",IF((281)=(J3),IF(IF((INDEX(B1:XFD1,((A2)+(1))+(0)))=("store"),(INDEX(B1:XFD1,((A2)+(1))+(1)))=("J"),"false"),B2,J284),J284))</f>
        <v>#VALUE!</v>
      </c>
      <c r="K284" t="e">
        <f ca="1">IF((A1)=(2),"",IF((281)=(K3),IF(IF((INDEX(B1:XFD1,((A2)+(1))+(0)))=("store"),(INDEX(B1:XFD1,((A2)+(1))+(1)))=("K"),"false"),B2,K284),K284))</f>
        <v>#VALUE!</v>
      </c>
      <c r="L284" t="e">
        <f ca="1">IF((A1)=(2),"",IF((281)=(L3),IF(IF((INDEX(B1:XFD1,((A2)+(1))+(0)))=("store"),(INDEX(B1:XFD1,((A2)+(1))+(1)))=("L"),"false"),B2,L284),L284))</f>
        <v>#VALUE!</v>
      </c>
      <c r="M284" t="e">
        <f ca="1">IF((A1)=(2),"",IF((281)=(M3),IF(IF((INDEX(B1:XFD1,((A2)+(1))+(0)))=("store"),(INDEX(B1:XFD1,((A2)+(1))+(1)))=("M"),"false"),B2,M284),M284))</f>
        <v>#VALUE!</v>
      </c>
      <c r="N284" t="e">
        <f ca="1">IF((A1)=(2),"",IF((281)=(N3),IF(IF((INDEX(B1:XFD1,((A2)+(1))+(0)))=("store"),(INDEX(B1:XFD1,((A2)+(1))+(1)))=("N"),"false"),B2,N284),N284))</f>
        <v>#VALUE!</v>
      </c>
      <c r="O284" t="e">
        <f ca="1">IF((A1)=(2),"",IF((281)=(O3),IF(IF((INDEX(B1:XFD1,((A2)+(1))+(0)))=("store"),(INDEX(B1:XFD1,((A2)+(1))+(1)))=("O"),"false"),B2,O284),O284))</f>
        <v>#VALUE!</v>
      </c>
      <c r="P284" t="e">
        <f ca="1">IF((A1)=(2),"",IF((281)=(P3),IF(IF((INDEX(B1:XFD1,((A2)+(1))+(0)))=("store"),(INDEX(B1:XFD1,((A2)+(1))+(1)))=("P"),"false"),B2,P284),P284))</f>
        <v>#VALUE!</v>
      </c>
      <c r="Q284" t="e">
        <f ca="1">IF((A1)=(2),"",IF((281)=(Q3),IF(IF((INDEX(B1:XFD1,((A2)+(1))+(0)))=("store"),(INDEX(B1:XFD1,((A2)+(1))+(1)))=("Q"),"false"),B2,Q284),Q284))</f>
        <v>#VALUE!</v>
      </c>
      <c r="R284" t="e">
        <f ca="1">IF((A1)=(2),"",IF((281)=(R3),IF(IF((INDEX(B1:XFD1,((A2)+(1))+(0)))=("store"),(INDEX(B1:XFD1,((A2)+(1))+(1)))=("R"),"false"),B2,R284),R284))</f>
        <v>#VALUE!</v>
      </c>
      <c r="S284" t="e">
        <f ca="1">IF((A1)=(2),"",IF((281)=(S3),IF(IF((INDEX(B1:XFD1,((A2)+(1))+(0)))=("store"),(INDEX(B1:XFD1,((A2)+(1))+(1)))=("S"),"false"),B2,S284),S284))</f>
        <v>#VALUE!</v>
      </c>
      <c r="T284" t="e">
        <f ca="1">IF((A1)=(2),"",IF((281)=(T3),IF(IF((INDEX(B1:XFD1,((A2)+(1))+(0)))=("store"),(INDEX(B1:XFD1,((A2)+(1))+(1)))=("T"),"false"),B2,T284),T284))</f>
        <v>#VALUE!</v>
      </c>
      <c r="U284" t="e">
        <f ca="1">IF((A1)=(2),"",IF((281)=(U3),IF(IF((INDEX(B1:XFD1,((A2)+(1))+(0)))=("store"),(INDEX(B1:XFD1,((A2)+(1))+(1)))=("U"),"false"),B2,U284),U284))</f>
        <v>#VALUE!</v>
      </c>
      <c r="V284" t="e">
        <f ca="1">IF((A1)=(2),"",IF((281)=(V3),IF(IF((INDEX(B1:XFD1,((A2)+(1))+(0)))=("store"),(INDEX(B1:XFD1,((A2)+(1))+(1)))=("V"),"false"),B2,V284),V284))</f>
        <v>#VALUE!</v>
      </c>
      <c r="W284" t="e">
        <f ca="1">IF((A1)=(2),"",IF((281)=(W3),IF(IF((INDEX(B1:XFD1,((A2)+(1))+(0)))=("store"),(INDEX(B1:XFD1,((A2)+(1))+(1)))=("W"),"false"),B2,W284),W284))</f>
        <v>#VALUE!</v>
      </c>
      <c r="X284" t="e">
        <f ca="1">IF((A1)=(2),"",IF((281)=(X3),IF(IF((INDEX(B1:XFD1,((A2)+(1))+(0)))=("store"),(INDEX(B1:XFD1,((A2)+(1))+(1)))=("X"),"false"),B2,X284),X284))</f>
        <v>#VALUE!</v>
      </c>
      <c r="Y284" t="e">
        <f ca="1">IF((A1)=(2),"",IF((281)=(Y3),IF(IF((INDEX(B1:XFD1,((A2)+(1))+(0)))=("store"),(INDEX(B1:XFD1,((A2)+(1))+(1)))=("Y"),"false"),B2,Y284),Y284))</f>
        <v>#VALUE!</v>
      </c>
      <c r="Z284" t="e">
        <f ca="1">IF((A1)=(2),"",IF((281)=(Z3),IF(IF((INDEX(B1:XFD1,((A2)+(1))+(0)))=("store"),(INDEX(B1:XFD1,((A2)+(1))+(1)))=("Z"),"false"),B2,Z284),Z284))</f>
        <v>#VALUE!</v>
      </c>
      <c r="AA284" t="e">
        <f ca="1">IF((A1)=(2),"",IF((281)=(AA3),IF(IF((INDEX(B1:XFD1,((A2)+(1))+(0)))=("store"),(INDEX(B1:XFD1,((A2)+(1))+(1)))=("AA"),"false"),B2,AA284),AA284))</f>
        <v>#VALUE!</v>
      </c>
      <c r="AB284" t="e">
        <f ca="1">IF((A1)=(2),"",IF((281)=(AB3),IF(IF((INDEX(B1:XFD1,((A2)+(1))+(0)))=("store"),(INDEX(B1:XFD1,((A2)+(1))+(1)))=("AB"),"false"),B2,AB284),AB284))</f>
        <v>#VALUE!</v>
      </c>
      <c r="AC284" t="e">
        <f ca="1">IF((A1)=(2),"",IF((281)=(AC3),IF(IF((INDEX(B1:XFD1,((A2)+(1))+(0)))=("store"),(INDEX(B1:XFD1,((A2)+(1))+(1)))=("AC"),"false"),B2,AC284),AC284))</f>
        <v>#VALUE!</v>
      </c>
      <c r="AD284" t="e">
        <f ca="1">IF((A1)=(2),"",IF((281)=(AD3),IF(IF((INDEX(B1:XFD1,((A2)+(1))+(0)))=("store"),(INDEX(B1:XFD1,((A2)+(1))+(1)))=("AD"),"false"),B2,AD284),AD284))</f>
        <v>#VALUE!</v>
      </c>
    </row>
    <row r="285" spans="1:30" x14ac:dyDescent="0.25">
      <c r="A285" t="e">
        <f ca="1">IF((A1)=(2),"",IF((282)=(A3),IF(("call")=(INDEX(B1:XFD1,((A2)+(1))+(0))),(B2)*(2),IF(("goto")=(INDEX(B1:XFD1,((A2)+(1))+(0))),(INDEX(B1:XFD1,((A2)+(1))+(1)))*(2),IF(("gotoiftrue")=(INDEX(B1:XFD1,((A2)+(1))+(0))),IF(B2,(INDEX(B1:XFD1,((A2)+(1))+(1)))*(2),(A285)+(2)),(A285)+(2)))),A285))</f>
        <v>#VALUE!</v>
      </c>
      <c r="B285" t="e">
        <f ca="1">IF((A1)=(2),"",IF((282)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285)+(1)),IF(("add")=(INDEX(B1:XFD1,((A2)+(1))+(0))),(INDEX(B4:B404,(B3)+(1)))+(B285),IF(("equals")=(INDEX(B1:XFD1,((A2)+(1))+(0))),(INDEX(B4:B404,(B3)+(1)))=(B285),IF(("leq")=(INDEX(B1:XFD1,((A2)+(1))+(0))),(INDEX(B4:B404,(B3)+(1)))&lt;=(B285),IF(("greater")=(INDEX(B1:XFD1,((A2)+(1))+(0))),(INDEX(B4:B404,(B3)+(1)))&gt;(B285),IF(("mod")=(INDEX(B1:XFD1,((A2)+(1))+(0))),MOD(INDEX(B4:B404,(B3)+(1)),B285),B285))))))))),B285))</f>
        <v>#VALUE!</v>
      </c>
      <c r="C285" t="e">
        <f ca="1">IF((A1)=(2),1,IF(AND((INDEX(B1:XFD1,((A2)+(1))+(0)))=("writeheap"),(INDEX(B4:B404,(B3)+(1)))=(281)),INDEX(B4:B404,(B3)+(2)),IF((A1)=(2),"",IF((282)=(C3),C285,C285))))</f>
        <v>#VALUE!</v>
      </c>
      <c r="E285" t="e">
        <f ca="1">IF((A1)=(2),"",IF((282)=(E3),IF(("outputline")=(INDEX(B1:XFD1,((A2)+(1))+(0))),B2,E285),E285))</f>
        <v>#VALUE!</v>
      </c>
      <c r="F285" t="e">
        <f ca="1">IF((A1)=(2),"",IF((282)=(F3),IF(IF((INDEX(B1:XFD1,((A2)+(1))+(0)))=("store"),(INDEX(B1:XFD1,((A2)+(1))+(1)))=("F"),"false"),B2,F285),F285))</f>
        <v>#VALUE!</v>
      </c>
      <c r="G285" t="e">
        <f ca="1">IF((A1)=(2),"",IF((282)=(G3),IF(IF((INDEX(B1:XFD1,((A2)+(1))+(0)))=("store"),(INDEX(B1:XFD1,((A2)+(1))+(1)))=("G"),"false"),B2,G285),G285))</f>
        <v>#VALUE!</v>
      </c>
      <c r="H285" t="e">
        <f ca="1">IF((A1)=(2),"",IF((282)=(H3),IF(IF((INDEX(B1:XFD1,((A2)+(1))+(0)))=("store"),(INDEX(B1:XFD1,((A2)+(1))+(1)))=("H"),"false"),B2,H285),H285))</f>
        <v>#VALUE!</v>
      </c>
      <c r="I285" t="e">
        <f ca="1">IF((A1)=(2),"",IF((282)=(I3),IF(IF((INDEX(B1:XFD1,((A2)+(1))+(0)))=("store"),(INDEX(B1:XFD1,((A2)+(1))+(1)))=("I"),"false"),B2,I285),I285))</f>
        <v>#VALUE!</v>
      </c>
      <c r="J285" t="e">
        <f ca="1">IF((A1)=(2),"",IF((282)=(J3),IF(IF((INDEX(B1:XFD1,((A2)+(1))+(0)))=("store"),(INDEX(B1:XFD1,((A2)+(1))+(1)))=("J"),"false"),B2,J285),J285))</f>
        <v>#VALUE!</v>
      </c>
      <c r="K285" t="e">
        <f ca="1">IF((A1)=(2),"",IF((282)=(K3),IF(IF((INDEX(B1:XFD1,((A2)+(1))+(0)))=("store"),(INDEX(B1:XFD1,((A2)+(1))+(1)))=("K"),"false"),B2,K285),K285))</f>
        <v>#VALUE!</v>
      </c>
      <c r="L285" t="e">
        <f ca="1">IF((A1)=(2),"",IF((282)=(L3),IF(IF((INDEX(B1:XFD1,((A2)+(1))+(0)))=("store"),(INDEX(B1:XFD1,((A2)+(1))+(1)))=("L"),"false"),B2,L285),L285))</f>
        <v>#VALUE!</v>
      </c>
      <c r="M285" t="e">
        <f ca="1">IF((A1)=(2),"",IF((282)=(M3),IF(IF((INDEX(B1:XFD1,((A2)+(1))+(0)))=("store"),(INDEX(B1:XFD1,((A2)+(1))+(1)))=("M"),"false"),B2,M285),M285))</f>
        <v>#VALUE!</v>
      </c>
      <c r="N285" t="e">
        <f ca="1">IF((A1)=(2),"",IF((282)=(N3),IF(IF((INDEX(B1:XFD1,((A2)+(1))+(0)))=("store"),(INDEX(B1:XFD1,((A2)+(1))+(1)))=("N"),"false"),B2,N285),N285))</f>
        <v>#VALUE!</v>
      </c>
      <c r="O285" t="e">
        <f ca="1">IF((A1)=(2),"",IF((282)=(O3),IF(IF((INDEX(B1:XFD1,((A2)+(1))+(0)))=("store"),(INDEX(B1:XFD1,((A2)+(1))+(1)))=("O"),"false"),B2,O285),O285))</f>
        <v>#VALUE!</v>
      </c>
      <c r="P285" t="e">
        <f ca="1">IF((A1)=(2),"",IF((282)=(P3),IF(IF((INDEX(B1:XFD1,((A2)+(1))+(0)))=("store"),(INDEX(B1:XFD1,((A2)+(1))+(1)))=("P"),"false"),B2,P285),P285))</f>
        <v>#VALUE!</v>
      </c>
      <c r="Q285" t="e">
        <f ca="1">IF((A1)=(2),"",IF((282)=(Q3),IF(IF((INDEX(B1:XFD1,((A2)+(1))+(0)))=("store"),(INDEX(B1:XFD1,((A2)+(1))+(1)))=("Q"),"false"),B2,Q285),Q285))</f>
        <v>#VALUE!</v>
      </c>
      <c r="R285" t="e">
        <f ca="1">IF((A1)=(2),"",IF((282)=(R3),IF(IF((INDEX(B1:XFD1,((A2)+(1))+(0)))=("store"),(INDEX(B1:XFD1,((A2)+(1))+(1)))=("R"),"false"),B2,R285),R285))</f>
        <v>#VALUE!</v>
      </c>
      <c r="S285" t="e">
        <f ca="1">IF((A1)=(2),"",IF((282)=(S3),IF(IF((INDEX(B1:XFD1,((A2)+(1))+(0)))=("store"),(INDEX(B1:XFD1,((A2)+(1))+(1)))=("S"),"false"),B2,S285),S285))</f>
        <v>#VALUE!</v>
      </c>
      <c r="T285" t="e">
        <f ca="1">IF((A1)=(2),"",IF((282)=(T3),IF(IF((INDEX(B1:XFD1,((A2)+(1))+(0)))=("store"),(INDEX(B1:XFD1,((A2)+(1))+(1)))=("T"),"false"),B2,T285),T285))</f>
        <v>#VALUE!</v>
      </c>
      <c r="U285" t="e">
        <f ca="1">IF((A1)=(2),"",IF((282)=(U3),IF(IF((INDEX(B1:XFD1,((A2)+(1))+(0)))=("store"),(INDEX(B1:XFD1,((A2)+(1))+(1)))=("U"),"false"),B2,U285),U285))</f>
        <v>#VALUE!</v>
      </c>
      <c r="V285" t="e">
        <f ca="1">IF((A1)=(2),"",IF((282)=(V3),IF(IF((INDEX(B1:XFD1,((A2)+(1))+(0)))=("store"),(INDEX(B1:XFD1,((A2)+(1))+(1)))=("V"),"false"),B2,V285),V285))</f>
        <v>#VALUE!</v>
      </c>
      <c r="W285" t="e">
        <f ca="1">IF((A1)=(2),"",IF((282)=(W3),IF(IF((INDEX(B1:XFD1,((A2)+(1))+(0)))=("store"),(INDEX(B1:XFD1,((A2)+(1))+(1)))=("W"),"false"),B2,W285),W285))</f>
        <v>#VALUE!</v>
      </c>
      <c r="X285" t="e">
        <f ca="1">IF((A1)=(2),"",IF((282)=(X3),IF(IF((INDEX(B1:XFD1,((A2)+(1))+(0)))=("store"),(INDEX(B1:XFD1,((A2)+(1))+(1)))=("X"),"false"),B2,X285),X285))</f>
        <v>#VALUE!</v>
      </c>
      <c r="Y285" t="e">
        <f ca="1">IF((A1)=(2),"",IF((282)=(Y3),IF(IF((INDEX(B1:XFD1,((A2)+(1))+(0)))=("store"),(INDEX(B1:XFD1,((A2)+(1))+(1)))=("Y"),"false"),B2,Y285),Y285))</f>
        <v>#VALUE!</v>
      </c>
      <c r="Z285" t="e">
        <f ca="1">IF((A1)=(2),"",IF((282)=(Z3),IF(IF((INDEX(B1:XFD1,((A2)+(1))+(0)))=("store"),(INDEX(B1:XFD1,((A2)+(1))+(1)))=("Z"),"false"),B2,Z285),Z285))</f>
        <v>#VALUE!</v>
      </c>
      <c r="AA285" t="e">
        <f ca="1">IF((A1)=(2),"",IF((282)=(AA3),IF(IF((INDEX(B1:XFD1,((A2)+(1))+(0)))=("store"),(INDEX(B1:XFD1,((A2)+(1))+(1)))=("AA"),"false"),B2,AA285),AA285))</f>
        <v>#VALUE!</v>
      </c>
      <c r="AB285" t="e">
        <f ca="1">IF((A1)=(2),"",IF((282)=(AB3),IF(IF((INDEX(B1:XFD1,((A2)+(1))+(0)))=("store"),(INDEX(B1:XFD1,((A2)+(1))+(1)))=("AB"),"false"),B2,AB285),AB285))</f>
        <v>#VALUE!</v>
      </c>
      <c r="AC285" t="e">
        <f ca="1">IF((A1)=(2),"",IF((282)=(AC3),IF(IF((INDEX(B1:XFD1,((A2)+(1))+(0)))=("store"),(INDEX(B1:XFD1,((A2)+(1))+(1)))=("AC"),"false"),B2,AC285),AC285))</f>
        <v>#VALUE!</v>
      </c>
      <c r="AD285" t="e">
        <f ca="1">IF((A1)=(2),"",IF((282)=(AD3),IF(IF((INDEX(B1:XFD1,((A2)+(1))+(0)))=("store"),(INDEX(B1:XFD1,((A2)+(1))+(1)))=("AD"),"false"),B2,AD285),AD285))</f>
        <v>#VALUE!</v>
      </c>
    </row>
    <row r="286" spans="1:30" x14ac:dyDescent="0.25">
      <c r="A286" t="e">
        <f ca="1">IF((A1)=(2),"",IF((283)=(A3),IF(("call")=(INDEX(B1:XFD1,((A2)+(1))+(0))),(B2)*(2),IF(("goto")=(INDEX(B1:XFD1,((A2)+(1))+(0))),(INDEX(B1:XFD1,((A2)+(1))+(1)))*(2),IF(("gotoiftrue")=(INDEX(B1:XFD1,((A2)+(1))+(0))),IF(B2,(INDEX(B1:XFD1,((A2)+(1))+(1)))*(2),(A286)+(2)),(A286)+(2)))),A286))</f>
        <v>#VALUE!</v>
      </c>
      <c r="B286" t="e">
        <f ca="1">IF((A1)=(2),"",IF((283)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286)+(1)),IF(("add")=(INDEX(B1:XFD1,((A2)+(1))+(0))),(INDEX(B4:B404,(B3)+(1)))+(B286),IF(("equals")=(INDEX(B1:XFD1,((A2)+(1))+(0))),(INDEX(B4:B404,(B3)+(1)))=(B286),IF(("leq")=(INDEX(B1:XFD1,((A2)+(1))+(0))),(INDEX(B4:B404,(B3)+(1)))&lt;=(B286),IF(("greater")=(INDEX(B1:XFD1,((A2)+(1))+(0))),(INDEX(B4:B404,(B3)+(1)))&gt;(B286),IF(("mod")=(INDEX(B1:XFD1,((A2)+(1))+(0))),MOD(INDEX(B4:B404,(B3)+(1)),B286),B286))))))))),B286))</f>
        <v>#VALUE!</v>
      </c>
      <c r="C286" t="e">
        <f ca="1">IF((A1)=(2),1,IF(AND((INDEX(B1:XFD1,((A2)+(1))+(0)))=("writeheap"),(INDEX(B4:B404,(B3)+(1)))=(282)),INDEX(B4:B404,(B3)+(2)),IF((A1)=(2),"",IF((283)=(C3),C286,C286))))</f>
        <v>#VALUE!</v>
      </c>
      <c r="E286" t="e">
        <f ca="1">IF((A1)=(2),"",IF((283)=(E3),IF(("outputline")=(INDEX(B1:XFD1,((A2)+(1))+(0))),B2,E286),E286))</f>
        <v>#VALUE!</v>
      </c>
      <c r="F286" t="e">
        <f ca="1">IF((A1)=(2),"",IF((283)=(F3),IF(IF((INDEX(B1:XFD1,((A2)+(1))+(0)))=("store"),(INDEX(B1:XFD1,((A2)+(1))+(1)))=("F"),"false"),B2,F286),F286))</f>
        <v>#VALUE!</v>
      </c>
      <c r="G286" t="e">
        <f ca="1">IF((A1)=(2),"",IF((283)=(G3),IF(IF((INDEX(B1:XFD1,((A2)+(1))+(0)))=("store"),(INDEX(B1:XFD1,((A2)+(1))+(1)))=("G"),"false"),B2,G286),G286))</f>
        <v>#VALUE!</v>
      </c>
      <c r="H286" t="e">
        <f ca="1">IF((A1)=(2),"",IF((283)=(H3),IF(IF((INDEX(B1:XFD1,((A2)+(1))+(0)))=("store"),(INDEX(B1:XFD1,((A2)+(1))+(1)))=("H"),"false"),B2,H286),H286))</f>
        <v>#VALUE!</v>
      </c>
      <c r="I286" t="e">
        <f ca="1">IF((A1)=(2),"",IF((283)=(I3),IF(IF((INDEX(B1:XFD1,((A2)+(1))+(0)))=("store"),(INDEX(B1:XFD1,((A2)+(1))+(1)))=("I"),"false"),B2,I286),I286))</f>
        <v>#VALUE!</v>
      </c>
      <c r="J286" t="e">
        <f ca="1">IF((A1)=(2),"",IF((283)=(J3),IF(IF((INDEX(B1:XFD1,((A2)+(1))+(0)))=("store"),(INDEX(B1:XFD1,((A2)+(1))+(1)))=("J"),"false"),B2,J286),J286))</f>
        <v>#VALUE!</v>
      </c>
      <c r="K286" t="e">
        <f ca="1">IF((A1)=(2),"",IF((283)=(K3),IF(IF((INDEX(B1:XFD1,((A2)+(1))+(0)))=("store"),(INDEX(B1:XFD1,((A2)+(1))+(1)))=("K"),"false"),B2,K286),K286))</f>
        <v>#VALUE!</v>
      </c>
      <c r="L286" t="e">
        <f ca="1">IF((A1)=(2),"",IF((283)=(L3),IF(IF((INDEX(B1:XFD1,((A2)+(1))+(0)))=("store"),(INDEX(B1:XFD1,((A2)+(1))+(1)))=("L"),"false"),B2,L286),L286))</f>
        <v>#VALUE!</v>
      </c>
      <c r="M286" t="e">
        <f ca="1">IF((A1)=(2),"",IF((283)=(M3),IF(IF((INDEX(B1:XFD1,((A2)+(1))+(0)))=("store"),(INDEX(B1:XFD1,((A2)+(1))+(1)))=("M"),"false"),B2,M286),M286))</f>
        <v>#VALUE!</v>
      </c>
      <c r="N286" t="e">
        <f ca="1">IF((A1)=(2),"",IF((283)=(N3),IF(IF((INDEX(B1:XFD1,((A2)+(1))+(0)))=("store"),(INDEX(B1:XFD1,((A2)+(1))+(1)))=("N"),"false"),B2,N286),N286))</f>
        <v>#VALUE!</v>
      </c>
      <c r="O286" t="e">
        <f ca="1">IF((A1)=(2),"",IF((283)=(O3),IF(IF((INDEX(B1:XFD1,((A2)+(1))+(0)))=("store"),(INDEX(B1:XFD1,((A2)+(1))+(1)))=("O"),"false"),B2,O286),O286))</f>
        <v>#VALUE!</v>
      </c>
      <c r="P286" t="e">
        <f ca="1">IF((A1)=(2),"",IF((283)=(P3),IF(IF((INDEX(B1:XFD1,((A2)+(1))+(0)))=("store"),(INDEX(B1:XFD1,((A2)+(1))+(1)))=("P"),"false"),B2,P286),P286))</f>
        <v>#VALUE!</v>
      </c>
      <c r="Q286" t="e">
        <f ca="1">IF((A1)=(2),"",IF((283)=(Q3),IF(IF((INDEX(B1:XFD1,((A2)+(1))+(0)))=("store"),(INDEX(B1:XFD1,((A2)+(1))+(1)))=("Q"),"false"),B2,Q286),Q286))</f>
        <v>#VALUE!</v>
      </c>
      <c r="R286" t="e">
        <f ca="1">IF((A1)=(2),"",IF((283)=(R3),IF(IF((INDEX(B1:XFD1,((A2)+(1))+(0)))=("store"),(INDEX(B1:XFD1,((A2)+(1))+(1)))=("R"),"false"),B2,R286),R286))</f>
        <v>#VALUE!</v>
      </c>
      <c r="S286" t="e">
        <f ca="1">IF((A1)=(2),"",IF((283)=(S3),IF(IF((INDEX(B1:XFD1,((A2)+(1))+(0)))=("store"),(INDEX(B1:XFD1,((A2)+(1))+(1)))=("S"),"false"),B2,S286),S286))</f>
        <v>#VALUE!</v>
      </c>
      <c r="T286" t="e">
        <f ca="1">IF((A1)=(2),"",IF((283)=(T3),IF(IF((INDEX(B1:XFD1,((A2)+(1))+(0)))=("store"),(INDEX(B1:XFD1,((A2)+(1))+(1)))=("T"),"false"),B2,T286),T286))</f>
        <v>#VALUE!</v>
      </c>
      <c r="U286" t="e">
        <f ca="1">IF((A1)=(2),"",IF((283)=(U3),IF(IF((INDEX(B1:XFD1,((A2)+(1))+(0)))=("store"),(INDEX(B1:XFD1,((A2)+(1))+(1)))=("U"),"false"),B2,U286),U286))</f>
        <v>#VALUE!</v>
      </c>
      <c r="V286" t="e">
        <f ca="1">IF((A1)=(2),"",IF((283)=(V3),IF(IF((INDEX(B1:XFD1,((A2)+(1))+(0)))=("store"),(INDEX(B1:XFD1,((A2)+(1))+(1)))=("V"),"false"),B2,V286),V286))</f>
        <v>#VALUE!</v>
      </c>
      <c r="W286" t="e">
        <f ca="1">IF((A1)=(2),"",IF((283)=(W3),IF(IF((INDEX(B1:XFD1,((A2)+(1))+(0)))=("store"),(INDEX(B1:XFD1,((A2)+(1))+(1)))=("W"),"false"),B2,W286),W286))</f>
        <v>#VALUE!</v>
      </c>
      <c r="X286" t="e">
        <f ca="1">IF((A1)=(2),"",IF((283)=(X3),IF(IF((INDEX(B1:XFD1,((A2)+(1))+(0)))=("store"),(INDEX(B1:XFD1,((A2)+(1))+(1)))=("X"),"false"),B2,X286),X286))</f>
        <v>#VALUE!</v>
      </c>
      <c r="Y286" t="e">
        <f ca="1">IF((A1)=(2),"",IF((283)=(Y3),IF(IF((INDEX(B1:XFD1,((A2)+(1))+(0)))=("store"),(INDEX(B1:XFD1,((A2)+(1))+(1)))=("Y"),"false"),B2,Y286),Y286))</f>
        <v>#VALUE!</v>
      </c>
      <c r="Z286" t="e">
        <f ca="1">IF((A1)=(2),"",IF((283)=(Z3),IF(IF((INDEX(B1:XFD1,((A2)+(1))+(0)))=("store"),(INDEX(B1:XFD1,((A2)+(1))+(1)))=("Z"),"false"),B2,Z286),Z286))</f>
        <v>#VALUE!</v>
      </c>
      <c r="AA286" t="e">
        <f ca="1">IF((A1)=(2),"",IF((283)=(AA3),IF(IF((INDEX(B1:XFD1,((A2)+(1))+(0)))=("store"),(INDEX(B1:XFD1,((A2)+(1))+(1)))=("AA"),"false"),B2,AA286),AA286))</f>
        <v>#VALUE!</v>
      </c>
      <c r="AB286" t="e">
        <f ca="1">IF((A1)=(2),"",IF((283)=(AB3),IF(IF((INDEX(B1:XFD1,((A2)+(1))+(0)))=("store"),(INDEX(B1:XFD1,((A2)+(1))+(1)))=("AB"),"false"),B2,AB286),AB286))</f>
        <v>#VALUE!</v>
      </c>
      <c r="AC286" t="e">
        <f ca="1">IF((A1)=(2),"",IF((283)=(AC3),IF(IF((INDEX(B1:XFD1,((A2)+(1))+(0)))=("store"),(INDEX(B1:XFD1,((A2)+(1))+(1)))=("AC"),"false"),B2,AC286),AC286))</f>
        <v>#VALUE!</v>
      </c>
      <c r="AD286" t="e">
        <f ca="1">IF((A1)=(2),"",IF((283)=(AD3),IF(IF((INDEX(B1:XFD1,((A2)+(1))+(0)))=("store"),(INDEX(B1:XFD1,((A2)+(1))+(1)))=("AD"),"false"),B2,AD286),AD286))</f>
        <v>#VALUE!</v>
      </c>
    </row>
    <row r="287" spans="1:30" x14ac:dyDescent="0.25">
      <c r="A287" t="e">
        <f ca="1">IF((A1)=(2),"",IF((284)=(A3),IF(("call")=(INDEX(B1:XFD1,((A2)+(1))+(0))),(B2)*(2),IF(("goto")=(INDEX(B1:XFD1,((A2)+(1))+(0))),(INDEX(B1:XFD1,((A2)+(1))+(1)))*(2),IF(("gotoiftrue")=(INDEX(B1:XFD1,((A2)+(1))+(0))),IF(B2,(INDEX(B1:XFD1,((A2)+(1))+(1)))*(2),(A287)+(2)),(A287)+(2)))),A287))</f>
        <v>#VALUE!</v>
      </c>
      <c r="B287" t="e">
        <f ca="1">IF((A1)=(2),"",IF((284)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287)+(1)),IF(("add")=(INDEX(B1:XFD1,((A2)+(1))+(0))),(INDEX(B4:B404,(B3)+(1)))+(B287),IF(("equals")=(INDEX(B1:XFD1,((A2)+(1))+(0))),(INDEX(B4:B404,(B3)+(1)))=(B287),IF(("leq")=(INDEX(B1:XFD1,((A2)+(1))+(0))),(INDEX(B4:B404,(B3)+(1)))&lt;=(B287),IF(("greater")=(INDEX(B1:XFD1,((A2)+(1))+(0))),(INDEX(B4:B404,(B3)+(1)))&gt;(B287),IF(("mod")=(INDEX(B1:XFD1,((A2)+(1))+(0))),MOD(INDEX(B4:B404,(B3)+(1)),B287),B287))))))))),B287))</f>
        <v>#VALUE!</v>
      </c>
      <c r="C287" t="e">
        <f ca="1">IF((A1)=(2),1,IF(AND((INDEX(B1:XFD1,((A2)+(1))+(0)))=("writeheap"),(INDEX(B4:B404,(B3)+(1)))=(283)),INDEX(B4:B404,(B3)+(2)),IF((A1)=(2),"",IF((284)=(C3),C287,C287))))</f>
        <v>#VALUE!</v>
      </c>
      <c r="E287" t="e">
        <f ca="1">IF((A1)=(2),"",IF((284)=(E3),IF(("outputline")=(INDEX(B1:XFD1,((A2)+(1))+(0))),B2,E287),E287))</f>
        <v>#VALUE!</v>
      </c>
      <c r="F287" t="e">
        <f ca="1">IF((A1)=(2),"",IF((284)=(F3),IF(IF((INDEX(B1:XFD1,((A2)+(1))+(0)))=("store"),(INDEX(B1:XFD1,((A2)+(1))+(1)))=("F"),"false"),B2,F287),F287))</f>
        <v>#VALUE!</v>
      </c>
      <c r="G287" t="e">
        <f ca="1">IF((A1)=(2),"",IF((284)=(G3),IF(IF((INDEX(B1:XFD1,((A2)+(1))+(0)))=("store"),(INDEX(B1:XFD1,((A2)+(1))+(1)))=("G"),"false"),B2,G287),G287))</f>
        <v>#VALUE!</v>
      </c>
      <c r="H287" t="e">
        <f ca="1">IF((A1)=(2),"",IF((284)=(H3),IF(IF((INDEX(B1:XFD1,((A2)+(1))+(0)))=("store"),(INDEX(B1:XFD1,((A2)+(1))+(1)))=("H"),"false"),B2,H287),H287))</f>
        <v>#VALUE!</v>
      </c>
      <c r="I287" t="e">
        <f ca="1">IF((A1)=(2),"",IF((284)=(I3),IF(IF((INDEX(B1:XFD1,((A2)+(1))+(0)))=("store"),(INDEX(B1:XFD1,((A2)+(1))+(1)))=("I"),"false"),B2,I287),I287))</f>
        <v>#VALUE!</v>
      </c>
      <c r="J287" t="e">
        <f ca="1">IF((A1)=(2),"",IF((284)=(J3),IF(IF((INDEX(B1:XFD1,((A2)+(1))+(0)))=("store"),(INDEX(B1:XFD1,((A2)+(1))+(1)))=("J"),"false"),B2,J287),J287))</f>
        <v>#VALUE!</v>
      </c>
      <c r="K287" t="e">
        <f ca="1">IF((A1)=(2),"",IF((284)=(K3),IF(IF((INDEX(B1:XFD1,((A2)+(1))+(0)))=("store"),(INDEX(B1:XFD1,((A2)+(1))+(1)))=("K"),"false"),B2,K287),K287))</f>
        <v>#VALUE!</v>
      </c>
      <c r="L287" t="e">
        <f ca="1">IF((A1)=(2),"",IF((284)=(L3),IF(IF((INDEX(B1:XFD1,((A2)+(1))+(0)))=("store"),(INDEX(B1:XFD1,((A2)+(1))+(1)))=("L"),"false"),B2,L287),L287))</f>
        <v>#VALUE!</v>
      </c>
      <c r="M287" t="e">
        <f ca="1">IF((A1)=(2),"",IF((284)=(M3),IF(IF((INDEX(B1:XFD1,((A2)+(1))+(0)))=("store"),(INDEX(B1:XFD1,((A2)+(1))+(1)))=("M"),"false"),B2,M287),M287))</f>
        <v>#VALUE!</v>
      </c>
      <c r="N287" t="e">
        <f ca="1">IF((A1)=(2),"",IF((284)=(N3),IF(IF((INDEX(B1:XFD1,((A2)+(1))+(0)))=("store"),(INDEX(B1:XFD1,((A2)+(1))+(1)))=("N"),"false"),B2,N287),N287))</f>
        <v>#VALUE!</v>
      </c>
      <c r="O287" t="e">
        <f ca="1">IF((A1)=(2),"",IF((284)=(O3),IF(IF((INDEX(B1:XFD1,((A2)+(1))+(0)))=("store"),(INDEX(B1:XFD1,((A2)+(1))+(1)))=("O"),"false"),B2,O287),O287))</f>
        <v>#VALUE!</v>
      </c>
      <c r="P287" t="e">
        <f ca="1">IF((A1)=(2),"",IF((284)=(P3),IF(IF((INDEX(B1:XFD1,((A2)+(1))+(0)))=("store"),(INDEX(B1:XFD1,((A2)+(1))+(1)))=("P"),"false"),B2,P287),P287))</f>
        <v>#VALUE!</v>
      </c>
      <c r="Q287" t="e">
        <f ca="1">IF((A1)=(2),"",IF((284)=(Q3),IF(IF((INDEX(B1:XFD1,((A2)+(1))+(0)))=("store"),(INDEX(B1:XFD1,((A2)+(1))+(1)))=("Q"),"false"),B2,Q287),Q287))</f>
        <v>#VALUE!</v>
      </c>
      <c r="R287" t="e">
        <f ca="1">IF((A1)=(2),"",IF((284)=(R3),IF(IF((INDEX(B1:XFD1,((A2)+(1))+(0)))=("store"),(INDEX(B1:XFD1,((A2)+(1))+(1)))=("R"),"false"),B2,R287),R287))</f>
        <v>#VALUE!</v>
      </c>
      <c r="S287" t="e">
        <f ca="1">IF((A1)=(2),"",IF((284)=(S3),IF(IF((INDEX(B1:XFD1,((A2)+(1))+(0)))=("store"),(INDEX(B1:XFD1,((A2)+(1))+(1)))=("S"),"false"),B2,S287),S287))</f>
        <v>#VALUE!</v>
      </c>
      <c r="T287" t="e">
        <f ca="1">IF((A1)=(2),"",IF((284)=(T3),IF(IF((INDEX(B1:XFD1,((A2)+(1))+(0)))=("store"),(INDEX(B1:XFD1,((A2)+(1))+(1)))=("T"),"false"),B2,T287),T287))</f>
        <v>#VALUE!</v>
      </c>
      <c r="U287" t="e">
        <f ca="1">IF((A1)=(2),"",IF((284)=(U3),IF(IF((INDEX(B1:XFD1,((A2)+(1))+(0)))=("store"),(INDEX(B1:XFD1,((A2)+(1))+(1)))=("U"),"false"),B2,U287),U287))</f>
        <v>#VALUE!</v>
      </c>
      <c r="V287" t="e">
        <f ca="1">IF((A1)=(2),"",IF((284)=(V3),IF(IF((INDEX(B1:XFD1,((A2)+(1))+(0)))=("store"),(INDEX(B1:XFD1,((A2)+(1))+(1)))=("V"),"false"),B2,V287),V287))</f>
        <v>#VALUE!</v>
      </c>
      <c r="W287" t="e">
        <f ca="1">IF((A1)=(2),"",IF((284)=(W3),IF(IF((INDEX(B1:XFD1,((A2)+(1))+(0)))=("store"),(INDEX(B1:XFD1,((A2)+(1))+(1)))=("W"),"false"),B2,W287),W287))</f>
        <v>#VALUE!</v>
      </c>
      <c r="X287" t="e">
        <f ca="1">IF((A1)=(2),"",IF((284)=(X3),IF(IF((INDEX(B1:XFD1,((A2)+(1))+(0)))=("store"),(INDEX(B1:XFD1,((A2)+(1))+(1)))=("X"),"false"),B2,X287),X287))</f>
        <v>#VALUE!</v>
      </c>
      <c r="Y287" t="e">
        <f ca="1">IF((A1)=(2),"",IF((284)=(Y3),IF(IF((INDEX(B1:XFD1,((A2)+(1))+(0)))=("store"),(INDEX(B1:XFD1,((A2)+(1))+(1)))=("Y"),"false"),B2,Y287),Y287))</f>
        <v>#VALUE!</v>
      </c>
      <c r="Z287" t="e">
        <f ca="1">IF((A1)=(2),"",IF((284)=(Z3),IF(IF((INDEX(B1:XFD1,((A2)+(1))+(0)))=("store"),(INDEX(B1:XFD1,((A2)+(1))+(1)))=("Z"),"false"),B2,Z287),Z287))</f>
        <v>#VALUE!</v>
      </c>
      <c r="AA287" t="e">
        <f ca="1">IF((A1)=(2),"",IF((284)=(AA3),IF(IF((INDEX(B1:XFD1,((A2)+(1))+(0)))=("store"),(INDEX(B1:XFD1,((A2)+(1))+(1)))=("AA"),"false"),B2,AA287),AA287))</f>
        <v>#VALUE!</v>
      </c>
      <c r="AB287" t="e">
        <f ca="1">IF((A1)=(2),"",IF((284)=(AB3),IF(IF((INDEX(B1:XFD1,((A2)+(1))+(0)))=("store"),(INDEX(B1:XFD1,((A2)+(1))+(1)))=("AB"),"false"),B2,AB287),AB287))</f>
        <v>#VALUE!</v>
      </c>
      <c r="AC287" t="e">
        <f ca="1">IF((A1)=(2),"",IF((284)=(AC3),IF(IF((INDEX(B1:XFD1,((A2)+(1))+(0)))=("store"),(INDEX(B1:XFD1,((A2)+(1))+(1)))=("AC"),"false"),B2,AC287),AC287))</f>
        <v>#VALUE!</v>
      </c>
      <c r="AD287" t="e">
        <f ca="1">IF((A1)=(2),"",IF((284)=(AD3),IF(IF((INDEX(B1:XFD1,((A2)+(1))+(0)))=("store"),(INDEX(B1:XFD1,((A2)+(1))+(1)))=("AD"),"false"),B2,AD287),AD287))</f>
        <v>#VALUE!</v>
      </c>
    </row>
    <row r="288" spans="1:30" x14ac:dyDescent="0.25">
      <c r="A288" t="e">
        <f ca="1">IF((A1)=(2),"",IF((285)=(A3),IF(("call")=(INDEX(B1:XFD1,((A2)+(1))+(0))),(B2)*(2),IF(("goto")=(INDEX(B1:XFD1,((A2)+(1))+(0))),(INDEX(B1:XFD1,((A2)+(1))+(1)))*(2),IF(("gotoiftrue")=(INDEX(B1:XFD1,((A2)+(1))+(0))),IF(B2,(INDEX(B1:XFD1,((A2)+(1))+(1)))*(2),(A288)+(2)),(A288)+(2)))),A288))</f>
        <v>#VALUE!</v>
      </c>
      <c r="B288" t="e">
        <f ca="1">IF((A1)=(2),"",IF((285)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288)+(1)),IF(("add")=(INDEX(B1:XFD1,((A2)+(1))+(0))),(INDEX(B4:B404,(B3)+(1)))+(B288),IF(("equals")=(INDEX(B1:XFD1,((A2)+(1))+(0))),(INDEX(B4:B404,(B3)+(1)))=(B288),IF(("leq")=(INDEX(B1:XFD1,((A2)+(1))+(0))),(INDEX(B4:B404,(B3)+(1)))&lt;=(B288),IF(("greater")=(INDEX(B1:XFD1,((A2)+(1))+(0))),(INDEX(B4:B404,(B3)+(1)))&gt;(B288),IF(("mod")=(INDEX(B1:XFD1,((A2)+(1))+(0))),MOD(INDEX(B4:B404,(B3)+(1)),B288),B288))))))))),B288))</f>
        <v>#VALUE!</v>
      </c>
      <c r="C288" t="e">
        <f ca="1">IF((A1)=(2),1,IF(AND((INDEX(B1:XFD1,((A2)+(1))+(0)))=("writeheap"),(INDEX(B4:B404,(B3)+(1)))=(284)),INDEX(B4:B404,(B3)+(2)),IF((A1)=(2),"",IF((285)=(C3),C288,C288))))</f>
        <v>#VALUE!</v>
      </c>
      <c r="E288" t="e">
        <f ca="1">IF((A1)=(2),"",IF((285)=(E3),IF(("outputline")=(INDEX(B1:XFD1,((A2)+(1))+(0))),B2,E288),E288))</f>
        <v>#VALUE!</v>
      </c>
      <c r="F288" t="e">
        <f ca="1">IF((A1)=(2),"",IF((285)=(F3),IF(IF((INDEX(B1:XFD1,((A2)+(1))+(0)))=("store"),(INDEX(B1:XFD1,((A2)+(1))+(1)))=("F"),"false"),B2,F288),F288))</f>
        <v>#VALUE!</v>
      </c>
      <c r="G288" t="e">
        <f ca="1">IF((A1)=(2),"",IF((285)=(G3),IF(IF((INDEX(B1:XFD1,((A2)+(1))+(0)))=("store"),(INDEX(B1:XFD1,((A2)+(1))+(1)))=("G"),"false"),B2,G288),G288))</f>
        <v>#VALUE!</v>
      </c>
      <c r="H288" t="e">
        <f ca="1">IF((A1)=(2),"",IF((285)=(H3),IF(IF((INDEX(B1:XFD1,((A2)+(1))+(0)))=("store"),(INDEX(B1:XFD1,((A2)+(1))+(1)))=("H"),"false"),B2,H288),H288))</f>
        <v>#VALUE!</v>
      </c>
      <c r="I288" t="e">
        <f ca="1">IF((A1)=(2),"",IF((285)=(I3),IF(IF((INDEX(B1:XFD1,((A2)+(1))+(0)))=("store"),(INDEX(B1:XFD1,((A2)+(1))+(1)))=("I"),"false"),B2,I288),I288))</f>
        <v>#VALUE!</v>
      </c>
      <c r="J288" t="e">
        <f ca="1">IF((A1)=(2),"",IF((285)=(J3),IF(IF((INDEX(B1:XFD1,((A2)+(1))+(0)))=("store"),(INDEX(B1:XFD1,((A2)+(1))+(1)))=("J"),"false"),B2,J288),J288))</f>
        <v>#VALUE!</v>
      </c>
      <c r="K288" t="e">
        <f ca="1">IF((A1)=(2),"",IF((285)=(K3),IF(IF((INDEX(B1:XFD1,((A2)+(1))+(0)))=("store"),(INDEX(B1:XFD1,((A2)+(1))+(1)))=("K"),"false"),B2,K288),K288))</f>
        <v>#VALUE!</v>
      </c>
      <c r="L288" t="e">
        <f ca="1">IF((A1)=(2),"",IF((285)=(L3),IF(IF((INDEX(B1:XFD1,((A2)+(1))+(0)))=("store"),(INDEX(B1:XFD1,((A2)+(1))+(1)))=("L"),"false"),B2,L288),L288))</f>
        <v>#VALUE!</v>
      </c>
      <c r="M288" t="e">
        <f ca="1">IF((A1)=(2),"",IF((285)=(M3),IF(IF((INDEX(B1:XFD1,((A2)+(1))+(0)))=("store"),(INDEX(B1:XFD1,((A2)+(1))+(1)))=("M"),"false"),B2,M288),M288))</f>
        <v>#VALUE!</v>
      </c>
      <c r="N288" t="e">
        <f ca="1">IF((A1)=(2),"",IF((285)=(N3),IF(IF((INDEX(B1:XFD1,((A2)+(1))+(0)))=("store"),(INDEX(B1:XFD1,((A2)+(1))+(1)))=("N"),"false"),B2,N288),N288))</f>
        <v>#VALUE!</v>
      </c>
      <c r="O288" t="e">
        <f ca="1">IF((A1)=(2),"",IF((285)=(O3),IF(IF((INDEX(B1:XFD1,((A2)+(1))+(0)))=("store"),(INDEX(B1:XFD1,((A2)+(1))+(1)))=("O"),"false"),B2,O288),O288))</f>
        <v>#VALUE!</v>
      </c>
      <c r="P288" t="e">
        <f ca="1">IF((A1)=(2),"",IF((285)=(P3),IF(IF((INDEX(B1:XFD1,((A2)+(1))+(0)))=("store"),(INDEX(B1:XFD1,((A2)+(1))+(1)))=("P"),"false"),B2,P288),P288))</f>
        <v>#VALUE!</v>
      </c>
      <c r="Q288" t="e">
        <f ca="1">IF((A1)=(2),"",IF((285)=(Q3),IF(IF((INDEX(B1:XFD1,((A2)+(1))+(0)))=("store"),(INDEX(B1:XFD1,((A2)+(1))+(1)))=("Q"),"false"),B2,Q288),Q288))</f>
        <v>#VALUE!</v>
      </c>
      <c r="R288" t="e">
        <f ca="1">IF((A1)=(2),"",IF((285)=(R3),IF(IF((INDEX(B1:XFD1,((A2)+(1))+(0)))=("store"),(INDEX(B1:XFD1,((A2)+(1))+(1)))=("R"),"false"),B2,R288),R288))</f>
        <v>#VALUE!</v>
      </c>
      <c r="S288" t="e">
        <f ca="1">IF((A1)=(2),"",IF((285)=(S3),IF(IF((INDEX(B1:XFD1,((A2)+(1))+(0)))=("store"),(INDEX(B1:XFD1,((A2)+(1))+(1)))=("S"),"false"),B2,S288),S288))</f>
        <v>#VALUE!</v>
      </c>
      <c r="T288" t="e">
        <f ca="1">IF((A1)=(2),"",IF((285)=(T3),IF(IF((INDEX(B1:XFD1,((A2)+(1))+(0)))=("store"),(INDEX(B1:XFD1,((A2)+(1))+(1)))=("T"),"false"),B2,T288),T288))</f>
        <v>#VALUE!</v>
      </c>
      <c r="U288" t="e">
        <f ca="1">IF((A1)=(2),"",IF((285)=(U3),IF(IF((INDEX(B1:XFD1,((A2)+(1))+(0)))=("store"),(INDEX(B1:XFD1,((A2)+(1))+(1)))=("U"),"false"),B2,U288),U288))</f>
        <v>#VALUE!</v>
      </c>
      <c r="V288" t="e">
        <f ca="1">IF((A1)=(2),"",IF((285)=(V3),IF(IF((INDEX(B1:XFD1,((A2)+(1))+(0)))=("store"),(INDEX(B1:XFD1,((A2)+(1))+(1)))=("V"),"false"),B2,V288),V288))</f>
        <v>#VALUE!</v>
      </c>
      <c r="W288" t="e">
        <f ca="1">IF((A1)=(2),"",IF((285)=(W3),IF(IF((INDEX(B1:XFD1,((A2)+(1))+(0)))=("store"),(INDEX(B1:XFD1,((A2)+(1))+(1)))=("W"),"false"),B2,W288),W288))</f>
        <v>#VALUE!</v>
      </c>
      <c r="X288" t="e">
        <f ca="1">IF((A1)=(2),"",IF((285)=(X3),IF(IF((INDEX(B1:XFD1,((A2)+(1))+(0)))=("store"),(INDEX(B1:XFD1,((A2)+(1))+(1)))=("X"),"false"),B2,X288),X288))</f>
        <v>#VALUE!</v>
      </c>
      <c r="Y288" t="e">
        <f ca="1">IF((A1)=(2),"",IF((285)=(Y3),IF(IF((INDEX(B1:XFD1,((A2)+(1))+(0)))=("store"),(INDEX(B1:XFD1,((A2)+(1))+(1)))=("Y"),"false"),B2,Y288),Y288))</f>
        <v>#VALUE!</v>
      </c>
      <c r="Z288" t="e">
        <f ca="1">IF((A1)=(2),"",IF((285)=(Z3),IF(IF((INDEX(B1:XFD1,((A2)+(1))+(0)))=("store"),(INDEX(B1:XFD1,((A2)+(1))+(1)))=("Z"),"false"),B2,Z288),Z288))</f>
        <v>#VALUE!</v>
      </c>
      <c r="AA288" t="e">
        <f ca="1">IF((A1)=(2),"",IF((285)=(AA3),IF(IF((INDEX(B1:XFD1,((A2)+(1))+(0)))=("store"),(INDEX(B1:XFD1,((A2)+(1))+(1)))=("AA"),"false"),B2,AA288),AA288))</f>
        <v>#VALUE!</v>
      </c>
      <c r="AB288" t="e">
        <f ca="1">IF((A1)=(2),"",IF((285)=(AB3),IF(IF((INDEX(B1:XFD1,((A2)+(1))+(0)))=("store"),(INDEX(B1:XFD1,((A2)+(1))+(1)))=("AB"),"false"),B2,AB288),AB288))</f>
        <v>#VALUE!</v>
      </c>
      <c r="AC288" t="e">
        <f ca="1">IF((A1)=(2),"",IF((285)=(AC3),IF(IF((INDEX(B1:XFD1,((A2)+(1))+(0)))=("store"),(INDEX(B1:XFD1,((A2)+(1))+(1)))=("AC"),"false"),B2,AC288),AC288))</f>
        <v>#VALUE!</v>
      </c>
      <c r="AD288" t="e">
        <f ca="1">IF((A1)=(2),"",IF((285)=(AD3),IF(IF((INDEX(B1:XFD1,((A2)+(1))+(0)))=("store"),(INDEX(B1:XFD1,((A2)+(1))+(1)))=("AD"),"false"),B2,AD288),AD288))</f>
        <v>#VALUE!</v>
      </c>
    </row>
    <row r="289" spans="1:30" x14ac:dyDescent="0.25">
      <c r="A289" t="e">
        <f ca="1">IF((A1)=(2),"",IF((286)=(A3),IF(("call")=(INDEX(B1:XFD1,((A2)+(1))+(0))),(B2)*(2),IF(("goto")=(INDEX(B1:XFD1,((A2)+(1))+(0))),(INDEX(B1:XFD1,((A2)+(1))+(1)))*(2),IF(("gotoiftrue")=(INDEX(B1:XFD1,((A2)+(1))+(0))),IF(B2,(INDEX(B1:XFD1,((A2)+(1))+(1)))*(2),(A289)+(2)),(A289)+(2)))),A289))</f>
        <v>#VALUE!</v>
      </c>
      <c r="B289" t="e">
        <f ca="1">IF((A1)=(2),"",IF((286)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289)+(1)),IF(("add")=(INDEX(B1:XFD1,((A2)+(1))+(0))),(INDEX(B4:B404,(B3)+(1)))+(B289),IF(("equals")=(INDEX(B1:XFD1,((A2)+(1))+(0))),(INDEX(B4:B404,(B3)+(1)))=(B289),IF(("leq")=(INDEX(B1:XFD1,((A2)+(1))+(0))),(INDEX(B4:B404,(B3)+(1)))&lt;=(B289),IF(("greater")=(INDEX(B1:XFD1,((A2)+(1))+(0))),(INDEX(B4:B404,(B3)+(1)))&gt;(B289),IF(("mod")=(INDEX(B1:XFD1,((A2)+(1))+(0))),MOD(INDEX(B4:B404,(B3)+(1)),B289),B289))))))))),B289))</f>
        <v>#VALUE!</v>
      </c>
      <c r="C289" t="e">
        <f ca="1">IF((A1)=(2),1,IF(AND((INDEX(B1:XFD1,((A2)+(1))+(0)))=("writeheap"),(INDEX(B4:B404,(B3)+(1)))=(285)),INDEX(B4:B404,(B3)+(2)),IF((A1)=(2),"",IF((286)=(C3),C289,C289))))</f>
        <v>#VALUE!</v>
      </c>
      <c r="E289" t="e">
        <f ca="1">IF((A1)=(2),"",IF((286)=(E3),IF(("outputline")=(INDEX(B1:XFD1,((A2)+(1))+(0))),B2,E289),E289))</f>
        <v>#VALUE!</v>
      </c>
      <c r="F289" t="e">
        <f ca="1">IF((A1)=(2),"",IF((286)=(F3),IF(IF((INDEX(B1:XFD1,((A2)+(1))+(0)))=("store"),(INDEX(B1:XFD1,((A2)+(1))+(1)))=("F"),"false"),B2,F289),F289))</f>
        <v>#VALUE!</v>
      </c>
      <c r="G289" t="e">
        <f ca="1">IF((A1)=(2),"",IF((286)=(G3),IF(IF((INDEX(B1:XFD1,((A2)+(1))+(0)))=("store"),(INDEX(B1:XFD1,((A2)+(1))+(1)))=("G"),"false"),B2,G289),G289))</f>
        <v>#VALUE!</v>
      </c>
      <c r="H289" t="e">
        <f ca="1">IF((A1)=(2),"",IF((286)=(H3),IF(IF((INDEX(B1:XFD1,((A2)+(1))+(0)))=("store"),(INDEX(B1:XFD1,((A2)+(1))+(1)))=("H"),"false"),B2,H289),H289))</f>
        <v>#VALUE!</v>
      </c>
      <c r="I289" t="e">
        <f ca="1">IF((A1)=(2),"",IF((286)=(I3),IF(IF((INDEX(B1:XFD1,((A2)+(1))+(0)))=("store"),(INDEX(B1:XFD1,((A2)+(1))+(1)))=("I"),"false"),B2,I289),I289))</f>
        <v>#VALUE!</v>
      </c>
      <c r="J289" t="e">
        <f ca="1">IF((A1)=(2),"",IF((286)=(J3),IF(IF((INDEX(B1:XFD1,((A2)+(1))+(0)))=("store"),(INDEX(B1:XFD1,((A2)+(1))+(1)))=("J"),"false"),B2,J289),J289))</f>
        <v>#VALUE!</v>
      </c>
      <c r="K289" t="e">
        <f ca="1">IF((A1)=(2),"",IF((286)=(K3),IF(IF((INDEX(B1:XFD1,((A2)+(1))+(0)))=("store"),(INDEX(B1:XFD1,((A2)+(1))+(1)))=("K"),"false"),B2,K289),K289))</f>
        <v>#VALUE!</v>
      </c>
      <c r="L289" t="e">
        <f ca="1">IF((A1)=(2),"",IF((286)=(L3),IF(IF((INDEX(B1:XFD1,((A2)+(1))+(0)))=("store"),(INDEX(B1:XFD1,((A2)+(1))+(1)))=("L"),"false"),B2,L289),L289))</f>
        <v>#VALUE!</v>
      </c>
      <c r="M289" t="e">
        <f ca="1">IF((A1)=(2),"",IF((286)=(M3),IF(IF((INDEX(B1:XFD1,((A2)+(1))+(0)))=("store"),(INDEX(B1:XFD1,((A2)+(1))+(1)))=("M"),"false"),B2,M289),M289))</f>
        <v>#VALUE!</v>
      </c>
      <c r="N289" t="e">
        <f ca="1">IF((A1)=(2),"",IF((286)=(N3),IF(IF((INDEX(B1:XFD1,((A2)+(1))+(0)))=("store"),(INDEX(B1:XFD1,((A2)+(1))+(1)))=("N"),"false"),B2,N289),N289))</f>
        <v>#VALUE!</v>
      </c>
      <c r="O289" t="e">
        <f ca="1">IF((A1)=(2),"",IF((286)=(O3),IF(IF((INDEX(B1:XFD1,((A2)+(1))+(0)))=("store"),(INDEX(B1:XFD1,((A2)+(1))+(1)))=("O"),"false"),B2,O289),O289))</f>
        <v>#VALUE!</v>
      </c>
      <c r="P289" t="e">
        <f ca="1">IF((A1)=(2),"",IF((286)=(P3),IF(IF((INDEX(B1:XFD1,((A2)+(1))+(0)))=("store"),(INDEX(B1:XFD1,((A2)+(1))+(1)))=("P"),"false"),B2,P289),P289))</f>
        <v>#VALUE!</v>
      </c>
      <c r="Q289" t="e">
        <f ca="1">IF((A1)=(2),"",IF((286)=(Q3),IF(IF((INDEX(B1:XFD1,((A2)+(1))+(0)))=("store"),(INDEX(B1:XFD1,((A2)+(1))+(1)))=("Q"),"false"),B2,Q289),Q289))</f>
        <v>#VALUE!</v>
      </c>
      <c r="R289" t="e">
        <f ca="1">IF((A1)=(2),"",IF((286)=(R3),IF(IF((INDEX(B1:XFD1,((A2)+(1))+(0)))=("store"),(INDEX(B1:XFD1,((A2)+(1))+(1)))=("R"),"false"),B2,R289),R289))</f>
        <v>#VALUE!</v>
      </c>
      <c r="S289" t="e">
        <f ca="1">IF((A1)=(2),"",IF((286)=(S3),IF(IF((INDEX(B1:XFD1,((A2)+(1))+(0)))=("store"),(INDEX(B1:XFD1,((A2)+(1))+(1)))=("S"),"false"),B2,S289),S289))</f>
        <v>#VALUE!</v>
      </c>
      <c r="T289" t="e">
        <f ca="1">IF((A1)=(2),"",IF((286)=(T3),IF(IF((INDEX(B1:XFD1,((A2)+(1))+(0)))=("store"),(INDEX(B1:XFD1,((A2)+(1))+(1)))=("T"),"false"),B2,T289),T289))</f>
        <v>#VALUE!</v>
      </c>
      <c r="U289" t="e">
        <f ca="1">IF((A1)=(2),"",IF((286)=(U3),IF(IF((INDEX(B1:XFD1,((A2)+(1))+(0)))=("store"),(INDEX(B1:XFD1,((A2)+(1))+(1)))=("U"),"false"),B2,U289),U289))</f>
        <v>#VALUE!</v>
      </c>
      <c r="V289" t="e">
        <f ca="1">IF((A1)=(2),"",IF((286)=(V3),IF(IF((INDEX(B1:XFD1,((A2)+(1))+(0)))=("store"),(INDEX(B1:XFD1,((A2)+(1))+(1)))=("V"),"false"),B2,V289),V289))</f>
        <v>#VALUE!</v>
      </c>
      <c r="W289" t="e">
        <f ca="1">IF((A1)=(2),"",IF((286)=(W3),IF(IF((INDEX(B1:XFD1,((A2)+(1))+(0)))=("store"),(INDEX(B1:XFD1,((A2)+(1))+(1)))=("W"),"false"),B2,W289),W289))</f>
        <v>#VALUE!</v>
      </c>
      <c r="X289" t="e">
        <f ca="1">IF((A1)=(2),"",IF((286)=(X3),IF(IF((INDEX(B1:XFD1,((A2)+(1))+(0)))=("store"),(INDEX(B1:XFD1,((A2)+(1))+(1)))=("X"),"false"),B2,X289),X289))</f>
        <v>#VALUE!</v>
      </c>
      <c r="Y289" t="e">
        <f ca="1">IF((A1)=(2),"",IF((286)=(Y3),IF(IF((INDEX(B1:XFD1,((A2)+(1))+(0)))=("store"),(INDEX(B1:XFD1,((A2)+(1))+(1)))=("Y"),"false"),B2,Y289),Y289))</f>
        <v>#VALUE!</v>
      </c>
      <c r="Z289" t="e">
        <f ca="1">IF((A1)=(2),"",IF((286)=(Z3),IF(IF((INDEX(B1:XFD1,((A2)+(1))+(0)))=("store"),(INDEX(B1:XFD1,((A2)+(1))+(1)))=("Z"),"false"),B2,Z289),Z289))</f>
        <v>#VALUE!</v>
      </c>
      <c r="AA289" t="e">
        <f ca="1">IF((A1)=(2),"",IF((286)=(AA3),IF(IF((INDEX(B1:XFD1,((A2)+(1))+(0)))=("store"),(INDEX(B1:XFD1,((A2)+(1))+(1)))=("AA"),"false"),B2,AA289),AA289))</f>
        <v>#VALUE!</v>
      </c>
      <c r="AB289" t="e">
        <f ca="1">IF((A1)=(2),"",IF((286)=(AB3),IF(IF((INDEX(B1:XFD1,((A2)+(1))+(0)))=("store"),(INDEX(B1:XFD1,((A2)+(1))+(1)))=("AB"),"false"),B2,AB289),AB289))</f>
        <v>#VALUE!</v>
      </c>
      <c r="AC289" t="e">
        <f ca="1">IF((A1)=(2),"",IF((286)=(AC3),IF(IF((INDEX(B1:XFD1,((A2)+(1))+(0)))=("store"),(INDEX(B1:XFD1,((A2)+(1))+(1)))=("AC"),"false"),B2,AC289),AC289))</f>
        <v>#VALUE!</v>
      </c>
      <c r="AD289" t="e">
        <f ca="1">IF((A1)=(2),"",IF((286)=(AD3),IF(IF((INDEX(B1:XFD1,((A2)+(1))+(0)))=("store"),(INDEX(B1:XFD1,((A2)+(1))+(1)))=("AD"),"false"),B2,AD289),AD289))</f>
        <v>#VALUE!</v>
      </c>
    </row>
    <row r="290" spans="1:30" x14ac:dyDescent="0.25">
      <c r="A290" t="e">
        <f ca="1">IF((A1)=(2),"",IF((287)=(A3),IF(("call")=(INDEX(B1:XFD1,((A2)+(1))+(0))),(B2)*(2),IF(("goto")=(INDEX(B1:XFD1,((A2)+(1))+(0))),(INDEX(B1:XFD1,((A2)+(1))+(1)))*(2),IF(("gotoiftrue")=(INDEX(B1:XFD1,((A2)+(1))+(0))),IF(B2,(INDEX(B1:XFD1,((A2)+(1))+(1)))*(2),(A290)+(2)),(A290)+(2)))),A290))</f>
        <v>#VALUE!</v>
      </c>
      <c r="B290" t="e">
        <f ca="1">IF((A1)=(2),"",IF((287)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290)+(1)),IF(("add")=(INDEX(B1:XFD1,((A2)+(1))+(0))),(INDEX(B4:B404,(B3)+(1)))+(B290),IF(("equals")=(INDEX(B1:XFD1,((A2)+(1))+(0))),(INDEX(B4:B404,(B3)+(1)))=(B290),IF(("leq")=(INDEX(B1:XFD1,((A2)+(1))+(0))),(INDEX(B4:B404,(B3)+(1)))&lt;=(B290),IF(("greater")=(INDEX(B1:XFD1,((A2)+(1))+(0))),(INDEX(B4:B404,(B3)+(1)))&gt;(B290),IF(("mod")=(INDEX(B1:XFD1,((A2)+(1))+(0))),MOD(INDEX(B4:B404,(B3)+(1)),B290),B290))))))))),B290))</f>
        <v>#VALUE!</v>
      </c>
      <c r="C290" t="e">
        <f ca="1">IF((A1)=(2),1,IF(AND((INDEX(B1:XFD1,((A2)+(1))+(0)))=("writeheap"),(INDEX(B4:B404,(B3)+(1)))=(286)),INDEX(B4:B404,(B3)+(2)),IF((A1)=(2),"",IF((287)=(C3),C290,C290))))</f>
        <v>#VALUE!</v>
      </c>
      <c r="E290" t="e">
        <f ca="1">IF((A1)=(2),"",IF((287)=(E3),IF(("outputline")=(INDEX(B1:XFD1,((A2)+(1))+(0))),B2,E290),E290))</f>
        <v>#VALUE!</v>
      </c>
      <c r="F290" t="e">
        <f ca="1">IF((A1)=(2),"",IF((287)=(F3),IF(IF((INDEX(B1:XFD1,((A2)+(1))+(0)))=("store"),(INDEX(B1:XFD1,((A2)+(1))+(1)))=("F"),"false"),B2,F290),F290))</f>
        <v>#VALUE!</v>
      </c>
      <c r="G290" t="e">
        <f ca="1">IF((A1)=(2),"",IF((287)=(G3),IF(IF((INDEX(B1:XFD1,((A2)+(1))+(0)))=("store"),(INDEX(B1:XFD1,((A2)+(1))+(1)))=("G"),"false"),B2,G290),G290))</f>
        <v>#VALUE!</v>
      </c>
      <c r="H290" t="e">
        <f ca="1">IF((A1)=(2),"",IF((287)=(H3),IF(IF((INDEX(B1:XFD1,((A2)+(1))+(0)))=("store"),(INDEX(B1:XFD1,((A2)+(1))+(1)))=("H"),"false"),B2,H290),H290))</f>
        <v>#VALUE!</v>
      </c>
      <c r="I290" t="e">
        <f ca="1">IF((A1)=(2),"",IF((287)=(I3),IF(IF((INDEX(B1:XFD1,((A2)+(1))+(0)))=("store"),(INDEX(B1:XFD1,((A2)+(1))+(1)))=("I"),"false"),B2,I290),I290))</f>
        <v>#VALUE!</v>
      </c>
      <c r="J290" t="e">
        <f ca="1">IF((A1)=(2),"",IF((287)=(J3),IF(IF((INDEX(B1:XFD1,((A2)+(1))+(0)))=("store"),(INDEX(B1:XFD1,((A2)+(1))+(1)))=("J"),"false"),B2,J290),J290))</f>
        <v>#VALUE!</v>
      </c>
      <c r="K290" t="e">
        <f ca="1">IF((A1)=(2),"",IF((287)=(K3),IF(IF((INDEX(B1:XFD1,((A2)+(1))+(0)))=("store"),(INDEX(B1:XFD1,((A2)+(1))+(1)))=("K"),"false"),B2,K290),K290))</f>
        <v>#VALUE!</v>
      </c>
      <c r="L290" t="e">
        <f ca="1">IF((A1)=(2),"",IF((287)=(L3),IF(IF((INDEX(B1:XFD1,((A2)+(1))+(0)))=("store"),(INDEX(B1:XFD1,((A2)+(1))+(1)))=("L"),"false"),B2,L290),L290))</f>
        <v>#VALUE!</v>
      </c>
      <c r="M290" t="e">
        <f ca="1">IF((A1)=(2),"",IF((287)=(M3),IF(IF((INDEX(B1:XFD1,((A2)+(1))+(0)))=("store"),(INDEX(B1:XFD1,((A2)+(1))+(1)))=("M"),"false"),B2,M290),M290))</f>
        <v>#VALUE!</v>
      </c>
      <c r="N290" t="e">
        <f ca="1">IF((A1)=(2),"",IF((287)=(N3),IF(IF((INDEX(B1:XFD1,((A2)+(1))+(0)))=("store"),(INDEX(B1:XFD1,((A2)+(1))+(1)))=("N"),"false"),B2,N290),N290))</f>
        <v>#VALUE!</v>
      </c>
      <c r="O290" t="e">
        <f ca="1">IF((A1)=(2),"",IF((287)=(O3),IF(IF((INDEX(B1:XFD1,((A2)+(1))+(0)))=("store"),(INDEX(B1:XFD1,((A2)+(1))+(1)))=("O"),"false"),B2,O290),O290))</f>
        <v>#VALUE!</v>
      </c>
      <c r="P290" t="e">
        <f ca="1">IF((A1)=(2),"",IF((287)=(P3),IF(IF((INDEX(B1:XFD1,((A2)+(1))+(0)))=("store"),(INDEX(B1:XFD1,((A2)+(1))+(1)))=("P"),"false"),B2,P290),P290))</f>
        <v>#VALUE!</v>
      </c>
      <c r="Q290" t="e">
        <f ca="1">IF((A1)=(2),"",IF((287)=(Q3),IF(IF((INDEX(B1:XFD1,((A2)+(1))+(0)))=("store"),(INDEX(B1:XFD1,((A2)+(1))+(1)))=("Q"),"false"),B2,Q290),Q290))</f>
        <v>#VALUE!</v>
      </c>
      <c r="R290" t="e">
        <f ca="1">IF((A1)=(2),"",IF((287)=(R3),IF(IF((INDEX(B1:XFD1,((A2)+(1))+(0)))=("store"),(INDEX(B1:XFD1,((A2)+(1))+(1)))=("R"),"false"),B2,R290),R290))</f>
        <v>#VALUE!</v>
      </c>
      <c r="S290" t="e">
        <f ca="1">IF((A1)=(2),"",IF((287)=(S3),IF(IF((INDEX(B1:XFD1,((A2)+(1))+(0)))=("store"),(INDEX(B1:XFD1,((A2)+(1))+(1)))=("S"),"false"),B2,S290),S290))</f>
        <v>#VALUE!</v>
      </c>
      <c r="T290" t="e">
        <f ca="1">IF((A1)=(2),"",IF((287)=(T3),IF(IF((INDEX(B1:XFD1,((A2)+(1))+(0)))=("store"),(INDEX(B1:XFD1,((A2)+(1))+(1)))=("T"),"false"),B2,T290),T290))</f>
        <v>#VALUE!</v>
      </c>
      <c r="U290" t="e">
        <f ca="1">IF((A1)=(2),"",IF((287)=(U3),IF(IF((INDEX(B1:XFD1,((A2)+(1))+(0)))=("store"),(INDEX(B1:XFD1,((A2)+(1))+(1)))=("U"),"false"),B2,U290),U290))</f>
        <v>#VALUE!</v>
      </c>
      <c r="V290" t="e">
        <f ca="1">IF((A1)=(2),"",IF((287)=(V3),IF(IF((INDEX(B1:XFD1,((A2)+(1))+(0)))=("store"),(INDEX(B1:XFD1,((A2)+(1))+(1)))=("V"),"false"),B2,V290),V290))</f>
        <v>#VALUE!</v>
      </c>
      <c r="W290" t="e">
        <f ca="1">IF((A1)=(2),"",IF((287)=(W3),IF(IF((INDEX(B1:XFD1,((A2)+(1))+(0)))=("store"),(INDEX(B1:XFD1,((A2)+(1))+(1)))=("W"),"false"),B2,W290),W290))</f>
        <v>#VALUE!</v>
      </c>
      <c r="X290" t="e">
        <f ca="1">IF((A1)=(2),"",IF((287)=(X3),IF(IF((INDEX(B1:XFD1,((A2)+(1))+(0)))=("store"),(INDEX(B1:XFD1,((A2)+(1))+(1)))=("X"),"false"),B2,X290),X290))</f>
        <v>#VALUE!</v>
      </c>
      <c r="Y290" t="e">
        <f ca="1">IF((A1)=(2),"",IF((287)=(Y3),IF(IF((INDEX(B1:XFD1,((A2)+(1))+(0)))=("store"),(INDEX(B1:XFD1,((A2)+(1))+(1)))=("Y"),"false"),B2,Y290),Y290))</f>
        <v>#VALUE!</v>
      </c>
      <c r="Z290" t="e">
        <f ca="1">IF((A1)=(2),"",IF((287)=(Z3),IF(IF((INDEX(B1:XFD1,((A2)+(1))+(0)))=("store"),(INDEX(B1:XFD1,((A2)+(1))+(1)))=("Z"),"false"),B2,Z290),Z290))</f>
        <v>#VALUE!</v>
      </c>
      <c r="AA290" t="e">
        <f ca="1">IF((A1)=(2),"",IF((287)=(AA3),IF(IF((INDEX(B1:XFD1,((A2)+(1))+(0)))=("store"),(INDEX(B1:XFD1,((A2)+(1))+(1)))=("AA"),"false"),B2,AA290),AA290))</f>
        <v>#VALUE!</v>
      </c>
      <c r="AB290" t="e">
        <f ca="1">IF((A1)=(2),"",IF((287)=(AB3),IF(IF((INDEX(B1:XFD1,((A2)+(1))+(0)))=("store"),(INDEX(B1:XFD1,((A2)+(1))+(1)))=("AB"),"false"),B2,AB290),AB290))</f>
        <v>#VALUE!</v>
      </c>
      <c r="AC290" t="e">
        <f ca="1">IF((A1)=(2),"",IF((287)=(AC3),IF(IF((INDEX(B1:XFD1,((A2)+(1))+(0)))=("store"),(INDEX(B1:XFD1,((A2)+(1))+(1)))=("AC"),"false"),B2,AC290),AC290))</f>
        <v>#VALUE!</v>
      </c>
      <c r="AD290" t="e">
        <f ca="1">IF((A1)=(2),"",IF((287)=(AD3),IF(IF((INDEX(B1:XFD1,((A2)+(1))+(0)))=("store"),(INDEX(B1:XFD1,((A2)+(1))+(1)))=("AD"),"false"),B2,AD290),AD290))</f>
        <v>#VALUE!</v>
      </c>
    </row>
    <row r="291" spans="1:30" x14ac:dyDescent="0.25">
      <c r="A291" t="e">
        <f ca="1">IF((A1)=(2),"",IF((288)=(A3),IF(("call")=(INDEX(B1:XFD1,((A2)+(1))+(0))),(B2)*(2),IF(("goto")=(INDEX(B1:XFD1,((A2)+(1))+(0))),(INDEX(B1:XFD1,((A2)+(1))+(1)))*(2),IF(("gotoiftrue")=(INDEX(B1:XFD1,((A2)+(1))+(0))),IF(B2,(INDEX(B1:XFD1,((A2)+(1))+(1)))*(2),(A291)+(2)),(A291)+(2)))),A291))</f>
        <v>#VALUE!</v>
      </c>
      <c r="B291" t="e">
        <f ca="1">IF((A1)=(2),"",IF((288)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291)+(1)),IF(("add")=(INDEX(B1:XFD1,((A2)+(1))+(0))),(INDEX(B4:B404,(B3)+(1)))+(B291),IF(("equals")=(INDEX(B1:XFD1,((A2)+(1))+(0))),(INDEX(B4:B404,(B3)+(1)))=(B291),IF(("leq")=(INDEX(B1:XFD1,((A2)+(1))+(0))),(INDEX(B4:B404,(B3)+(1)))&lt;=(B291),IF(("greater")=(INDEX(B1:XFD1,((A2)+(1))+(0))),(INDEX(B4:B404,(B3)+(1)))&gt;(B291),IF(("mod")=(INDEX(B1:XFD1,((A2)+(1))+(0))),MOD(INDEX(B4:B404,(B3)+(1)),B291),B291))))))))),B291))</f>
        <v>#VALUE!</v>
      </c>
      <c r="C291" t="e">
        <f ca="1">IF((A1)=(2),1,IF(AND((INDEX(B1:XFD1,((A2)+(1))+(0)))=("writeheap"),(INDEX(B4:B404,(B3)+(1)))=(287)),INDEX(B4:B404,(B3)+(2)),IF((A1)=(2),"",IF((288)=(C3),C291,C291))))</f>
        <v>#VALUE!</v>
      </c>
      <c r="E291" t="e">
        <f ca="1">IF((A1)=(2),"",IF((288)=(E3),IF(("outputline")=(INDEX(B1:XFD1,((A2)+(1))+(0))),B2,E291),E291))</f>
        <v>#VALUE!</v>
      </c>
      <c r="F291" t="e">
        <f ca="1">IF((A1)=(2),"",IF((288)=(F3),IF(IF((INDEX(B1:XFD1,((A2)+(1))+(0)))=("store"),(INDEX(B1:XFD1,((A2)+(1))+(1)))=("F"),"false"),B2,F291),F291))</f>
        <v>#VALUE!</v>
      </c>
      <c r="G291" t="e">
        <f ca="1">IF((A1)=(2),"",IF((288)=(G3),IF(IF((INDEX(B1:XFD1,((A2)+(1))+(0)))=("store"),(INDEX(B1:XFD1,((A2)+(1))+(1)))=("G"),"false"),B2,G291),G291))</f>
        <v>#VALUE!</v>
      </c>
      <c r="H291" t="e">
        <f ca="1">IF((A1)=(2),"",IF((288)=(H3),IF(IF((INDEX(B1:XFD1,((A2)+(1))+(0)))=("store"),(INDEX(B1:XFD1,((A2)+(1))+(1)))=("H"),"false"),B2,H291),H291))</f>
        <v>#VALUE!</v>
      </c>
      <c r="I291" t="e">
        <f ca="1">IF((A1)=(2),"",IF((288)=(I3),IF(IF((INDEX(B1:XFD1,((A2)+(1))+(0)))=("store"),(INDEX(B1:XFD1,((A2)+(1))+(1)))=("I"),"false"),B2,I291),I291))</f>
        <v>#VALUE!</v>
      </c>
      <c r="J291" t="e">
        <f ca="1">IF((A1)=(2),"",IF((288)=(J3),IF(IF((INDEX(B1:XFD1,((A2)+(1))+(0)))=("store"),(INDEX(B1:XFD1,((A2)+(1))+(1)))=("J"),"false"),B2,J291),J291))</f>
        <v>#VALUE!</v>
      </c>
      <c r="K291" t="e">
        <f ca="1">IF((A1)=(2),"",IF((288)=(K3),IF(IF((INDEX(B1:XFD1,((A2)+(1))+(0)))=("store"),(INDEX(B1:XFD1,((A2)+(1))+(1)))=("K"),"false"),B2,K291),K291))</f>
        <v>#VALUE!</v>
      </c>
      <c r="L291" t="e">
        <f ca="1">IF((A1)=(2),"",IF((288)=(L3),IF(IF((INDEX(B1:XFD1,((A2)+(1))+(0)))=("store"),(INDEX(B1:XFD1,((A2)+(1))+(1)))=("L"),"false"),B2,L291),L291))</f>
        <v>#VALUE!</v>
      </c>
      <c r="M291" t="e">
        <f ca="1">IF((A1)=(2),"",IF((288)=(M3),IF(IF((INDEX(B1:XFD1,((A2)+(1))+(0)))=("store"),(INDEX(B1:XFD1,((A2)+(1))+(1)))=("M"),"false"),B2,M291),M291))</f>
        <v>#VALUE!</v>
      </c>
      <c r="N291" t="e">
        <f ca="1">IF((A1)=(2),"",IF((288)=(N3),IF(IF((INDEX(B1:XFD1,((A2)+(1))+(0)))=("store"),(INDEX(B1:XFD1,((A2)+(1))+(1)))=("N"),"false"),B2,N291),N291))</f>
        <v>#VALUE!</v>
      </c>
      <c r="O291" t="e">
        <f ca="1">IF((A1)=(2),"",IF((288)=(O3),IF(IF((INDEX(B1:XFD1,((A2)+(1))+(0)))=("store"),(INDEX(B1:XFD1,((A2)+(1))+(1)))=("O"),"false"),B2,O291),O291))</f>
        <v>#VALUE!</v>
      </c>
      <c r="P291" t="e">
        <f ca="1">IF((A1)=(2),"",IF((288)=(P3),IF(IF((INDEX(B1:XFD1,((A2)+(1))+(0)))=("store"),(INDEX(B1:XFD1,((A2)+(1))+(1)))=("P"),"false"),B2,P291),P291))</f>
        <v>#VALUE!</v>
      </c>
      <c r="Q291" t="e">
        <f ca="1">IF((A1)=(2),"",IF((288)=(Q3),IF(IF((INDEX(B1:XFD1,((A2)+(1))+(0)))=("store"),(INDEX(B1:XFD1,((A2)+(1))+(1)))=("Q"),"false"),B2,Q291),Q291))</f>
        <v>#VALUE!</v>
      </c>
      <c r="R291" t="e">
        <f ca="1">IF((A1)=(2),"",IF((288)=(R3),IF(IF((INDEX(B1:XFD1,((A2)+(1))+(0)))=("store"),(INDEX(B1:XFD1,((A2)+(1))+(1)))=("R"),"false"),B2,R291),R291))</f>
        <v>#VALUE!</v>
      </c>
      <c r="S291" t="e">
        <f ca="1">IF((A1)=(2),"",IF((288)=(S3),IF(IF((INDEX(B1:XFD1,((A2)+(1))+(0)))=("store"),(INDEX(B1:XFD1,((A2)+(1))+(1)))=("S"),"false"),B2,S291),S291))</f>
        <v>#VALUE!</v>
      </c>
      <c r="T291" t="e">
        <f ca="1">IF((A1)=(2),"",IF((288)=(T3),IF(IF((INDEX(B1:XFD1,((A2)+(1))+(0)))=("store"),(INDEX(B1:XFD1,((A2)+(1))+(1)))=("T"),"false"),B2,T291),T291))</f>
        <v>#VALUE!</v>
      </c>
      <c r="U291" t="e">
        <f ca="1">IF((A1)=(2),"",IF((288)=(U3),IF(IF((INDEX(B1:XFD1,((A2)+(1))+(0)))=("store"),(INDEX(B1:XFD1,((A2)+(1))+(1)))=("U"),"false"),B2,U291),U291))</f>
        <v>#VALUE!</v>
      </c>
      <c r="V291" t="e">
        <f ca="1">IF((A1)=(2),"",IF((288)=(V3),IF(IF((INDEX(B1:XFD1,((A2)+(1))+(0)))=("store"),(INDEX(B1:XFD1,((A2)+(1))+(1)))=("V"),"false"),B2,V291),V291))</f>
        <v>#VALUE!</v>
      </c>
      <c r="W291" t="e">
        <f ca="1">IF((A1)=(2),"",IF((288)=(W3),IF(IF((INDEX(B1:XFD1,((A2)+(1))+(0)))=("store"),(INDEX(B1:XFD1,((A2)+(1))+(1)))=("W"),"false"),B2,W291),W291))</f>
        <v>#VALUE!</v>
      </c>
      <c r="X291" t="e">
        <f ca="1">IF((A1)=(2),"",IF((288)=(X3),IF(IF((INDEX(B1:XFD1,((A2)+(1))+(0)))=("store"),(INDEX(B1:XFD1,((A2)+(1))+(1)))=("X"),"false"),B2,X291),X291))</f>
        <v>#VALUE!</v>
      </c>
      <c r="Y291" t="e">
        <f ca="1">IF((A1)=(2),"",IF((288)=(Y3),IF(IF((INDEX(B1:XFD1,((A2)+(1))+(0)))=("store"),(INDEX(B1:XFD1,((A2)+(1))+(1)))=("Y"),"false"),B2,Y291),Y291))</f>
        <v>#VALUE!</v>
      </c>
      <c r="Z291" t="e">
        <f ca="1">IF((A1)=(2),"",IF((288)=(Z3),IF(IF((INDEX(B1:XFD1,((A2)+(1))+(0)))=("store"),(INDEX(B1:XFD1,((A2)+(1))+(1)))=("Z"),"false"),B2,Z291),Z291))</f>
        <v>#VALUE!</v>
      </c>
      <c r="AA291" t="e">
        <f ca="1">IF((A1)=(2),"",IF((288)=(AA3),IF(IF((INDEX(B1:XFD1,((A2)+(1))+(0)))=("store"),(INDEX(B1:XFD1,((A2)+(1))+(1)))=("AA"),"false"),B2,AA291),AA291))</f>
        <v>#VALUE!</v>
      </c>
      <c r="AB291" t="e">
        <f ca="1">IF((A1)=(2),"",IF((288)=(AB3),IF(IF((INDEX(B1:XFD1,((A2)+(1))+(0)))=("store"),(INDEX(B1:XFD1,((A2)+(1))+(1)))=("AB"),"false"),B2,AB291),AB291))</f>
        <v>#VALUE!</v>
      </c>
      <c r="AC291" t="e">
        <f ca="1">IF((A1)=(2),"",IF((288)=(AC3),IF(IF((INDEX(B1:XFD1,((A2)+(1))+(0)))=("store"),(INDEX(B1:XFD1,((A2)+(1))+(1)))=("AC"),"false"),B2,AC291),AC291))</f>
        <v>#VALUE!</v>
      </c>
      <c r="AD291" t="e">
        <f ca="1">IF((A1)=(2),"",IF((288)=(AD3),IF(IF((INDEX(B1:XFD1,((A2)+(1))+(0)))=("store"),(INDEX(B1:XFD1,((A2)+(1))+(1)))=("AD"),"false"),B2,AD291),AD291))</f>
        <v>#VALUE!</v>
      </c>
    </row>
    <row r="292" spans="1:30" x14ac:dyDescent="0.25">
      <c r="A292" t="e">
        <f ca="1">IF((A1)=(2),"",IF((289)=(A3),IF(("call")=(INDEX(B1:XFD1,((A2)+(1))+(0))),(B2)*(2),IF(("goto")=(INDEX(B1:XFD1,((A2)+(1))+(0))),(INDEX(B1:XFD1,((A2)+(1))+(1)))*(2),IF(("gotoiftrue")=(INDEX(B1:XFD1,((A2)+(1))+(0))),IF(B2,(INDEX(B1:XFD1,((A2)+(1))+(1)))*(2),(A292)+(2)),(A292)+(2)))),A292))</f>
        <v>#VALUE!</v>
      </c>
      <c r="B292" t="e">
        <f ca="1">IF((A1)=(2),"",IF((289)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292)+(1)),IF(("add")=(INDEX(B1:XFD1,((A2)+(1))+(0))),(INDEX(B4:B404,(B3)+(1)))+(B292),IF(("equals")=(INDEX(B1:XFD1,((A2)+(1))+(0))),(INDEX(B4:B404,(B3)+(1)))=(B292),IF(("leq")=(INDEX(B1:XFD1,((A2)+(1))+(0))),(INDEX(B4:B404,(B3)+(1)))&lt;=(B292),IF(("greater")=(INDEX(B1:XFD1,((A2)+(1))+(0))),(INDEX(B4:B404,(B3)+(1)))&gt;(B292),IF(("mod")=(INDEX(B1:XFD1,((A2)+(1))+(0))),MOD(INDEX(B4:B404,(B3)+(1)),B292),B292))))))))),B292))</f>
        <v>#VALUE!</v>
      </c>
      <c r="C292" t="e">
        <f ca="1">IF((A1)=(2),1,IF(AND((INDEX(B1:XFD1,((A2)+(1))+(0)))=("writeheap"),(INDEX(B4:B404,(B3)+(1)))=(288)),INDEX(B4:B404,(B3)+(2)),IF((A1)=(2),"",IF((289)=(C3),C292,C292))))</f>
        <v>#VALUE!</v>
      </c>
      <c r="E292" t="e">
        <f ca="1">IF((A1)=(2),"",IF((289)=(E3),IF(("outputline")=(INDEX(B1:XFD1,((A2)+(1))+(0))),B2,E292),E292))</f>
        <v>#VALUE!</v>
      </c>
      <c r="F292" t="e">
        <f ca="1">IF((A1)=(2),"",IF((289)=(F3),IF(IF((INDEX(B1:XFD1,((A2)+(1))+(0)))=("store"),(INDEX(B1:XFD1,((A2)+(1))+(1)))=("F"),"false"),B2,F292),F292))</f>
        <v>#VALUE!</v>
      </c>
      <c r="G292" t="e">
        <f ca="1">IF((A1)=(2),"",IF((289)=(G3),IF(IF((INDEX(B1:XFD1,((A2)+(1))+(0)))=("store"),(INDEX(B1:XFD1,((A2)+(1))+(1)))=("G"),"false"),B2,G292),G292))</f>
        <v>#VALUE!</v>
      </c>
      <c r="H292" t="e">
        <f ca="1">IF((A1)=(2),"",IF((289)=(H3),IF(IF((INDEX(B1:XFD1,((A2)+(1))+(0)))=("store"),(INDEX(B1:XFD1,((A2)+(1))+(1)))=("H"),"false"),B2,H292),H292))</f>
        <v>#VALUE!</v>
      </c>
      <c r="I292" t="e">
        <f ca="1">IF((A1)=(2),"",IF((289)=(I3),IF(IF((INDEX(B1:XFD1,((A2)+(1))+(0)))=("store"),(INDEX(B1:XFD1,((A2)+(1))+(1)))=("I"),"false"),B2,I292),I292))</f>
        <v>#VALUE!</v>
      </c>
      <c r="J292" t="e">
        <f ca="1">IF((A1)=(2),"",IF((289)=(J3),IF(IF((INDEX(B1:XFD1,((A2)+(1))+(0)))=("store"),(INDEX(B1:XFD1,((A2)+(1))+(1)))=("J"),"false"),B2,J292),J292))</f>
        <v>#VALUE!</v>
      </c>
      <c r="K292" t="e">
        <f ca="1">IF((A1)=(2),"",IF((289)=(K3),IF(IF((INDEX(B1:XFD1,((A2)+(1))+(0)))=("store"),(INDEX(B1:XFD1,((A2)+(1))+(1)))=("K"),"false"),B2,K292),K292))</f>
        <v>#VALUE!</v>
      </c>
      <c r="L292" t="e">
        <f ca="1">IF((A1)=(2),"",IF((289)=(L3),IF(IF((INDEX(B1:XFD1,((A2)+(1))+(0)))=("store"),(INDEX(B1:XFD1,((A2)+(1))+(1)))=("L"),"false"),B2,L292),L292))</f>
        <v>#VALUE!</v>
      </c>
      <c r="M292" t="e">
        <f ca="1">IF((A1)=(2),"",IF((289)=(M3),IF(IF((INDEX(B1:XFD1,((A2)+(1))+(0)))=("store"),(INDEX(B1:XFD1,((A2)+(1))+(1)))=("M"),"false"),B2,M292),M292))</f>
        <v>#VALUE!</v>
      </c>
      <c r="N292" t="e">
        <f ca="1">IF((A1)=(2),"",IF((289)=(N3),IF(IF((INDEX(B1:XFD1,((A2)+(1))+(0)))=("store"),(INDEX(B1:XFD1,((A2)+(1))+(1)))=("N"),"false"),B2,N292),N292))</f>
        <v>#VALUE!</v>
      </c>
      <c r="O292" t="e">
        <f ca="1">IF((A1)=(2),"",IF((289)=(O3),IF(IF((INDEX(B1:XFD1,((A2)+(1))+(0)))=("store"),(INDEX(B1:XFD1,((A2)+(1))+(1)))=("O"),"false"),B2,O292),O292))</f>
        <v>#VALUE!</v>
      </c>
      <c r="P292" t="e">
        <f ca="1">IF((A1)=(2),"",IF((289)=(P3),IF(IF((INDEX(B1:XFD1,((A2)+(1))+(0)))=("store"),(INDEX(B1:XFD1,((A2)+(1))+(1)))=("P"),"false"),B2,P292),P292))</f>
        <v>#VALUE!</v>
      </c>
      <c r="Q292" t="e">
        <f ca="1">IF((A1)=(2),"",IF((289)=(Q3),IF(IF((INDEX(B1:XFD1,((A2)+(1))+(0)))=("store"),(INDEX(B1:XFD1,((A2)+(1))+(1)))=("Q"),"false"),B2,Q292),Q292))</f>
        <v>#VALUE!</v>
      </c>
      <c r="R292" t="e">
        <f ca="1">IF((A1)=(2),"",IF((289)=(R3),IF(IF((INDEX(B1:XFD1,((A2)+(1))+(0)))=("store"),(INDEX(B1:XFD1,((A2)+(1))+(1)))=("R"),"false"),B2,R292),R292))</f>
        <v>#VALUE!</v>
      </c>
      <c r="S292" t="e">
        <f ca="1">IF((A1)=(2),"",IF((289)=(S3),IF(IF((INDEX(B1:XFD1,((A2)+(1))+(0)))=("store"),(INDEX(B1:XFD1,((A2)+(1))+(1)))=("S"),"false"),B2,S292),S292))</f>
        <v>#VALUE!</v>
      </c>
      <c r="T292" t="e">
        <f ca="1">IF((A1)=(2),"",IF((289)=(T3),IF(IF((INDEX(B1:XFD1,((A2)+(1))+(0)))=("store"),(INDEX(B1:XFD1,((A2)+(1))+(1)))=("T"),"false"),B2,T292),T292))</f>
        <v>#VALUE!</v>
      </c>
      <c r="U292" t="e">
        <f ca="1">IF((A1)=(2),"",IF((289)=(U3),IF(IF((INDEX(B1:XFD1,((A2)+(1))+(0)))=("store"),(INDEX(B1:XFD1,((A2)+(1))+(1)))=("U"),"false"),B2,U292),U292))</f>
        <v>#VALUE!</v>
      </c>
      <c r="V292" t="e">
        <f ca="1">IF((A1)=(2),"",IF((289)=(V3),IF(IF((INDEX(B1:XFD1,((A2)+(1))+(0)))=("store"),(INDEX(B1:XFD1,((A2)+(1))+(1)))=("V"),"false"),B2,V292),V292))</f>
        <v>#VALUE!</v>
      </c>
      <c r="W292" t="e">
        <f ca="1">IF((A1)=(2),"",IF((289)=(W3),IF(IF((INDEX(B1:XFD1,((A2)+(1))+(0)))=("store"),(INDEX(B1:XFD1,((A2)+(1))+(1)))=("W"),"false"),B2,W292),W292))</f>
        <v>#VALUE!</v>
      </c>
      <c r="X292" t="e">
        <f ca="1">IF((A1)=(2),"",IF((289)=(X3),IF(IF((INDEX(B1:XFD1,((A2)+(1))+(0)))=("store"),(INDEX(B1:XFD1,((A2)+(1))+(1)))=("X"),"false"),B2,X292),X292))</f>
        <v>#VALUE!</v>
      </c>
      <c r="Y292" t="e">
        <f ca="1">IF((A1)=(2),"",IF((289)=(Y3),IF(IF((INDEX(B1:XFD1,((A2)+(1))+(0)))=("store"),(INDEX(B1:XFD1,((A2)+(1))+(1)))=("Y"),"false"),B2,Y292),Y292))</f>
        <v>#VALUE!</v>
      </c>
      <c r="Z292" t="e">
        <f ca="1">IF((A1)=(2),"",IF((289)=(Z3),IF(IF((INDEX(B1:XFD1,((A2)+(1))+(0)))=("store"),(INDEX(B1:XFD1,((A2)+(1))+(1)))=("Z"),"false"),B2,Z292),Z292))</f>
        <v>#VALUE!</v>
      </c>
      <c r="AA292" t="e">
        <f ca="1">IF((A1)=(2),"",IF((289)=(AA3),IF(IF((INDEX(B1:XFD1,((A2)+(1))+(0)))=("store"),(INDEX(B1:XFD1,((A2)+(1))+(1)))=("AA"),"false"),B2,AA292),AA292))</f>
        <v>#VALUE!</v>
      </c>
      <c r="AB292" t="e">
        <f ca="1">IF((A1)=(2),"",IF((289)=(AB3),IF(IF((INDEX(B1:XFD1,((A2)+(1))+(0)))=("store"),(INDEX(B1:XFD1,((A2)+(1))+(1)))=("AB"),"false"),B2,AB292),AB292))</f>
        <v>#VALUE!</v>
      </c>
      <c r="AC292" t="e">
        <f ca="1">IF((A1)=(2),"",IF((289)=(AC3),IF(IF((INDEX(B1:XFD1,((A2)+(1))+(0)))=("store"),(INDEX(B1:XFD1,((A2)+(1))+(1)))=("AC"),"false"),B2,AC292),AC292))</f>
        <v>#VALUE!</v>
      </c>
      <c r="AD292" t="e">
        <f ca="1">IF((A1)=(2),"",IF((289)=(AD3),IF(IF((INDEX(B1:XFD1,((A2)+(1))+(0)))=("store"),(INDEX(B1:XFD1,((A2)+(1))+(1)))=("AD"),"false"),B2,AD292),AD292))</f>
        <v>#VALUE!</v>
      </c>
    </row>
    <row r="293" spans="1:30" x14ac:dyDescent="0.25">
      <c r="A293" t="e">
        <f ca="1">IF((A1)=(2),"",IF((290)=(A3),IF(("call")=(INDEX(B1:XFD1,((A2)+(1))+(0))),(B2)*(2),IF(("goto")=(INDEX(B1:XFD1,((A2)+(1))+(0))),(INDEX(B1:XFD1,((A2)+(1))+(1)))*(2),IF(("gotoiftrue")=(INDEX(B1:XFD1,((A2)+(1))+(0))),IF(B2,(INDEX(B1:XFD1,((A2)+(1))+(1)))*(2),(A293)+(2)),(A293)+(2)))),A293))</f>
        <v>#VALUE!</v>
      </c>
      <c r="B293" t="e">
        <f ca="1">IF((A1)=(2),"",IF((290)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293)+(1)),IF(("add")=(INDEX(B1:XFD1,((A2)+(1))+(0))),(INDEX(B4:B404,(B3)+(1)))+(B293),IF(("equals")=(INDEX(B1:XFD1,((A2)+(1))+(0))),(INDEX(B4:B404,(B3)+(1)))=(B293),IF(("leq")=(INDEX(B1:XFD1,((A2)+(1))+(0))),(INDEX(B4:B404,(B3)+(1)))&lt;=(B293),IF(("greater")=(INDEX(B1:XFD1,((A2)+(1))+(0))),(INDEX(B4:B404,(B3)+(1)))&gt;(B293),IF(("mod")=(INDEX(B1:XFD1,((A2)+(1))+(0))),MOD(INDEX(B4:B404,(B3)+(1)),B293),B293))))))))),B293))</f>
        <v>#VALUE!</v>
      </c>
      <c r="C293" t="e">
        <f ca="1">IF((A1)=(2),1,IF(AND((INDEX(B1:XFD1,((A2)+(1))+(0)))=("writeheap"),(INDEX(B4:B404,(B3)+(1)))=(289)),INDEX(B4:B404,(B3)+(2)),IF((A1)=(2),"",IF((290)=(C3),C293,C293))))</f>
        <v>#VALUE!</v>
      </c>
      <c r="E293" t="e">
        <f ca="1">IF((A1)=(2),"",IF((290)=(E3),IF(("outputline")=(INDEX(B1:XFD1,((A2)+(1))+(0))),B2,E293),E293))</f>
        <v>#VALUE!</v>
      </c>
      <c r="F293" t="e">
        <f ca="1">IF((A1)=(2),"",IF((290)=(F3),IF(IF((INDEX(B1:XFD1,((A2)+(1))+(0)))=("store"),(INDEX(B1:XFD1,((A2)+(1))+(1)))=("F"),"false"),B2,F293),F293))</f>
        <v>#VALUE!</v>
      </c>
      <c r="G293" t="e">
        <f ca="1">IF((A1)=(2),"",IF((290)=(G3),IF(IF((INDEX(B1:XFD1,((A2)+(1))+(0)))=("store"),(INDEX(B1:XFD1,((A2)+(1))+(1)))=("G"),"false"),B2,G293),G293))</f>
        <v>#VALUE!</v>
      </c>
      <c r="H293" t="e">
        <f ca="1">IF((A1)=(2),"",IF((290)=(H3),IF(IF((INDEX(B1:XFD1,((A2)+(1))+(0)))=("store"),(INDEX(B1:XFD1,((A2)+(1))+(1)))=("H"),"false"),B2,H293),H293))</f>
        <v>#VALUE!</v>
      </c>
      <c r="I293" t="e">
        <f ca="1">IF((A1)=(2),"",IF((290)=(I3),IF(IF((INDEX(B1:XFD1,((A2)+(1))+(0)))=("store"),(INDEX(B1:XFD1,((A2)+(1))+(1)))=("I"),"false"),B2,I293),I293))</f>
        <v>#VALUE!</v>
      </c>
      <c r="J293" t="e">
        <f ca="1">IF((A1)=(2),"",IF((290)=(J3),IF(IF((INDEX(B1:XFD1,((A2)+(1))+(0)))=("store"),(INDEX(B1:XFD1,((A2)+(1))+(1)))=("J"),"false"),B2,J293),J293))</f>
        <v>#VALUE!</v>
      </c>
      <c r="K293" t="e">
        <f ca="1">IF((A1)=(2),"",IF((290)=(K3),IF(IF((INDEX(B1:XFD1,((A2)+(1))+(0)))=("store"),(INDEX(B1:XFD1,((A2)+(1))+(1)))=("K"),"false"),B2,K293),K293))</f>
        <v>#VALUE!</v>
      </c>
      <c r="L293" t="e">
        <f ca="1">IF((A1)=(2),"",IF((290)=(L3),IF(IF((INDEX(B1:XFD1,((A2)+(1))+(0)))=("store"),(INDEX(B1:XFD1,((A2)+(1))+(1)))=("L"),"false"),B2,L293),L293))</f>
        <v>#VALUE!</v>
      </c>
      <c r="M293" t="e">
        <f ca="1">IF((A1)=(2),"",IF((290)=(M3),IF(IF((INDEX(B1:XFD1,((A2)+(1))+(0)))=("store"),(INDEX(B1:XFD1,((A2)+(1))+(1)))=("M"),"false"),B2,M293),M293))</f>
        <v>#VALUE!</v>
      </c>
      <c r="N293" t="e">
        <f ca="1">IF((A1)=(2),"",IF((290)=(N3),IF(IF((INDEX(B1:XFD1,((A2)+(1))+(0)))=("store"),(INDEX(B1:XFD1,((A2)+(1))+(1)))=("N"),"false"),B2,N293),N293))</f>
        <v>#VALUE!</v>
      </c>
      <c r="O293" t="e">
        <f ca="1">IF((A1)=(2),"",IF((290)=(O3),IF(IF((INDEX(B1:XFD1,((A2)+(1))+(0)))=("store"),(INDEX(B1:XFD1,((A2)+(1))+(1)))=("O"),"false"),B2,O293),O293))</f>
        <v>#VALUE!</v>
      </c>
      <c r="P293" t="e">
        <f ca="1">IF((A1)=(2),"",IF((290)=(P3),IF(IF((INDEX(B1:XFD1,((A2)+(1))+(0)))=("store"),(INDEX(B1:XFD1,((A2)+(1))+(1)))=("P"),"false"),B2,P293),P293))</f>
        <v>#VALUE!</v>
      </c>
      <c r="Q293" t="e">
        <f ca="1">IF((A1)=(2),"",IF((290)=(Q3),IF(IF((INDEX(B1:XFD1,((A2)+(1))+(0)))=("store"),(INDEX(B1:XFD1,((A2)+(1))+(1)))=("Q"),"false"),B2,Q293),Q293))</f>
        <v>#VALUE!</v>
      </c>
      <c r="R293" t="e">
        <f ca="1">IF((A1)=(2),"",IF((290)=(R3),IF(IF((INDEX(B1:XFD1,((A2)+(1))+(0)))=("store"),(INDEX(B1:XFD1,((A2)+(1))+(1)))=("R"),"false"),B2,R293),R293))</f>
        <v>#VALUE!</v>
      </c>
      <c r="S293" t="e">
        <f ca="1">IF((A1)=(2),"",IF((290)=(S3),IF(IF((INDEX(B1:XFD1,((A2)+(1))+(0)))=("store"),(INDEX(B1:XFD1,((A2)+(1))+(1)))=("S"),"false"),B2,S293),S293))</f>
        <v>#VALUE!</v>
      </c>
      <c r="T293" t="e">
        <f ca="1">IF((A1)=(2),"",IF((290)=(T3),IF(IF((INDEX(B1:XFD1,((A2)+(1))+(0)))=("store"),(INDEX(B1:XFD1,((A2)+(1))+(1)))=("T"),"false"),B2,T293),T293))</f>
        <v>#VALUE!</v>
      </c>
      <c r="U293" t="e">
        <f ca="1">IF((A1)=(2),"",IF((290)=(U3),IF(IF((INDEX(B1:XFD1,((A2)+(1))+(0)))=("store"),(INDEX(B1:XFD1,((A2)+(1))+(1)))=("U"),"false"),B2,U293),U293))</f>
        <v>#VALUE!</v>
      </c>
      <c r="V293" t="e">
        <f ca="1">IF((A1)=(2),"",IF((290)=(V3),IF(IF((INDEX(B1:XFD1,((A2)+(1))+(0)))=("store"),(INDEX(B1:XFD1,((A2)+(1))+(1)))=("V"),"false"),B2,V293),V293))</f>
        <v>#VALUE!</v>
      </c>
      <c r="W293" t="e">
        <f ca="1">IF((A1)=(2),"",IF((290)=(W3),IF(IF((INDEX(B1:XFD1,((A2)+(1))+(0)))=("store"),(INDEX(B1:XFD1,((A2)+(1))+(1)))=("W"),"false"),B2,W293),W293))</f>
        <v>#VALUE!</v>
      </c>
      <c r="X293" t="e">
        <f ca="1">IF((A1)=(2),"",IF((290)=(X3),IF(IF((INDEX(B1:XFD1,((A2)+(1))+(0)))=("store"),(INDEX(B1:XFD1,((A2)+(1))+(1)))=("X"),"false"),B2,X293),X293))</f>
        <v>#VALUE!</v>
      </c>
      <c r="Y293" t="e">
        <f ca="1">IF((A1)=(2),"",IF((290)=(Y3),IF(IF((INDEX(B1:XFD1,((A2)+(1))+(0)))=("store"),(INDEX(B1:XFD1,((A2)+(1))+(1)))=("Y"),"false"),B2,Y293),Y293))</f>
        <v>#VALUE!</v>
      </c>
      <c r="Z293" t="e">
        <f ca="1">IF((A1)=(2),"",IF((290)=(Z3),IF(IF((INDEX(B1:XFD1,((A2)+(1))+(0)))=("store"),(INDEX(B1:XFD1,((A2)+(1))+(1)))=("Z"),"false"),B2,Z293),Z293))</f>
        <v>#VALUE!</v>
      </c>
      <c r="AA293" t="e">
        <f ca="1">IF((A1)=(2),"",IF((290)=(AA3),IF(IF((INDEX(B1:XFD1,((A2)+(1))+(0)))=("store"),(INDEX(B1:XFD1,((A2)+(1))+(1)))=("AA"),"false"),B2,AA293),AA293))</f>
        <v>#VALUE!</v>
      </c>
      <c r="AB293" t="e">
        <f ca="1">IF((A1)=(2),"",IF((290)=(AB3),IF(IF((INDEX(B1:XFD1,((A2)+(1))+(0)))=("store"),(INDEX(B1:XFD1,((A2)+(1))+(1)))=("AB"),"false"),B2,AB293),AB293))</f>
        <v>#VALUE!</v>
      </c>
      <c r="AC293" t="e">
        <f ca="1">IF((A1)=(2),"",IF((290)=(AC3),IF(IF((INDEX(B1:XFD1,((A2)+(1))+(0)))=("store"),(INDEX(B1:XFD1,((A2)+(1))+(1)))=("AC"),"false"),B2,AC293),AC293))</f>
        <v>#VALUE!</v>
      </c>
      <c r="AD293" t="e">
        <f ca="1">IF((A1)=(2),"",IF((290)=(AD3),IF(IF((INDEX(B1:XFD1,((A2)+(1))+(0)))=("store"),(INDEX(B1:XFD1,((A2)+(1))+(1)))=("AD"),"false"),B2,AD293),AD293))</f>
        <v>#VALUE!</v>
      </c>
    </row>
    <row r="294" spans="1:30" x14ac:dyDescent="0.25">
      <c r="A294" t="e">
        <f ca="1">IF((A1)=(2),"",IF((291)=(A3),IF(("call")=(INDEX(B1:XFD1,((A2)+(1))+(0))),(B2)*(2),IF(("goto")=(INDEX(B1:XFD1,((A2)+(1))+(0))),(INDEX(B1:XFD1,((A2)+(1))+(1)))*(2),IF(("gotoiftrue")=(INDEX(B1:XFD1,((A2)+(1))+(0))),IF(B2,(INDEX(B1:XFD1,((A2)+(1))+(1)))*(2),(A294)+(2)),(A294)+(2)))),A294))</f>
        <v>#VALUE!</v>
      </c>
      <c r="B294" t="e">
        <f ca="1">IF((A1)=(2),"",IF((291)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294)+(1)),IF(("add")=(INDEX(B1:XFD1,((A2)+(1))+(0))),(INDEX(B4:B404,(B3)+(1)))+(B294),IF(("equals")=(INDEX(B1:XFD1,((A2)+(1))+(0))),(INDEX(B4:B404,(B3)+(1)))=(B294),IF(("leq")=(INDEX(B1:XFD1,((A2)+(1))+(0))),(INDEX(B4:B404,(B3)+(1)))&lt;=(B294),IF(("greater")=(INDEX(B1:XFD1,((A2)+(1))+(0))),(INDEX(B4:B404,(B3)+(1)))&gt;(B294),IF(("mod")=(INDEX(B1:XFD1,((A2)+(1))+(0))),MOD(INDEX(B4:B404,(B3)+(1)),B294),B294))))))))),B294))</f>
        <v>#VALUE!</v>
      </c>
      <c r="C294" t="e">
        <f ca="1">IF((A1)=(2),1,IF(AND((INDEX(B1:XFD1,((A2)+(1))+(0)))=("writeheap"),(INDEX(B4:B404,(B3)+(1)))=(290)),INDEX(B4:B404,(B3)+(2)),IF((A1)=(2),"",IF((291)=(C3),C294,C294))))</f>
        <v>#VALUE!</v>
      </c>
      <c r="E294" t="e">
        <f ca="1">IF((A1)=(2),"",IF((291)=(E3),IF(("outputline")=(INDEX(B1:XFD1,((A2)+(1))+(0))),B2,E294),E294))</f>
        <v>#VALUE!</v>
      </c>
      <c r="F294" t="e">
        <f ca="1">IF((A1)=(2),"",IF((291)=(F3),IF(IF((INDEX(B1:XFD1,((A2)+(1))+(0)))=("store"),(INDEX(B1:XFD1,((A2)+(1))+(1)))=("F"),"false"),B2,F294),F294))</f>
        <v>#VALUE!</v>
      </c>
      <c r="G294" t="e">
        <f ca="1">IF((A1)=(2),"",IF((291)=(G3),IF(IF((INDEX(B1:XFD1,((A2)+(1))+(0)))=("store"),(INDEX(B1:XFD1,((A2)+(1))+(1)))=("G"),"false"),B2,G294),G294))</f>
        <v>#VALUE!</v>
      </c>
      <c r="H294" t="e">
        <f ca="1">IF((A1)=(2),"",IF((291)=(H3),IF(IF((INDEX(B1:XFD1,((A2)+(1))+(0)))=("store"),(INDEX(B1:XFD1,((A2)+(1))+(1)))=("H"),"false"),B2,H294),H294))</f>
        <v>#VALUE!</v>
      </c>
      <c r="I294" t="e">
        <f ca="1">IF((A1)=(2),"",IF((291)=(I3),IF(IF((INDEX(B1:XFD1,((A2)+(1))+(0)))=("store"),(INDEX(B1:XFD1,((A2)+(1))+(1)))=("I"),"false"),B2,I294),I294))</f>
        <v>#VALUE!</v>
      </c>
      <c r="J294" t="e">
        <f ca="1">IF((A1)=(2),"",IF((291)=(J3),IF(IF((INDEX(B1:XFD1,((A2)+(1))+(0)))=("store"),(INDEX(B1:XFD1,((A2)+(1))+(1)))=("J"),"false"),B2,J294),J294))</f>
        <v>#VALUE!</v>
      </c>
      <c r="K294" t="e">
        <f ca="1">IF((A1)=(2),"",IF((291)=(K3),IF(IF((INDEX(B1:XFD1,((A2)+(1))+(0)))=("store"),(INDEX(B1:XFD1,((A2)+(1))+(1)))=("K"),"false"),B2,K294),K294))</f>
        <v>#VALUE!</v>
      </c>
      <c r="L294" t="e">
        <f ca="1">IF((A1)=(2),"",IF((291)=(L3),IF(IF((INDEX(B1:XFD1,((A2)+(1))+(0)))=("store"),(INDEX(B1:XFD1,((A2)+(1))+(1)))=("L"),"false"),B2,L294),L294))</f>
        <v>#VALUE!</v>
      </c>
      <c r="M294" t="e">
        <f ca="1">IF((A1)=(2),"",IF((291)=(M3),IF(IF((INDEX(B1:XFD1,((A2)+(1))+(0)))=("store"),(INDEX(B1:XFD1,((A2)+(1))+(1)))=("M"),"false"),B2,M294),M294))</f>
        <v>#VALUE!</v>
      </c>
      <c r="N294" t="e">
        <f ca="1">IF((A1)=(2),"",IF((291)=(N3),IF(IF((INDEX(B1:XFD1,((A2)+(1))+(0)))=("store"),(INDEX(B1:XFD1,((A2)+(1))+(1)))=("N"),"false"),B2,N294),N294))</f>
        <v>#VALUE!</v>
      </c>
      <c r="O294" t="e">
        <f ca="1">IF((A1)=(2),"",IF((291)=(O3),IF(IF((INDEX(B1:XFD1,((A2)+(1))+(0)))=("store"),(INDEX(B1:XFD1,((A2)+(1))+(1)))=("O"),"false"),B2,O294),O294))</f>
        <v>#VALUE!</v>
      </c>
      <c r="P294" t="e">
        <f ca="1">IF((A1)=(2),"",IF((291)=(P3),IF(IF((INDEX(B1:XFD1,((A2)+(1))+(0)))=("store"),(INDEX(B1:XFD1,((A2)+(1))+(1)))=("P"),"false"),B2,P294),P294))</f>
        <v>#VALUE!</v>
      </c>
      <c r="Q294" t="e">
        <f ca="1">IF((A1)=(2),"",IF((291)=(Q3),IF(IF((INDEX(B1:XFD1,((A2)+(1))+(0)))=("store"),(INDEX(B1:XFD1,((A2)+(1))+(1)))=("Q"),"false"),B2,Q294),Q294))</f>
        <v>#VALUE!</v>
      </c>
      <c r="R294" t="e">
        <f ca="1">IF((A1)=(2),"",IF((291)=(R3),IF(IF((INDEX(B1:XFD1,((A2)+(1))+(0)))=("store"),(INDEX(B1:XFD1,((A2)+(1))+(1)))=("R"),"false"),B2,R294),R294))</f>
        <v>#VALUE!</v>
      </c>
      <c r="S294" t="e">
        <f ca="1">IF((A1)=(2),"",IF((291)=(S3),IF(IF((INDEX(B1:XFD1,((A2)+(1))+(0)))=("store"),(INDEX(B1:XFD1,((A2)+(1))+(1)))=("S"),"false"),B2,S294),S294))</f>
        <v>#VALUE!</v>
      </c>
      <c r="T294" t="e">
        <f ca="1">IF((A1)=(2),"",IF((291)=(T3),IF(IF((INDEX(B1:XFD1,((A2)+(1))+(0)))=("store"),(INDEX(B1:XFD1,((A2)+(1))+(1)))=("T"),"false"),B2,T294),T294))</f>
        <v>#VALUE!</v>
      </c>
      <c r="U294" t="e">
        <f ca="1">IF((A1)=(2),"",IF((291)=(U3),IF(IF((INDEX(B1:XFD1,((A2)+(1))+(0)))=("store"),(INDEX(B1:XFD1,((A2)+(1))+(1)))=("U"),"false"),B2,U294),U294))</f>
        <v>#VALUE!</v>
      </c>
      <c r="V294" t="e">
        <f ca="1">IF((A1)=(2),"",IF((291)=(V3),IF(IF((INDEX(B1:XFD1,((A2)+(1))+(0)))=("store"),(INDEX(B1:XFD1,((A2)+(1))+(1)))=("V"),"false"),B2,V294),V294))</f>
        <v>#VALUE!</v>
      </c>
      <c r="W294" t="e">
        <f ca="1">IF((A1)=(2),"",IF((291)=(W3),IF(IF((INDEX(B1:XFD1,((A2)+(1))+(0)))=("store"),(INDEX(B1:XFD1,((A2)+(1))+(1)))=("W"),"false"),B2,W294),W294))</f>
        <v>#VALUE!</v>
      </c>
      <c r="X294" t="e">
        <f ca="1">IF((A1)=(2),"",IF((291)=(X3),IF(IF((INDEX(B1:XFD1,((A2)+(1))+(0)))=("store"),(INDEX(B1:XFD1,((A2)+(1))+(1)))=("X"),"false"),B2,X294),X294))</f>
        <v>#VALUE!</v>
      </c>
      <c r="Y294" t="e">
        <f ca="1">IF((A1)=(2),"",IF((291)=(Y3),IF(IF((INDEX(B1:XFD1,((A2)+(1))+(0)))=("store"),(INDEX(B1:XFD1,((A2)+(1))+(1)))=("Y"),"false"),B2,Y294),Y294))</f>
        <v>#VALUE!</v>
      </c>
      <c r="Z294" t="e">
        <f ca="1">IF((A1)=(2),"",IF((291)=(Z3),IF(IF((INDEX(B1:XFD1,((A2)+(1))+(0)))=("store"),(INDEX(B1:XFD1,((A2)+(1))+(1)))=("Z"),"false"),B2,Z294),Z294))</f>
        <v>#VALUE!</v>
      </c>
      <c r="AA294" t="e">
        <f ca="1">IF((A1)=(2),"",IF((291)=(AA3),IF(IF((INDEX(B1:XFD1,((A2)+(1))+(0)))=("store"),(INDEX(B1:XFD1,((A2)+(1))+(1)))=("AA"),"false"),B2,AA294),AA294))</f>
        <v>#VALUE!</v>
      </c>
      <c r="AB294" t="e">
        <f ca="1">IF((A1)=(2),"",IF((291)=(AB3),IF(IF((INDEX(B1:XFD1,((A2)+(1))+(0)))=("store"),(INDEX(B1:XFD1,((A2)+(1))+(1)))=("AB"),"false"),B2,AB294),AB294))</f>
        <v>#VALUE!</v>
      </c>
      <c r="AC294" t="e">
        <f ca="1">IF((A1)=(2),"",IF((291)=(AC3),IF(IF((INDEX(B1:XFD1,((A2)+(1))+(0)))=("store"),(INDEX(B1:XFD1,((A2)+(1))+(1)))=("AC"),"false"),B2,AC294),AC294))</f>
        <v>#VALUE!</v>
      </c>
      <c r="AD294" t="e">
        <f ca="1">IF((A1)=(2),"",IF((291)=(AD3),IF(IF((INDEX(B1:XFD1,((A2)+(1))+(0)))=("store"),(INDEX(B1:XFD1,((A2)+(1))+(1)))=("AD"),"false"),B2,AD294),AD294))</f>
        <v>#VALUE!</v>
      </c>
    </row>
    <row r="295" spans="1:30" x14ac:dyDescent="0.25">
      <c r="A295" t="e">
        <f ca="1">IF((A1)=(2),"",IF((292)=(A3),IF(("call")=(INDEX(B1:XFD1,((A2)+(1))+(0))),(B2)*(2),IF(("goto")=(INDEX(B1:XFD1,((A2)+(1))+(0))),(INDEX(B1:XFD1,((A2)+(1))+(1)))*(2),IF(("gotoiftrue")=(INDEX(B1:XFD1,((A2)+(1))+(0))),IF(B2,(INDEX(B1:XFD1,((A2)+(1))+(1)))*(2),(A295)+(2)),(A295)+(2)))),A295))</f>
        <v>#VALUE!</v>
      </c>
      <c r="B295" t="e">
        <f ca="1">IF((A1)=(2),"",IF((292)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295)+(1)),IF(("add")=(INDEX(B1:XFD1,((A2)+(1))+(0))),(INDEX(B4:B404,(B3)+(1)))+(B295),IF(("equals")=(INDEX(B1:XFD1,((A2)+(1))+(0))),(INDEX(B4:B404,(B3)+(1)))=(B295),IF(("leq")=(INDEX(B1:XFD1,((A2)+(1))+(0))),(INDEX(B4:B404,(B3)+(1)))&lt;=(B295),IF(("greater")=(INDEX(B1:XFD1,((A2)+(1))+(0))),(INDEX(B4:B404,(B3)+(1)))&gt;(B295),IF(("mod")=(INDEX(B1:XFD1,((A2)+(1))+(0))),MOD(INDEX(B4:B404,(B3)+(1)),B295),B295))))))))),B295))</f>
        <v>#VALUE!</v>
      </c>
      <c r="C295" t="e">
        <f ca="1">IF((A1)=(2),1,IF(AND((INDEX(B1:XFD1,((A2)+(1))+(0)))=("writeheap"),(INDEX(B4:B404,(B3)+(1)))=(291)),INDEX(B4:B404,(B3)+(2)),IF((A1)=(2),"",IF((292)=(C3),C295,C295))))</f>
        <v>#VALUE!</v>
      </c>
      <c r="E295" t="e">
        <f ca="1">IF((A1)=(2),"",IF((292)=(E3),IF(("outputline")=(INDEX(B1:XFD1,((A2)+(1))+(0))),B2,E295),E295))</f>
        <v>#VALUE!</v>
      </c>
      <c r="F295" t="e">
        <f ca="1">IF((A1)=(2),"",IF((292)=(F3),IF(IF((INDEX(B1:XFD1,((A2)+(1))+(0)))=("store"),(INDEX(B1:XFD1,((A2)+(1))+(1)))=("F"),"false"),B2,F295),F295))</f>
        <v>#VALUE!</v>
      </c>
      <c r="G295" t="e">
        <f ca="1">IF((A1)=(2),"",IF((292)=(G3),IF(IF((INDEX(B1:XFD1,((A2)+(1))+(0)))=("store"),(INDEX(B1:XFD1,((A2)+(1))+(1)))=("G"),"false"),B2,G295),G295))</f>
        <v>#VALUE!</v>
      </c>
      <c r="H295" t="e">
        <f ca="1">IF((A1)=(2),"",IF((292)=(H3),IF(IF((INDEX(B1:XFD1,((A2)+(1))+(0)))=("store"),(INDEX(B1:XFD1,((A2)+(1))+(1)))=("H"),"false"),B2,H295),H295))</f>
        <v>#VALUE!</v>
      </c>
      <c r="I295" t="e">
        <f ca="1">IF((A1)=(2),"",IF((292)=(I3),IF(IF((INDEX(B1:XFD1,((A2)+(1))+(0)))=("store"),(INDEX(B1:XFD1,((A2)+(1))+(1)))=("I"),"false"),B2,I295),I295))</f>
        <v>#VALUE!</v>
      </c>
      <c r="J295" t="e">
        <f ca="1">IF((A1)=(2),"",IF((292)=(J3),IF(IF((INDEX(B1:XFD1,((A2)+(1))+(0)))=("store"),(INDEX(B1:XFD1,((A2)+(1))+(1)))=("J"),"false"),B2,J295),J295))</f>
        <v>#VALUE!</v>
      </c>
      <c r="K295" t="e">
        <f ca="1">IF((A1)=(2),"",IF((292)=(K3),IF(IF((INDEX(B1:XFD1,((A2)+(1))+(0)))=("store"),(INDEX(B1:XFD1,((A2)+(1))+(1)))=("K"),"false"),B2,K295),K295))</f>
        <v>#VALUE!</v>
      </c>
      <c r="L295" t="e">
        <f ca="1">IF((A1)=(2),"",IF((292)=(L3),IF(IF((INDEX(B1:XFD1,((A2)+(1))+(0)))=("store"),(INDEX(B1:XFD1,((A2)+(1))+(1)))=("L"),"false"),B2,L295),L295))</f>
        <v>#VALUE!</v>
      </c>
      <c r="M295" t="e">
        <f ca="1">IF((A1)=(2),"",IF((292)=(M3),IF(IF((INDEX(B1:XFD1,((A2)+(1))+(0)))=("store"),(INDEX(B1:XFD1,((A2)+(1))+(1)))=("M"),"false"),B2,M295),M295))</f>
        <v>#VALUE!</v>
      </c>
      <c r="N295" t="e">
        <f ca="1">IF((A1)=(2),"",IF((292)=(N3),IF(IF((INDEX(B1:XFD1,((A2)+(1))+(0)))=("store"),(INDEX(B1:XFD1,((A2)+(1))+(1)))=("N"),"false"),B2,N295),N295))</f>
        <v>#VALUE!</v>
      </c>
      <c r="O295" t="e">
        <f ca="1">IF((A1)=(2),"",IF((292)=(O3),IF(IF((INDEX(B1:XFD1,((A2)+(1))+(0)))=("store"),(INDEX(B1:XFD1,((A2)+(1))+(1)))=("O"),"false"),B2,O295),O295))</f>
        <v>#VALUE!</v>
      </c>
      <c r="P295" t="e">
        <f ca="1">IF((A1)=(2),"",IF((292)=(P3),IF(IF((INDEX(B1:XFD1,((A2)+(1))+(0)))=("store"),(INDEX(B1:XFD1,((A2)+(1))+(1)))=("P"),"false"),B2,P295),P295))</f>
        <v>#VALUE!</v>
      </c>
      <c r="Q295" t="e">
        <f ca="1">IF((A1)=(2),"",IF((292)=(Q3),IF(IF((INDEX(B1:XFD1,((A2)+(1))+(0)))=("store"),(INDEX(B1:XFD1,((A2)+(1))+(1)))=("Q"),"false"),B2,Q295),Q295))</f>
        <v>#VALUE!</v>
      </c>
      <c r="R295" t="e">
        <f ca="1">IF((A1)=(2),"",IF((292)=(R3),IF(IF((INDEX(B1:XFD1,((A2)+(1))+(0)))=("store"),(INDEX(B1:XFD1,((A2)+(1))+(1)))=("R"),"false"),B2,R295),R295))</f>
        <v>#VALUE!</v>
      </c>
      <c r="S295" t="e">
        <f ca="1">IF((A1)=(2),"",IF((292)=(S3),IF(IF((INDEX(B1:XFD1,((A2)+(1))+(0)))=("store"),(INDEX(B1:XFD1,((A2)+(1))+(1)))=("S"),"false"),B2,S295),S295))</f>
        <v>#VALUE!</v>
      </c>
      <c r="T295" t="e">
        <f ca="1">IF((A1)=(2),"",IF((292)=(T3),IF(IF((INDEX(B1:XFD1,((A2)+(1))+(0)))=("store"),(INDEX(B1:XFD1,((A2)+(1))+(1)))=("T"),"false"),B2,T295),T295))</f>
        <v>#VALUE!</v>
      </c>
      <c r="U295" t="e">
        <f ca="1">IF((A1)=(2),"",IF((292)=(U3),IF(IF((INDEX(B1:XFD1,((A2)+(1))+(0)))=("store"),(INDEX(B1:XFD1,((A2)+(1))+(1)))=("U"),"false"),B2,U295),U295))</f>
        <v>#VALUE!</v>
      </c>
      <c r="V295" t="e">
        <f ca="1">IF((A1)=(2),"",IF((292)=(V3),IF(IF((INDEX(B1:XFD1,((A2)+(1))+(0)))=("store"),(INDEX(B1:XFD1,((A2)+(1))+(1)))=("V"),"false"),B2,V295),V295))</f>
        <v>#VALUE!</v>
      </c>
      <c r="W295" t="e">
        <f ca="1">IF((A1)=(2),"",IF((292)=(W3),IF(IF((INDEX(B1:XFD1,((A2)+(1))+(0)))=("store"),(INDEX(B1:XFD1,((A2)+(1))+(1)))=("W"),"false"),B2,W295),W295))</f>
        <v>#VALUE!</v>
      </c>
      <c r="X295" t="e">
        <f ca="1">IF((A1)=(2),"",IF((292)=(X3),IF(IF((INDEX(B1:XFD1,((A2)+(1))+(0)))=("store"),(INDEX(B1:XFD1,((A2)+(1))+(1)))=("X"),"false"),B2,X295),X295))</f>
        <v>#VALUE!</v>
      </c>
      <c r="Y295" t="e">
        <f ca="1">IF((A1)=(2),"",IF((292)=(Y3),IF(IF((INDEX(B1:XFD1,((A2)+(1))+(0)))=("store"),(INDEX(B1:XFD1,((A2)+(1))+(1)))=("Y"),"false"),B2,Y295),Y295))</f>
        <v>#VALUE!</v>
      </c>
      <c r="Z295" t="e">
        <f ca="1">IF((A1)=(2),"",IF((292)=(Z3),IF(IF((INDEX(B1:XFD1,((A2)+(1))+(0)))=("store"),(INDEX(B1:XFD1,((A2)+(1))+(1)))=("Z"),"false"),B2,Z295),Z295))</f>
        <v>#VALUE!</v>
      </c>
      <c r="AA295" t="e">
        <f ca="1">IF((A1)=(2),"",IF((292)=(AA3),IF(IF((INDEX(B1:XFD1,((A2)+(1))+(0)))=("store"),(INDEX(B1:XFD1,((A2)+(1))+(1)))=("AA"),"false"),B2,AA295),AA295))</f>
        <v>#VALUE!</v>
      </c>
      <c r="AB295" t="e">
        <f ca="1">IF((A1)=(2),"",IF((292)=(AB3),IF(IF((INDEX(B1:XFD1,((A2)+(1))+(0)))=("store"),(INDEX(B1:XFD1,((A2)+(1))+(1)))=("AB"),"false"),B2,AB295),AB295))</f>
        <v>#VALUE!</v>
      </c>
      <c r="AC295" t="e">
        <f ca="1">IF((A1)=(2),"",IF((292)=(AC3),IF(IF((INDEX(B1:XFD1,((A2)+(1))+(0)))=("store"),(INDEX(B1:XFD1,((A2)+(1))+(1)))=("AC"),"false"),B2,AC295),AC295))</f>
        <v>#VALUE!</v>
      </c>
      <c r="AD295" t="e">
        <f ca="1">IF((A1)=(2),"",IF((292)=(AD3),IF(IF((INDEX(B1:XFD1,((A2)+(1))+(0)))=("store"),(INDEX(B1:XFD1,((A2)+(1))+(1)))=("AD"),"false"),B2,AD295),AD295))</f>
        <v>#VALUE!</v>
      </c>
    </row>
    <row r="296" spans="1:30" x14ac:dyDescent="0.25">
      <c r="A296" t="e">
        <f ca="1">IF((A1)=(2),"",IF((293)=(A3),IF(("call")=(INDEX(B1:XFD1,((A2)+(1))+(0))),(B2)*(2),IF(("goto")=(INDEX(B1:XFD1,((A2)+(1))+(0))),(INDEX(B1:XFD1,((A2)+(1))+(1)))*(2),IF(("gotoiftrue")=(INDEX(B1:XFD1,((A2)+(1))+(0))),IF(B2,(INDEX(B1:XFD1,((A2)+(1))+(1)))*(2),(A296)+(2)),(A296)+(2)))),A296))</f>
        <v>#VALUE!</v>
      </c>
      <c r="B296" t="e">
        <f ca="1">IF((A1)=(2),"",IF((293)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296)+(1)),IF(("add")=(INDEX(B1:XFD1,((A2)+(1))+(0))),(INDEX(B4:B404,(B3)+(1)))+(B296),IF(("equals")=(INDEX(B1:XFD1,((A2)+(1))+(0))),(INDEX(B4:B404,(B3)+(1)))=(B296),IF(("leq")=(INDEX(B1:XFD1,((A2)+(1))+(0))),(INDEX(B4:B404,(B3)+(1)))&lt;=(B296),IF(("greater")=(INDEX(B1:XFD1,((A2)+(1))+(0))),(INDEX(B4:B404,(B3)+(1)))&gt;(B296),IF(("mod")=(INDEX(B1:XFD1,((A2)+(1))+(0))),MOD(INDEX(B4:B404,(B3)+(1)),B296),B296))))))))),B296))</f>
        <v>#VALUE!</v>
      </c>
      <c r="C296" t="e">
        <f ca="1">IF((A1)=(2),1,IF(AND((INDEX(B1:XFD1,((A2)+(1))+(0)))=("writeheap"),(INDEX(B4:B404,(B3)+(1)))=(292)),INDEX(B4:B404,(B3)+(2)),IF((A1)=(2),"",IF((293)=(C3),C296,C296))))</f>
        <v>#VALUE!</v>
      </c>
      <c r="E296" t="e">
        <f ca="1">IF((A1)=(2),"",IF((293)=(E3),IF(("outputline")=(INDEX(B1:XFD1,((A2)+(1))+(0))),B2,E296),E296))</f>
        <v>#VALUE!</v>
      </c>
      <c r="F296" t="e">
        <f ca="1">IF((A1)=(2),"",IF((293)=(F3),IF(IF((INDEX(B1:XFD1,((A2)+(1))+(0)))=("store"),(INDEX(B1:XFD1,((A2)+(1))+(1)))=("F"),"false"),B2,F296),F296))</f>
        <v>#VALUE!</v>
      </c>
      <c r="G296" t="e">
        <f ca="1">IF((A1)=(2),"",IF((293)=(G3),IF(IF((INDEX(B1:XFD1,((A2)+(1))+(0)))=("store"),(INDEX(B1:XFD1,((A2)+(1))+(1)))=("G"),"false"),B2,G296),G296))</f>
        <v>#VALUE!</v>
      </c>
      <c r="H296" t="e">
        <f ca="1">IF((A1)=(2),"",IF((293)=(H3),IF(IF((INDEX(B1:XFD1,((A2)+(1))+(0)))=("store"),(INDEX(B1:XFD1,((A2)+(1))+(1)))=("H"),"false"),B2,H296),H296))</f>
        <v>#VALUE!</v>
      </c>
      <c r="I296" t="e">
        <f ca="1">IF((A1)=(2),"",IF((293)=(I3),IF(IF((INDEX(B1:XFD1,((A2)+(1))+(0)))=("store"),(INDEX(B1:XFD1,((A2)+(1))+(1)))=("I"),"false"),B2,I296),I296))</f>
        <v>#VALUE!</v>
      </c>
      <c r="J296" t="e">
        <f ca="1">IF((A1)=(2),"",IF((293)=(J3),IF(IF((INDEX(B1:XFD1,((A2)+(1))+(0)))=("store"),(INDEX(B1:XFD1,((A2)+(1))+(1)))=("J"),"false"),B2,J296),J296))</f>
        <v>#VALUE!</v>
      </c>
      <c r="K296" t="e">
        <f ca="1">IF((A1)=(2),"",IF((293)=(K3),IF(IF((INDEX(B1:XFD1,((A2)+(1))+(0)))=("store"),(INDEX(B1:XFD1,((A2)+(1))+(1)))=("K"),"false"),B2,K296),K296))</f>
        <v>#VALUE!</v>
      </c>
      <c r="L296" t="e">
        <f ca="1">IF((A1)=(2),"",IF((293)=(L3),IF(IF((INDEX(B1:XFD1,((A2)+(1))+(0)))=("store"),(INDEX(B1:XFD1,((A2)+(1))+(1)))=("L"),"false"),B2,L296),L296))</f>
        <v>#VALUE!</v>
      </c>
      <c r="M296" t="e">
        <f ca="1">IF((A1)=(2),"",IF((293)=(M3),IF(IF((INDEX(B1:XFD1,((A2)+(1))+(0)))=("store"),(INDEX(B1:XFD1,((A2)+(1))+(1)))=("M"),"false"),B2,M296),M296))</f>
        <v>#VALUE!</v>
      </c>
      <c r="N296" t="e">
        <f ca="1">IF((A1)=(2),"",IF((293)=(N3),IF(IF((INDEX(B1:XFD1,((A2)+(1))+(0)))=("store"),(INDEX(B1:XFD1,((A2)+(1))+(1)))=("N"),"false"),B2,N296),N296))</f>
        <v>#VALUE!</v>
      </c>
      <c r="O296" t="e">
        <f ca="1">IF((A1)=(2),"",IF((293)=(O3),IF(IF((INDEX(B1:XFD1,((A2)+(1))+(0)))=("store"),(INDEX(B1:XFD1,((A2)+(1))+(1)))=("O"),"false"),B2,O296),O296))</f>
        <v>#VALUE!</v>
      </c>
      <c r="P296" t="e">
        <f ca="1">IF((A1)=(2),"",IF((293)=(P3),IF(IF((INDEX(B1:XFD1,((A2)+(1))+(0)))=("store"),(INDEX(B1:XFD1,((A2)+(1))+(1)))=("P"),"false"),B2,P296),P296))</f>
        <v>#VALUE!</v>
      </c>
      <c r="Q296" t="e">
        <f ca="1">IF((A1)=(2),"",IF((293)=(Q3),IF(IF((INDEX(B1:XFD1,((A2)+(1))+(0)))=("store"),(INDEX(B1:XFD1,((A2)+(1))+(1)))=("Q"),"false"),B2,Q296),Q296))</f>
        <v>#VALUE!</v>
      </c>
      <c r="R296" t="e">
        <f ca="1">IF((A1)=(2),"",IF((293)=(R3),IF(IF((INDEX(B1:XFD1,((A2)+(1))+(0)))=("store"),(INDEX(B1:XFD1,((A2)+(1))+(1)))=("R"),"false"),B2,R296),R296))</f>
        <v>#VALUE!</v>
      </c>
      <c r="S296" t="e">
        <f ca="1">IF((A1)=(2),"",IF((293)=(S3),IF(IF((INDEX(B1:XFD1,((A2)+(1))+(0)))=("store"),(INDEX(B1:XFD1,((A2)+(1))+(1)))=("S"),"false"),B2,S296),S296))</f>
        <v>#VALUE!</v>
      </c>
      <c r="T296" t="e">
        <f ca="1">IF((A1)=(2),"",IF((293)=(T3),IF(IF((INDEX(B1:XFD1,((A2)+(1))+(0)))=("store"),(INDEX(B1:XFD1,((A2)+(1))+(1)))=("T"),"false"),B2,T296),T296))</f>
        <v>#VALUE!</v>
      </c>
      <c r="U296" t="e">
        <f ca="1">IF((A1)=(2),"",IF((293)=(U3),IF(IF((INDEX(B1:XFD1,((A2)+(1))+(0)))=("store"),(INDEX(B1:XFD1,((A2)+(1))+(1)))=("U"),"false"),B2,U296),U296))</f>
        <v>#VALUE!</v>
      </c>
      <c r="V296" t="e">
        <f ca="1">IF((A1)=(2),"",IF((293)=(V3),IF(IF((INDEX(B1:XFD1,((A2)+(1))+(0)))=("store"),(INDEX(B1:XFD1,((A2)+(1))+(1)))=("V"),"false"),B2,V296),V296))</f>
        <v>#VALUE!</v>
      </c>
      <c r="W296" t="e">
        <f ca="1">IF((A1)=(2),"",IF((293)=(W3),IF(IF((INDEX(B1:XFD1,((A2)+(1))+(0)))=("store"),(INDEX(B1:XFD1,((A2)+(1))+(1)))=("W"),"false"),B2,W296),W296))</f>
        <v>#VALUE!</v>
      </c>
      <c r="X296" t="e">
        <f ca="1">IF((A1)=(2),"",IF((293)=(X3),IF(IF((INDEX(B1:XFD1,((A2)+(1))+(0)))=("store"),(INDEX(B1:XFD1,((A2)+(1))+(1)))=("X"),"false"),B2,X296),X296))</f>
        <v>#VALUE!</v>
      </c>
      <c r="Y296" t="e">
        <f ca="1">IF((A1)=(2),"",IF((293)=(Y3),IF(IF((INDEX(B1:XFD1,((A2)+(1))+(0)))=("store"),(INDEX(B1:XFD1,((A2)+(1))+(1)))=("Y"),"false"),B2,Y296),Y296))</f>
        <v>#VALUE!</v>
      </c>
      <c r="Z296" t="e">
        <f ca="1">IF((A1)=(2),"",IF((293)=(Z3),IF(IF((INDEX(B1:XFD1,((A2)+(1))+(0)))=("store"),(INDEX(B1:XFD1,((A2)+(1))+(1)))=("Z"),"false"),B2,Z296),Z296))</f>
        <v>#VALUE!</v>
      </c>
      <c r="AA296" t="e">
        <f ca="1">IF((A1)=(2),"",IF((293)=(AA3),IF(IF((INDEX(B1:XFD1,((A2)+(1))+(0)))=("store"),(INDEX(B1:XFD1,((A2)+(1))+(1)))=("AA"),"false"),B2,AA296),AA296))</f>
        <v>#VALUE!</v>
      </c>
      <c r="AB296" t="e">
        <f ca="1">IF((A1)=(2),"",IF((293)=(AB3),IF(IF((INDEX(B1:XFD1,((A2)+(1))+(0)))=("store"),(INDEX(B1:XFD1,((A2)+(1))+(1)))=("AB"),"false"),B2,AB296),AB296))</f>
        <v>#VALUE!</v>
      </c>
      <c r="AC296" t="e">
        <f ca="1">IF((A1)=(2),"",IF((293)=(AC3),IF(IF((INDEX(B1:XFD1,((A2)+(1))+(0)))=("store"),(INDEX(B1:XFD1,((A2)+(1))+(1)))=("AC"),"false"),B2,AC296),AC296))</f>
        <v>#VALUE!</v>
      </c>
      <c r="AD296" t="e">
        <f ca="1">IF((A1)=(2),"",IF((293)=(AD3),IF(IF((INDEX(B1:XFD1,((A2)+(1))+(0)))=("store"),(INDEX(B1:XFD1,((A2)+(1))+(1)))=("AD"),"false"),B2,AD296),AD296))</f>
        <v>#VALUE!</v>
      </c>
    </row>
    <row r="297" spans="1:30" x14ac:dyDescent="0.25">
      <c r="A297" t="e">
        <f ca="1">IF((A1)=(2),"",IF((294)=(A3),IF(("call")=(INDEX(B1:XFD1,((A2)+(1))+(0))),(B2)*(2),IF(("goto")=(INDEX(B1:XFD1,((A2)+(1))+(0))),(INDEX(B1:XFD1,((A2)+(1))+(1)))*(2),IF(("gotoiftrue")=(INDEX(B1:XFD1,((A2)+(1))+(0))),IF(B2,(INDEX(B1:XFD1,((A2)+(1))+(1)))*(2),(A297)+(2)),(A297)+(2)))),A297))</f>
        <v>#VALUE!</v>
      </c>
      <c r="B297" t="e">
        <f ca="1">IF((A1)=(2),"",IF((294)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297)+(1)),IF(("add")=(INDEX(B1:XFD1,((A2)+(1))+(0))),(INDEX(B4:B404,(B3)+(1)))+(B297),IF(("equals")=(INDEX(B1:XFD1,((A2)+(1))+(0))),(INDEX(B4:B404,(B3)+(1)))=(B297),IF(("leq")=(INDEX(B1:XFD1,((A2)+(1))+(0))),(INDEX(B4:B404,(B3)+(1)))&lt;=(B297),IF(("greater")=(INDEX(B1:XFD1,((A2)+(1))+(0))),(INDEX(B4:B404,(B3)+(1)))&gt;(B297),IF(("mod")=(INDEX(B1:XFD1,((A2)+(1))+(0))),MOD(INDEX(B4:B404,(B3)+(1)),B297),B297))))))))),B297))</f>
        <v>#VALUE!</v>
      </c>
      <c r="C297" t="e">
        <f ca="1">IF((A1)=(2),1,IF(AND((INDEX(B1:XFD1,((A2)+(1))+(0)))=("writeheap"),(INDEX(B4:B404,(B3)+(1)))=(293)),INDEX(B4:B404,(B3)+(2)),IF((A1)=(2),"",IF((294)=(C3),C297,C297))))</f>
        <v>#VALUE!</v>
      </c>
      <c r="E297" t="e">
        <f ca="1">IF((A1)=(2),"",IF((294)=(E3),IF(("outputline")=(INDEX(B1:XFD1,((A2)+(1))+(0))),B2,E297),E297))</f>
        <v>#VALUE!</v>
      </c>
      <c r="F297" t="e">
        <f ca="1">IF((A1)=(2),"",IF((294)=(F3),IF(IF((INDEX(B1:XFD1,((A2)+(1))+(0)))=("store"),(INDEX(B1:XFD1,((A2)+(1))+(1)))=("F"),"false"),B2,F297),F297))</f>
        <v>#VALUE!</v>
      </c>
      <c r="G297" t="e">
        <f ca="1">IF((A1)=(2),"",IF((294)=(G3),IF(IF((INDEX(B1:XFD1,((A2)+(1))+(0)))=("store"),(INDEX(B1:XFD1,((A2)+(1))+(1)))=("G"),"false"),B2,G297),G297))</f>
        <v>#VALUE!</v>
      </c>
      <c r="H297" t="e">
        <f ca="1">IF((A1)=(2),"",IF((294)=(H3),IF(IF((INDEX(B1:XFD1,((A2)+(1))+(0)))=("store"),(INDEX(B1:XFD1,((A2)+(1))+(1)))=("H"),"false"),B2,H297),H297))</f>
        <v>#VALUE!</v>
      </c>
      <c r="I297" t="e">
        <f ca="1">IF((A1)=(2),"",IF((294)=(I3),IF(IF((INDEX(B1:XFD1,((A2)+(1))+(0)))=("store"),(INDEX(B1:XFD1,((A2)+(1))+(1)))=("I"),"false"),B2,I297),I297))</f>
        <v>#VALUE!</v>
      </c>
      <c r="J297" t="e">
        <f ca="1">IF((A1)=(2),"",IF((294)=(J3),IF(IF((INDEX(B1:XFD1,((A2)+(1))+(0)))=("store"),(INDEX(B1:XFD1,((A2)+(1))+(1)))=("J"),"false"),B2,J297),J297))</f>
        <v>#VALUE!</v>
      </c>
      <c r="K297" t="e">
        <f ca="1">IF((A1)=(2),"",IF((294)=(K3),IF(IF((INDEX(B1:XFD1,((A2)+(1))+(0)))=("store"),(INDEX(B1:XFD1,((A2)+(1))+(1)))=("K"),"false"),B2,K297),K297))</f>
        <v>#VALUE!</v>
      </c>
      <c r="L297" t="e">
        <f ca="1">IF((A1)=(2),"",IF((294)=(L3),IF(IF((INDEX(B1:XFD1,((A2)+(1))+(0)))=("store"),(INDEX(B1:XFD1,((A2)+(1))+(1)))=("L"),"false"),B2,L297),L297))</f>
        <v>#VALUE!</v>
      </c>
      <c r="M297" t="e">
        <f ca="1">IF((A1)=(2),"",IF((294)=(M3),IF(IF((INDEX(B1:XFD1,((A2)+(1))+(0)))=("store"),(INDEX(B1:XFD1,((A2)+(1))+(1)))=("M"),"false"),B2,M297),M297))</f>
        <v>#VALUE!</v>
      </c>
      <c r="N297" t="e">
        <f ca="1">IF((A1)=(2),"",IF((294)=(N3),IF(IF((INDEX(B1:XFD1,((A2)+(1))+(0)))=("store"),(INDEX(B1:XFD1,((A2)+(1))+(1)))=("N"),"false"),B2,N297),N297))</f>
        <v>#VALUE!</v>
      </c>
      <c r="O297" t="e">
        <f ca="1">IF((A1)=(2),"",IF((294)=(O3),IF(IF((INDEX(B1:XFD1,((A2)+(1))+(0)))=("store"),(INDEX(B1:XFD1,((A2)+(1))+(1)))=("O"),"false"),B2,O297),O297))</f>
        <v>#VALUE!</v>
      </c>
      <c r="P297" t="e">
        <f ca="1">IF((A1)=(2),"",IF((294)=(P3),IF(IF((INDEX(B1:XFD1,((A2)+(1))+(0)))=("store"),(INDEX(B1:XFD1,((A2)+(1))+(1)))=("P"),"false"),B2,P297),P297))</f>
        <v>#VALUE!</v>
      </c>
      <c r="Q297" t="e">
        <f ca="1">IF((A1)=(2),"",IF((294)=(Q3),IF(IF((INDEX(B1:XFD1,((A2)+(1))+(0)))=("store"),(INDEX(B1:XFD1,((A2)+(1))+(1)))=("Q"),"false"),B2,Q297),Q297))</f>
        <v>#VALUE!</v>
      </c>
      <c r="R297" t="e">
        <f ca="1">IF((A1)=(2),"",IF((294)=(R3),IF(IF((INDEX(B1:XFD1,((A2)+(1))+(0)))=("store"),(INDEX(B1:XFD1,((A2)+(1))+(1)))=("R"),"false"),B2,R297),R297))</f>
        <v>#VALUE!</v>
      </c>
      <c r="S297" t="e">
        <f ca="1">IF((A1)=(2),"",IF((294)=(S3),IF(IF((INDEX(B1:XFD1,((A2)+(1))+(0)))=("store"),(INDEX(B1:XFD1,((A2)+(1))+(1)))=("S"),"false"),B2,S297),S297))</f>
        <v>#VALUE!</v>
      </c>
      <c r="T297" t="e">
        <f ca="1">IF((A1)=(2),"",IF((294)=(T3),IF(IF((INDEX(B1:XFD1,((A2)+(1))+(0)))=("store"),(INDEX(B1:XFD1,((A2)+(1))+(1)))=("T"),"false"),B2,T297),T297))</f>
        <v>#VALUE!</v>
      </c>
      <c r="U297" t="e">
        <f ca="1">IF((A1)=(2),"",IF((294)=(U3),IF(IF((INDEX(B1:XFD1,((A2)+(1))+(0)))=("store"),(INDEX(B1:XFD1,((A2)+(1))+(1)))=("U"),"false"),B2,U297),U297))</f>
        <v>#VALUE!</v>
      </c>
      <c r="V297" t="e">
        <f ca="1">IF((A1)=(2),"",IF((294)=(V3),IF(IF((INDEX(B1:XFD1,((A2)+(1))+(0)))=("store"),(INDEX(B1:XFD1,((A2)+(1))+(1)))=("V"),"false"),B2,V297),V297))</f>
        <v>#VALUE!</v>
      </c>
      <c r="W297" t="e">
        <f ca="1">IF((A1)=(2),"",IF((294)=(W3),IF(IF((INDEX(B1:XFD1,((A2)+(1))+(0)))=("store"),(INDEX(B1:XFD1,((A2)+(1))+(1)))=("W"),"false"),B2,W297),W297))</f>
        <v>#VALUE!</v>
      </c>
      <c r="X297" t="e">
        <f ca="1">IF((A1)=(2),"",IF((294)=(X3),IF(IF((INDEX(B1:XFD1,((A2)+(1))+(0)))=("store"),(INDEX(B1:XFD1,((A2)+(1))+(1)))=("X"),"false"),B2,X297),X297))</f>
        <v>#VALUE!</v>
      </c>
      <c r="Y297" t="e">
        <f ca="1">IF((A1)=(2),"",IF((294)=(Y3),IF(IF((INDEX(B1:XFD1,((A2)+(1))+(0)))=("store"),(INDEX(B1:XFD1,((A2)+(1))+(1)))=("Y"),"false"),B2,Y297),Y297))</f>
        <v>#VALUE!</v>
      </c>
      <c r="Z297" t="e">
        <f ca="1">IF((A1)=(2),"",IF((294)=(Z3),IF(IF((INDEX(B1:XFD1,((A2)+(1))+(0)))=("store"),(INDEX(B1:XFD1,((A2)+(1))+(1)))=("Z"),"false"),B2,Z297),Z297))</f>
        <v>#VALUE!</v>
      </c>
      <c r="AA297" t="e">
        <f ca="1">IF((A1)=(2),"",IF((294)=(AA3),IF(IF((INDEX(B1:XFD1,((A2)+(1))+(0)))=("store"),(INDEX(B1:XFD1,((A2)+(1))+(1)))=("AA"),"false"),B2,AA297),AA297))</f>
        <v>#VALUE!</v>
      </c>
      <c r="AB297" t="e">
        <f ca="1">IF((A1)=(2),"",IF((294)=(AB3),IF(IF((INDEX(B1:XFD1,((A2)+(1))+(0)))=("store"),(INDEX(B1:XFD1,((A2)+(1))+(1)))=("AB"),"false"),B2,AB297),AB297))</f>
        <v>#VALUE!</v>
      </c>
      <c r="AC297" t="e">
        <f ca="1">IF((A1)=(2),"",IF((294)=(AC3),IF(IF((INDEX(B1:XFD1,((A2)+(1))+(0)))=("store"),(INDEX(B1:XFD1,((A2)+(1))+(1)))=("AC"),"false"),B2,AC297),AC297))</f>
        <v>#VALUE!</v>
      </c>
      <c r="AD297" t="e">
        <f ca="1">IF((A1)=(2),"",IF((294)=(AD3),IF(IF((INDEX(B1:XFD1,((A2)+(1))+(0)))=("store"),(INDEX(B1:XFD1,((A2)+(1))+(1)))=("AD"),"false"),B2,AD297),AD297))</f>
        <v>#VALUE!</v>
      </c>
    </row>
    <row r="298" spans="1:30" x14ac:dyDescent="0.25">
      <c r="A298" t="e">
        <f ca="1">IF((A1)=(2),"",IF((295)=(A3),IF(("call")=(INDEX(B1:XFD1,((A2)+(1))+(0))),(B2)*(2),IF(("goto")=(INDEX(B1:XFD1,((A2)+(1))+(0))),(INDEX(B1:XFD1,((A2)+(1))+(1)))*(2),IF(("gotoiftrue")=(INDEX(B1:XFD1,((A2)+(1))+(0))),IF(B2,(INDEX(B1:XFD1,((A2)+(1))+(1)))*(2),(A298)+(2)),(A298)+(2)))),A298))</f>
        <v>#VALUE!</v>
      </c>
      <c r="B298" t="e">
        <f ca="1">IF((A1)=(2),"",IF((295)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298)+(1)),IF(("add")=(INDEX(B1:XFD1,((A2)+(1))+(0))),(INDEX(B4:B404,(B3)+(1)))+(B298),IF(("equals")=(INDEX(B1:XFD1,((A2)+(1))+(0))),(INDEX(B4:B404,(B3)+(1)))=(B298),IF(("leq")=(INDEX(B1:XFD1,((A2)+(1))+(0))),(INDEX(B4:B404,(B3)+(1)))&lt;=(B298),IF(("greater")=(INDEX(B1:XFD1,((A2)+(1))+(0))),(INDEX(B4:B404,(B3)+(1)))&gt;(B298),IF(("mod")=(INDEX(B1:XFD1,((A2)+(1))+(0))),MOD(INDEX(B4:B404,(B3)+(1)),B298),B298))))))))),B298))</f>
        <v>#VALUE!</v>
      </c>
      <c r="C298" t="e">
        <f ca="1">IF((A1)=(2),1,IF(AND((INDEX(B1:XFD1,((A2)+(1))+(0)))=("writeheap"),(INDEX(B4:B404,(B3)+(1)))=(294)),INDEX(B4:B404,(B3)+(2)),IF((A1)=(2),"",IF((295)=(C3),C298,C298))))</f>
        <v>#VALUE!</v>
      </c>
      <c r="E298" t="e">
        <f ca="1">IF((A1)=(2),"",IF((295)=(E3),IF(("outputline")=(INDEX(B1:XFD1,((A2)+(1))+(0))),B2,E298),E298))</f>
        <v>#VALUE!</v>
      </c>
      <c r="F298" t="e">
        <f ca="1">IF((A1)=(2),"",IF((295)=(F3),IF(IF((INDEX(B1:XFD1,((A2)+(1))+(0)))=("store"),(INDEX(B1:XFD1,((A2)+(1))+(1)))=("F"),"false"),B2,F298),F298))</f>
        <v>#VALUE!</v>
      </c>
      <c r="G298" t="e">
        <f ca="1">IF((A1)=(2),"",IF((295)=(G3),IF(IF((INDEX(B1:XFD1,((A2)+(1))+(0)))=("store"),(INDEX(B1:XFD1,((A2)+(1))+(1)))=("G"),"false"),B2,G298),G298))</f>
        <v>#VALUE!</v>
      </c>
      <c r="H298" t="e">
        <f ca="1">IF((A1)=(2),"",IF((295)=(H3),IF(IF((INDEX(B1:XFD1,((A2)+(1))+(0)))=("store"),(INDEX(B1:XFD1,((A2)+(1))+(1)))=("H"),"false"),B2,H298),H298))</f>
        <v>#VALUE!</v>
      </c>
      <c r="I298" t="e">
        <f ca="1">IF((A1)=(2),"",IF((295)=(I3),IF(IF((INDEX(B1:XFD1,((A2)+(1))+(0)))=("store"),(INDEX(B1:XFD1,((A2)+(1))+(1)))=("I"),"false"),B2,I298),I298))</f>
        <v>#VALUE!</v>
      </c>
      <c r="J298" t="e">
        <f ca="1">IF((A1)=(2),"",IF((295)=(J3),IF(IF((INDEX(B1:XFD1,((A2)+(1))+(0)))=("store"),(INDEX(B1:XFD1,((A2)+(1))+(1)))=("J"),"false"),B2,J298),J298))</f>
        <v>#VALUE!</v>
      </c>
      <c r="K298" t="e">
        <f ca="1">IF((A1)=(2),"",IF((295)=(K3),IF(IF((INDEX(B1:XFD1,((A2)+(1))+(0)))=("store"),(INDEX(B1:XFD1,((A2)+(1))+(1)))=("K"),"false"),B2,K298),K298))</f>
        <v>#VALUE!</v>
      </c>
      <c r="L298" t="e">
        <f ca="1">IF((A1)=(2),"",IF((295)=(L3),IF(IF((INDEX(B1:XFD1,((A2)+(1))+(0)))=("store"),(INDEX(B1:XFD1,((A2)+(1))+(1)))=("L"),"false"),B2,L298),L298))</f>
        <v>#VALUE!</v>
      </c>
      <c r="M298" t="e">
        <f ca="1">IF((A1)=(2),"",IF((295)=(M3),IF(IF((INDEX(B1:XFD1,((A2)+(1))+(0)))=("store"),(INDEX(B1:XFD1,((A2)+(1))+(1)))=("M"),"false"),B2,M298),M298))</f>
        <v>#VALUE!</v>
      </c>
      <c r="N298" t="e">
        <f ca="1">IF((A1)=(2),"",IF((295)=(N3),IF(IF((INDEX(B1:XFD1,((A2)+(1))+(0)))=("store"),(INDEX(B1:XFD1,((A2)+(1))+(1)))=("N"),"false"),B2,N298),N298))</f>
        <v>#VALUE!</v>
      </c>
      <c r="O298" t="e">
        <f ca="1">IF((A1)=(2),"",IF((295)=(O3),IF(IF((INDEX(B1:XFD1,((A2)+(1))+(0)))=("store"),(INDEX(B1:XFD1,((A2)+(1))+(1)))=("O"),"false"),B2,O298),O298))</f>
        <v>#VALUE!</v>
      </c>
      <c r="P298" t="e">
        <f ca="1">IF((A1)=(2),"",IF((295)=(P3),IF(IF((INDEX(B1:XFD1,((A2)+(1))+(0)))=("store"),(INDEX(B1:XFD1,((A2)+(1))+(1)))=("P"),"false"),B2,P298),P298))</f>
        <v>#VALUE!</v>
      </c>
      <c r="Q298" t="e">
        <f ca="1">IF((A1)=(2),"",IF((295)=(Q3),IF(IF((INDEX(B1:XFD1,((A2)+(1))+(0)))=("store"),(INDEX(B1:XFD1,((A2)+(1))+(1)))=("Q"),"false"),B2,Q298),Q298))</f>
        <v>#VALUE!</v>
      </c>
      <c r="R298" t="e">
        <f ca="1">IF((A1)=(2),"",IF((295)=(R3),IF(IF((INDEX(B1:XFD1,((A2)+(1))+(0)))=("store"),(INDEX(B1:XFD1,((A2)+(1))+(1)))=("R"),"false"),B2,R298),R298))</f>
        <v>#VALUE!</v>
      </c>
      <c r="S298" t="e">
        <f ca="1">IF((A1)=(2),"",IF((295)=(S3),IF(IF((INDEX(B1:XFD1,((A2)+(1))+(0)))=("store"),(INDEX(B1:XFD1,((A2)+(1))+(1)))=("S"),"false"),B2,S298),S298))</f>
        <v>#VALUE!</v>
      </c>
      <c r="T298" t="e">
        <f ca="1">IF((A1)=(2),"",IF((295)=(T3),IF(IF((INDEX(B1:XFD1,((A2)+(1))+(0)))=("store"),(INDEX(B1:XFD1,((A2)+(1))+(1)))=("T"),"false"),B2,T298),T298))</f>
        <v>#VALUE!</v>
      </c>
      <c r="U298" t="e">
        <f ca="1">IF((A1)=(2),"",IF((295)=(U3),IF(IF((INDEX(B1:XFD1,((A2)+(1))+(0)))=("store"),(INDEX(B1:XFD1,((A2)+(1))+(1)))=("U"),"false"),B2,U298),U298))</f>
        <v>#VALUE!</v>
      </c>
      <c r="V298" t="e">
        <f ca="1">IF((A1)=(2),"",IF((295)=(V3),IF(IF((INDEX(B1:XFD1,((A2)+(1))+(0)))=("store"),(INDEX(B1:XFD1,((A2)+(1))+(1)))=("V"),"false"),B2,V298),V298))</f>
        <v>#VALUE!</v>
      </c>
      <c r="W298" t="e">
        <f ca="1">IF((A1)=(2),"",IF((295)=(W3),IF(IF((INDEX(B1:XFD1,((A2)+(1))+(0)))=("store"),(INDEX(B1:XFD1,((A2)+(1))+(1)))=("W"),"false"),B2,W298),W298))</f>
        <v>#VALUE!</v>
      </c>
      <c r="X298" t="e">
        <f ca="1">IF((A1)=(2),"",IF((295)=(X3),IF(IF((INDEX(B1:XFD1,((A2)+(1))+(0)))=("store"),(INDEX(B1:XFD1,((A2)+(1))+(1)))=("X"),"false"),B2,X298),X298))</f>
        <v>#VALUE!</v>
      </c>
      <c r="Y298" t="e">
        <f ca="1">IF((A1)=(2),"",IF((295)=(Y3),IF(IF((INDEX(B1:XFD1,((A2)+(1))+(0)))=("store"),(INDEX(B1:XFD1,((A2)+(1))+(1)))=("Y"),"false"),B2,Y298),Y298))</f>
        <v>#VALUE!</v>
      </c>
      <c r="Z298" t="e">
        <f ca="1">IF((A1)=(2),"",IF((295)=(Z3),IF(IF((INDEX(B1:XFD1,((A2)+(1))+(0)))=("store"),(INDEX(B1:XFD1,((A2)+(1))+(1)))=("Z"),"false"),B2,Z298),Z298))</f>
        <v>#VALUE!</v>
      </c>
      <c r="AA298" t="e">
        <f ca="1">IF((A1)=(2),"",IF((295)=(AA3),IF(IF((INDEX(B1:XFD1,((A2)+(1))+(0)))=("store"),(INDEX(B1:XFD1,((A2)+(1))+(1)))=("AA"),"false"),B2,AA298),AA298))</f>
        <v>#VALUE!</v>
      </c>
      <c r="AB298" t="e">
        <f ca="1">IF((A1)=(2),"",IF((295)=(AB3),IF(IF((INDEX(B1:XFD1,((A2)+(1))+(0)))=("store"),(INDEX(B1:XFD1,((A2)+(1))+(1)))=("AB"),"false"),B2,AB298),AB298))</f>
        <v>#VALUE!</v>
      </c>
      <c r="AC298" t="e">
        <f ca="1">IF((A1)=(2),"",IF((295)=(AC3),IF(IF((INDEX(B1:XFD1,((A2)+(1))+(0)))=("store"),(INDEX(B1:XFD1,((A2)+(1))+(1)))=("AC"),"false"),B2,AC298),AC298))</f>
        <v>#VALUE!</v>
      </c>
      <c r="AD298" t="e">
        <f ca="1">IF((A1)=(2),"",IF((295)=(AD3),IF(IF((INDEX(B1:XFD1,((A2)+(1))+(0)))=("store"),(INDEX(B1:XFD1,((A2)+(1))+(1)))=("AD"),"false"),B2,AD298),AD298))</f>
        <v>#VALUE!</v>
      </c>
    </row>
    <row r="299" spans="1:30" x14ac:dyDescent="0.25">
      <c r="A299" t="e">
        <f ca="1">IF((A1)=(2),"",IF((296)=(A3),IF(("call")=(INDEX(B1:XFD1,((A2)+(1))+(0))),(B2)*(2),IF(("goto")=(INDEX(B1:XFD1,((A2)+(1))+(0))),(INDEX(B1:XFD1,((A2)+(1))+(1)))*(2),IF(("gotoiftrue")=(INDEX(B1:XFD1,((A2)+(1))+(0))),IF(B2,(INDEX(B1:XFD1,((A2)+(1))+(1)))*(2),(A299)+(2)),(A299)+(2)))),A299))</f>
        <v>#VALUE!</v>
      </c>
      <c r="B299" t="e">
        <f ca="1">IF((A1)=(2),"",IF((296)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299)+(1)),IF(("add")=(INDEX(B1:XFD1,((A2)+(1))+(0))),(INDEX(B4:B404,(B3)+(1)))+(B299),IF(("equals")=(INDEX(B1:XFD1,((A2)+(1))+(0))),(INDEX(B4:B404,(B3)+(1)))=(B299),IF(("leq")=(INDEX(B1:XFD1,((A2)+(1))+(0))),(INDEX(B4:B404,(B3)+(1)))&lt;=(B299),IF(("greater")=(INDEX(B1:XFD1,((A2)+(1))+(0))),(INDEX(B4:B404,(B3)+(1)))&gt;(B299),IF(("mod")=(INDEX(B1:XFD1,((A2)+(1))+(0))),MOD(INDEX(B4:B404,(B3)+(1)),B299),B299))))))))),B299))</f>
        <v>#VALUE!</v>
      </c>
      <c r="C299" t="e">
        <f ca="1">IF((A1)=(2),1,IF(AND((INDEX(B1:XFD1,((A2)+(1))+(0)))=("writeheap"),(INDEX(B4:B404,(B3)+(1)))=(295)),INDEX(B4:B404,(B3)+(2)),IF((A1)=(2),"",IF((296)=(C3),C299,C299))))</f>
        <v>#VALUE!</v>
      </c>
      <c r="E299" t="e">
        <f ca="1">IF((A1)=(2),"",IF((296)=(E3),IF(("outputline")=(INDEX(B1:XFD1,((A2)+(1))+(0))),B2,E299),E299))</f>
        <v>#VALUE!</v>
      </c>
      <c r="F299" t="e">
        <f ca="1">IF((A1)=(2),"",IF((296)=(F3),IF(IF((INDEX(B1:XFD1,((A2)+(1))+(0)))=("store"),(INDEX(B1:XFD1,((A2)+(1))+(1)))=("F"),"false"),B2,F299),F299))</f>
        <v>#VALUE!</v>
      </c>
      <c r="G299" t="e">
        <f ca="1">IF((A1)=(2),"",IF((296)=(G3),IF(IF((INDEX(B1:XFD1,((A2)+(1))+(0)))=("store"),(INDEX(B1:XFD1,((A2)+(1))+(1)))=("G"),"false"),B2,G299),G299))</f>
        <v>#VALUE!</v>
      </c>
      <c r="H299" t="e">
        <f ca="1">IF((A1)=(2),"",IF((296)=(H3),IF(IF((INDEX(B1:XFD1,((A2)+(1))+(0)))=("store"),(INDEX(B1:XFD1,((A2)+(1))+(1)))=("H"),"false"),B2,H299),H299))</f>
        <v>#VALUE!</v>
      </c>
      <c r="I299" t="e">
        <f ca="1">IF((A1)=(2),"",IF((296)=(I3),IF(IF((INDEX(B1:XFD1,((A2)+(1))+(0)))=("store"),(INDEX(B1:XFD1,((A2)+(1))+(1)))=("I"),"false"),B2,I299),I299))</f>
        <v>#VALUE!</v>
      </c>
      <c r="J299" t="e">
        <f ca="1">IF((A1)=(2),"",IF((296)=(J3),IF(IF((INDEX(B1:XFD1,((A2)+(1))+(0)))=("store"),(INDEX(B1:XFD1,((A2)+(1))+(1)))=("J"),"false"),B2,J299),J299))</f>
        <v>#VALUE!</v>
      </c>
      <c r="K299" t="e">
        <f ca="1">IF((A1)=(2),"",IF((296)=(K3),IF(IF((INDEX(B1:XFD1,((A2)+(1))+(0)))=("store"),(INDEX(B1:XFD1,((A2)+(1))+(1)))=("K"),"false"),B2,K299),K299))</f>
        <v>#VALUE!</v>
      </c>
      <c r="L299" t="e">
        <f ca="1">IF((A1)=(2),"",IF((296)=(L3),IF(IF((INDEX(B1:XFD1,((A2)+(1))+(0)))=("store"),(INDEX(B1:XFD1,((A2)+(1))+(1)))=("L"),"false"),B2,L299),L299))</f>
        <v>#VALUE!</v>
      </c>
      <c r="M299" t="e">
        <f ca="1">IF((A1)=(2),"",IF((296)=(M3),IF(IF((INDEX(B1:XFD1,((A2)+(1))+(0)))=("store"),(INDEX(B1:XFD1,((A2)+(1))+(1)))=("M"),"false"),B2,M299),M299))</f>
        <v>#VALUE!</v>
      </c>
      <c r="N299" t="e">
        <f ca="1">IF((A1)=(2),"",IF((296)=(N3),IF(IF((INDEX(B1:XFD1,((A2)+(1))+(0)))=("store"),(INDEX(B1:XFD1,((A2)+(1))+(1)))=("N"),"false"),B2,N299),N299))</f>
        <v>#VALUE!</v>
      </c>
      <c r="O299" t="e">
        <f ca="1">IF((A1)=(2),"",IF((296)=(O3),IF(IF((INDEX(B1:XFD1,((A2)+(1))+(0)))=("store"),(INDEX(B1:XFD1,((A2)+(1))+(1)))=("O"),"false"),B2,O299),O299))</f>
        <v>#VALUE!</v>
      </c>
      <c r="P299" t="e">
        <f ca="1">IF((A1)=(2),"",IF((296)=(P3),IF(IF((INDEX(B1:XFD1,((A2)+(1))+(0)))=("store"),(INDEX(B1:XFD1,((A2)+(1))+(1)))=("P"),"false"),B2,P299),P299))</f>
        <v>#VALUE!</v>
      </c>
      <c r="Q299" t="e">
        <f ca="1">IF((A1)=(2),"",IF((296)=(Q3),IF(IF((INDEX(B1:XFD1,((A2)+(1))+(0)))=("store"),(INDEX(B1:XFD1,((A2)+(1))+(1)))=("Q"),"false"),B2,Q299),Q299))</f>
        <v>#VALUE!</v>
      </c>
      <c r="R299" t="e">
        <f ca="1">IF((A1)=(2),"",IF((296)=(R3),IF(IF((INDEX(B1:XFD1,((A2)+(1))+(0)))=("store"),(INDEX(B1:XFD1,((A2)+(1))+(1)))=("R"),"false"),B2,R299),R299))</f>
        <v>#VALUE!</v>
      </c>
      <c r="S299" t="e">
        <f ca="1">IF((A1)=(2),"",IF((296)=(S3),IF(IF((INDEX(B1:XFD1,((A2)+(1))+(0)))=("store"),(INDEX(B1:XFD1,((A2)+(1))+(1)))=("S"),"false"),B2,S299),S299))</f>
        <v>#VALUE!</v>
      </c>
      <c r="T299" t="e">
        <f ca="1">IF((A1)=(2),"",IF((296)=(T3),IF(IF((INDEX(B1:XFD1,((A2)+(1))+(0)))=("store"),(INDEX(B1:XFD1,((A2)+(1))+(1)))=("T"),"false"),B2,T299),T299))</f>
        <v>#VALUE!</v>
      </c>
      <c r="U299" t="e">
        <f ca="1">IF((A1)=(2),"",IF((296)=(U3),IF(IF((INDEX(B1:XFD1,((A2)+(1))+(0)))=("store"),(INDEX(B1:XFD1,((A2)+(1))+(1)))=("U"),"false"),B2,U299),U299))</f>
        <v>#VALUE!</v>
      </c>
      <c r="V299" t="e">
        <f ca="1">IF((A1)=(2),"",IF((296)=(V3),IF(IF((INDEX(B1:XFD1,((A2)+(1))+(0)))=("store"),(INDEX(B1:XFD1,((A2)+(1))+(1)))=("V"),"false"),B2,V299),V299))</f>
        <v>#VALUE!</v>
      </c>
      <c r="W299" t="e">
        <f ca="1">IF((A1)=(2),"",IF((296)=(W3),IF(IF((INDEX(B1:XFD1,((A2)+(1))+(0)))=("store"),(INDEX(B1:XFD1,((A2)+(1))+(1)))=("W"),"false"),B2,W299),W299))</f>
        <v>#VALUE!</v>
      </c>
      <c r="X299" t="e">
        <f ca="1">IF((A1)=(2),"",IF((296)=(X3),IF(IF((INDEX(B1:XFD1,((A2)+(1))+(0)))=("store"),(INDEX(B1:XFD1,((A2)+(1))+(1)))=("X"),"false"),B2,X299),X299))</f>
        <v>#VALUE!</v>
      </c>
      <c r="Y299" t="e">
        <f ca="1">IF((A1)=(2),"",IF((296)=(Y3),IF(IF((INDEX(B1:XFD1,((A2)+(1))+(0)))=("store"),(INDEX(B1:XFD1,((A2)+(1))+(1)))=("Y"),"false"),B2,Y299),Y299))</f>
        <v>#VALUE!</v>
      </c>
      <c r="Z299" t="e">
        <f ca="1">IF((A1)=(2),"",IF((296)=(Z3),IF(IF((INDEX(B1:XFD1,((A2)+(1))+(0)))=("store"),(INDEX(B1:XFD1,((A2)+(1))+(1)))=("Z"),"false"),B2,Z299),Z299))</f>
        <v>#VALUE!</v>
      </c>
      <c r="AA299" t="e">
        <f ca="1">IF((A1)=(2),"",IF((296)=(AA3),IF(IF((INDEX(B1:XFD1,((A2)+(1))+(0)))=("store"),(INDEX(B1:XFD1,((A2)+(1))+(1)))=("AA"),"false"),B2,AA299),AA299))</f>
        <v>#VALUE!</v>
      </c>
      <c r="AB299" t="e">
        <f ca="1">IF((A1)=(2),"",IF((296)=(AB3),IF(IF((INDEX(B1:XFD1,((A2)+(1))+(0)))=("store"),(INDEX(B1:XFD1,((A2)+(1))+(1)))=("AB"),"false"),B2,AB299),AB299))</f>
        <v>#VALUE!</v>
      </c>
      <c r="AC299" t="e">
        <f ca="1">IF((A1)=(2),"",IF((296)=(AC3),IF(IF((INDEX(B1:XFD1,((A2)+(1))+(0)))=("store"),(INDEX(B1:XFD1,((A2)+(1))+(1)))=("AC"),"false"),B2,AC299),AC299))</f>
        <v>#VALUE!</v>
      </c>
      <c r="AD299" t="e">
        <f ca="1">IF((A1)=(2),"",IF((296)=(AD3),IF(IF((INDEX(B1:XFD1,((A2)+(1))+(0)))=("store"),(INDEX(B1:XFD1,((A2)+(1))+(1)))=("AD"),"false"),B2,AD299),AD299))</f>
        <v>#VALUE!</v>
      </c>
    </row>
    <row r="300" spans="1:30" x14ac:dyDescent="0.25">
      <c r="A300" t="e">
        <f ca="1">IF((A1)=(2),"",IF((297)=(A3),IF(("call")=(INDEX(B1:XFD1,((A2)+(1))+(0))),(B2)*(2),IF(("goto")=(INDEX(B1:XFD1,((A2)+(1))+(0))),(INDEX(B1:XFD1,((A2)+(1))+(1)))*(2),IF(("gotoiftrue")=(INDEX(B1:XFD1,((A2)+(1))+(0))),IF(B2,(INDEX(B1:XFD1,((A2)+(1))+(1)))*(2),(A300)+(2)),(A300)+(2)))),A300))</f>
        <v>#VALUE!</v>
      </c>
      <c r="B300" t="e">
        <f ca="1">IF((A1)=(2),"",IF((297)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300)+(1)),IF(("add")=(INDEX(B1:XFD1,((A2)+(1))+(0))),(INDEX(B4:B404,(B3)+(1)))+(B300),IF(("equals")=(INDEX(B1:XFD1,((A2)+(1))+(0))),(INDEX(B4:B404,(B3)+(1)))=(B300),IF(("leq")=(INDEX(B1:XFD1,((A2)+(1))+(0))),(INDEX(B4:B404,(B3)+(1)))&lt;=(B300),IF(("greater")=(INDEX(B1:XFD1,((A2)+(1))+(0))),(INDEX(B4:B404,(B3)+(1)))&gt;(B300),IF(("mod")=(INDEX(B1:XFD1,((A2)+(1))+(0))),MOD(INDEX(B4:B404,(B3)+(1)),B300),B300))))))))),B300))</f>
        <v>#VALUE!</v>
      </c>
      <c r="C300" t="e">
        <f ca="1">IF((A1)=(2),1,IF(AND((INDEX(B1:XFD1,((A2)+(1))+(0)))=("writeheap"),(INDEX(B4:B404,(B3)+(1)))=(296)),INDEX(B4:B404,(B3)+(2)),IF((A1)=(2),"",IF((297)=(C3),C300,C300))))</f>
        <v>#VALUE!</v>
      </c>
      <c r="E300" t="e">
        <f ca="1">IF((A1)=(2),"",IF((297)=(E3),IF(("outputline")=(INDEX(B1:XFD1,((A2)+(1))+(0))),B2,E300),E300))</f>
        <v>#VALUE!</v>
      </c>
      <c r="F300" t="e">
        <f ca="1">IF((A1)=(2),"",IF((297)=(F3),IF(IF((INDEX(B1:XFD1,((A2)+(1))+(0)))=("store"),(INDEX(B1:XFD1,((A2)+(1))+(1)))=("F"),"false"),B2,F300),F300))</f>
        <v>#VALUE!</v>
      </c>
      <c r="G300" t="e">
        <f ca="1">IF((A1)=(2),"",IF((297)=(G3),IF(IF((INDEX(B1:XFD1,((A2)+(1))+(0)))=("store"),(INDEX(B1:XFD1,((A2)+(1))+(1)))=("G"),"false"),B2,G300),G300))</f>
        <v>#VALUE!</v>
      </c>
      <c r="H300" t="e">
        <f ca="1">IF((A1)=(2),"",IF((297)=(H3),IF(IF((INDEX(B1:XFD1,((A2)+(1))+(0)))=("store"),(INDEX(B1:XFD1,((A2)+(1))+(1)))=("H"),"false"),B2,H300),H300))</f>
        <v>#VALUE!</v>
      </c>
      <c r="I300" t="e">
        <f ca="1">IF((A1)=(2),"",IF((297)=(I3),IF(IF((INDEX(B1:XFD1,((A2)+(1))+(0)))=("store"),(INDEX(B1:XFD1,((A2)+(1))+(1)))=("I"),"false"),B2,I300),I300))</f>
        <v>#VALUE!</v>
      </c>
      <c r="J300" t="e">
        <f ca="1">IF((A1)=(2),"",IF((297)=(J3),IF(IF((INDEX(B1:XFD1,((A2)+(1))+(0)))=("store"),(INDEX(B1:XFD1,((A2)+(1))+(1)))=("J"),"false"),B2,J300),J300))</f>
        <v>#VALUE!</v>
      </c>
      <c r="K300" t="e">
        <f ca="1">IF((A1)=(2),"",IF((297)=(K3),IF(IF((INDEX(B1:XFD1,((A2)+(1))+(0)))=("store"),(INDEX(B1:XFD1,((A2)+(1))+(1)))=("K"),"false"),B2,K300),K300))</f>
        <v>#VALUE!</v>
      </c>
      <c r="L300" t="e">
        <f ca="1">IF((A1)=(2),"",IF((297)=(L3),IF(IF((INDEX(B1:XFD1,((A2)+(1))+(0)))=("store"),(INDEX(B1:XFD1,((A2)+(1))+(1)))=("L"),"false"),B2,L300),L300))</f>
        <v>#VALUE!</v>
      </c>
      <c r="M300" t="e">
        <f ca="1">IF((A1)=(2),"",IF((297)=(M3),IF(IF((INDEX(B1:XFD1,((A2)+(1))+(0)))=("store"),(INDEX(B1:XFD1,((A2)+(1))+(1)))=("M"),"false"),B2,M300),M300))</f>
        <v>#VALUE!</v>
      </c>
      <c r="N300" t="e">
        <f ca="1">IF((A1)=(2),"",IF((297)=(N3),IF(IF((INDEX(B1:XFD1,((A2)+(1))+(0)))=("store"),(INDEX(B1:XFD1,((A2)+(1))+(1)))=("N"),"false"),B2,N300),N300))</f>
        <v>#VALUE!</v>
      </c>
      <c r="O300" t="e">
        <f ca="1">IF((A1)=(2),"",IF((297)=(O3),IF(IF((INDEX(B1:XFD1,((A2)+(1))+(0)))=("store"),(INDEX(B1:XFD1,((A2)+(1))+(1)))=("O"),"false"),B2,O300),O300))</f>
        <v>#VALUE!</v>
      </c>
      <c r="P300" t="e">
        <f ca="1">IF((A1)=(2),"",IF((297)=(P3),IF(IF((INDEX(B1:XFD1,((A2)+(1))+(0)))=("store"),(INDEX(B1:XFD1,((A2)+(1))+(1)))=("P"),"false"),B2,P300),P300))</f>
        <v>#VALUE!</v>
      </c>
      <c r="Q300" t="e">
        <f ca="1">IF((A1)=(2),"",IF((297)=(Q3),IF(IF((INDEX(B1:XFD1,((A2)+(1))+(0)))=("store"),(INDEX(B1:XFD1,((A2)+(1))+(1)))=("Q"),"false"),B2,Q300),Q300))</f>
        <v>#VALUE!</v>
      </c>
      <c r="R300" t="e">
        <f ca="1">IF((A1)=(2),"",IF((297)=(R3),IF(IF((INDEX(B1:XFD1,((A2)+(1))+(0)))=("store"),(INDEX(B1:XFD1,((A2)+(1))+(1)))=("R"),"false"),B2,R300),R300))</f>
        <v>#VALUE!</v>
      </c>
      <c r="S300" t="e">
        <f ca="1">IF((A1)=(2),"",IF((297)=(S3),IF(IF((INDEX(B1:XFD1,((A2)+(1))+(0)))=("store"),(INDEX(B1:XFD1,((A2)+(1))+(1)))=("S"),"false"),B2,S300),S300))</f>
        <v>#VALUE!</v>
      </c>
      <c r="T300" t="e">
        <f ca="1">IF((A1)=(2),"",IF((297)=(T3),IF(IF((INDEX(B1:XFD1,((A2)+(1))+(0)))=("store"),(INDEX(B1:XFD1,((A2)+(1))+(1)))=("T"),"false"),B2,T300),T300))</f>
        <v>#VALUE!</v>
      </c>
      <c r="U300" t="e">
        <f ca="1">IF((A1)=(2),"",IF((297)=(U3),IF(IF((INDEX(B1:XFD1,((A2)+(1))+(0)))=("store"),(INDEX(B1:XFD1,((A2)+(1))+(1)))=("U"),"false"),B2,U300),U300))</f>
        <v>#VALUE!</v>
      </c>
      <c r="V300" t="e">
        <f ca="1">IF((A1)=(2),"",IF((297)=(V3),IF(IF((INDEX(B1:XFD1,((A2)+(1))+(0)))=("store"),(INDEX(B1:XFD1,((A2)+(1))+(1)))=("V"),"false"),B2,V300),V300))</f>
        <v>#VALUE!</v>
      </c>
      <c r="W300" t="e">
        <f ca="1">IF((A1)=(2),"",IF((297)=(W3),IF(IF((INDEX(B1:XFD1,((A2)+(1))+(0)))=("store"),(INDEX(B1:XFD1,((A2)+(1))+(1)))=("W"),"false"),B2,W300),W300))</f>
        <v>#VALUE!</v>
      </c>
      <c r="X300" t="e">
        <f ca="1">IF((A1)=(2),"",IF((297)=(X3),IF(IF((INDEX(B1:XFD1,((A2)+(1))+(0)))=("store"),(INDEX(B1:XFD1,((A2)+(1))+(1)))=("X"),"false"),B2,X300),X300))</f>
        <v>#VALUE!</v>
      </c>
      <c r="Y300" t="e">
        <f ca="1">IF((A1)=(2),"",IF((297)=(Y3),IF(IF((INDEX(B1:XFD1,((A2)+(1))+(0)))=("store"),(INDEX(B1:XFD1,((A2)+(1))+(1)))=("Y"),"false"),B2,Y300),Y300))</f>
        <v>#VALUE!</v>
      </c>
      <c r="Z300" t="e">
        <f ca="1">IF((A1)=(2),"",IF((297)=(Z3),IF(IF((INDEX(B1:XFD1,((A2)+(1))+(0)))=("store"),(INDEX(B1:XFD1,((A2)+(1))+(1)))=("Z"),"false"),B2,Z300),Z300))</f>
        <v>#VALUE!</v>
      </c>
      <c r="AA300" t="e">
        <f ca="1">IF((A1)=(2),"",IF((297)=(AA3),IF(IF((INDEX(B1:XFD1,((A2)+(1))+(0)))=("store"),(INDEX(B1:XFD1,((A2)+(1))+(1)))=("AA"),"false"),B2,AA300),AA300))</f>
        <v>#VALUE!</v>
      </c>
      <c r="AB300" t="e">
        <f ca="1">IF((A1)=(2),"",IF((297)=(AB3),IF(IF((INDEX(B1:XFD1,((A2)+(1))+(0)))=("store"),(INDEX(B1:XFD1,((A2)+(1))+(1)))=("AB"),"false"),B2,AB300),AB300))</f>
        <v>#VALUE!</v>
      </c>
      <c r="AC300" t="e">
        <f ca="1">IF((A1)=(2),"",IF((297)=(AC3),IF(IF((INDEX(B1:XFD1,((A2)+(1))+(0)))=("store"),(INDEX(B1:XFD1,((A2)+(1))+(1)))=("AC"),"false"),B2,AC300),AC300))</f>
        <v>#VALUE!</v>
      </c>
      <c r="AD300" t="e">
        <f ca="1">IF((A1)=(2),"",IF((297)=(AD3),IF(IF((INDEX(B1:XFD1,((A2)+(1))+(0)))=("store"),(INDEX(B1:XFD1,((A2)+(1))+(1)))=("AD"),"false"),B2,AD300),AD300))</f>
        <v>#VALUE!</v>
      </c>
    </row>
    <row r="301" spans="1:30" x14ac:dyDescent="0.25">
      <c r="A301" t="e">
        <f ca="1">IF((A1)=(2),"",IF((298)=(A3),IF(("call")=(INDEX(B1:XFD1,((A2)+(1))+(0))),(B2)*(2),IF(("goto")=(INDEX(B1:XFD1,((A2)+(1))+(0))),(INDEX(B1:XFD1,((A2)+(1))+(1)))*(2),IF(("gotoiftrue")=(INDEX(B1:XFD1,((A2)+(1))+(0))),IF(B2,(INDEX(B1:XFD1,((A2)+(1))+(1)))*(2),(A301)+(2)),(A301)+(2)))),A301))</f>
        <v>#VALUE!</v>
      </c>
      <c r="B301" t="e">
        <f ca="1">IF((A1)=(2),"",IF((298)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301)+(1)),IF(("add")=(INDEX(B1:XFD1,((A2)+(1))+(0))),(INDEX(B4:B404,(B3)+(1)))+(B301),IF(("equals")=(INDEX(B1:XFD1,((A2)+(1))+(0))),(INDEX(B4:B404,(B3)+(1)))=(B301),IF(("leq")=(INDEX(B1:XFD1,((A2)+(1))+(0))),(INDEX(B4:B404,(B3)+(1)))&lt;=(B301),IF(("greater")=(INDEX(B1:XFD1,((A2)+(1))+(0))),(INDEX(B4:B404,(B3)+(1)))&gt;(B301),IF(("mod")=(INDEX(B1:XFD1,((A2)+(1))+(0))),MOD(INDEX(B4:B404,(B3)+(1)),B301),B301))))))))),B301))</f>
        <v>#VALUE!</v>
      </c>
      <c r="C301" t="e">
        <f ca="1">IF((A1)=(2),1,IF(AND((INDEX(B1:XFD1,((A2)+(1))+(0)))=("writeheap"),(INDEX(B4:B404,(B3)+(1)))=(297)),INDEX(B4:B404,(B3)+(2)),IF((A1)=(2),"",IF((298)=(C3),C301,C301))))</f>
        <v>#VALUE!</v>
      </c>
      <c r="E301" t="e">
        <f ca="1">IF((A1)=(2),"",IF((298)=(E3),IF(("outputline")=(INDEX(B1:XFD1,((A2)+(1))+(0))),B2,E301),E301))</f>
        <v>#VALUE!</v>
      </c>
      <c r="F301" t="e">
        <f ca="1">IF((A1)=(2),"",IF((298)=(F3),IF(IF((INDEX(B1:XFD1,((A2)+(1))+(0)))=("store"),(INDEX(B1:XFD1,((A2)+(1))+(1)))=("F"),"false"),B2,F301),F301))</f>
        <v>#VALUE!</v>
      </c>
      <c r="G301" t="e">
        <f ca="1">IF((A1)=(2),"",IF((298)=(G3),IF(IF((INDEX(B1:XFD1,((A2)+(1))+(0)))=("store"),(INDEX(B1:XFD1,((A2)+(1))+(1)))=("G"),"false"),B2,G301),G301))</f>
        <v>#VALUE!</v>
      </c>
      <c r="H301" t="e">
        <f ca="1">IF((A1)=(2),"",IF((298)=(H3),IF(IF((INDEX(B1:XFD1,((A2)+(1))+(0)))=("store"),(INDEX(B1:XFD1,((A2)+(1))+(1)))=("H"),"false"),B2,H301),H301))</f>
        <v>#VALUE!</v>
      </c>
      <c r="I301" t="e">
        <f ca="1">IF((A1)=(2),"",IF((298)=(I3),IF(IF((INDEX(B1:XFD1,((A2)+(1))+(0)))=("store"),(INDEX(B1:XFD1,((A2)+(1))+(1)))=("I"),"false"),B2,I301),I301))</f>
        <v>#VALUE!</v>
      </c>
      <c r="J301" t="e">
        <f ca="1">IF((A1)=(2),"",IF((298)=(J3),IF(IF((INDEX(B1:XFD1,((A2)+(1))+(0)))=("store"),(INDEX(B1:XFD1,((A2)+(1))+(1)))=("J"),"false"),B2,J301),J301))</f>
        <v>#VALUE!</v>
      </c>
      <c r="K301" t="e">
        <f ca="1">IF((A1)=(2),"",IF((298)=(K3),IF(IF((INDEX(B1:XFD1,((A2)+(1))+(0)))=("store"),(INDEX(B1:XFD1,((A2)+(1))+(1)))=("K"),"false"),B2,K301),K301))</f>
        <v>#VALUE!</v>
      </c>
      <c r="L301" t="e">
        <f ca="1">IF((A1)=(2),"",IF((298)=(L3),IF(IF((INDEX(B1:XFD1,((A2)+(1))+(0)))=("store"),(INDEX(B1:XFD1,((A2)+(1))+(1)))=("L"),"false"),B2,L301),L301))</f>
        <v>#VALUE!</v>
      </c>
      <c r="M301" t="e">
        <f ca="1">IF((A1)=(2),"",IF((298)=(M3),IF(IF((INDEX(B1:XFD1,((A2)+(1))+(0)))=("store"),(INDEX(B1:XFD1,((A2)+(1))+(1)))=("M"),"false"),B2,M301),M301))</f>
        <v>#VALUE!</v>
      </c>
      <c r="N301" t="e">
        <f ca="1">IF((A1)=(2),"",IF((298)=(N3),IF(IF((INDEX(B1:XFD1,((A2)+(1))+(0)))=("store"),(INDEX(B1:XFD1,((A2)+(1))+(1)))=("N"),"false"),B2,N301),N301))</f>
        <v>#VALUE!</v>
      </c>
      <c r="O301" t="e">
        <f ca="1">IF((A1)=(2),"",IF((298)=(O3),IF(IF((INDEX(B1:XFD1,((A2)+(1))+(0)))=("store"),(INDEX(B1:XFD1,((A2)+(1))+(1)))=("O"),"false"),B2,O301),O301))</f>
        <v>#VALUE!</v>
      </c>
      <c r="P301" t="e">
        <f ca="1">IF((A1)=(2),"",IF((298)=(P3),IF(IF((INDEX(B1:XFD1,((A2)+(1))+(0)))=("store"),(INDEX(B1:XFD1,((A2)+(1))+(1)))=("P"),"false"),B2,P301),P301))</f>
        <v>#VALUE!</v>
      </c>
      <c r="Q301" t="e">
        <f ca="1">IF((A1)=(2),"",IF((298)=(Q3),IF(IF((INDEX(B1:XFD1,((A2)+(1))+(0)))=("store"),(INDEX(B1:XFD1,((A2)+(1))+(1)))=("Q"),"false"),B2,Q301),Q301))</f>
        <v>#VALUE!</v>
      </c>
      <c r="R301" t="e">
        <f ca="1">IF((A1)=(2),"",IF((298)=(R3),IF(IF((INDEX(B1:XFD1,((A2)+(1))+(0)))=("store"),(INDEX(B1:XFD1,((A2)+(1))+(1)))=("R"),"false"),B2,R301),R301))</f>
        <v>#VALUE!</v>
      </c>
      <c r="S301" t="e">
        <f ca="1">IF((A1)=(2),"",IF((298)=(S3),IF(IF((INDEX(B1:XFD1,((A2)+(1))+(0)))=("store"),(INDEX(B1:XFD1,((A2)+(1))+(1)))=("S"),"false"),B2,S301),S301))</f>
        <v>#VALUE!</v>
      </c>
      <c r="T301" t="e">
        <f ca="1">IF((A1)=(2),"",IF((298)=(T3),IF(IF((INDEX(B1:XFD1,((A2)+(1))+(0)))=("store"),(INDEX(B1:XFD1,((A2)+(1))+(1)))=("T"),"false"),B2,T301),T301))</f>
        <v>#VALUE!</v>
      </c>
      <c r="U301" t="e">
        <f ca="1">IF((A1)=(2),"",IF((298)=(U3),IF(IF((INDEX(B1:XFD1,((A2)+(1))+(0)))=("store"),(INDEX(B1:XFD1,((A2)+(1))+(1)))=("U"),"false"),B2,U301),U301))</f>
        <v>#VALUE!</v>
      </c>
      <c r="V301" t="e">
        <f ca="1">IF((A1)=(2),"",IF((298)=(V3),IF(IF((INDEX(B1:XFD1,((A2)+(1))+(0)))=("store"),(INDEX(B1:XFD1,((A2)+(1))+(1)))=("V"),"false"),B2,V301),V301))</f>
        <v>#VALUE!</v>
      </c>
      <c r="W301" t="e">
        <f ca="1">IF((A1)=(2),"",IF((298)=(W3),IF(IF((INDEX(B1:XFD1,((A2)+(1))+(0)))=("store"),(INDEX(B1:XFD1,((A2)+(1))+(1)))=("W"),"false"),B2,W301),W301))</f>
        <v>#VALUE!</v>
      </c>
      <c r="X301" t="e">
        <f ca="1">IF((A1)=(2),"",IF((298)=(X3),IF(IF((INDEX(B1:XFD1,((A2)+(1))+(0)))=("store"),(INDEX(B1:XFD1,((A2)+(1))+(1)))=("X"),"false"),B2,X301),X301))</f>
        <v>#VALUE!</v>
      </c>
      <c r="Y301" t="e">
        <f ca="1">IF((A1)=(2),"",IF((298)=(Y3),IF(IF((INDEX(B1:XFD1,((A2)+(1))+(0)))=("store"),(INDEX(B1:XFD1,((A2)+(1))+(1)))=("Y"),"false"),B2,Y301),Y301))</f>
        <v>#VALUE!</v>
      </c>
      <c r="Z301" t="e">
        <f ca="1">IF((A1)=(2),"",IF((298)=(Z3),IF(IF((INDEX(B1:XFD1,((A2)+(1))+(0)))=("store"),(INDEX(B1:XFD1,((A2)+(1))+(1)))=("Z"),"false"),B2,Z301),Z301))</f>
        <v>#VALUE!</v>
      </c>
      <c r="AA301" t="e">
        <f ca="1">IF((A1)=(2),"",IF((298)=(AA3),IF(IF((INDEX(B1:XFD1,((A2)+(1))+(0)))=("store"),(INDEX(B1:XFD1,((A2)+(1))+(1)))=("AA"),"false"),B2,AA301),AA301))</f>
        <v>#VALUE!</v>
      </c>
      <c r="AB301" t="e">
        <f ca="1">IF((A1)=(2),"",IF((298)=(AB3),IF(IF((INDEX(B1:XFD1,((A2)+(1))+(0)))=("store"),(INDEX(B1:XFD1,((A2)+(1))+(1)))=("AB"),"false"),B2,AB301),AB301))</f>
        <v>#VALUE!</v>
      </c>
      <c r="AC301" t="e">
        <f ca="1">IF((A1)=(2),"",IF((298)=(AC3),IF(IF((INDEX(B1:XFD1,((A2)+(1))+(0)))=("store"),(INDEX(B1:XFD1,((A2)+(1))+(1)))=("AC"),"false"),B2,AC301),AC301))</f>
        <v>#VALUE!</v>
      </c>
      <c r="AD301" t="e">
        <f ca="1">IF((A1)=(2),"",IF((298)=(AD3),IF(IF((INDEX(B1:XFD1,((A2)+(1))+(0)))=("store"),(INDEX(B1:XFD1,((A2)+(1))+(1)))=("AD"),"false"),B2,AD301),AD301))</f>
        <v>#VALUE!</v>
      </c>
    </row>
    <row r="302" spans="1:30" x14ac:dyDescent="0.25">
      <c r="A302" t="e">
        <f ca="1">IF((A1)=(2),"",IF((299)=(A3),IF(("call")=(INDEX(B1:XFD1,((A2)+(1))+(0))),(B2)*(2),IF(("goto")=(INDEX(B1:XFD1,((A2)+(1))+(0))),(INDEX(B1:XFD1,((A2)+(1))+(1)))*(2),IF(("gotoiftrue")=(INDEX(B1:XFD1,((A2)+(1))+(0))),IF(B2,(INDEX(B1:XFD1,((A2)+(1))+(1)))*(2),(A302)+(2)),(A302)+(2)))),A302))</f>
        <v>#VALUE!</v>
      </c>
      <c r="B302" t="e">
        <f ca="1">IF((A1)=(2),"",IF((299)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302)+(1)),IF(("add")=(INDEX(B1:XFD1,((A2)+(1))+(0))),(INDEX(B4:B404,(B3)+(1)))+(B302),IF(("equals")=(INDEX(B1:XFD1,((A2)+(1))+(0))),(INDEX(B4:B404,(B3)+(1)))=(B302),IF(("leq")=(INDEX(B1:XFD1,((A2)+(1))+(0))),(INDEX(B4:B404,(B3)+(1)))&lt;=(B302),IF(("greater")=(INDEX(B1:XFD1,((A2)+(1))+(0))),(INDEX(B4:B404,(B3)+(1)))&gt;(B302),IF(("mod")=(INDEX(B1:XFD1,((A2)+(1))+(0))),MOD(INDEX(B4:B404,(B3)+(1)),B302),B302))))))))),B302))</f>
        <v>#VALUE!</v>
      </c>
      <c r="C302" t="e">
        <f ca="1">IF((A1)=(2),1,IF(AND((INDEX(B1:XFD1,((A2)+(1))+(0)))=("writeheap"),(INDEX(B4:B404,(B3)+(1)))=(298)),INDEX(B4:B404,(B3)+(2)),IF((A1)=(2),"",IF((299)=(C3),C302,C302))))</f>
        <v>#VALUE!</v>
      </c>
      <c r="E302" t="e">
        <f ca="1">IF((A1)=(2),"",IF((299)=(E3),IF(("outputline")=(INDEX(B1:XFD1,((A2)+(1))+(0))),B2,E302),E302))</f>
        <v>#VALUE!</v>
      </c>
      <c r="F302" t="e">
        <f ca="1">IF((A1)=(2),"",IF((299)=(F3),IF(IF((INDEX(B1:XFD1,((A2)+(1))+(0)))=("store"),(INDEX(B1:XFD1,((A2)+(1))+(1)))=("F"),"false"),B2,F302),F302))</f>
        <v>#VALUE!</v>
      </c>
      <c r="G302" t="e">
        <f ca="1">IF((A1)=(2),"",IF((299)=(G3),IF(IF((INDEX(B1:XFD1,((A2)+(1))+(0)))=("store"),(INDEX(B1:XFD1,((A2)+(1))+(1)))=("G"),"false"),B2,G302),G302))</f>
        <v>#VALUE!</v>
      </c>
      <c r="H302" t="e">
        <f ca="1">IF((A1)=(2),"",IF((299)=(H3),IF(IF((INDEX(B1:XFD1,((A2)+(1))+(0)))=("store"),(INDEX(B1:XFD1,((A2)+(1))+(1)))=("H"),"false"),B2,H302),H302))</f>
        <v>#VALUE!</v>
      </c>
      <c r="I302" t="e">
        <f ca="1">IF((A1)=(2),"",IF((299)=(I3),IF(IF((INDEX(B1:XFD1,((A2)+(1))+(0)))=("store"),(INDEX(B1:XFD1,((A2)+(1))+(1)))=("I"),"false"),B2,I302),I302))</f>
        <v>#VALUE!</v>
      </c>
      <c r="J302" t="e">
        <f ca="1">IF((A1)=(2),"",IF((299)=(J3),IF(IF((INDEX(B1:XFD1,((A2)+(1))+(0)))=("store"),(INDEX(B1:XFD1,((A2)+(1))+(1)))=("J"),"false"),B2,J302),J302))</f>
        <v>#VALUE!</v>
      </c>
      <c r="K302" t="e">
        <f ca="1">IF((A1)=(2),"",IF((299)=(K3),IF(IF((INDEX(B1:XFD1,((A2)+(1))+(0)))=("store"),(INDEX(B1:XFD1,((A2)+(1))+(1)))=("K"),"false"),B2,K302),K302))</f>
        <v>#VALUE!</v>
      </c>
      <c r="L302" t="e">
        <f ca="1">IF((A1)=(2),"",IF((299)=(L3),IF(IF((INDEX(B1:XFD1,((A2)+(1))+(0)))=("store"),(INDEX(B1:XFD1,((A2)+(1))+(1)))=("L"),"false"),B2,L302),L302))</f>
        <v>#VALUE!</v>
      </c>
      <c r="M302" t="e">
        <f ca="1">IF((A1)=(2),"",IF((299)=(M3),IF(IF((INDEX(B1:XFD1,((A2)+(1))+(0)))=("store"),(INDEX(B1:XFD1,((A2)+(1))+(1)))=("M"),"false"),B2,M302),M302))</f>
        <v>#VALUE!</v>
      </c>
      <c r="N302" t="e">
        <f ca="1">IF((A1)=(2),"",IF((299)=(N3),IF(IF((INDEX(B1:XFD1,((A2)+(1))+(0)))=("store"),(INDEX(B1:XFD1,((A2)+(1))+(1)))=("N"),"false"),B2,N302),N302))</f>
        <v>#VALUE!</v>
      </c>
      <c r="O302" t="e">
        <f ca="1">IF((A1)=(2),"",IF((299)=(O3),IF(IF((INDEX(B1:XFD1,((A2)+(1))+(0)))=("store"),(INDEX(B1:XFD1,((A2)+(1))+(1)))=("O"),"false"),B2,O302),O302))</f>
        <v>#VALUE!</v>
      </c>
      <c r="P302" t="e">
        <f ca="1">IF((A1)=(2),"",IF((299)=(P3),IF(IF((INDEX(B1:XFD1,((A2)+(1))+(0)))=("store"),(INDEX(B1:XFD1,((A2)+(1))+(1)))=("P"),"false"),B2,P302),P302))</f>
        <v>#VALUE!</v>
      </c>
      <c r="Q302" t="e">
        <f ca="1">IF((A1)=(2),"",IF((299)=(Q3),IF(IF((INDEX(B1:XFD1,((A2)+(1))+(0)))=("store"),(INDEX(B1:XFD1,((A2)+(1))+(1)))=("Q"),"false"),B2,Q302),Q302))</f>
        <v>#VALUE!</v>
      </c>
      <c r="R302" t="e">
        <f ca="1">IF((A1)=(2),"",IF((299)=(R3),IF(IF((INDEX(B1:XFD1,((A2)+(1))+(0)))=("store"),(INDEX(B1:XFD1,((A2)+(1))+(1)))=("R"),"false"),B2,R302),R302))</f>
        <v>#VALUE!</v>
      </c>
      <c r="S302" t="e">
        <f ca="1">IF((A1)=(2),"",IF((299)=(S3),IF(IF((INDEX(B1:XFD1,((A2)+(1))+(0)))=("store"),(INDEX(B1:XFD1,((A2)+(1))+(1)))=("S"),"false"),B2,S302),S302))</f>
        <v>#VALUE!</v>
      </c>
      <c r="T302" t="e">
        <f ca="1">IF((A1)=(2),"",IF((299)=(T3),IF(IF((INDEX(B1:XFD1,((A2)+(1))+(0)))=("store"),(INDEX(B1:XFD1,((A2)+(1))+(1)))=("T"),"false"),B2,T302),T302))</f>
        <v>#VALUE!</v>
      </c>
      <c r="U302" t="e">
        <f ca="1">IF((A1)=(2),"",IF((299)=(U3),IF(IF((INDEX(B1:XFD1,((A2)+(1))+(0)))=("store"),(INDEX(B1:XFD1,((A2)+(1))+(1)))=("U"),"false"),B2,U302),U302))</f>
        <v>#VALUE!</v>
      </c>
      <c r="V302" t="e">
        <f ca="1">IF((A1)=(2),"",IF((299)=(V3),IF(IF((INDEX(B1:XFD1,((A2)+(1))+(0)))=("store"),(INDEX(B1:XFD1,((A2)+(1))+(1)))=("V"),"false"),B2,V302),V302))</f>
        <v>#VALUE!</v>
      </c>
      <c r="W302" t="e">
        <f ca="1">IF((A1)=(2),"",IF((299)=(W3),IF(IF((INDEX(B1:XFD1,((A2)+(1))+(0)))=("store"),(INDEX(B1:XFD1,((A2)+(1))+(1)))=("W"),"false"),B2,W302),W302))</f>
        <v>#VALUE!</v>
      </c>
      <c r="X302" t="e">
        <f ca="1">IF((A1)=(2),"",IF((299)=(X3),IF(IF((INDEX(B1:XFD1,((A2)+(1))+(0)))=("store"),(INDEX(B1:XFD1,((A2)+(1))+(1)))=("X"),"false"),B2,X302),X302))</f>
        <v>#VALUE!</v>
      </c>
      <c r="Y302" t="e">
        <f ca="1">IF((A1)=(2),"",IF((299)=(Y3),IF(IF((INDEX(B1:XFD1,((A2)+(1))+(0)))=("store"),(INDEX(B1:XFD1,((A2)+(1))+(1)))=("Y"),"false"),B2,Y302),Y302))</f>
        <v>#VALUE!</v>
      </c>
      <c r="Z302" t="e">
        <f ca="1">IF((A1)=(2),"",IF((299)=(Z3),IF(IF((INDEX(B1:XFD1,((A2)+(1))+(0)))=("store"),(INDEX(B1:XFD1,((A2)+(1))+(1)))=("Z"),"false"),B2,Z302),Z302))</f>
        <v>#VALUE!</v>
      </c>
      <c r="AA302" t="e">
        <f ca="1">IF((A1)=(2),"",IF((299)=(AA3),IF(IF((INDEX(B1:XFD1,((A2)+(1))+(0)))=("store"),(INDEX(B1:XFD1,((A2)+(1))+(1)))=("AA"),"false"),B2,AA302),AA302))</f>
        <v>#VALUE!</v>
      </c>
      <c r="AB302" t="e">
        <f ca="1">IF((A1)=(2),"",IF((299)=(AB3),IF(IF((INDEX(B1:XFD1,((A2)+(1))+(0)))=("store"),(INDEX(B1:XFD1,((A2)+(1))+(1)))=("AB"),"false"),B2,AB302),AB302))</f>
        <v>#VALUE!</v>
      </c>
      <c r="AC302" t="e">
        <f ca="1">IF((A1)=(2),"",IF((299)=(AC3),IF(IF((INDEX(B1:XFD1,((A2)+(1))+(0)))=("store"),(INDEX(B1:XFD1,((A2)+(1))+(1)))=("AC"),"false"),B2,AC302),AC302))</f>
        <v>#VALUE!</v>
      </c>
      <c r="AD302" t="e">
        <f ca="1">IF((A1)=(2),"",IF((299)=(AD3),IF(IF((INDEX(B1:XFD1,((A2)+(1))+(0)))=("store"),(INDEX(B1:XFD1,((A2)+(1))+(1)))=("AD"),"false"),B2,AD302),AD302))</f>
        <v>#VALUE!</v>
      </c>
    </row>
    <row r="303" spans="1:30" x14ac:dyDescent="0.25">
      <c r="A303" t="e">
        <f ca="1">IF((A1)=(2),"",IF((300)=(A3),IF(("call")=(INDEX(B1:XFD1,((A2)+(1))+(0))),(B2)*(2),IF(("goto")=(INDEX(B1:XFD1,((A2)+(1))+(0))),(INDEX(B1:XFD1,((A2)+(1))+(1)))*(2),IF(("gotoiftrue")=(INDEX(B1:XFD1,((A2)+(1))+(0))),IF(B2,(INDEX(B1:XFD1,((A2)+(1))+(1)))*(2),(A303)+(2)),(A303)+(2)))),A303))</f>
        <v>#VALUE!</v>
      </c>
      <c r="B303" t="e">
        <f ca="1">IF((A1)=(2),"",IF((300)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303)+(1)),IF(("add")=(INDEX(B1:XFD1,((A2)+(1))+(0))),(INDEX(B4:B404,(B3)+(1)))+(B303),IF(("equals")=(INDEX(B1:XFD1,((A2)+(1))+(0))),(INDEX(B4:B404,(B3)+(1)))=(B303),IF(("leq")=(INDEX(B1:XFD1,((A2)+(1))+(0))),(INDEX(B4:B404,(B3)+(1)))&lt;=(B303),IF(("greater")=(INDEX(B1:XFD1,((A2)+(1))+(0))),(INDEX(B4:B404,(B3)+(1)))&gt;(B303),IF(("mod")=(INDEX(B1:XFD1,((A2)+(1))+(0))),MOD(INDEX(B4:B404,(B3)+(1)),B303),B303))))))))),B303))</f>
        <v>#VALUE!</v>
      </c>
      <c r="C303" t="e">
        <f ca="1">IF((A1)=(2),1,IF(AND((INDEX(B1:XFD1,((A2)+(1))+(0)))=("writeheap"),(INDEX(B4:B404,(B3)+(1)))=(299)),INDEX(B4:B404,(B3)+(2)),IF((A1)=(2),"",IF((300)=(C3),C303,C303))))</f>
        <v>#VALUE!</v>
      </c>
      <c r="E303" t="e">
        <f ca="1">IF((A1)=(2),"",IF((300)=(E3),IF(("outputline")=(INDEX(B1:XFD1,((A2)+(1))+(0))),B2,E303),E303))</f>
        <v>#VALUE!</v>
      </c>
      <c r="F303" t="e">
        <f ca="1">IF((A1)=(2),"",IF((300)=(F3),IF(IF((INDEX(B1:XFD1,((A2)+(1))+(0)))=("store"),(INDEX(B1:XFD1,((A2)+(1))+(1)))=("F"),"false"),B2,F303),F303))</f>
        <v>#VALUE!</v>
      </c>
      <c r="G303" t="e">
        <f ca="1">IF((A1)=(2),"",IF((300)=(G3),IF(IF((INDEX(B1:XFD1,((A2)+(1))+(0)))=("store"),(INDEX(B1:XFD1,((A2)+(1))+(1)))=("G"),"false"),B2,G303),G303))</f>
        <v>#VALUE!</v>
      </c>
      <c r="H303" t="e">
        <f ca="1">IF((A1)=(2),"",IF((300)=(H3),IF(IF((INDEX(B1:XFD1,((A2)+(1))+(0)))=("store"),(INDEX(B1:XFD1,((A2)+(1))+(1)))=("H"),"false"),B2,H303),H303))</f>
        <v>#VALUE!</v>
      </c>
      <c r="I303" t="e">
        <f ca="1">IF((A1)=(2),"",IF((300)=(I3),IF(IF((INDEX(B1:XFD1,((A2)+(1))+(0)))=("store"),(INDEX(B1:XFD1,((A2)+(1))+(1)))=("I"),"false"),B2,I303),I303))</f>
        <v>#VALUE!</v>
      </c>
      <c r="J303" t="e">
        <f ca="1">IF((A1)=(2),"",IF((300)=(J3),IF(IF((INDEX(B1:XFD1,((A2)+(1))+(0)))=("store"),(INDEX(B1:XFD1,((A2)+(1))+(1)))=("J"),"false"),B2,J303),J303))</f>
        <v>#VALUE!</v>
      </c>
      <c r="K303" t="e">
        <f ca="1">IF((A1)=(2),"",IF((300)=(K3),IF(IF((INDEX(B1:XFD1,((A2)+(1))+(0)))=("store"),(INDEX(B1:XFD1,((A2)+(1))+(1)))=("K"),"false"),B2,K303),K303))</f>
        <v>#VALUE!</v>
      </c>
      <c r="L303" t="e">
        <f ca="1">IF((A1)=(2),"",IF((300)=(L3),IF(IF((INDEX(B1:XFD1,((A2)+(1))+(0)))=("store"),(INDEX(B1:XFD1,((A2)+(1))+(1)))=("L"),"false"),B2,L303),L303))</f>
        <v>#VALUE!</v>
      </c>
      <c r="M303" t="e">
        <f ca="1">IF((A1)=(2),"",IF((300)=(M3),IF(IF((INDEX(B1:XFD1,((A2)+(1))+(0)))=("store"),(INDEX(B1:XFD1,((A2)+(1))+(1)))=("M"),"false"),B2,M303),M303))</f>
        <v>#VALUE!</v>
      </c>
      <c r="N303" t="e">
        <f ca="1">IF((A1)=(2),"",IF((300)=(N3),IF(IF((INDEX(B1:XFD1,((A2)+(1))+(0)))=("store"),(INDEX(B1:XFD1,((A2)+(1))+(1)))=("N"),"false"),B2,N303),N303))</f>
        <v>#VALUE!</v>
      </c>
      <c r="O303" t="e">
        <f ca="1">IF((A1)=(2),"",IF((300)=(O3),IF(IF((INDEX(B1:XFD1,((A2)+(1))+(0)))=("store"),(INDEX(B1:XFD1,((A2)+(1))+(1)))=("O"),"false"),B2,O303),O303))</f>
        <v>#VALUE!</v>
      </c>
      <c r="P303" t="e">
        <f ca="1">IF((A1)=(2),"",IF((300)=(P3),IF(IF((INDEX(B1:XFD1,((A2)+(1))+(0)))=("store"),(INDEX(B1:XFD1,((A2)+(1))+(1)))=("P"),"false"),B2,P303),P303))</f>
        <v>#VALUE!</v>
      </c>
      <c r="Q303" t="e">
        <f ca="1">IF((A1)=(2),"",IF((300)=(Q3),IF(IF((INDEX(B1:XFD1,((A2)+(1))+(0)))=("store"),(INDEX(B1:XFD1,((A2)+(1))+(1)))=("Q"),"false"),B2,Q303),Q303))</f>
        <v>#VALUE!</v>
      </c>
      <c r="R303" t="e">
        <f ca="1">IF((A1)=(2),"",IF((300)=(R3),IF(IF((INDEX(B1:XFD1,((A2)+(1))+(0)))=("store"),(INDEX(B1:XFD1,((A2)+(1))+(1)))=("R"),"false"),B2,R303),R303))</f>
        <v>#VALUE!</v>
      </c>
      <c r="S303" t="e">
        <f ca="1">IF((A1)=(2),"",IF((300)=(S3),IF(IF((INDEX(B1:XFD1,((A2)+(1))+(0)))=("store"),(INDEX(B1:XFD1,((A2)+(1))+(1)))=("S"),"false"),B2,S303),S303))</f>
        <v>#VALUE!</v>
      </c>
      <c r="T303" t="e">
        <f ca="1">IF((A1)=(2),"",IF((300)=(T3),IF(IF((INDEX(B1:XFD1,((A2)+(1))+(0)))=("store"),(INDEX(B1:XFD1,((A2)+(1))+(1)))=("T"),"false"),B2,T303),T303))</f>
        <v>#VALUE!</v>
      </c>
      <c r="U303" t="e">
        <f ca="1">IF((A1)=(2),"",IF((300)=(U3),IF(IF((INDEX(B1:XFD1,((A2)+(1))+(0)))=("store"),(INDEX(B1:XFD1,((A2)+(1))+(1)))=("U"),"false"),B2,U303),U303))</f>
        <v>#VALUE!</v>
      </c>
      <c r="V303" t="e">
        <f ca="1">IF((A1)=(2),"",IF((300)=(V3),IF(IF((INDEX(B1:XFD1,((A2)+(1))+(0)))=("store"),(INDEX(B1:XFD1,((A2)+(1))+(1)))=("V"),"false"),B2,V303),V303))</f>
        <v>#VALUE!</v>
      </c>
      <c r="W303" t="e">
        <f ca="1">IF((A1)=(2),"",IF((300)=(W3),IF(IF((INDEX(B1:XFD1,((A2)+(1))+(0)))=("store"),(INDEX(B1:XFD1,((A2)+(1))+(1)))=("W"),"false"),B2,W303),W303))</f>
        <v>#VALUE!</v>
      </c>
      <c r="X303" t="e">
        <f ca="1">IF((A1)=(2),"",IF((300)=(X3),IF(IF((INDEX(B1:XFD1,((A2)+(1))+(0)))=("store"),(INDEX(B1:XFD1,((A2)+(1))+(1)))=("X"),"false"),B2,X303),X303))</f>
        <v>#VALUE!</v>
      </c>
      <c r="Y303" t="e">
        <f ca="1">IF((A1)=(2),"",IF((300)=(Y3),IF(IF((INDEX(B1:XFD1,((A2)+(1))+(0)))=("store"),(INDEX(B1:XFD1,((A2)+(1))+(1)))=("Y"),"false"),B2,Y303),Y303))</f>
        <v>#VALUE!</v>
      </c>
      <c r="Z303" t="e">
        <f ca="1">IF((A1)=(2),"",IF((300)=(Z3),IF(IF((INDEX(B1:XFD1,((A2)+(1))+(0)))=("store"),(INDEX(B1:XFD1,((A2)+(1))+(1)))=("Z"),"false"),B2,Z303),Z303))</f>
        <v>#VALUE!</v>
      </c>
      <c r="AA303" t="e">
        <f ca="1">IF((A1)=(2),"",IF((300)=(AA3),IF(IF((INDEX(B1:XFD1,((A2)+(1))+(0)))=("store"),(INDEX(B1:XFD1,((A2)+(1))+(1)))=("AA"),"false"),B2,AA303),AA303))</f>
        <v>#VALUE!</v>
      </c>
      <c r="AB303" t="e">
        <f ca="1">IF((A1)=(2),"",IF((300)=(AB3),IF(IF((INDEX(B1:XFD1,((A2)+(1))+(0)))=("store"),(INDEX(B1:XFD1,((A2)+(1))+(1)))=("AB"),"false"),B2,AB303),AB303))</f>
        <v>#VALUE!</v>
      </c>
      <c r="AC303" t="e">
        <f ca="1">IF((A1)=(2),"",IF((300)=(AC3),IF(IF((INDEX(B1:XFD1,((A2)+(1))+(0)))=("store"),(INDEX(B1:XFD1,((A2)+(1))+(1)))=("AC"),"false"),B2,AC303),AC303))</f>
        <v>#VALUE!</v>
      </c>
      <c r="AD303" t="e">
        <f ca="1">IF((A1)=(2),"",IF((300)=(AD3),IF(IF((INDEX(B1:XFD1,((A2)+(1))+(0)))=("store"),(INDEX(B1:XFD1,((A2)+(1))+(1)))=("AD"),"false"),B2,AD303),AD303))</f>
        <v>#VALUE!</v>
      </c>
    </row>
    <row r="304" spans="1:30" x14ac:dyDescent="0.25">
      <c r="A304" t="e">
        <f ca="1">IF((A1)=(2),"",IF((301)=(A3),IF(("call")=(INDEX(B1:XFD1,((A2)+(1))+(0))),(B2)*(2),IF(("goto")=(INDEX(B1:XFD1,((A2)+(1))+(0))),(INDEX(B1:XFD1,((A2)+(1))+(1)))*(2),IF(("gotoiftrue")=(INDEX(B1:XFD1,((A2)+(1))+(0))),IF(B2,(INDEX(B1:XFD1,((A2)+(1))+(1)))*(2),(A304)+(2)),(A304)+(2)))),A304))</f>
        <v>#VALUE!</v>
      </c>
      <c r="B304" t="e">
        <f ca="1">IF((A1)=(2),"",IF((301)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304)+(1)),IF(("add")=(INDEX(B1:XFD1,((A2)+(1))+(0))),(INDEX(B4:B404,(B3)+(1)))+(B304),IF(("equals")=(INDEX(B1:XFD1,((A2)+(1))+(0))),(INDEX(B4:B404,(B3)+(1)))=(B304),IF(("leq")=(INDEX(B1:XFD1,((A2)+(1))+(0))),(INDEX(B4:B404,(B3)+(1)))&lt;=(B304),IF(("greater")=(INDEX(B1:XFD1,((A2)+(1))+(0))),(INDEX(B4:B404,(B3)+(1)))&gt;(B304),IF(("mod")=(INDEX(B1:XFD1,((A2)+(1))+(0))),MOD(INDEX(B4:B404,(B3)+(1)),B304),B304))))))))),B304))</f>
        <v>#VALUE!</v>
      </c>
      <c r="C304" t="e">
        <f ca="1">IF((A1)=(2),1,IF(AND((INDEX(B1:XFD1,((A2)+(1))+(0)))=("writeheap"),(INDEX(B4:B404,(B3)+(1)))=(300)),INDEX(B4:B404,(B3)+(2)),IF((A1)=(2),"",IF((301)=(C3),C304,C304))))</f>
        <v>#VALUE!</v>
      </c>
      <c r="E304" t="e">
        <f ca="1">IF((A1)=(2),"",IF((301)=(E3),IF(("outputline")=(INDEX(B1:XFD1,((A2)+(1))+(0))),B2,E304),E304))</f>
        <v>#VALUE!</v>
      </c>
      <c r="F304" t="e">
        <f ca="1">IF((A1)=(2),"",IF((301)=(F3),IF(IF((INDEX(B1:XFD1,((A2)+(1))+(0)))=("store"),(INDEX(B1:XFD1,((A2)+(1))+(1)))=("F"),"false"),B2,F304),F304))</f>
        <v>#VALUE!</v>
      </c>
      <c r="G304" t="e">
        <f ca="1">IF((A1)=(2),"",IF((301)=(G3),IF(IF((INDEX(B1:XFD1,((A2)+(1))+(0)))=("store"),(INDEX(B1:XFD1,((A2)+(1))+(1)))=("G"),"false"),B2,G304),G304))</f>
        <v>#VALUE!</v>
      </c>
      <c r="H304" t="e">
        <f ca="1">IF((A1)=(2),"",IF((301)=(H3),IF(IF((INDEX(B1:XFD1,((A2)+(1))+(0)))=("store"),(INDEX(B1:XFD1,((A2)+(1))+(1)))=("H"),"false"),B2,H304),H304))</f>
        <v>#VALUE!</v>
      </c>
      <c r="I304" t="e">
        <f ca="1">IF((A1)=(2),"",IF((301)=(I3),IF(IF((INDEX(B1:XFD1,((A2)+(1))+(0)))=("store"),(INDEX(B1:XFD1,((A2)+(1))+(1)))=("I"),"false"),B2,I304),I304))</f>
        <v>#VALUE!</v>
      </c>
      <c r="J304" t="e">
        <f ca="1">IF((A1)=(2),"",IF((301)=(J3),IF(IF((INDEX(B1:XFD1,((A2)+(1))+(0)))=("store"),(INDEX(B1:XFD1,((A2)+(1))+(1)))=("J"),"false"),B2,J304),J304))</f>
        <v>#VALUE!</v>
      </c>
      <c r="K304" t="e">
        <f ca="1">IF((A1)=(2),"",IF((301)=(K3),IF(IF((INDEX(B1:XFD1,((A2)+(1))+(0)))=("store"),(INDEX(B1:XFD1,((A2)+(1))+(1)))=("K"),"false"),B2,K304),K304))</f>
        <v>#VALUE!</v>
      </c>
      <c r="L304" t="e">
        <f ca="1">IF((A1)=(2),"",IF((301)=(L3),IF(IF((INDEX(B1:XFD1,((A2)+(1))+(0)))=("store"),(INDEX(B1:XFD1,((A2)+(1))+(1)))=("L"),"false"),B2,L304),L304))</f>
        <v>#VALUE!</v>
      </c>
      <c r="M304" t="e">
        <f ca="1">IF((A1)=(2),"",IF((301)=(M3),IF(IF((INDEX(B1:XFD1,((A2)+(1))+(0)))=("store"),(INDEX(B1:XFD1,((A2)+(1))+(1)))=("M"),"false"),B2,M304),M304))</f>
        <v>#VALUE!</v>
      </c>
      <c r="N304" t="e">
        <f ca="1">IF((A1)=(2),"",IF((301)=(N3),IF(IF((INDEX(B1:XFD1,((A2)+(1))+(0)))=("store"),(INDEX(B1:XFD1,((A2)+(1))+(1)))=("N"),"false"),B2,N304),N304))</f>
        <v>#VALUE!</v>
      </c>
      <c r="O304" t="e">
        <f ca="1">IF((A1)=(2),"",IF((301)=(O3),IF(IF((INDEX(B1:XFD1,((A2)+(1))+(0)))=("store"),(INDEX(B1:XFD1,((A2)+(1))+(1)))=("O"),"false"),B2,O304),O304))</f>
        <v>#VALUE!</v>
      </c>
      <c r="P304" t="e">
        <f ca="1">IF((A1)=(2),"",IF((301)=(P3),IF(IF((INDEX(B1:XFD1,((A2)+(1))+(0)))=("store"),(INDEX(B1:XFD1,((A2)+(1))+(1)))=("P"),"false"),B2,P304),P304))</f>
        <v>#VALUE!</v>
      </c>
      <c r="Q304" t="e">
        <f ca="1">IF((A1)=(2),"",IF((301)=(Q3),IF(IF((INDEX(B1:XFD1,((A2)+(1))+(0)))=("store"),(INDEX(B1:XFD1,((A2)+(1))+(1)))=("Q"),"false"),B2,Q304),Q304))</f>
        <v>#VALUE!</v>
      </c>
      <c r="R304" t="e">
        <f ca="1">IF((A1)=(2),"",IF((301)=(R3),IF(IF((INDEX(B1:XFD1,((A2)+(1))+(0)))=("store"),(INDEX(B1:XFD1,((A2)+(1))+(1)))=("R"),"false"),B2,R304),R304))</f>
        <v>#VALUE!</v>
      </c>
      <c r="S304" t="e">
        <f ca="1">IF((A1)=(2),"",IF((301)=(S3),IF(IF((INDEX(B1:XFD1,((A2)+(1))+(0)))=("store"),(INDEX(B1:XFD1,((A2)+(1))+(1)))=("S"),"false"),B2,S304),S304))</f>
        <v>#VALUE!</v>
      </c>
      <c r="T304" t="e">
        <f ca="1">IF((A1)=(2),"",IF((301)=(T3),IF(IF((INDEX(B1:XFD1,((A2)+(1))+(0)))=("store"),(INDEX(B1:XFD1,((A2)+(1))+(1)))=("T"),"false"),B2,T304),T304))</f>
        <v>#VALUE!</v>
      </c>
      <c r="U304" t="e">
        <f ca="1">IF((A1)=(2),"",IF((301)=(U3),IF(IF((INDEX(B1:XFD1,((A2)+(1))+(0)))=("store"),(INDEX(B1:XFD1,((A2)+(1))+(1)))=("U"),"false"),B2,U304),U304))</f>
        <v>#VALUE!</v>
      </c>
      <c r="V304" t="e">
        <f ca="1">IF((A1)=(2),"",IF((301)=(V3),IF(IF((INDEX(B1:XFD1,((A2)+(1))+(0)))=("store"),(INDEX(B1:XFD1,((A2)+(1))+(1)))=("V"),"false"),B2,V304),V304))</f>
        <v>#VALUE!</v>
      </c>
      <c r="W304" t="e">
        <f ca="1">IF((A1)=(2),"",IF((301)=(W3),IF(IF((INDEX(B1:XFD1,((A2)+(1))+(0)))=("store"),(INDEX(B1:XFD1,((A2)+(1))+(1)))=("W"),"false"),B2,W304),W304))</f>
        <v>#VALUE!</v>
      </c>
      <c r="X304" t="e">
        <f ca="1">IF((A1)=(2),"",IF((301)=(X3),IF(IF((INDEX(B1:XFD1,((A2)+(1))+(0)))=("store"),(INDEX(B1:XFD1,((A2)+(1))+(1)))=("X"),"false"),B2,X304),X304))</f>
        <v>#VALUE!</v>
      </c>
      <c r="Y304" t="e">
        <f ca="1">IF((A1)=(2),"",IF((301)=(Y3),IF(IF((INDEX(B1:XFD1,((A2)+(1))+(0)))=("store"),(INDEX(B1:XFD1,((A2)+(1))+(1)))=("Y"),"false"),B2,Y304),Y304))</f>
        <v>#VALUE!</v>
      </c>
      <c r="Z304" t="e">
        <f ca="1">IF((A1)=(2),"",IF((301)=(Z3),IF(IF((INDEX(B1:XFD1,((A2)+(1))+(0)))=("store"),(INDEX(B1:XFD1,((A2)+(1))+(1)))=("Z"),"false"),B2,Z304),Z304))</f>
        <v>#VALUE!</v>
      </c>
      <c r="AA304" t="e">
        <f ca="1">IF((A1)=(2),"",IF((301)=(AA3),IF(IF((INDEX(B1:XFD1,((A2)+(1))+(0)))=("store"),(INDEX(B1:XFD1,((A2)+(1))+(1)))=("AA"),"false"),B2,AA304),AA304))</f>
        <v>#VALUE!</v>
      </c>
      <c r="AB304" t="e">
        <f ca="1">IF((A1)=(2),"",IF((301)=(AB3),IF(IF((INDEX(B1:XFD1,((A2)+(1))+(0)))=("store"),(INDEX(B1:XFD1,((A2)+(1))+(1)))=("AB"),"false"),B2,AB304),AB304))</f>
        <v>#VALUE!</v>
      </c>
      <c r="AC304" t="e">
        <f ca="1">IF((A1)=(2),"",IF((301)=(AC3),IF(IF((INDEX(B1:XFD1,((A2)+(1))+(0)))=("store"),(INDEX(B1:XFD1,((A2)+(1))+(1)))=("AC"),"false"),B2,AC304),AC304))</f>
        <v>#VALUE!</v>
      </c>
      <c r="AD304" t="e">
        <f ca="1">IF((A1)=(2),"",IF((301)=(AD3),IF(IF((INDEX(B1:XFD1,((A2)+(1))+(0)))=("store"),(INDEX(B1:XFD1,((A2)+(1))+(1)))=("AD"),"false"),B2,AD304),AD304))</f>
        <v>#VALUE!</v>
      </c>
    </row>
    <row r="305" spans="1:30" x14ac:dyDescent="0.25">
      <c r="A305" t="e">
        <f ca="1">IF((A1)=(2),"",IF((302)=(A3),IF(("call")=(INDEX(B1:XFD1,((A2)+(1))+(0))),(B2)*(2),IF(("goto")=(INDEX(B1:XFD1,((A2)+(1))+(0))),(INDEX(B1:XFD1,((A2)+(1))+(1)))*(2),IF(("gotoiftrue")=(INDEX(B1:XFD1,((A2)+(1))+(0))),IF(B2,(INDEX(B1:XFD1,((A2)+(1))+(1)))*(2),(A305)+(2)),(A305)+(2)))),A305))</f>
        <v>#VALUE!</v>
      </c>
      <c r="B305" t="e">
        <f ca="1">IF((A1)=(2),"",IF((302)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305)+(1)),IF(("add")=(INDEX(B1:XFD1,((A2)+(1))+(0))),(INDEX(B4:B404,(B3)+(1)))+(B305),IF(("equals")=(INDEX(B1:XFD1,((A2)+(1))+(0))),(INDEX(B4:B404,(B3)+(1)))=(B305),IF(("leq")=(INDEX(B1:XFD1,((A2)+(1))+(0))),(INDEX(B4:B404,(B3)+(1)))&lt;=(B305),IF(("greater")=(INDEX(B1:XFD1,((A2)+(1))+(0))),(INDEX(B4:B404,(B3)+(1)))&gt;(B305),IF(("mod")=(INDEX(B1:XFD1,((A2)+(1))+(0))),MOD(INDEX(B4:B404,(B3)+(1)),B305),B305))))))))),B305))</f>
        <v>#VALUE!</v>
      </c>
      <c r="C305" t="e">
        <f ca="1">IF((A1)=(2),1,IF(AND((INDEX(B1:XFD1,((A2)+(1))+(0)))=("writeheap"),(INDEX(B4:B404,(B3)+(1)))=(301)),INDEX(B4:B404,(B3)+(2)),IF((A1)=(2),"",IF((302)=(C3),C305,C305))))</f>
        <v>#VALUE!</v>
      </c>
      <c r="E305" t="e">
        <f ca="1">IF((A1)=(2),"",IF((302)=(E3),IF(("outputline")=(INDEX(B1:XFD1,((A2)+(1))+(0))),B2,E305),E305))</f>
        <v>#VALUE!</v>
      </c>
      <c r="F305" t="e">
        <f ca="1">IF((A1)=(2),"",IF((302)=(F3),IF(IF((INDEX(B1:XFD1,((A2)+(1))+(0)))=("store"),(INDEX(B1:XFD1,((A2)+(1))+(1)))=("F"),"false"),B2,F305),F305))</f>
        <v>#VALUE!</v>
      </c>
      <c r="G305" t="e">
        <f ca="1">IF((A1)=(2),"",IF((302)=(G3),IF(IF((INDEX(B1:XFD1,((A2)+(1))+(0)))=("store"),(INDEX(B1:XFD1,((A2)+(1))+(1)))=("G"),"false"),B2,G305),G305))</f>
        <v>#VALUE!</v>
      </c>
      <c r="H305" t="e">
        <f ca="1">IF((A1)=(2),"",IF((302)=(H3),IF(IF((INDEX(B1:XFD1,((A2)+(1))+(0)))=("store"),(INDEX(B1:XFD1,((A2)+(1))+(1)))=("H"),"false"),B2,H305),H305))</f>
        <v>#VALUE!</v>
      </c>
      <c r="I305" t="e">
        <f ca="1">IF((A1)=(2),"",IF((302)=(I3),IF(IF((INDEX(B1:XFD1,((A2)+(1))+(0)))=("store"),(INDEX(B1:XFD1,((A2)+(1))+(1)))=("I"),"false"),B2,I305),I305))</f>
        <v>#VALUE!</v>
      </c>
      <c r="J305" t="e">
        <f ca="1">IF((A1)=(2),"",IF((302)=(J3),IF(IF((INDEX(B1:XFD1,((A2)+(1))+(0)))=("store"),(INDEX(B1:XFD1,((A2)+(1))+(1)))=("J"),"false"),B2,J305),J305))</f>
        <v>#VALUE!</v>
      </c>
      <c r="K305" t="e">
        <f ca="1">IF((A1)=(2),"",IF((302)=(K3),IF(IF((INDEX(B1:XFD1,((A2)+(1))+(0)))=("store"),(INDEX(B1:XFD1,((A2)+(1))+(1)))=("K"),"false"),B2,K305),K305))</f>
        <v>#VALUE!</v>
      </c>
      <c r="L305" t="e">
        <f ca="1">IF((A1)=(2),"",IF((302)=(L3),IF(IF((INDEX(B1:XFD1,((A2)+(1))+(0)))=("store"),(INDEX(B1:XFD1,((A2)+(1))+(1)))=("L"),"false"),B2,L305),L305))</f>
        <v>#VALUE!</v>
      </c>
      <c r="M305" t="e">
        <f ca="1">IF((A1)=(2),"",IF((302)=(M3),IF(IF((INDEX(B1:XFD1,((A2)+(1))+(0)))=("store"),(INDEX(B1:XFD1,((A2)+(1))+(1)))=("M"),"false"),B2,M305),M305))</f>
        <v>#VALUE!</v>
      </c>
      <c r="N305" t="e">
        <f ca="1">IF((A1)=(2),"",IF((302)=(N3),IF(IF((INDEX(B1:XFD1,((A2)+(1))+(0)))=("store"),(INDEX(B1:XFD1,((A2)+(1))+(1)))=("N"),"false"),B2,N305),N305))</f>
        <v>#VALUE!</v>
      </c>
      <c r="O305" t="e">
        <f ca="1">IF((A1)=(2),"",IF((302)=(O3),IF(IF((INDEX(B1:XFD1,((A2)+(1))+(0)))=("store"),(INDEX(B1:XFD1,((A2)+(1))+(1)))=("O"),"false"),B2,O305),O305))</f>
        <v>#VALUE!</v>
      </c>
      <c r="P305" t="e">
        <f ca="1">IF((A1)=(2),"",IF((302)=(P3),IF(IF((INDEX(B1:XFD1,((A2)+(1))+(0)))=("store"),(INDEX(B1:XFD1,((A2)+(1))+(1)))=("P"),"false"),B2,P305),P305))</f>
        <v>#VALUE!</v>
      </c>
      <c r="Q305" t="e">
        <f ca="1">IF((A1)=(2),"",IF((302)=(Q3),IF(IF((INDEX(B1:XFD1,((A2)+(1))+(0)))=("store"),(INDEX(B1:XFD1,((A2)+(1))+(1)))=("Q"),"false"),B2,Q305),Q305))</f>
        <v>#VALUE!</v>
      </c>
      <c r="R305" t="e">
        <f ca="1">IF((A1)=(2),"",IF((302)=(R3),IF(IF((INDEX(B1:XFD1,((A2)+(1))+(0)))=("store"),(INDEX(B1:XFD1,((A2)+(1))+(1)))=("R"),"false"),B2,R305),R305))</f>
        <v>#VALUE!</v>
      </c>
      <c r="S305" t="e">
        <f ca="1">IF((A1)=(2),"",IF((302)=(S3),IF(IF((INDEX(B1:XFD1,((A2)+(1))+(0)))=("store"),(INDEX(B1:XFD1,((A2)+(1))+(1)))=("S"),"false"),B2,S305),S305))</f>
        <v>#VALUE!</v>
      </c>
      <c r="T305" t="e">
        <f ca="1">IF((A1)=(2),"",IF((302)=(T3),IF(IF((INDEX(B1:XFD1,((A2)+(1))+(0)))=("store"),(INDEX(B1:XFD1,((A2)+(1))+(1)))=("T"),"false"),B2,T305),T305))</f>
        <v>#VALUE!</v>
      </c>
      <c r="U305" t="e">
        <f ca="1">IF((A1)=(2),"",IF((302)=(U3),IF(IF((INDEX(B1:XFD1,((A2)+(1))+(0)))=("store"),(INDEX(B1:XFD1,((A2)+(1))+(1)))=("U"),"false"),B2,U305),U305))</f>
        <v>#VALUE!</v>
      </c>
      <c r="V305" t="e">
        <f ca="1">IF((A1)=(2),"",IF((302)=(V3),IF(IF((INDEX(B1:XFD1,((A2)+(1))+(0)))=("store"),(INDEX(B1:XFD1,((A2)+(1))+(1)))=("V"),"false"),B2,V305),V305))</f>
        <v>#VALUE!</v>
      </c>
      <c r="W305" t="e">
        <f ca="1">IF((A1)=(2),"",IF((302)=(W3),IF(IF((INDEX(B1:XFD1,((A2)+(1))+(0)))=("store"),(INDEX(B1:XFD1,((A2)+(1))+(1)))=("W"),"false"),B2,W305),W305))</f>
        <v>#VALUE!</v>
      </c>
      <c r="X305" t="e">
        <f ca="1">IF((A1)=(2),"",IF((302)=(X3),IF(IF((INDEX(B1:XFD1,((A2)+(1))+(0)))=("store"),(INDEX(B1:XFD1,((A2)+(1))+(1)))=("X"),"false"),B2,X305),X305))</f>
        <v>#VALUE!</v>
      </c>
      <c r="Y305" t="e">
        <f ca="1">IF((A1)=(2),"",IF((302)=(Y3),IF(IF((INDEX(B1:XFD1,((A2)+(1))+(0)))=("store"),(INDEX(B1:XFD1,((A2)+(1))+(1)))=("Y"),"false"),B2,Y305),Y305))</f>
        <v>#VALUE!</v>
      </c>
      <c r="Z305" t="e">
        <f ca="1">IF((A1)=(2),"",IF((302)=(Z3),IF(IF((INDEX(B1:XFD1,((A2)+(1))+(0)))=("store"),(INDEX(B1:XFD1,((A2)+(1))+(1)))=("Z"),"false"),B2,Z305),Z305))</f>
        <v>#VALUE!</v>
      </c>
      <c r="AA305" t="e">
        <f ca="1">IF((A1)=(2),"",IF((302)=(AA3),IF(IF((INDEX(B1:XFD1,((A2)+(1))+(0)))=("store"),(INDEX(B1:XFD1,((A2)+(1))+(1)))=("AA"),"false"),B2,AA305),AA305))</f>
        <v>#VALUE!</v>
      </c>
      <c r="AB305" t="e">
        <f ca="1">IF((A1)=(2),"",IF((302)=(AB3),IF(IF((INDEX(B1:XFD1,((A2)+(1))+(0)))=("store"),(INDEX(B1:XFD1,((A2)+(1))+(1)))=("AB"),"false"),B2,AB305),AB305))</f>
        <v>#VALUE!</v>
      </c>
      <c r="AC305" t="e">
        <f ca="1">IF((A1)=(2),"",IF((302)=(AC3),IF(IF((INDEX(B1:XFD1,((A2)+(1))+(0)))=("store"),(INDEX(B1:XFD1,((A2)+(1))+(1)))=("AC"),"false"),B2,AC305),AC305))</f>
        <v>#VALUE!</v>
      </c>
      <c r="AD305" t="e">
        <f ca="1">IF((A1)=(2),"",IF((302)=(AD3),IF(IF((INDEX(B1:XFD1,((A2)+(1))+(0)))=("store"),(INDEX(B1:XFD1,((A2)+(1))+(1)))=("AD"),"false"),B2,AD305),AD305))</f>
        <v>#VALUE!</v>
      </c>
    </row>
    <row r="306" spans="1:30" x14ac:dyDescent="0.25">
      <c r="A306" t="e">
        <f ca="1">IF((A1)=(2),"",IF((303)=(A3),IF(("call")=(INDEX(B1:XFD1,((A2)+(1))+(0))),(B2)*(2),IF(("goto")=(INDEX(B1:XFD1,((A2)+(1))+(0))),(INDEX(B1:XFD1,((A2)+(1))+(1)))*(2),IF(("gotoiftrue")=(INDEX(B1:XFD1,((A2)+(1))+(0))),IF(B2,(INDEX(B1:XFD1,((A2)+(1))+(1)))*(2),(A306)+(2)),(A306)+(2)))),A306))</f>
        <v>#VALUE!</v>
      </c>
      <c r="B306" t="e">
        <f ca="1">IF((A1)=(2),"",IF((303)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306)+(1)),IF(("add")=(INDEX(B1:XFD1,((A2)+(1))+(0))),(INDEX(B4:B404,(B3)+(1)))+(B306),IF(("equals")=(INDEX(B1:XFD1,((A2)+(1))+(0))),(INDEX(B4:B404,(B3)+(1)))=(B306),IF(("leq")=(INDEX(B1:XFD1,((A2)+(1))+(0))),(INDEX(B4:B404,(B3)+(1)))&lt;=(B306),IF(("greater")=(INDEX(B1:XFD1,((A2)+(1))+(0))),(INDEX(B4:B404,(B3)+(1)))&gt;(B306),IF(("mod")=(INDEX(B1:XFD1,((A2)+(1))+(0))),MOD(INDEX(B4:B404,(B3)+(1)),B306),B306))))))))),B306))</f>
        <v>#VALUE!</v>
      </c>
      <c r="C306" t="e">
        <f ca="1">IF((A1)=(2),1,IF(AND((INDEX(B1:XFD1,((A2)+(1))+(0)))=("writeheap"),(INDEX(B4:B404,(B3)+(1)))=(302)),INDEX(B4:B404,(B3)+(2)),IF((A1)=(2),"",IF((303)=(C3),C306,C306))))</f>
        <v>#VALUE!</v>
      </c>
      <c r="E306" t="e">
        <f ca="1">IF((A1)=(2),"",IF((303)=(E3),IF(("outputline")=(INDEX(B1:XFD1,((A2)+(1))+(0))),B2,E306),E306))</f>
        <v>#VALUE!</v>
      </c>
      <c r="F306" t="e">
        <f ca="1">IF((A1)=(2),"",IF((303)=(F3),IF(IF((INDEX(B1:XFD1,((A2)+(1))+(0)))=("store"),(INDEX(B1:XFD1,((A2)+(1))+(1)))=("F"),"false"),B2,F306),F306))</f>
        <v>#VALUE!</v>
      </c>
      <c r="G306" t="e">
        <f ca="1">IF((A1)=(2),"",IF((303)=(G3),IF(IF((INDEX(B1:XFD1,((A2)+(1))+(0)))=("store"),(INDEX(B1:XFD1,((A2)+(1))+(1)))=("G"),"false"),B2,G306),G306))</f>
        <v>#VALUE!</v>
      </c>
      <c r="H306" t="e">
        <f ca="1">IF((A1)=(2),"",IF((303)=(H3),IF(IF((INDEX(B1:XFD1,((A2)+(1))+(0)))=("store"),(INDEX(B1:XFD1,((A2)+(1))+(1)))=("H"),"false"),B2,H306),H306))</f>
        <v>#VALUE!</v>
      </c>
      <c r="I306" t="e">
        <f ca="1">IF((A1)=(2),"",IF((303)=(I3),IF(IF((INDEX(B1:XFD1,((A2)+(1))+(0)))=("store"),(INDEX(B1:XFD1,((A2)+(1))+(1)))=("I"),"false"),B2,I306),I306))</f>
        <v>#VALUE!</v>
      </c>
      <c r="J306" t="e">
        <f ca="1">IF((A1)=(2),"",IF((303)=(J3),IF(IF((INDEX(B1:XFD1,((A2)+(1))+(0)))=("store"),(INDEX(B1:XFD1,((A2)+(1))+(1)))=("J"),"false"),B2,J306),J306))</f>
        <v>#VALUE!</v>
      </c>
      <c r="K306" t="e">
        <f ca="1">IF((A1)=(2),"",IF((303)=(K3),IF(IF((INDEX(B1:XFD1,((A2)+(1))+(0)))=("store"),(INDEX(B1:XFD1,((A2)+(1))+(1)))=("K"),"false"),B2,K306),K306))</f>
        <v>#VALUE!</v>
      </c>
      <c r="L306" t="e">
        <f ca="1">IF((A1)=(2),"",IF((303)=(L3),IF(IF((INDEX(B1:XFD1,((A2)+(1))+(0)))=("store"),(INDEX(B1:XFD1,((A2)+(1))+(1)))=("L"),"false"),B2,L306),L306))</f>
        <v>#VALUE!</v>
      </c>
      <c r="M306" t="e">
        <f ca="1">IF((A1)=(2),"",IF((303)=(M3),IF(IF((INDEX(B1:XFD1,((A2)+(1))+(0)))=("store"),(INDEX(B1:XFD1,((A2)+(1))+(1)))=("M"),"false"),B2,M306),M306))</f>
        <v>#VALUE!</v>
      </c>
      <c r="N306" t="e">
        <f ca="1">IF((A1)=(2),"",IF((303)=(N3),IF(IF((INDEX(B1:XFD1,((A2)+(1))+(0)))=("store"),(INDEX(B1:XFD1,((A2)+(1))+(1)))=("N"),"false"),B2,N306),N306))</f>
        <v>#VALUE!</v>
      </c>
      <c r="O306" t="e">
        <f ca="1">IF((A1)=(2),"",IF((303)=(O3),IF(IF((INDEX(B1:XFD1,((A2)+(1))+(0)))=("store"),(INDEX(B1:XFD1,((A2)+(1))+(1)))=("O"),"false"),B2,O306),O306))</f>
        <v>#VALUE!</v>
      </c>
      <c r="P306" t="e">
        <f ca="1">IF((A1)=(2),"",IF((303)=(P3),IF(IF((INDEX(B1:XFD1,((A2)+(1))+(0)))=("store"),(INDEX(B1:XFD1,((A2)+(1))+(1)))=("P"),"false"),B2,P306),P306))</f>
        <v>#VALUE!</v>
      </c>
      <c r="Q306" t="e">
        <f ca="1">IF((A1)=(2),"",IF((303)=(Q3),IF(IF((INDEX(B1:XFD1,((A2)+(1))+(0)))=("store"),(INDEX(B1:XFD1,((A2)+(1))+(1)))=("Q"),"false"),B2,Q306),Q306))</f>
        <v>#VALUE!</v>
      </c>
      <c r="R306" t="e">
        <f ca="1">IF((A1)=(2),"",IF((303)=(R3),IF(IF((INDEX(B1:XFD1,((A2)+(1))+(0)))=("store"),(INDEX(B1:XFD1,((A2)+(1))+(1)))=("R"),"false"),B2,R306),R306))</f>
        <v>#VALUE!</v>
      </c>
      <c r="S306" t="e">
        <f ca="1">IF((A1)=(2),"",IF((303)=(S3),IF(IF((INDEX(B1:XFD1,((A2)+(1))+(0)))=("store"),(INDEX(B1:XFD1,((A2)+(1))+(1)))=("S"),"false"),B2,S306),S306))</f>
        <v>#VALUE!</v>
      </c>
      <c r="T306" t="e">
        <f ca="1">IF((A1)=(2),"",IF((303)=(T3),IF(IF((INDEX(B1:XFD1,((A2)+(1))+(0)))=("store"),(INDEX(B1:XFD1,((A2)+(1))+(1)))=("T"),"false"),B2,T306),T306))</f>
        <v>#VALUE!</v>
      </c>
      <c r="U306" t="e">
        <f ca="1">IF((A1)=(2),"",IF((303)=(U3),IF(IF((INDEX(B1:XFD1,((A2)+(1))+(0)))=("store"),(INDEX(B1:XFD1,((A2)+(1))+(1)))=("U"),"false"),B2,U306),U306))</f>
        <v>#VALUE!</v>
      </c>
      <c r="V306" t="e">
        <f ca="1">IF((A1)=(2),"",IF((303)=(V3),IF(IF((INDEX(B1:XFD1,((A2)+(1))+(0)))=("store"),(INDEX(B1:XFD1,((A2)+(1))+(1)))=("V"),"false"),B2,V306),V306))</f>
        <v>#VALUE!</v>
      </c>
      <c r="W306" t="e">
        <f ca="1">IF((A1)=(2),"",IF((303)=(W3),IF(IF((INDEX(B1:XFD1,((A2)+(1))+(0)))=("store"),(INDEX(B1:XFD1,((A2)+(1))+(1)))=("W"),"false"),B2,W306),W306))</f>
        <v>#VALUE!</v>
      </c>
      <c r="X306" t="e">
        <f ca="1">IF((A1)=(2),"",IF((303)=(X3),IF(IF((INDEX(B1:XFD1,((A2)+(1))+(0)))=("store"),(INDEX(B1:XFD1,((A2)+(1))+(1)))=("X"),"false"),B2,X306),X306))</f>
        <v>#VALUE!</v>
      </c>
      <c r="Y306" t="e">
        <f ca="1">IF((A1)=(2),"",IF((303)=(Y3),IF(IF((INDEX(B1:XFD1,((A2)+(1))+(0)))=("store"),(INDEX(B1:XFD1,((A2)+(1))+(1)))=("Y"),"false"),B2,Y306),Y306))</f>
        <v>#VALUE!</v>
      </c>
      <c r="Z306" t="e">
        <f ca="1">IF((A1)=(2),"",IF((303)=(Z3),IF(IF((INDEX(B1:XFD1,((A2)+(1))+(0)))=("store"),(INDEX(B1:XFD1,((A2)+(1))+(1)))=("Z"),"false"),B2,Z306),Z306))</f>
        <v>#VALUE!</v>
      </c>
      <c r="AA306" t="e">
        <f ca="1">IF((A1)=(2),"",IF((303)=(AA3),IF(IF((INDEX(B1:XFD1,((A2)+(1))+(0)))=("store"),(INDEX(B1:XFD1,((A2)+(1))+(1)))=("AA"),"false"),B2,AA306),AA306))</f>
        <v>#VALUE!</v>
      </c>
      <c r="AB306" t="e">
        <f ca="1">IF((A1)=(2),"",IF((303)=(AB3),IF(IF((INDEX(B1:XFD1,((A2)+(1))+(0)))=("store"),(INDEX(B1:XFD1,((A2)+(1))+(1)))=("AB"),"false"),B2,AB306),AB306))</f>
        <v>#VALUE!</v>
      </c>
      <c r="AC306" t="e">
        <f ca="1">IF((A1)=(2),"",IF((303)=(AC3),IF(IF((INDEX(B1:XFD1,((A2)+(1))+(0)))=("store"),(INDEX(B1:XFD1,((A2)+(1))+(1)))=("AC"),"false"),B2,AC306),AC306))</f>
        <v>#VALUE!</v>
      </c>
      <c r="AD306" t="e">
        <f ca="1">IF((A1)=(2),"",IF((303)=(AD3),IF(IF((INDEX(B1:XFD1,((A2)+(1))+(0)))=("store"),(INDEX(B1:XFD1,((A2)+(1))+(1)))=("AD"),"false"),B2,AD306),AD306))</f>
        <v>#VALUE!</v>
      </c>
    </row>
    <row r="307" spans="1:30" x14ac:dyDescent="0.25">
      <c r="A307" t="e">
        <f ca="1">IF((A1)=(2),"",IF((304)=(A3),IF(("call")=(INDEX(B1:XFD1,((A2)+(1))+(0))),(B2)*(2),IF(("goto")=(INDEX(B1:XFD1,((A2)+(1))+(0))),(INDEX(B1:XFD1,((A2)+(1))+(1)))*(2),IF(("gotoiftrue")=(INDEX(B1:XFD1,((A2)+(1))+(0))),IF(B2,(INDEX(B1:XFD1,((A2)+(1))+(1)))*(2),(A307)+(2)),(A307)+(2)))),A307))</f>
        <v>#VALUE!</v>
      </c>
      <c r="B307" t="e">
        <f ca="1">IF((A1)=(2),"",IF((304)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307)+(1)),IF(("add")=(INDEX(B1:XFD1,((A2)+(1))+(0))),(INDEX(B4:B404,(B3)+(1)))+(B307),IF(("equals")=(INDEX(B1:XFD1,((A2)+(1))+(0))),(INDEX(B4:B404,(B3)+(1)))=(B307),IF(("leq")=(INDEX(B1:XFD1,((A2)+(1))+(0))),(INDEX(B4:B404,(B3)+(1)))&lt;=(B307),IF(("greater")=(INDEX(B1:XFD1,((A2)+(1))+(0))),(INDEX(B4:B404,(B3)+(1)))&gt;(B307),IF(("mod")=(INDEX(B1:XFD1,((A2)+(1))+(0))),MOD(INDEX(B4:B404,(B3)+(1)),B307),B307))))))))),B307))</f>
        <v>#VALUE!</v>
      </c>
      <c r="C307" t="e">
        <f ca="1">IF((A1)=(2),1,IF(AND((INDEX(B1:XFD1,((A2)+(1))+(0)))=("writeheap"),(INDEX(B4:B404,(B3)+(1)))=(303)),INDEX(B4:B404,(B3)+(2)),IF((A1)=(2),"",IF((304)=(C3),C307,C307))))</f>
        <v>#VALUE!</v>
      </c>
      <c r="E307" t="e">
        <f ca="1">IF((A1)=(2),"",IF((304)=(E3),IF(("outputline")=(INDEX(B1:XFD1,((A2)+(1))+(0))),B2,E307),E307))</f>
        <v>#VALUE!</v>
      </c>
      <c r="F307" t="e">
        <f ca="1">IF((A1)=(2),"",IF((304)=(F3),IF(IF((INDEX(B1:XFD1,((A2)+(1))+(0)))=("store"),(INDEX(B1:XFD1,((A2)+(1))+(1)))=("F"),"false"),B2,F307),F307))</f>
        <v>#VALUE!</v>
      </c>
      <c r="G307" t="e">
        <f ca="1">IF((A1)=(2),"",IF((304)=(G3),IF(IF((INDEX(B1:XFD1,((A2)+(1))+(0)))=("store"),(INDEX(B1:XFD1,((A2)+(1))+(1)))=("G"),"false"),B2,G307),G307))</f>
        <v>#VALUE!</v>
      </c>
      <c r="H307" t="e">
        <f ca="1">IF((A1)=(2),"",IF((304)=(H3),IF(IF((INDEX(B1:XFD1,((A2)+(1))+(0)))=("store"),(INDEX(B1:XFD1,((A2)+(1))+(1)))=("H"),"false"),B2,H307),H307))</f>
        <v>#VALUE!</v>
      </c>
      <c r="I307" t="e">
        <f ca="1">IF((A1)=(2),"",IF((304)=(I3),IF(IF((INDEX(B1:XFD1,((A2)+(1))+(0)))=("store"),(INDEX(B1:XFD1,((A2)+(1))+(1)))=("I"),"false"),B2,I307),I307))</f>
        <v>#VALUE!</v>
      </c>
      <c r="J307" t="e">
        <f ca="1">IF((A1)=(2),"",IF((304)=(J3),IF(IF((INDEX(B1:XFD1,((A2)+(1))+(0)))=("store"),(INDEX(B1:XFD1,((A2)+(1))+(1)))=("J"),"false"),B2,J307),J307))</f>
        <v>#VALUE!</v>
      </c>
      <c r="K307" t="e">
        <f ca="1">IF((A1)=(2),"",IF((304)=(K3),IF(IF((INDEX(B1:XFD1,((A2)+(1))+(0)))=("store"),(INDEX(B1:XFD1,((A2)+(1))+(1)))=("K"),"false"),B2,K307),K307))</f>
        <v>#VALUE!</v>
      </c>
      <c r="L307" t="e">
        <f ca="1">IF((A1)=(2),"",IF((304)=(L3),IF(IF((INDEX(B1:XFD1,((A2)+(1))+(0)))=("store"),(INDEX(B1:XFD1,((A2)+(1))+(1)))=("L"),"false"),B2,L307),L307))</f>
        <v>#VALUE!</v>
      </c>
      <c r="M307" t="e">
        <f ca="1">IF((A1)=(2),"",IF((304)=(M3),IF(IF((INDEX(B1:XFD1,((A2)+(1))+(0)))=("store"),(INDEX(B1:XFD1,((A2)+(1))+(1)))=("M"),"false"),B2,M307),M307))</f>
        <v>#VALUE!</v>
      </c>
      <c r="N307" t="e">
        <f ca="1">IF((A1)=(2),"",IF((304)=(N3),IF(IF((INDEX(B1:XFD1,((A2)+(1))+(0)))=("store"),(INDEX(B1:XFD1,((A2)+(1))+(1)))=("N"),"false"),B2,N307),N307))</f>
        <v>#VALUE!</v>
      </c>
      <c r="O307" t="e">
        <f ca="1">IF((A1)=(2),"",IF((304)=(O3),IF(IF((INDEX(B1:XFD1,((A2)+(1))+(0)))=("store"),(INDEX(B1:XFD1,((A2)+(1))+(1)))=("O"),"false"),B2,O307),O307))</f>
        <v>#VALUE!</v>
      </c>
      <c r="P307" t="e">
        <f ca="1">IF((A1)=(2),"",IF((304)=(P3),IF(IF((INDEX(B1:XFD1,((A2)+(1))+(0)))=("store"),(INDEX(B1:XFD1,((A2)+(1))+(1)))=("P"),"false"),B2,P307),P307))</f>
        <v>#VALUE!</v>
      </c>
      <c r="Q307" t="e">
        <f ca="1">IF((A1)=(2),"",IF((304)=(Q3),IF(IF((INDEX(B1:XFD1,((A2)+(1))+(0)))=("store"),(INDEX(B1:XFD1,((A2)+(1))+(1)))=("Q"),"false"),B2,Q307),Q307))</f>
        <v>#VALUE!</v>
      </c>
      <c r="R307" t="e">
        <f ca="1">IF((A1)=(2),"",IF((304)=(R3),IF(IF((INDEX(B1:XFD1,((A2)+(1))+(0)))=("store"),(INDEX(B1:XFD1,((A2)+(1))+(1)))=("R"),"false"),B2,R307),R307))</f>
        <v>#VALUE!</v>
      </c>
      <c r="S307" t="e">
        <f ca="1">IF((A1)=(2),"",IF((304)=(S3),IF(IF((INDEX(B1:XFD1,((A2)+(1))+(0)))=("store"),(INDEX(B1:XFD1,((A2)+(1))+(1)))=("S"),"false"),B2,S307),S307))</f>
        <v>#VALUE!</v>
      </c>
      <c r="T307" t="e">
        <f ca="1">IF((A1)=(2),"",IF((304)=(T3),IF(IF((INDEX(B1:XFD1,((A2)+(1))+(0)))=("store"),(INDEX(B1:XFD1,((A2)+(1))+(1)))=("T"),"false"),B2,T307),T307))</f>
        <v>#VALUE!</v>
      </c>
      <c r="U307" t="e">
        <f ca="1">IF((A1)=(2),"",IF((304)=(U3),IF(IF((INDEX(B1:XFD1,((A2)+(1))+(0)))=("store"),(INDEX(B1:XFD1,((A2)+(1))+(1)))=("U"),"false"),B2,U307),U307))</f>
        <v>#VALUE!</v>
      </c>
      <c r="V307" t="e">
        <f ca="1">IF((A1)=(2),"",IF((304)=(V3),IF(IF((INDEX(B1:XFD1,((A2)+(1))+(0)))=("store"),(INDEX(B1:XFD1,((A2)+(1))+(1)))=("V"),"false"),B2,V307),V307))</f>
        <v>#VALUE!</v>
      </c>
      <c r="W307" t="e">
        <f ca="1">IF((A1)=(2),"",IF((304)=(W3),IF(IF((INDEX(B1:XFD1,((A2)+(1))+(0)))=("store"),(INDEX(B1:XFD1,((A2)+(1))+(1)))=("W"),"false"),B2,W307),W307))</f>
        <v>#VALUE!</v>
      </c>
      <c r="X307" t="e">
        <f ca="1">IF((A1)=(2),"",IF((304)=(X3),IF(IF((INDEX(B1:XFD1,((A2)+(1))+(0)))=("store"),(INDEX(B1:XFD1,((A2)+(1))+(1)))=("X"),"false"),B2,X307),X307))</f>
        <v>#VALUE!</v>
      </c>
      <c r="Y307" t="e">
        <f ca="1">IF((A1)=(2),"",IF((304)=(Y3),IF(IF((INDEX(B1:XFD1,((A2)+(1))+(0)))=("store"),(INDEX(B1:XFD1,((A2)+(1))+(1)))=("Y"),"false"),B2,Y307),Y307))</f>
        <v>#VALUE!</v>
      </c>
      <c r="Z307" t="e">
        <f ca="1">IF((A1)=(2),"",IF((304)=(Z3),IF(IF((INDEX(B1:XFD1,((A2)+(1))+(0)))=("store"),(INDEX(B1:XFD1,((A2)+(1))+(1)))=("Z"),"false"),B2,Z307),Z307))</f>
        <v>#VALUE!</v>
      </c>
      <c r="AA307" t="e">
        <f ca="1">IF((A1)=(2),"",IF((304)=(AA3),IF(IF((INDEX(B1:XFD1,((A2)+(1))+(0)))=("store"),(INDEX(B1:XFD1,((A2)+(1))+(1)))=("AA"),"false"),B2,AA307),AA307))</f>
        <v>#VALUE!</v>
      </c>
      <c r="AB307" t="e">
        <f ca="1">IF((A1)=(2),"",IF((304)=(AB3),IF(IF((INDEX(B1:XFD1,((A2)+(1))+(0)))=("store"),(INDEX(B1:XFD1,((A2)+(1))+(1)))=("AB"),"false"),B2,AB307),AB307))</f>
        <v>#VALUE!</v>
      </c>
      <c r="AC307" t="e">
        <f ca="1">IF((A1)=(2),"",IF((304)=(AC3),IF(IF((INDEX(B1:XFD1,((A2)+(1))+(0)))=("store"),(INDEX(B1:XFD1,((A2)+(1))+(1)))=("AC"),"false"),B2,AC307),AC307))</f>
        <v>#VALUE!</v>
      </c>
      <c r="AD307" t="e">
        <f ca="1">IF((A1)=(2),"",IF((304)=(AD3),IF(IF((INDEX(B1:XFD1,((A2)+(1))+(0)))=("store"),(INDEX(B1:XFD1,((A2)+(1))+(1)))=("AD"),"false"),B2,AD307),AD307))</f>
        <v>#VALUE!</v>
      </c>
    </row>
    <row r="308" spans="1:30" x14ac:dyDescent="0.25">
      <c r="A308" t="e">
        <f ca="1">IF((A1)=(2),"",IF((305)=(A3),IF(("call")=(INDEX(B1:XFD1,((A2)+(1))+(0))),(B2)*(2),IF(("goto")=(INDEX(B1:XFD1,((A2)+(1))+(0))),(INDEX(B1:XFD1,((A2)+(1))+(1)))*(2),IF(("gotoiftrue")=(INDEX(B1:XFD1,((A2)+(1))+(0))),IF(B2,(INDEX(B1:XFD1,((A2)+(1))+(1)))*(2),(A308)+(2)),(A308)+(2)))),A308))</f>
        <v>#VALUE!</v>
      </c>
      <c r="B308" t="e">
        <f ca="1">IF((A1)=(2),"",IF((305)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308)+(1)),IF(("add")=(INDEX(B1:XFD1,((A2)+(1))+(0))),(INDEX(B4:B404,(B3)+(1)))+(B308),IF(("equals")=(INDEX(B1:XFD1,((A2)+(1))+(0))),(INDEX(B4:B404,(B3)+(1)))=(B308),IF(("leq")=(INDEX(B1:XFD1,((A2)+(1))+(0))),(INDEX(B4:B404,(B3)+(1)))&lt;=(B308),IF(("greater")=(INDEX(B1:XFD1,((A2)+(1))+(0))),(INDEX(B4:B404,(B3)+(1)))&gt;(B308),IF(("mod")=(INDEX(B1:XFD1,((A2)+(1))+(0))),MOD(INDEX(B4:B404,(B3)+(1)),B308),B308))))))))),B308))</f>
        <v>#VALUE!</v>
      </c>
      <c r="C308" t="e">
        <f ca="1">IF((A1)=(2),1,IF(AND((INDEX(B1:XFD1,((A2)+(1))+(0)))=("writeheap"),(INDEX(B4:B404,(B3)+(1)))=(304)),INDEX(B4:B404,(B3)+(2)),IF((A1)=(2),"",IF((305)=(C3),C308,C308))))</f>
        <v>#VALUE!</v>
      </c>
      <c r="E308" t="e">
        <f ca="1">IF((A1)=(2),"",IF((305)=(E3),IF(("outputline")=(INDEX(B1:XFD1,((A2)+(1))+(0))),B2,E308),E308))</f>
        <v>#VALUE!</v>
      </c>
      <c r="F308" t="e">
        <f ca="1">IF((A1)=(2),"",IF((305)=(F3),IF(IF((INDEX(B1:XFD1,((A2)+(1))+(0)))=("store"),(INDEX(B1:XFD1,((A2)+(1))+(1)))=("F"),"false"),B2,F308),F308))</f>
        <v>#VALUE!</v>
      </c>
      <c r="G308" t="e">
        <f ca="1">IF((A1)=(2),"",IF((305)=(G3),IF(IF((INDEX(B1:XFD1,((A2)+(1))+(0)))=("store"),(INDEX(B1:XFD1,((A2)+(1))+(1)))=("G"),"false"),B2,G308),G308))</f>
        <v>#VALUE!</v>
      </c>
      <c r="H308" t="e">
        <f ca="1">IF((A1)=(2),"",IF((305)=(H3),IF(IF((INDEX(B1:XFD1,((A2)+(1))+(0)))=("store"),(INDEX(B1:XFD1,((A2)+(1))+(1)))=("H"),"false"),B2,H308),H308))</f>
        <v>#VALUE!</v>
      </c>
      <c r="I308" t="e">
        <f ca="1">IF((A1)=(2),"",IF((305)=(I3),IF(IF((INDEX(B1:XFD1,((A2)+(1))+(0)))=("store"),(INDEX(B1:XFD1,((A2)+(1))+(1)))=("I"),"false"),B2,I308),I308))</f>
        <v>#VALUE!</v>
      </c>
      <c r="J308" t="e">
        <f ca="1">IF((A1)=(2),"",IF((305)=(J3),IF(IF((INDEX(B1:XFD1,((A2)+(1))+(0)))=("store"),(INDEX(B1:XFD1,((A2)+(1))+(1)))=("J"),"false"),B2,J308),J308))</f>
        <v>#VALUE!</v>
      </c>
      <c r="K308" t="e">
        <f ca="1">IF((A1)=(2),"",IF((305)=(K3),IF(IF((INDEX(B1:XFD1,((A2)+(1))+(0)))=("store"),(INDEX(B1:XFD1,((A2)+(1))+(1)))=("K"),"false"),B2,K308),K308))</f>
        <v>#VALUE!</v>
      </c>
      <c r="L308" t="e">
        <f ca="1">IF((A1)=(2),"",IF((305)=(L3),IF(IF((INDEX(B1:XFD1,((A2)+(1))+(0)))=("store"),(INDEX(B1:XFD1,((A2)+(1))+(1)))=("L"),"false"),B2,L308),L308))</f>
        <v>#VALUE!</v>
      </c>
      <c r="M308" t="e">
        <f ca="1">IF((A1)=(2),"",IF((305)=(M3),IF(IF((INDEX(B1:XFD1,((A2)+(1))+(0)))=("store"),(INDEX(B1:XFD1,((A2)+(1))+(1)))=("M"),"false"),B2,M308),M308))</f>
        <v>#VALUE!</v>
      </c>
      <c r="N308" t="e">
        <f ca="1">IF((A1)=(2),"",IF((305)=(N3),IF(IF((INDEX(B1:XFD1,((A2)+(1))+(0)))=("store"),(INDEX(B1:XFD1,((A2)+(1))+(1)))=("N"),"false"),B2,N308),N308))</f>
        <v>#VALUE!</v>
      </c>
      <c r="O308" t="e">
        <f ca="1">IF((A1)=(2),"",IF((305)=(O3),IF(IF((INDEX(B1:XFD1,((A2)+(1))+(0)))=("store"),(INDEX(B1:XFD1,((A2)+(1))+(1)))=("O"),"false"),B2,O308),O308))</f>
        <v>#VALUE!</v>
      </c>
      <c r="P308" t="e">
        <f ca="1">IF((A1)=(2),"",IF((305)=(P3),IF(IF((INDEX(B1:XFD1,((A2)+(1))+(0)))=("store"),(INDEX(B1:XFD1,((A2)+(1))+(1)))=("P"),"false"),B2,P308),P308))</f>
        <v>#VALUE!</v>
      </c>
      <c r="Q308" t="e">
        <f ca="1">IF((A1)=(2),"",IF((305)=(Q3),IF(IF((INDEX(B1:XFD1,((A2)+(1))+(0)))=("store"),(INDEX(B1:XFD1,((A2)+(1))+(1)))=("Q"),"false"),B2,Q308),Q308))</f>
        <v>#VALUE!</v>
      </c>
      <c r="R308" t="e">
        <f ca="1">IF((A1)=(2),"",IF((305)=(R3),IF(IF((INDEX(B1:XFD1,((A2)+(1))+(0)))=("store"),(INDEX(B1:XFD1,((A2)+(1))+(1)))=("R"),"false"),B2,R308),R308))</f>
        <v>#VALUE!</v>
      </c>
      <c r="S308" t="e">
        <f ca="1">IF((A1)=(2),"",IF((305)=(S3),IF(IF((INDEX(B1:XFD1,((A2)+(1))+(0)))=("store"),(INDEX(B1:XFD1,((A2)+(1))+(1)))=("S"),"false"),B2,S308),S308))</f>
        <v>#VALUE!</v>
      </c>
      <c r="T308" t="e">
        <f ca="1">IF((A1)=(2),"",IF((305)=(T3),IF(IF((INDEX(B1:XFD1,((A2)+(1))+(0)))=("store"),(INDEX(B1:XFD1,((A2)+(1))+(1)))=("T"),"false"),B2,T308),T308))</f>
        <v>#VALUE!</v>
      </c>
      <c r="U308" t="e">
        <f ca="1">IF((A1)=(2),"",IF((305)=(U3),IF(IF((INDEX(B1:XFD1,((A2)+(1))+(0)))=("store"),(INDEX(B1:XFD1,((A2)+(1))+(1)))=("U"),"false"),B2,U308),U308))</f>
        <v>#VALUE!</v>
      </c>
      <c r="V308" t="e">
        <f ca="1">IF((A1)=(2),"",IF((305)=(V3),IF(IF((INDEX(B1:XFD1,((A2)+(1))+(0)))=("store"),(INDEX(B1:XFD1,((A2)+(1))+(1)))=("V"),"false"),B2,V308),V308))</f>
        <v>#VALUE!</v>
      </c>
      <c r="W308" t="e">
        <f ca="1">IF((A1)=(2),"",IF((305)=(W3),IF(IF((INDEX(B1:XFD1,((A2)+(1))+(0)))=("store"),(INDEX(B1:XFD1,((A2)+(1))+(1)))=("W"),"false"),B2,W308),W308))</f>
        <v>#VALUE!</v>
      </c>
      <c r="X308" t="e">
        <f ca="1">IF((A1)=(2),"",IF((305)=(X3),IF(IF((INDEX(B1:XFD1,((A2)+(1))+(0)))=("store"),(INDEX(B1:XFD1,((A2)+(1))+(1)))=("X"),"false"),B2,X308),X308))</f>
        <v>#VALUE!</v>
      </c>
      <c r="Y308" t="e">
        <f ca="1">IF((A1)=(2),"",IF((305)=(Y3),IF(IF((INDEX(B1:XFD1,((A2)+(1))+(0)))=("store"),(INDEX(B1:XFD1,((A2)+(1))+(1)))=("Y"),"false"),B2,Y308),Y308))</f>
        <v>#VALUE!</v>
      </c>
      <c r="Z308" t="e">
        <f ca="1">IF((A1)=(2),"",IF((305)=(Z3),IF(IF((INDEX(B1:XFD1,((A2)+(1))+(0)))=("store"),(INDEX(B1:XFD1,((A2)+(1))+(1)))=("Z"),"false"),B2,Z308),Z308))</f>
        <v>#VALUE!</v>
      </c>
      <c r="AA308" t="e">
        <f ca="1">IF((A1)=(2),"",IF((305)=(AA3),IF(IF((INDEX(B1:XFD1,((A2)+(1))+(0)))=("store"),(INDEX(B1:XFD1,((A2)+(1))+(1)))=("AA"),"false"),B2,AA308),AA308))</f>
        <v>#VALUE!</v>
      </c>
      <c r="AB308" t="e">
        <f ca="1">IF((A1)=(2),"",IF((305)=(AB3),IF(IF((INDEX(B1:XFD1,((A2)+(1))+(0)))=("store"),(INDEX(B1:XFD1,((A2)+(1))+(1)))=("AB"),"false"),B2,AB308),AB308))</f>
        <v>#VALUE!</v>
      </c>
      <c r="AC308" t="e">
        <f ca="1">IF((A1)=(2),"",IF((305)=(AC3),IF(IF((INDEX(B1:XFD1,((A2)+(1))+(0)))=("store"),(INDEX(B1:XFD1,((A2)+(1))+(1)))=("AC"),"false"),B2,AC308),AC308))</f>
        <v>#VALUE!</v>
      </c>
      <c r="AD308" t="e">
        <f ca="1">IF((A1)=(2),"",IF((305)=(AD3),IF(IF((INDEX(B1:XFD1,((A2)+(1))+(0)))=("store"),(INDEX(B1:XFD1,((A2)+(1))+(1)))=("AD"),"false"),B2,AD308),AD308))</f>
        <v>#VALUE!</v>
      </c>
    </row>
    <row r="309" spans="1:30" x14ac:dyDescent="0.25">
      <c r="A309" t="e">
        <f ca="1">IF((A1)=(2),"",IF((306)=(A3),IF(("call")=(INDEX(B1:XFD1,((A2)+(1))+(0))),(B2)*(2),IF(("goto")=(INDEX(B1:XFD1,((A2)+(1))+(0))),(INDEX(B1:XFD1,((A2)+(1))+(1)))*(2),IF(("gotoiftrue")=(INDEX(B1:XFD1,((A2)+(1))+(0))),IF(B2,(INDEX(B1:XFD1,((A2)+(1))+(1)))*(2),(A309)+(2)),(A309)+(2)))),A309))</f>
        <v>#VALUE!</v>
      </c>
      <c r="B309" t="e">
        <f ca="1">IF((A1)=(2),"",IF((306)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309)+(1)),IF(("add")=(INDEX(B1:XFD1,((A2)+(1))+(0))),(INDEX(B4:B404,(B3)+(1)))+(B309),IF(("equals")=(INDEX(B1:XFD1,((A2)+(1))+(0))),(INDEX(B4:B404,(B3)+(1)))=(B309),IF(("leq")=(INDEX(B1:XFD1,((A2)+(1))+(0))),(INDEX(B4:B404,(B3)+(1)))&lt;=(B309),IF(("greater")=(INDEX(B1:XFD1,((A2)+(1))+(0))),(INDEX(B4:B404,(B3)+(1)))&gt;(B309),IF(("mod")=(INDEX(B1:XFD1,((A2)+(1))+(0))),MOD(INDEX(B4:B404,(B3)+(1)),B309),B309))))))))),B309))</f>
        <v>#VALUE!</v>
      </c>
      <c r="C309" t="e">
        <f ca="1">IF((A1)=(2),1,IF(AND((INDEX(B1:XFD1,((A2)+(1))+(0)))=("writeheap"),(INDEX(B4:B404,(B3)+(1)))=(305)),INDEX(B4:B404,(B3)+(2)),IF((A1)=(2),"",IF((306)=(C3),C309,C309))))</f>
        <v>#VALUE!</v>
      </c>
      <c r="E309" t="e">
        <f ca="1">IF((A1)=(2),"",IF((306)=(E3),IF(("outputline")=(INDEX(B1:XFD1,((A2)+(1))+(0))),B2,E309),E309))</f>
        <v>#VALUE!</v>
      </c>
      <c r="F309" t="e">
        <f ca="1">IF((A1)=(2),"",IF((306)=(F3),IF(IF((INDEX(B1:XFD1,((A2)+(1))+(0)))=("store"),(INDEX(B1:XFD1,((A2)+(1))+(1)))=("F"),"false"),B2,F309),F309))</f>
        <v>#VALUE!</v>
      </c>
      <c r="G309" t="e">
        <f ca="1">IF((A1)=(2),"",IF((306)=(G3),IF(IF((INDEX(B1:XFD1,((A2)+(1))+(0)))=("store"),(INDEX(B1:XFD1,((A2)+(1))+(1)))=("G"),"false"),B2,G309),G309))</f>
        <v>#VALUE!</v>
      </c>
      <c r="H309" t="e">
        <f ca="1">IF((A1)=(2),"",IF((306)=(H3),IF(IF((INDEX(B1:XFD1,((A2)+(1))+(0)))=("store"),(INDEX(B1:XFD1,((A2)+(1))+(1)))=("H"),"false"),B2,H309),H309))</f>
        <v>#VALUE!</v>
      </c>
      <c r="I309" t="e">
        <f ca="1">IF((A1)=(2),"",IF((306)=(I3),IF(IF((INDEX(B1:XFD1,((A2)+(1))+(0)))=("store"),(INDEX(B1:XFD1,((A2)+(1))+(1)))=("I"),"false"),B2,I309),I309))</f>
        <v>#VALUE!</v>
      </c>
      <c r="J309" t="e">
        <f ca="1">IF((A1)=(2),"",IF((306)=(J3),IF(IF((INDEX(B1:XFD1,((A2)+(1))+(0)))=("store"),(INDEX(B1:XFD1,((A2)+(1))+(1)))=("J"),"false"),B2,J309),J309))</f>
        <v>#VALUE!</v>
      </c>
      <c r="K309" t="e">
        <f ca="1">IF((A1)=(2),"",IF((306)=(K3),IF(IF((INDEX(B1:XFD1,((A2)+(1))+(0)))=("store"),(INDEX(B1:XFD1,((A2)+(1))+(1)))=("K"),"false"),B2,K309),K309))</f>
        <v>#VALUE!</v>
      </c>
      <c r="L309" t="e">
        <f ca="1">IF((A1)=(2),"",IF((306)=(L3),IF(IF((INDEX(B1:XFD1,((A2)+(1))+(0)))=("store"),(INDEX(B1:XFD1,((A2)+(1))+(1)))=("L"),"false"),B2,L309),L309))</f>
        <v>#VALUE!</v>
      </c>
      <c r="M309" t="e">
        <f ca="1">IF((A1)=(2),"",IF((306)=(M3),IF(IF((INDEX(B1:XFD1,((A2)+(1))+(0)))=("store"),(INDEX(B1:XFD1,((A2)+(1))+(1)))=("M"),"false"),B2,M309),M309))</f>
        <v>#VALUE!</v>
      </c>
      <c r="N309" t="e">
        <f ca="1">IF((A1)=(2),"",IF((306)=(N3),IF(IF((INDEX(B1:XFD1,((A2)+(1))+(0)))=("store"),(INDEX(B1:XFD1,((A2)+(1))+(1)))=("N"),"false"),B2,N309),N309))</f>
        <v>#VALUE!</v>
      </c>
      <c r="O309" t="e">
        <f ca="1">IF((A1)=(2),"",IF((306)=(O3),IF(IF((INDEX(B1:XFD1,((A2)+(1))+(0)))=("store"),(INDEX(B1:XFD1,((A2)+(1))+(1)))=("O"),"false"),B2,O309),O309))</f>
        <v>#VALUE!</v>
      </c>
      <c r="P309" t="e">
        <f ca="1">IF((A1)=(2),"",IF((306)=(P3),IF(IF((INDEX(B1:XFD1,((A2)+(1))+(0)))=("store"),(INDEX(B1:XFD1,((A2)+(1))+(1)))=("P"),"false"),B2,P309),P309))</f>
        <v>#VALUE!</v>
      </c>
      <c r="Q309" t="e">
        <f ca="1">IF((A1)=(2),"",IF((306)=(Q3),IF(IF((INDEX(B1:XFD1,((A2)+(1))+(0)))=("store"),(INDEX(B1:XFD1,((A2)+(1))+(1)))=("Q"),"false"),B2,Q309),Q309))</f>
        <v>#VALUE!</v>
      </c>
      <c r="R309" t="e">
        <f ca="1">IF((A1)=(2),"",IF((306)=(R3),IF(IF((INDEX(B1:XFD1,((A2)+(1))+(0)))=("store"),(INDEX(B1:XFD1,((A2)+(1))+(1)))=("R"),"false"),B2,R309),R309))</f>
        <v>#VALUE!</v>
      </c>
      <c r="S309" t="e">
        <f ca="1">IF((A1)=(2),"",IF((306)=(S3),IF(IF((INDEX(B1:XFD1,((A2)+(1))+(0)))=("store"),(INDEX(B1:XFD1,((A2)+(1))+(1)))=("S"),"false"),B2,S309),S309))</f>
        <v>#VALUE!</v>
      </c>
      <c r="T309" t="e">
        <f ca="1">IF((A1)=(2),"",IF((306)=(T3),IF(IF((INDEX(B1:XFD1,((A2)+(1))+(0)))=("store"),(INDEX(B1:XFD1,((A2)+(1))+(1)))=("T"),"false"),B2,T309),T309))</f>
        <v>#VALUE!</v>
      </c>
      <c r="U309" t="e">
        <f ca="1">IF((A1)=(2),"",IF((306)=(U3),IF(IF((INDEX(B1:XFD1,((A2)+(1))+(0)))=("store"),(INDEX(B1:XFD1,((A2)+(1))+(1)))=("U"),"false"),B2,U309),U309))</f>
        <v>#VALUE!</v>
      </c>
      <c r="V309" t="e">
        <f ca="1">IF((A1)=(2),"",IF((306)=(V3),IF(IF((INDEX(B1:XFD1,((A2)+(1))+(0)))=("store"),(INDEX(B1:XFD1,((A2)+(1))+(1)))=("V"),"false"),B2,V309),V309))</f>
        <v>#VALUE!</v>
      </c>
      <c r="W309" t="e">
        <f ca="1">IF((A1)=(2),"",IF((306)=(W3),IF(IF((INDEX(B1:XFD1,((A2)+(1))+(0)))=("store"),(INDEX(B1:XFD1,((A2)+(1))+(1)))=("W"),"false"),B2,W309),W309))</f>
        <v>#VALUE!</v>
      </c>
      <c r="X309" t="e">
        <f ca="1">IF((A1)=(2),"",IF((306)=(X3),IF(IF((INDEX(B1:XFD1,((A2)+(1))+(0)))=("store"),(INDEX(B1:XFD1,((A2)+(1))+(1)))=("X"),"false"),B2,X309),X309))</f>
        <v>#VALUE!</v>
      </c>
      <c r="Y309" t="e">
        <f ca="1">IF((A1)=(2),"",IF((306)=(Y3),IF(IF((INDEX(B1:XFD1,((A2)+(1))+(0)))=("store"),(INDEX(B1:XFD1,((A2)+(1))+(1)))=("Y"),"false"),B2,Y309),Y309))</f>
        <v>#VALUE!</v>
      </c>
      <c r="Z309" t="e">
        <f ca="1">IF((A1)=(2),"",IF((306)=(Z3),IF(IF((INDEX(B1:XFD1,((A2)+(1))+(0)))=("store"),(INDEX(B1:XFD1,((A2)+(1))+(1)))=("Z"),"false"),B2,Z309),Z309))</f>
        <v>#VALUE!</v>
      </c>
      <c r="AA309" t="e">
        <f ca="1">IF((A1)=(2),"",IF((306)=(AA3),IF(IF((INDEX(B1:XFD1,((A2)+(1))+(0)))=("store"),(INDEX(B1:XFD1,((A2)+(1))+(1)))=("AA"),"false"),B2,AA309),AA309))</f>
        <v>#VALUE!</v>
      </c>
      <c r="AB309" t="e">
        <f ca="1">IF((A1)=(2),"",IF((306)=(AB3),IF(IF((INDEX(B1:XFD1,((A2)+(1))+(0)))=("store"),(INDEX(B1:XFD1,((A2)+(1))+(1)))=("AB"),"false"),B2,AB309),AB309))</f>
        <v>#VALUE!</v>
      </c>
      <c r="AC309" t="e">
        <f ca="1">IF((A1)=(2),"",IF((306)=(AC3),IF(IF((INDEX(B1:XFD1,((A2)+(1))+(0)))=("store"),(INDEX(B1:XFD1,((A2)+(1))+(1)))=("AC"),"false"),B2,AC309),AC309))</f>
        <v>#VALUE!</v>
      </c>
      <c r="AD309" t="e">
        <f ca="1">IF((A1)=(2),"",IF((306)=(AD3),IF(IF((INDEX(B1:XFD1,((A2)+(1))+(0)))=("store"),(INDEX(B1:XFD1,((A2)+(1))+(1)))=("AD"),"false"),B2,AD309),AD309))</f>
        <v>#VALUE!</v>
      </c>
    </row>
    <row r="310" spans="1:30" x14ac:dyDescent="0.25">
      <c r="A310" t="e">
        <f ca="1">IF((A1)=(2),"",IF((307)=(A3),IF(("call")=(INDEX(B1:XFD1,((A2)+(1))+(0))),(B2)*(2),IF(("goto")=(INDEX(B1:XFD1,((A2)+(1))+(0))),(INDEX(B1:XFD1,((A2)+(1))+(1)))*(2),IF(("gotoiftrue")=(INDEX(B1:XFD1,((A2)+(1))+(0))),IF(B2,(INDEX(B1:XFD1,((A2)+(1))+(1)))*(2),(A310)+(2)),(A310)+(2)))),A310))</f>
        <v>#VALUE!</v>
      </c>
      <c r="B310" t="e">
        <f ca="1">IF((A1)=(2),"",IF((307)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310)+(1)),IF(("add")=(INDEX(B1:XFD1,((A2)+(1))+(0))),(INDEX(B4:B404,(B3)+(1)))+(B310),IF(("equals")=(INDEX(B1:XFD1,((A2)+(1))+(0))),(INDEX(B4:B404,(B3)+(1)))=(B310),IF(("leq")=(INDEX(B1:XFD1,((A2)+(1))+(0))),(INDEX(B4:B404,(B3)+(1)))&lt;=(B310),IF(("greater")=(INDEX(B1:XFD1,((A2)+(1))+(0))),(INDEX(B4:B404,(B3)+(1)))&gt;(B310),IF(("mod")=(INDEX(B1:XFD1,((A2)+(1))+(0))),MOD(INDEX(B4:B404,(B3)+(1)),B310),B310))))))))),B310))</f>
        <v>#VALUE!</v>
      </c>
      <c r="C310" t="e">
        <f ca="1">IF((A1)=(2),1,IF(AND((INDEX(B1:XFD1,((A2)+(1))+(0)))=("writeheap"),(INDEX(B4:B404,(B3)+(1)))=(306)),INDEX(B4:B404,(B3)+(2)),IF((A1)=(2),"",IF((307)=(C3),C310,C310))))</f>
        <v>#VALUE!</v>
      </c>
      <c r="E310" t="e">
        <f ca="1">IF((A1)=(2),"",IF((307)=(E3),IF(("outputline")=(INDEX(B1:XFD1,((A2)+(1))+(0))),B2,E310),E310))</f>
        <v>#VALUE!</v>
      </c>
      <c r="F310" t="e">
        <f ca="1">IF((A1)=(2),"",IF((307)=(F3),IF(IF((INDEX(B1:XFD1,((A2)+(1))+(0)))=("store"),(INDEX(B1:XFD1,((A2)+(1))+(1)))=("F"),"false"),B2,F310),F310))</f>
        <v>#VALUE!</v>
      </c>
      <c r="G310" t="e">
        <f ca="1">IF((A1)=(2),"",IF((307)=(G3),IF(IF((INDEX(B1:XFD1,((A2)+(1))+(0)))=("store"),(INDEX(B1:XFD1,((A2)+(1))+(1)))=("G"),"false"),B2,G310),G310))</f>
        <v>#VALUE!</v>
      </c>
      <c r="H310" t="e">
        <f ca="1">IF((A1)=(2),"",IF((307)=(H3),IF(IF((INDEX(B1:XFD1,((A2)+(1))+(0)))=("store"),(INDEX(B1:XFD1,((A2)+(1))+(1)))=("H"),"false"),B2,H310),H310))</f>
        <v>#VALUE!</v>
      </c>
      <c r="I310" t="e">
        <f ca="1">IF((A1)=(2),"",IF((307)=(I3),IF(IF((INDEX(B1:XFD1,((A2)+(1))+(0)))=("store"),(INDEX(B1:XFD1,((A2)+(1))+(1)))=("I"),"false"),B2,I310),I310))</f>
        <v>#VALUE!</v>
      </c>
      <c r="J310" t="e">
        <f ca="1">IF((A1)=(2),"",IF((307)=(J3),IF(IF((INDEX(B1:XFD1,((A2)+(1))+(0)))=("store"),(INDEX(B1:XFD1,((A2)+(1))+(1)))=("J"),"false"),B2,J310),J310))</f>
        <v>#VALUE!</v>
      </c>
      <c r="K310" t="e">
        <f ca="1">IF((A1)=(2),"",IF((307)=(K3),IF(IF((INDEX(B1:XFD1,((A2)+(1))+(0)))=("store"),(INDEX(B1:XFD1,((A2)+(1))+(1)))=("K"),"false"),B2,K310),K310))</f>
        <v>#VALUE!</v>
      </c>
      <c r="L310" t="e">
        <f ca="1">IF((A1)=(2),"",IF((307)=(L3),IF(IF((INDEX(B1:XFD1,((A2)+(1))+(0)))=("store"),(INDEX(B1:XFD1,((A2)+(1))+(1)))=("L"),"false"),B2,L310),L310))</f>
        <v>#VALUE!</v>
      </c>
      <c r="M310" t="e">
        <f ca="1">IF((A1)=(2),"",IF((307)=(M3),IF(IF((INDEX(B1:XFD1,((A2)+(1))+(0)))=("store"),(INDEX(B1:XFD1,((A2)+(1))+(1)))=("M"),"false"),B2,M310),M310))</f>
        <v>#VALUE!</v>
      </c>
      <c r="N310" t="e">
        <f ca="1">IF((A1)=(2),"",IF((307)=(N3),IF(IF((INDEX(B1:XFD1,((A2)+(1))+(0)))=("store"),(INDEX(B1:XFD1,((A2)+(1))+(1)))=("N"),"false"),B2,N310),N310))</f>
        <v>#VALUE!</v>
      </c>
      <c r="O310" t="e">
        <f ca="1">IF((A1)=(2),"",IF((307)=(O3),IF(IF((INDEX(B1:XFD1,((A2)+(1))+(0)))=("store"),(INDEX(B1:XFD1,((A2)+(1))+(1)))=("O"),"false"),B2,O310),O310))</f>
        <v>#VALUE!</v>
      </c>
      <c r="P310" t="e">
        <f ca="1">IF((A1)=(2),"",IF((307)=(P3),IF(IF((INDEX(B1:XFD1,((A2)+(1))+(0)))=("store"),(INDEX(B1:XFD1,((A2)+(1))+(1)))=("P"),"false"),B2,P310),P310))</f>
        <v>#VALUE!</v>
      </c>
      <c r="Q310" t="e">
        <f ca="1">IF((A1)=(2),"",IF((307)=(Q3),IF(IF((INDEX(B1:XFD1,((A2)+(1))+(0)))=("store"),(INDEX(B1:XFD1,((A2)+(1))+(1)))=("Q"),"false"),B2,Q310),Q310))</f>
        <v>#VALUE!</v>
      </c>
      <c r="R310" t="e">
        <f ca="1">IF((A1)=(2),"",IF((307)=(R3),IF(IF((INDEX(B1:XFD1,((A2)+(1))+(0)))=("store"),(INDEX(B1:XFD1,((A2)+(1))+(1)))=("R"),"false"),B2,R310),R310))</f>
        <v>#VALUE!</v>
      </c>
      <c r="S310" t="e">
        <f ca="1">IF((A1)=(2),"",IF((307)=(S3),IF(IF((INDEX(B1:XFD1,((A2)+(1))+(0)))=("store"),(INDEX(B1:XFD1,((A2)+(1))+(1)))=("S"),"false"),B2,S310),S310))</f>
        <v>#VALUE!</v>
      </c>
      <c r="T310" t="e">
        <f ca="1">IF((A1)=(2),"",IF((307)=(T3),IF(IF((INDEX(B1:XFD1,((A2)+(1))+(0)))=("store"),(INDEX(B1:XFD1,((A2)+(1))+(1)))=("T"),"false"),B2,T310),T310))</f>
        <v>#VALUE!</v>
      </c>
      <c r="U310" t="e">
        <f ca="1">IF((A1)=(2),"",IF((307)=(U3),IF(IF((INDEX(B1:XFD1,((A2)+(1))+(0)))=("store"),(INDEX(B1:XFD1,((A2)+(1))+(1)))=("U"),"false"),B2,U310),U310))</f>
        <v>#VALUE!</v>
      </c>
      <c r="V310" t="e">
        <f ca="1">IF((A1)=(2),"",IF((307)=(V3),IF(IF((INDEX(B1:XFD1,((A2)+(1))+(0)))=("store"),(INDEX(B1:XFD1,((A2)+(1))+(1)))=("V"),"false"),B2,V310),V310))</f>
        <v>#VALUE!</v>
      </c>
      <c r="W310" t="e">
        <f ca="1">IF((A1)=(2),"",IF((307)=(W3),IF(IF((INDEX(B1:XFD1,((A2)+(1))+(0)))=("store"),(INDEX(B1:XFD1,((A2)+(1))+(1)))=("W"),"false"),B2,W310),W310))</f>
        <v>#VALUE!</v>
      </c>
      <c r="X310" t="e">
        <f ca="1">IF((A1)=(2),"",IF((307)=(X3),IF(IF((INDEX(B1:XFD1,((A2)+(1))+(0)))=("store"),(INDEX(B1:XFD1,((A2)+(1))+(1)))=("X"),"false"),B2,X310),X310))</f>
        <v>#VALUE!</v>
      </c>
      <c r="Y310" t="e">
        <f ca="1">IF((A1)=(2),"",IF((307)=(Y3),IF(IF((INDEX(B1:XFD1,((A2)+(1))+(0)))=("store"),(INDEX(B1:XFD1,((A2)+(1))+(1)))=("Y"),"false"),B2,Y310),Y310))</f>
        <v>#VALUE!</v>
      </c>
      <c r="Z310" t="e">
        <f ca="1">IF((A1)=(2),"",IF((307)=(Z3),IF(IF((INDEX(B1:XFD1,((A2)+(1))+(0)))=("store"),(INDEX(B1:XFD1,((A2)+(1))+(1)))=("Z"),"false"),B2,Z310),Z310))</f>
        <v>#VALUE!</v>
      </c>
      <c r="AA310" t="e">
        <f ca="1">IF((A1)=(2),"",IF((307)=(AA3),IF(IF((INDEX(B1:XFD1,((A2)+(1))+(0)))=("store"),(INDEX(B1:XFD1,((A2)+(1))+(1)))=("AA"),"false"),B2,AA310),AA310))</f>
        <v>#VALUE!</v>
      </c>
      <c r="AB310" t="e">
        <f ca="1">IF((A1)=(2),"",IF((307)=(AB3),IF(IF((INDEX(B1:XFD1,((A2)+(1))+(0)))=("store"),(INDEX(B1:XFD1,((A2)+(1))+(1)))=("AB"),"false"),B2,AB310),AB310))</f>
        <v>#VALUE!</v>
      </c>
      <c r="AC310" t="e">
        <f ca="1">IF((A1)=(2),"",IF((307)=(AC3),IF(IF((INDEX(B1:XFD1,((A2)+(1))+(0)))=("store"),(INDEX(B1:XFD1,((A2)+(1))+(1)))=("AC"),"false"),B2,AC310),AC310))</f>
        <v>#VALUE!</v>
      </c>
      <c r="AD310" t="e">
        <f ca="1">IF((A1)=(2),"",IF((307)=(AD3),IF(IF((INDEX(B1:XFD1,((A2)+(1))+(0)))=("store"),(INDEX(B1:XFD1,((A2)+(1))+(1)))=("AD"),"false"),B2,AD310),AD310))</f>
        <v>#VALUE!</v>
      </c>
    </row>
    <row r="311" spans="1:30" x14ac:dyDescent="0.25">
      <c r="A311" t="e">
        <f ca="1">IF((A1)=(2),"",IF((308)=(A3),IF(("call")=(INDEX(B1:XFD1,((A2)+(1))+(0))),(B2)*(2),IF(("goto")=(INDEX(B1:XFD1,((A2)+(1))+(0))),(INDEX(B1:XFD1,((A2)+(1))+(1)))*(2),IF(("gotoiftrue")=(INDEX(B1:XFD1,((A2)+(1))+(0))),IF(B2,(INDEX(B1:XFD1,((A2)+(1))+(1)))*(2),(A311)+(2)),(A311)+(2)))),A311))</f>
        <v>#VALUE!</v>
      </c>
      <c r="B311" t="e">
        <f ca="1">IF((A1)=(2),"",IF((308)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311)+(1)),IF(("add")=(INDEX(B1:XFD1,((A2)+(1))+(0))),(INDEX(B4:B404,(B3)+(1)))+(B311),IF(("equals")=(INDEX(B1:XFD1,((A2)+(1))+(0))),(INDEX(B4:B404,(B3)+(1)))=(B311),IF(("leq")=(INDEX(B1:XFD1,((A2)+(1))+(0))),(INDEX(B4:B404,(B3)+(1)))&lt;=(B311),IF(("greater")=(INDEX(B1:XFD1,((A2)+(1))+(0))),(INDEX(B4:B404,(B3)+(1)))&gt;(B311),IF(("mod")=(INDEX(B1:XFD1,((A2)+(1))+(0))),MOD(INDEX(B4:B404,(B3)+(1)),B311),B311))))))))),B311))</f>
        <v>#VALUE!</v>
      </c>
      <c r="C311" t="e">
        <f ca="1">IF((A1)=(2),1,IF(AND((INDEX(B1:XFD1,((A2)+(1))+(0)))=("writeheap"),(INDEX(B4:B404,(B3)+(1)))=(307)),INDEX(B4:B404,(B3)+(2)),IF((A1)=(2),"",IF((308)=(C3),C311,C311))))</f>
        <v>#VALUE!</v>
      </c>
      <c r="E311" t="e">
        <f ca="1">IF((A1)=(2),"",IF((308)=(E3),IF(("outputline")=(INDEX(B1:XFD1,((A2)+(1))+(0))),B2,E311),E311))</f>
        <v>#VALUE!</v>
      </c>
      <c r="F311" t="e">
        <f ca="1">IF((A1)=(2),"",IF((308)=(F3),IF(IF((INDEX(B1:XFD1,((A2)+(1))+(0)))=("store"),(INDEX(B1:XFD1,((A2)+(1))+(1)))=("F"),"false"),B2,F311),F311))</f>
        <v>#VALUE!</v>
      </c>
      <c r="G311" t="e">
        <f ca="1">IF((A1)=(2),"",IF((308)=(G3),IF(IF((INDEX(B1:XFD1,((A2)+(1))+(0)))=("store"),(INDEX(B1:XFD1,((A2)+(1))+(1)))=("G"),"false"),B2,G311),G311))</f>
        <v>#VALUE!</v>
      </c>
      <c r="H311" t="e">
        <f ca="1">IF((A1)=(2),"",IF((308)=(H3),IF(IF((INDEX(B1:XFD1,((A2)+(1))+(0)))=("store"),(INDEX(B1:XFD1,((A2)+(1))+(1)))=("H"),"false"),B2,H311),H311))</f>
        <v>#VALUE!</v>
      </c>
      <c r="I311" t="e">
        <f ca="1">IF((A1)=(2),"",IF((308)=(I3),IF(IF((INDEX(B1:XFD1,((A2)+(1))+(0)))=("store"),(INDEX(B1:XFD1,((A2)+(1))+(1)))=("I"),"false"),B2,I311),I311))</f>
        <v>#VALUE!</v>
      </c>
      <c r="J311" t="e">
        <f ca="1">IF((A1)=(2),"",IF((308)=(J3),IF(IF((INDEX(B1:XFD1,((A2)+(1))+(0)))=("store"),(INDEX(B1:XFD1,((A2)+(1))+(1)))=("J"),"false"),B2,J311),J311))</f>
        <v>#VALUE!</v>
      </c>
      <c r="K311" t="e">
        <f ca="1">IF((A1)=(2),"",IF((308)=(K3),IF(IF((INDEX(B1:XFD1,((A2)+(1))+(0)))=("store"),(INDEX(B1:XFD1,((A2)+(1))+(1)))=("K"),"false"),B2,K311),K311))</f>
        <v>#VALUE!</v>
      </c>
      <c r="L311" t="e">
        <f ca="1">IF((A1)=(2),"",IF((308)=(L3),IF(IF((INDEX(B1:XFD1,((A2)+(1))+(0)))=("store"),(INDEX(B1:XFD1,((A2)+(1))+(1)))=("L"),"false"),B2,L311),L311))</f>
        <v>#VALUE!</v>
      </c>
      <c r="M311" t="e">
        <f ca="1">IF((A1)=(2),"",IF((308)=(M3),IF(IF((INDEX(B1:XFD1,((A2)+(1))+(0)))=("store"),(INDEX(B1:XFD1,((A2)+(1))+(1)))=("M"),"false"),B2,M311),M311))</f>
        <v>#VALUE!</v>
      </c>
      <c r="N311" t="e">
        <f ca="1">IF((A1)=(2),"",IF((308)=(N3),IF(IF((INDEX(B1:XFD1,((A2)+(1))+(0)))=("store"),(INDEX(B1:XFD1,((A2)+(1))+(1)))=("N"),"false"),B2,N311),N311))</f>
        <v>#VALUE!</v>
      </c>
      <c r="O311" t="e">
        <f ca="1">IF((A1)=(2),"",IF((308)=(O3),IF(IF((INDEX(B1:XFD1,((A2)+(1))+(0)))=("store"),(INDEX(B1:XFD1,((A2)+(1))+(1)))=("O"),"false"),B2,O311),O311))</f>
        <v>#VALUE!</v>
      </c>
      <c r="P311" t="e">
        <f ca="1">IF((A1)=(2),"",IF((308)=(P3),IF(IF((INDEX(B1:XFD1,((A2)+(1))+(0)))=("store"),(INDEX(B1:XFD1,((A2)+(1))+(1)))=("P"),"false"),B2,P311),P311))</f>
        <v>#VALUE!</v>
      </c>
      <c r="Q311" t="e">
        <f ca="1">IF((A1)=(2),"",IF((308)=(Q3),IF(IF((INDEX(B1:XFD1,((A2)+(1))+(0)))=("store"),(INDEX(B1:XFD1,((A2)+(1))+(1)))=("Q"),"false"),B2,Q311),Q311))</f>
        <v>#VALUE!</v>
      </c>
      <c r="R311" t="e">
        <f ca="1">IF((A1)=(2),"",IF((308)=(R3),IF(IF((INDEX(B1:XFD1,((A2)+(1))+(0)))=("store"),(INDEX(B1:XFD1,((A2)+(1))+(1)))=("R"),"false"),B2,R311),R311))</f>
        <v>#VALUE!</v>
      </c>
      <c r="S311" t="e">
        <f ca="1">IF((A1)=(2),"",IF((308)=(S3),IF(IF((INDEX(B1:XFD1,((A2)+(1))+(0)))=("store"),(INDEX(B1:XFD1,((A2)+(1))+(1)))=("S"),"false"),B2,S311),S311))</f>
        <v>#VALUE!</v>
      </c>
      <c r="T311" t="e">
        <f ca="1">IF((A1)=(2),"",IF((308)=(T3),IF(IF((INDEX(B1:XFD1,((A2)+(1))+(0)))=("store"),(INDEX(B1:XFD1,((A2)+(1))+(1)))=("T"),"false"),B2,T311),T311))</f>
        <v>#VALUE!</v>
      </c>
      <c r="U311" t="e">
        <f ca="1">IF((A1)=(2),"",IF((308)=(U3),IF(IF((INDEX(B1:XFD1,((A2)+(1))+(0)))=("store"),(INDEX(B1:XFD1,((A2)+(1))+(1)))=("U"),"false"),B2,U311),U311))</f>
        <v>#VALUE!</v>
      </c>
      <c r="V311" t="e">
        <f ca="1">IF((A1)=(2),"",IF((308)=(V3),IF(IF((INDEX(B1:XFD1,((A2)+(1))+(0)))=("store"),(INDEX(B1:XFD1,((A2)+(1))+(1)))=("V"),"false"),B2,V311),V311))</f>
        <v>#VALUE!</v>
      </c>
      <c r="W311" t="e">
        <f ca="1">IF((A1)=(2),"",IF((308)=(W3),IF(IF((INDEX(B1:XFD1,((A2)+(1))+(0)))=("store"),(INDEX(B1:XFD1,((A2)+(1))+(1)))=("W"),"false"),B2,W311),W311))</f>
        <v>#VALUE!</v>
      </c>
      <c r="X311" t="e">
        <f ca="1">IF((A1)=(2),"",IF((308)=(X3),IF(IF((INDEX(B1:XFD1,((A2)+(1))+(0)))=("store"),(INDEX(B1:XFD1,((A2)+(1))+(1)))=("X"),"false"),B2,X311),X311))</f>
        <v>#VALUE!</v>
      </c>
      <c r="Y311" t="e">
        <f ca="1">IF((A1)=(2),"",IF((308)=(Y3),IF(IF((INDEX(B1:XFD1,((A2)+(1))+(0)))=("store"),(INDEX(B1:XFD1,((A2)+(1))+(1)))=("Y"),"false"),B2,Y311),Y311))</f>
        <v>#VALUE!</v>
      </c>
      <c r="Z311" t="e">
        <f ca="1">IF((A1)=(2),"",IF((308)=(Z3),IF(IF((INDEX(B1:XFD1,((A2)+(1))+(0)))=("store"),(INDEX(B1:XFD1,((A2)+(1))+(1)))=("Z"),"false"),B2,Z311),Z311))</f>
        <v>#VALUE!</v>
      </c>
      <c r="AA311" t="e">
        <f ca="1">IF((A1)=(2),"",IF((308)=(AA3),IF(IF((INDEX(B1:XFD1,((A2)+(1))+(0)))=("store"),(INDEX(B1:XFD1,((A2)+(1))+(1)))=("AA"),"false"),B2,AA311),AA311))</f>
        <v>#VALUE!</v>
      </c>
      <c r="AB311" t="e">
        <f ca="1">IF((A1)=(2),"",IF((308)=(AB3),IF(IF((INDEX(B1:XFD1,((A2)+(1))+(0)))=("store"),(INDEX(B1:XFD1,((A2)+(1))+(1)))=("AB"),"false"),B2,AB311),AB311))</f>
        <v>#VALUE!</v>
      </c>
      <c r="AC311" t="e">
        <f ca="1">IF((A1)=(2),"",IF((308)=(AC3),IF(IF((INDEX(B1:XFD1,((A2)+(1))+(0)))=("store"),(INDEX(B1:XFD1,((A2)+(1))+(1)))=("AC"),"false"),B2,AC311),AC311))</f>
        <v>#VALUE!</v>
      </c>
      <c r="AD311" t="e">
        <f ca="1">IF((A1)=(2),"",IF((308)=(AD3),IF(IF((INDEX(B1:XFD1,((A2)+(1))+(0)))=("store"),(INDEX(B1:XFD1,((A2)+(1))+(1)))=("AD"),"false"),B2,AD311),AD311))</f>
        <v>#VALUE!</v>
      </c>
    </row>
    <row r="312" spans="1:30" x14ac:dyDescent="0.25">
      <c r="A312" t="e">
        <f ca="1">IF((A1)=(2),"",IF((309)=(A3),IF(("call")=(INDEX(B1:XFD1,((A2)+(1))+(0))),(B2)*(2),IF(("goto")=(INDEX(B1:XFD1,((A2)+(1))+(0))),(INDEX(B1:XFD1,((A2)+(1))+(1)))*(2),IF(("gotoiftrue")=(INDEX(B1:XFD1,((A2)+(1))+(0))),IF(B2,(INDEX(B1:XFD1,((A2)+(1))+(1)))*(2),(A312)+(2)),(A312)+(2)))),A312))</f>
        <v>#VALUE!</v>
      </c>
      <c r="B312" t="e">
        <f ca="1">IF((A1)=(2),"",IF((309)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312)+(1)),IF(("add")=(INDEX(B1:XFD1,((A2)+(1))+(0))),(INDEX(B4:B404,(B3)+(1)))+(B312),IF(("equals")=(INDEX(B1:XFD1,((A2)+(1))+(0))),(INDEX(B4:B404,(B3)+(1)))=(B312),IF(("leq")=(INDEX(B1:XFD1,((A2)+(1))+(0))),(INDEX(B4:B404,(B3)+(1)))&lt;=(B312),IF(("greater")=(INDEX(B1:XFD1,((A2)+(1))+(0))),(INDEX(B4:B404,(B3)+(1)))&gt;(B312),IF(("mod")=(INDEX(B1:XFD1,((A2)+(1))+(0))),MOD(INDEX(B4:B404,(B3)+(1)),B312),B312))))))))),B312))</f>
        <v>#VALUE!</v>
      </c>
      <c r="C312" t="e">
        <f ca="1">IF((A1)=(2),1,IF(AND((INDEX(B1:XFD1,((A2)+(1))+(0)))=("writeheap"),(INDEX(B4:B404,(B3)+(1)))=(308)),INDEX(B4:B404,(B3)+(2)),IF((A1)=(2),"",IF((309)=(C3),C312,C312))))</f>
        <v>#VALUE!</v>
      </c>
      <c r="E312" t="e">
        <f ca="1">IF((A1)=(2),"",IF((309)=(E3),IF(("outputline")=(INDEX(B1:XFD1,((A2)+(1))+(0))),B2,E312),E312))</f>
        <v>#VALUE!</v>
      </c>
      <c r="F312" t="e">
        <f ca="1">IF((A1)=(2),"",IF((309)=(F3),IF(IF((INDEX(B1:XFD1,((A2)+(1))+(0)))=("store"),(INDEX(B1:XFD1,((A2)+(1))+(1)))=("F"),"false"),B2,F312),F312))</f>
        <v>#VALUE!</v>
      </c>
      <c r="G312" t="e">
        <f ca="1">IF((A1)=(2),"",IF((309)=(G3),IF(IF((INDEX(B1:XFD1,((A2)+(1))+(0)))=("store"),(INDEX(B1:XFD1,((A2)+(1))+(1)))=("G"),"false"),B2,G312),G312))</f>
        <v>#VALUE!</v>
      </c>
      <c r="H312" t="e">
        <f ca="1">IF((A1)=(2),"",IF((309)=(H3),IF(IF((INDEX(B1:XFD1,((A2)+(1))+(0)))=("store"),(INDEX(B1:XFD1,((A2)+(1))+(1)))=("H"),"false"),B2,H312),H312))</f>
        <v>#VALUE!</v>
      </c>
      <c r="I312" t="e">
        <f ca="1">IF((A1)=(2),"",IF((309)=(I3),IF(IF((INDEX(B1:XFD1,((A2)+(1))+(0)))=("store"),(INDEX(B1:XFD1,((A2)+(1))+(1)))=("I"),"false"),B2,I312),I312))</f>
        <v>#VALUE!</v>
      </c>
      <c r="J312" t="e">
        <f ca="1">IF((A1)=(2),"",IF((309)=(J3),IF(IF((INDEX(B1:XFD1,((A2)+(1))+(0)))=("store"),(INDEX(B1:XFD1,((A2)+(1))+(1)))=("J"),"false"),B2,J312),J312))</f>
        <v>#VALUE!</v>
      </c>
      <c r="K312" t="e">
        <f ca="1">IF((A1)=(2),"",IF((309)=(K3),IF(IF((INDEX(B1:XFD1,((A2)+(1))+(0)))=("store"),(INDEX(B1:XFD1,((A2)+(1))+(1)))=("K"),"false"),B2,K312),K312))</f>
        <v>#VALUE!</v>
      </c>
      <c r="L312" t="e">
        <f ca="1">IF((A1)=(2),"",IF((309)=(L3),IF(IF((INDEX(B1:XFD1,((A2)+(1))+(0)))=("store"),(INDEX(B1:XFD1,((A2)+(1))+(1)))=("L"),"false"),B2,L312),L312))</f>
        <v>#VALUE!</v>
      </c>
      <c r="M312" t="e">
        <f ca="1">IF((A1)=(2),"",IF((309)=(M3),IF(IF((INDEX(B1:XFD1,((A2)+(1))+(0)))=("store"),(INDEX(B1:XFD1,((A2)+(1))+(1)))=("M"),"false"),B2,M312),M312))</f>
        <v>#VALUE!</v>
      </c>
      <c r="N312" t="e">
        <f ca="1">IF((A1)=(2),"",IF((309)=(N3),IF(IF((INDEX(B1:XFD1,((A2)+(1))+(0)))=("store"),(INDEX(B1:XFD1,((A2)+(1))+(1)))=("N"),"false"),B2,N312),N312))</f>
        <v>#VALUE!</v>
      </c>
      <c r="O312" t="e">
        <f ca="1">IF((A1)=(2),"",IF((309)=(O3),IF(IF((INDEX(B1:XFD1,((A2)+(1))+(0)))=("store"),(INDEX(B1:XFD1,((A2)+(1))+(1)))=("O"),"false"),B2,O312),O312))</f>
        <v>#VALUE!</v>
      </c>
      <c r="P312" t="e">
        <f ca="1">IF((A1)=(2),"",IF((309)=(P3),IF(IF((INDEX(B1:XFD1,((A2)+(1))+(0)))=("store"),(INDEX(B1:XFD1,((A2)+(1))+(1)))=("P"),"false"),B2,P312),P312))</f>
        <v>#VALUE!</v>
      </c>
      <c r="Q312" t="e">
        <f ca="1">IF((A1)=(2),"",IF((309)=(Q3),IF(IF((INDEX(B1:XFD1,((A2)+(1))+(0)))=("store"),(INDEX(B1:XFD1,((A2)+(1))+(1)))=("Q"),"false"),B2,Q312),Q312))</f>
        <v>#VALUE!</v>
      </c>
      <c r="R312" t="e">
        <f ca="1">IF((A1)=(2),"",IF((309)=(R3),IF(IF((INDEX(B1:XFD1,((A2)+(1))+(0)))=("store"),(INDEX(B1:XFD1,((A2)+(1))+(1)))=("R"),"false"),B2,R312),R312))</f>
        <v>#VALUE!</v>
      </c>
      <c r="S312" t="e">
        <f ca="1">IF((A1)=(2),"",IF((309)=(S3),IF(IF((INDEX(B1:XFD1,((A2)+(1))+(0)))=("store"),(INDEX(B1:XFD1,((A2)+(1))+(1)))=("S"),"false"),B2,S312),S312))</f>
        <v>#VALUE!</v>
      </c>
      <c r="T312" t="e">
        <f ca="1">IF((A1)=(2),"",IF((309)=(T3),IF(IF((INDEX(B1:XFD1,((A2)+(1))+(0)))=("store"),(INDEX(B1:XFD1,((A2)+(1))+(1)))=("T"),"false"),B2,T312),T312))</f>
        <v>#VALUE!</v>
      </c>
      <c r="U312" t="e">
        <f ca="1">IF((A1)=(2),"",IF((309)=(U3),IF(IF((INDEX(B1:XFD1,((A2)+(1))+(0)))=("store"),(INDEX(B1:XFD1,((A2)+(1))+(1)))=("U"),"false"),B2,U312),U312))</f>
        <v>#VALUE!</v>
      </c>
      <c r="V312" t="e">
        <f ca="1">IF((A1)=(2),"",IF((309)=(V3),IF(IF((INDEX(B1:XFD1,((A2)+(1))+(0)))=("store"),(INDEX(B1:XFD1,((A2)+(1))+(1)))=("V"),"false"),B2,V312),V312))</f>
        <v>#VALUE!</v>
      </c>
      <c r="W312" t="e">
        <f ca="1">IF((A1)=(2),"",IF((309)=(W3),IF(IF((INDEX(B1:XFD1,((A2)+(1))+(0)))=("store"),(INDEX(B1:XFD1,((A2)+(1))+(1)))=("W"),"false"),B2,W312),W312))</f>
        <v>#VALUE!</v>
      </c>
      <c r="X312" t="e">
        <f ca="1">IF((A1)=(2),"",IF((309)=(X3),IF(IF((INDEX(B1:XFD1,((A2)+(1))+(0)))=("store"),(INDEX(B1:XFD1,((A2)+(1))+(1)))=("X"),"false"),B2,X312),X312))</f>
        <v>#VALUE!</v>
      </c>
      <c r="Y312" t="e">
        <f ca="1">IF((A1)=(2),"",IF((309)=(Y3),IF(IF((INDEX(B1:XFD1,((A2)+(1))+(0)))=("store"),(INDEX(B1:XFD1,((A2)+(1))+(1)))=("Y"),"false"),B2,Y312),Y312))</f>
        <v>#VALUE!</v>
      </c>
      <c r="Z312" t="e">
        <f ca="1">IF((A1)=(2),"",IF((309)=(Z3),IF(IF((INDEX(B1:XFD1,((A2)+(1))+(0)))=("store"),(INDEX(B1:XFD1,((A2)+(1))+(1)))=("Z"),"false"),B2,Z312),Z312))</f>
        <v>#VALUE!</v>
      </c>
      <c r="AA312" t="e">
        <f ca="1">IF((A1)=(2),"",IF((309)=(AA3),IF(IF((INDEX(B1:XFD1,((A2)+(1))+(0)))=("store"),(INDEX(B1:XFD1,((A2)+(1))+(1)))=("AA"),"false"),B2,AA312),AA312))</f>
        <v>#VALUE!</v>
      </c>
      <c r="AB312" t="e">
        <f ca="1">IF((A1)=(2),"",IF((309)=(AB3),IF(IF((INDEX(B1:XFD1,((A2)+(1))+(0)))=("store"),(INDEX(B1:XFD1,((A2)+(1))+(1)))=("AB"),"false"),B2,AB312),AB312))</f>
        <v>#VALUE!</v>
      </c>
      <c r="AC312" t="e">
        <f ca="1">IF((A1)=(2),"",IF((309)=(AC3),IF(IF((INDEX(B1:XFD1,((A2)+(1))+(0)))=("store"),(INDEX(B1:XFD1,((A2)+(1))+(1)))=("AC"),"false"),B2,AC312),AC312))</f>
        <v>#VALUE!</v>
      </c>
      <c r="AD312" t="e">
        <f ca="1">IF((A1)=(2),"",IF((309)=(AD3),IF(IF((INDEX(B1:XFD1,((A2)+(1))+(0)))=("store"),(INDEX(B1:XFD1,((A2)+(1))+(1)))=("AD"),"false"),B2,AD312),AD312))</f>
        <v>#VALUE!</v>
      </c>
    </row>
    <row r="313" spans="1:30" x14ac:dyDescent="0.25">
      <c r="A313" t="e">
        <f ca="1">IF((A1)=(2),"",IF((310)=(A3),IF(("call")=(INDEX(B1:XFD1,((A2)+(1))+(0))),(B2)*(2),IF(("goto")=(INDEX(B1:XFD1,((A2)+(1))+(0))),(INDEX(B1:XFD1,((A2)+(1))+(1)))*(2),IF(("gotoiftrue")=(INDEX(B1:XFD1,((A2)+(1))+(0))),IF(B2,(INDEX(B1:XFD1,((A2)+(1))+(1)))*(2),(A313)+(2)),(A313)+(2)))),A313))</f>
        <v>#VALUE!</v>
      </c>
      <c r="B313" t="e">
        <f ca="1">IF((A1)=(2),"",IF((310)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313)+(1)),IF(("add")=(INDEX(B1:XFD1,((A2)+(1))+(0))),(INDEX(B4:B404,(B3)+(1)))+(B313),IF(("equals")=(INDEX(B1:XFD1,((A2)+(1))+(0))),(INDEX(B4:B404,(B3)+(1)))=(B313),IF(("leq")=(INDEX(B1:XFD1,((A2)+(1))+(0))),(INDEX(B4:B404,(B3)+(1)))&lt;=(B313),IF(("greater")=(INDEX(B1:XFD1,((A2)+(1))+(0))),(INDEX(B4:B404,(B3)+(1)))&gt;(B313),IF(("mod")=(INDEX(B1:XFD1,((A2)+(1))+(0))),MOD(INDEX(B4:B404,(B3)+(1)),B313),B313))))))))),B313))</f>
        <v>#VALUE!</v>
      </c>
      <c r="C313" t="e">
        <f ca="1">IF((A1)=(2),1,IF(AND((INDEX(B1:XFD1,((A2)+(1))+(0)))=("writeheap"),(INDEX(B4:B404,(B3)+(1)))=(309)),INDEX(B4:B404,(B3)+(2)),IF((A1)=(2),"",IF((310)=(C3),C313,C313))))</f>
        <v>#VALUE!</v>
      </c>
      <c r="E313" t="e">
        <f ca="1">IF((A1)=(2),"",IF((310)=(E3),IF(("outputline")=(INDEX(B1:XFD1,((A2)+(1))+(0))),B2,E313),E313))</f>
        <v>#VALUE!</v>
      </c>
      <c r="F313" t="e">
        <f ca="1">IF((A1)=(2),"",IF((310)=(F3),IF(IF((INDEX(B1:XFD1,((A2)+(1))+(0)))=("store"),(INDEX(B1:XFD1,((A2)+(1))+(1)))=("F"),"false"),B2,F313),F313))</f>
        <v>#VALUE!</v>
      </c>
      <c r="G313" t="e">
        <f ca="1">IF((A1)=(2),"",IF((310)=(G3),IF(IF((INDEX(B1:XFD1,((A2)+(1))+(0)))=("store"),(INDEX(B1:XFD1,((A2)+(1))+(1)))=("G"),"false"),B2,G313),G313))</f>
        <v>#VALUE!</v>
      </c>
      <c r="H313" t="e">
        <f ca="1">IF((A1)=(2),"",IF((310)=(H3),IF(IF((INDEX(B1:XFD1,((A2)+(1))+(0)))=("store"),(INDEX(B1:XFD1,((A2)+(1))+(1)))=("H"),"false"),B2,H313),H313))</f>
        <v>#VALUE!</v>
      </c>
      <c r="I313" t="e">
        <f ca="1">IF((A1)=(2),"",IF((310)=(I3),IF(IF((INDEX(B1:XFD1,((A2)+(1))+(0)))=("store"),(INDEX(B1:XFD1,((A2)+(1))+(1)))=("I"),"false"),B2,I313),I313))</f>
        <v>#VALUE!</v>
      </c>
      <c r="J313" t="e">
        <f ca="1">IF((A1)=(2),"",IF((310)=(J3),IF(IF((INDEX(B1:XFD1,((A2)+(1))+(0)))=("store"),(INDEX(B1:XFD1,((A2)+(1))+(1)))=("J"),"false"),B2,J313),J313))</f>
        <v>#VALUE!</v>
      </c>
      <c r="K313" t="e">
        <f ca="1">IF((A1)=(2),"",IF((310)=(K3),IF(IF((INDEX(B1:XFD1,((A2)+(1))+(0)))=("store"),(INDEX(B1:XFD1,((A2)+(1))+(1)))=("K"),"false"),B2,K313),K313))</f>
        <v>#VALUE!</v>
      </c>
      <c r="L313" t="e">
        <f ca="1">IF((A1)=(2),"",IF((310)=(L3),IF(IF((INDEX(B1:XFD1,((A2)+(1))+(0)))=("store"),(INDEX(B1:XFD1,((A2)+(1))+(1)))=("L"),"false"),B2,L313),L313))</f>
        <v>#VALUE!</v>
      </c>
      <c r="M313" t="e">
        <f ca="1">IF((A1)=(2),"",IF((310)=(M3),IF(IF((INDEX(B1:XFD1,((A2)+(1))+(0)))=("store"),(INDEX(B1:XFD1,((A2)+(1))+(1)))=("M"),"false"),B2,M313),M313))</f>
        <v>#VALUE!</v>
      </c>
      <c r="N313" t="e">
        <f ca="1">IF((A1)=(2),"",IF((310)=(N3),IF(IF((INDEX(B1:XFD1,((A2)+(1))+(0)))=("store"),(INDEX(B1:XFD1,((A2)+(1))+(1)))=("N"),"false"),B2,N313),N313))</f>
        <v>#VALUE!</v>
      </c>
      <c r="O313" t="e">
        <f ca="1">IF((A1)=(2),"",IF((310)=(O3),IF(IF((INDEX(B1:XFD1,((A2)+(1))+(0)))=("store"),(INDEX(B1:XFD1,((A2)+(1))+(1)))=("O"),"false"),B2,O313),O313))</f>
        <v>#VALUE!</v>
      </c>
      <c r="P313" t="e">
        <f ca="1">IF((A1)=(2),"",IF((310)=(P3),IF(IF((INDEX(B1:XFD1,((A2)+(1))+(0)))=("store"),(INDEX(B1:XFD1,((A2)+(1))+(1)))=("P"),"false"),B2,P313),P313))</f>
        <v>#VALUE!</v>
      </c>
      <c r="Q313" t="e">
        <f ca="1">IF((A1)=(2),"",IF((310)=(Q3),IF(IF((INDEX(B1:XFD1,((A2)+(1))+(0)))=("store"),(INDEX(B1:XFD1,((A2)+(1))+(1)))=("Q"),"false"),B2,Q313),Q313))</f>
        <v>#VALUE!</v>
      </c>
      <c r="R313" t="e">
        <f ca="1">IF((A1)=(2),"",IF((310)=(R3),IF(IF((INDEX(B1:XFD1,((A2)+(1))+(0)))=("store"),(INDEX(B1:XFD1,((A2)+(1))+(1)))=("R"),"false"),B2,R313),R313))</f>
        <v>#VALUE!</v>
      </c>
      <c r="S313" t="e">
        <f ca="1">IF((A1)=(2),"",IF((310)=(S3),IF(IF((INDEX(B1:XFD1,((A2)+(1))+(0)))=("store"),(INDEX(B1:XFD1,((A2)+(1))+(1)))=("S"),"false"),B2,S313),S313))</f>
        <v>#VALUE!</v>
      </c>
      <c r="T313" t="e">
        <f ca="1">IF((A1)=(2),"",IF((310)=(T3),IF(IF((INDEX(B1:XFD1,((A2)+(1))+(0)))=("store"),(INDEX(B1:XFD1,((A2)+(1))+(1)))=("T"),"false"),B2,T313),T313))</f>
        <v>#VALUE!</v>
      </c>
      <c r="U313" t="e">
        <f ca="1">IF((A1)=(2),"",IF((310)=(U3),IF(IF((INDEX(B1:XFD1,((A2)+(1))+(0)))=("store"),(INDEX(B1:XFD1,((A2)+(1))+(1)))=("U"),"false"),B2,U313),U313))</f>
        <v>#VALUE!</v>
      </c>
      <c r="V313" t="e">
        <f ca="1">IF((A1)=(2),"",IF((310)=(V3),IF(IF((INDEX(B1:XFD1,((A2)+(1))+(0)))=("store"),(INDEX(B1:XFD1,((A2)+(1))+(1)))=("V"),"false"),B2,V313),V313))</f>
        <v>#VALUE!</v>
      </c>
      <c r="W313" t="e">
        <f ca="1">IF((A1)=(2),"",IF((310)=(W3),IF(IF((INDEX(B1:XFD1,((A2)+(1))+(0)))=("store"),(INDEX(B1:XFD1,((A2)+(1))+(1)))=("W"),"false"),B2,W313),W313))</f>
        <v>#VALUE!</v>
      </c>
      <c r="X313" t="e">
        <f ca="1">IF((A1)=(2),"",IF((310)=(X3),IF(IF((INDEX(B1:XFD1,((A2)+(1))+(0)))=("store"),(INDEX(B1:XFD1,((A2)+(1))+(1)))=("X"),"false"),B2,X313),X313))</f>
        <v>#VALUE!</v>
      </c>
      <c r="Y313" t="e">
        <f ca="1">IF((A1)=(2),"",IF((310)=(Y3),IF(IF((INDEX(B1:XFD1,((A2)+(1))+(0)))=("store"),(INDEX(B1:XFD1,((A2)+(1))+(1)))=("Y"),"false"),B2,Y313),Y313))</f>
        <v>#VALUE!</v>
      </c>
      <c r="Z313" t="e">
        <f ca="1">IF((A1)=(2),"",IF((310)=(Z3),IF(IF((INDEX(B1:XFD1,((A2)+(1))+(0)))=("store"),(INDEX(B1:XFD1,((A2)+(1))+(1)))=("Z"),"false"),B2,Z313),Z313))</f>
        <v>#VALUE!</v>
      </c>
      <c r="AA313" t="e">
        <f ca="1">IF((A1)=(2),"",IF((310)=(AA3),IF(IF((INDEX(B1:XFD1,((A2)+(1))+(0)))=("store"),(INDEX(B1:XFD1,((A2)+(1))+(1)))=("AA"),"false"),B2,AA313),AA313))</f>
        <v>#VALUE!</v>
      </c>
      <c r="AB313" t="e">
        <f ca="1">IF((A1)=(2),"",IF((310)=(AB3),IF(IF((INDEX(B1:XFD1,((A2)+(1))+(0)))=("store"),(INDEX(B1:XFD1,((A2)+(1))+(1)))=("AB"),"false"),B2,AB313),AB313))</f>
        <v>#VALUE!</v>
      </c>
      <c r="AC313" t="e">
        <f ca="1">IF((A1)=(2),"",IF((310)=(AC3),IF(IF((INDEX(B1:XFD1,((A2)+(1))+(0)))=("store"),(INDEX(B1:XFD1,((A2)+(1))+(1)))=("AC"),"false"),B2,AC313),AC313))</f>
        <v>#VALUE!</v>
      </c>
      <c r="AD313" t="e">
        <f ca="1">IF((A1)=(2),"",IF((310)=(AD3),IF(IF((INDEX(B1:XFD1,((A2)+(1))+(0)))=("store"),(INDEX(B1:XFD1,((A2)+(1))+(1)))=("AD"),"false"),B2,AD313),AD313))</f>
        <v>#VALUE!</v>
      </c>
    </row>
    <row r="314" spans="1:30" x14ac:dyDescent="0.25">
      <c r="A314" t="e">
        <f ca="1">IF((A1)=(2),"",IF((311)=(A3),IF(("call")=(INDEX(B1:XFD1,((A2)+(1))+(0))),(B2)*(2),IF(("goto")=(INDEX(B1:XFD1,((A2)+(1))+(0))),(INDEX(B1:XFD1,((A2)+(1))+(1)))*(2),IF(("gotoiftrue")=(INDEX(B1:XFD1,((A2)+(1))+(0))),IF(B2,(INDEX(B1:XFD1,((A2)+(1))+(1)))*(2),(A314)+(2)),(A314)+(2)))),A314))</f>
        <v>#VALUE!</v>
      </c>
      <c r="B314" t="e">
        <f ca="1">IF((A1)=(2),"",IF((311)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314)+(1)),IF(("add")=(INDEX(B1:XFD1,((A2)+(1))+(0))),(INDEX(B4:B404,(B3)+(1)))+(B314),IF(("equals")=(INDEX(B1:XFD1,((A2)+(1))+(0))),(INDEX(B4:B404,(B3)+(1)))=(B314),IF(("leq")=(INDEX(B1:XFD1,((A2)+(1))+(0))),(INDEX(B4:B404,(B3)+(1)))&lt;=(B314),IF(("greater")=(INDEX(B1:XFD1,((A2)+(1))+(0))),(INDEX(B4:B404,(B3)+(1)))&gt;(B314),IF(("mod")=(INDEX(B1:XFD1,((A2)+(1))+(0))),MOD(INDEX(B4:B404,(B3)+(1)),B314),B314))))))))),B314))</f>
        <v>#VALUE!</v>
      </c>
      <c r="C314" t="e">
        <f ca="1">IF((A1)=(2),1,IF(AND((INDEX(B1:XFD1,((A2)+(1))+(0)))=("writeheap"),(INDEX(B4:B404,(B3)+(1)))=(310)),INDEX(B4:B404,(B3)+(2)),IF((A1)=(2),"",IF((311)=(C3),C314,C314))))</f>
        <v>#VALUE!</v>
      </c>
      <c r="E314" t="e">
        <f ca="1">IF((A1)=(2),"",IF((311)=(E3),IF(("outputline")=(INDEX(B1:XFD1,((A2)+(1))+(0))),B2,E314),E314))</f>
        <v>#VALUE!</v>
      </c>
      <c r="F314" t="e">
        <f ca="1">IF((A1)=(2),"",IF((311)=(F3),IF(IF((INDEX(B1:XFD1,((A2)+(1))+(0)))=("store"),(INDEX(B1:XFD1,((A2)+(1))+(1)))=("F"),"false"),B2,F314),F314))</f>
        <v>#VALUE!</v>
      </c>
      <c r="G314" t="e">
        <f ca="1">IF((A1)=(2),"",IF((311)=(G3),IF(IF((INDEX(B1:XFD1,((A2)+(1))+(0)))=("store"),(INDEX(B1:XFD1,((A2)+(1))+(1)))=("G"),"false"),B2,G314),G314))</f>
        <v>#VALUE!</v>
      </c>
      <c r="H314" t="e">
        <f ca="1">IF((A1)=(2),"",IF((311)=(H3),IF(IF((INDEX(B1:XFD1,((A2)+(1))+(0)))=("store"),(INDEX(B1:XFD1,((A2)+(1))+(1)))=("H"),"false"),B2,H314),H314))</f>
        <v>#VALUE!</v>
      </c>
      <c r="I314" t="e">
        <f ca="1">IF((A1)=(2),"",IF((311)=(I3),IF(IF((INDEX(B1:XFD1,((A2)+(1))+(0)))=("store"),(INDEX(B1:XFD1,((A2)+(1))+(1)))=("I"),"false"),B2,I314),I314))</f>
        <v>#VALUE!</v>
      </c>
      <c r="J314" t="e">
        <f ca="1">IF((A1)=(2),"",IF((311)=(J3),IF(IF((INDEX(B1:XFD1,((A2)+(1))+(0)))=("store"),(INDEX(B1:XFD1,((A2)+(1))+(1)))=("J"),"false"),B2,J314),J314))</f>
        <v>#VALUE!</v>
      </c>
      <c r="K314" t="e">
        <f ca="1">IF((A1)=(2),"",IF((311)=(K3),IF(IF((INDEX(B1:XFD1,((A2)+(1))+(0)))=("store"),(INDEX(B1:XFD1,((A2)+(1))+(1)))=("K"),"false"),B2,K314),K314))</f>
        <v>#VALUE!</v>
      </c>
      <c r="L314" t="e">
        <f ca="1">IF((A1)=(2),"",IF((311)=(L3),IF(IF((INDEX(B1:XFD1,((A2)+(1))+(0)))=("store"),(INDEX(B1:XFD1,((A2)+(1))+(1)))=("L"),"false"),B2,L314),L314))</f>
        <v>#VALUE!</v>
      </c>
      <c r="M314" t="e">
        <f ca="1">IF((A1)=(2),"",IF((311)=(M3),IF(IF((INDEX(B1:XFD1,((A2)+(1))+(0)))=("store"),(INDEX(B1:XFD1,((A2)+(1))+(1)))=("M"),"false"),B2,M314),M314))</f>
        <v>#VALUE!</v>
      </c>
      <c r="N314" t="e">
        <f ca="1">IF((A1)=(2),"",IF((311)=(N3),IF(IF((INDEX(B1:XFD1,((A2)+(1))+(0)))=("store"),(INDEX(B1:XFD1,((A2)+(1))+(1)))=("N"),"false"),B2,N314),N314))</f>
        <v>#VALUE!</v>
      </c>
      <c r="O314" t="e">
        <f ca="1">IF((A1)=(2),"",IF((311)=(O3),IF(IF((INDEX(B1:XFD1,((A2)+(1))+(0)))=("store"),(INDEX(B1:XFD1,((A2)+(1))+(1)))=("O"),"false"),B2,O314),O314))</f>
        <v>#VALUE!</v>
      </c>
      <c r="P314" t="e">
        <f ca="1">IF((A1)=(2),"",IF((311)=(P3),IF(IF((INDEX(B1:XFD1,((A2)+(1))+(0)))=("store"),(INDEX(B1:XFD1,((A2)+(1))+(1)))=("P"),"false"),B2,P314),P314))</f>
        <v>#VALUE!</v>
      </c>
      <c r="Q314" t="e">
        <f ca="1">IF((A1)=(2),"",IF((311)=(Q3),IF(IF((INDEX(B1:XFD1,((A2)+(1))+(0)))=("store"),(INDEX(B1:XFD1,((A2)+(1))+(1)))=("Q"),"false"),B2,Q314),Q314))</f>
        <v>#VALUE!</v>
      </c>
      <c r="R314" t="e">
        <f ca="1">IF((A1)=(2),"",IF((311)=(R3),IF(IF((INDEX(B1:XFD1,((A2)+(1))+(0)))=("store"),(INDEX(B1:XFD1,((A2)+(1))+(1)))=("R"),"false"),B2,R314),R314))</f>
        <v>#VALUE!</v>
      </c>
      <c r="S314" t="e">
        <f ca="1">IF((A1)=(2),"",IF((311)=(S3),IF(IF((INDEX(B1:XFD1,((A2)+(1))+(0)))=("store"),(INDEX(B1:XFD1,((A2)+(1))+(1)))=("S"),"false"),B2,S314),S314))</f>
        <v>#VALUE!</v>
      </c>
      <c r="T314" t="e">
        <f ca="1">IF((A1)=(2),"",IF((311)=(T3),IF(IF((INDEX(B1:XFD1,((A2)+(1))+(0)))=("store"),(INDEX(B1:XFD1,((A2)+(1))+(1)))=("T"),"false"),B2,T314),T314))</f>
        <v>#VALUE!</v>
      </c>
      <c r="U314" t="e">
        <f ca="1">IF((A1)=(2),"",IF((311)=(U3),IF(IF((INDEX(B1:XFD1,((A2)+(1))+(0)))=("store"),(INDEX(B1:XFD1,((A2)+(1))+(1)))=("U"),"false"),B2,U314),U314))</f>
        <v>#VALUE!</v>
      </c>
      <c r="V314" t="e">
        <f ca="1">IF((A1)=(2),"",IF((311)=(V3),IF(IF((INDEX(B1:XFD1,((A2)+(1))+(0)))=("store"),(INDEX(B1:XFD1,((A2)+(1))+(1)))=("V"),"false"),B2,V314),V314))</f>
        <v>#VALUE!</v>
      </c>
      <c r="W314" t="e">
        <f ca="1">IF((A1)=(2),"",IF((311)=(W3),IF(IF((INDEX(B1:XFD1,((A2)+(1))+(0)))=("store"),(INDEX(B1:XFD1,((A2)+(1))+(1)))=("W"),"false"),B2,W314),W314))</f>
        <v>#VALUE!</v>
      </c>
      <c r="X314" t="e">
        <f ca="1">IF((A1)=(2),"",IF((311)=(X3),IF(IF((INDEX(B1:XFD1,((A2)+(1))+(0)))=("store"),(INDEX(B1:XFD1,((A2)+(1))+(1)))=("X"),"false"),B2,X314),X314))</f>
        <v>#VALUE!</v>
      </c>
      <c r="Y314" t="e">
        <f ca="1">IF((A1)=(2),"",IF((311)=(Y3),IF(IF((INDEX(B1:XFD1,((A2)+(1))+(0)))=("store"),(INDEX(B1:XFD1,((A2)+(1))+(1)))=("Y"),"false"),B2,Y314),Y314))</f>
        <v>#VALUE!</v>
      </c>
      <c r="Z314" t="e">
        <f ca="1">IF((A1)=(2),"",IF((311)=(Z3),IF(IF((INDEX(B1:XFD1,((A2)+(1))+(0)))=("store"),(INDEX(B1:XFD1,((A2)+(1))+(1)))=("Z"),"false"),B2,Z314),Z314))</f>
        <v>#VALUE!</v>
      </c>
      <c r="AA314" t="e">
        <f ca="1">IF((A1)=(2),"",IF((311)=(AA3),IF(IF((INDEX(B1:XFD1,((A2)+(1))+(0)))=("store"),(INDEX(B1:XFD1,((A2)+(1))+(1)))=("AA"),"false"),B2,AA314),AA314))</f>
        <v>#VALUE!</v>
      </c>
      <c r="AB314" t="e">
        <f ca="1">IF((A1)=(2),"",IF((311)=(AB3),IF(IF((INDEX(B1:XFD1,((A2)+(1))+(0)))=("store"),(INDEX(B1:XFD1,((A2)+(1))+(1)))=("AB"),"false"),B2,AB314),AB314))</f>
        <v>#VALUE!</v>
      </c>
      <c r="AC314" t="e">
        <f ca="1">IF((A1)=(2),"",IF((311)=(AC3),IF(IF((INDEX(B1:XFD1,((A2)+(1))+(0)))=("store"),(INDEX(B1:XFD1,((A2)+(1))+(1)))=("AC"),"false"),B2,AC314),AC314))</f>
        <v>#VALUE!</v>
      </c>
      <c r="AD314" t="e">
        <f ca="1">IF((A1)=(2),"",IF((311)=(AD3),IF(IF((INDEX(B1:XFD1,((A2)+(1))+(0)))=("store"),(INDEX(B1:XFD1,((A2)+(1))+(1)))=("AD"),"false"),B2,AD314),AD314))</f>
        <v>#VALUE!</v>
      </c>
    </row>
    <row r="315" spans="1:30" x14ac:dyDescent="0.25">
      <c r="A315" t="e">
        <f ca="1">IF((A1)=(2),"",IF((312)=(A3),IF(("call")=(INDEX(B1:XFD1,((A2)+(1))+(0))),(B2)*(2),IF(("goto")=(INDEX(B1:XFD1,((A2)+(1))+(0))),(INDEX(B1:XFD1,((A2)+(1))+(1)))*(2),IF(("gotoiftrue")=(INDEX(B1:XFD1,((A2)+(1))+(0))),IF(B2,(INDEX(B1:XFD1,((A2)+(1))+(1)))*(2),(A315)+(2)),(A315)+(2)))),A315))</f>
        <v>#VALUE!</v>
      </c>
      <c r="B315" t="e">
        <f ca="1">IF((A1)=(2),"",IF((312)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315)+(1)),IF(("add")=(INDEX(B1:XFD1,((A2)+(1))+(0))),(INDEX(B4:B404,(B3)+(1)))+(B315),IF(("equals")=(INDEX(B1:XFD1,((A2)+(1))+(0))),(INDEX(B4:B404,(B3)+(1)))=(B315),IF(("leq")=(INDEX(B1:XFD1,((A2)+(1))+(0))),(INDEX(B4:B404,(B3)+(1)))&lt;=(B315),IF(("greater")=(INDEX(B1:XFD1,((A2)+(1))+(0))),(INDEX(B4:B404,(B3)+(1)))&gt;(B315),IF(("mod")=(INDEX(B1:XFD1,((A2)+(1))+(0))),MOD(INDEX(B4:B404,(B3)+(1)),B315),B315))))))))),B315))</f>
        <v>#VALUE!</v>
      </c>
      <c r="C315" t="e">
        <f ca="1">IF((A1)=(2),1,IF(AND((INDEX(B1:XFD1,((A2)+(1))+(0)))=("writeheap"),(INDEX(B4:B404,(B3)+(1)))=(311)),INDEX(B4:B404,(B3)+(2)),IF((A1)=(2),"",IF((312)=(C3),C315,C315))))</f>
        <v>#VALUE!</v>
      </c>
      <c r="E315" t="e">
        <f ca="1">IF((A1)=(2),"",IF((312)=(E3),IF(("outputline")=(INDEX(B1:XFD1,((A2)+(1))+(0))),B2,E315),E315))</f>
        <v>#VALUE!</v>
      </c>
      <c r="F315" t="e">
        <f ca="1">IF((A1)=(2),"",IF((312)=(F3),IF(IF((INDEX(B1:XFD1,((A2)+(1))+(0)))=("store"),(INDEX(B1:XFD1,((A2)+(1))+(1)))=("F"),"false"),B2,F315),F315))</f>
        <v>#VALUE!</v>
      </c>
      <c r="G315" t="e">
        <f ca="1">IF((A1)=(2),"",IF((312)=(G3),IF(IF((INDEX(B1:XFD1,((A2)+(1))+(0)))=("store"),(INDEX(B1:XFD1,((A2)+(1))+(1)))=("G"),"false"),B2,G315),G315))</f>
        <v>#VALUE!</v>
      </c>
      <c r="H315" t="e">
        <f ca="1">IF((A1)=(2),"",IF((312)=(H3),IF(IF((INDEX(B1:XFD1,((A2)+(1))+(0)))=("store"),(INDEX(B1:XFD1,((A2)+(1))+(1)))=("H"),"false"),B2,H315),H315))</f>
        <v>#VALUE!</v>
      </c>
      <c r="I315" t="e">
        <f ca="1">IF((A1)=(2),"",IF((312)=(I3),IF(IF((INDEX(B1:XFD1,((A2)+(1))+(0)))=("store"),(INDEX(B1:XFD1,((A2)+(1))+(1)))=("I"),"false"),B2,I315),I315))</f>
        <v>#VALUE!</v>
      </c>
      <c r="J315" t="e">
        <f ca="1">IF((A1)=(2),"",IF((312)=(J3),IF(IF((INDEX(B1:XFD1,((A2)+(1))+(0)))=("store"),(INDEX(B1:XFD1,((A2)+(1))+(1)))=("J"),"false"),B2,J315),J315))</f>
        <v>#VALUE!</v>
      </c>
      <c r="K315" t="e">
        <f ca="1">IF((A1)=(2),"",IF((312)=(K3),IF(IF((INDEX(B1:XFD1,((A2)+(1))+(0)))=("store"),(INDEX(B1:XFD1,((A2)+(1))+(1)))=("K"),"false"),B2,K315),K315))</f>
        <v>#VALUE!</v>
      </c>
      <c r="L315" t="e">
        <f ca="1">IF((A1)=(2),"",IF((312)=(L3),IF(IF((INDEX(B1:XFD1,((A2)+(1))+(0)))=("store"),(INDEX(B1:XFD1,((A2)+(1))+(1)))=("L"),"false"),B2,L315),L315))</f>
        <v>#VALUE!</v>
      </c>
      <c r="M315" t="e">
        <f ca="1">IF((A1)=(2),"",IF((312)=(M3),IF(IF((INDEX(B1:XFD1,((A2)+(1))+(0)))=("store"),(INDEX(B1:XFD1,((A2)+(1))+(1)))=("M"),"false"),B2,M315),M315))</f>
        <v>#VALUE!</v>
      </c>
      <c r="N315" t="e">
        <f ca="1">IF((A1)=(2),"",IF((312)=(N3),IF(IF((INDEX(B1:XFD1,((A2)+(1))+(0)))=("store"),(INDEX(B1:XFD1,((A2)+(1))+(1)))=("N"),"false"),B2,N315),N315))</f>
        <v>#VALUE!</v>
      </c>
      <c r="O315" t="e">
        <f ca="1">IF((A1)=(2),"",IF((312)=(O3),IF(IF((INDEX(B1:XFD1,((A2)+(1))+(0)))=("store"),(INDEX(B1:XFD1,((A2)+(1))+(1)))=("O"),"false"),B2,O315),O315))</f>
        <v>#VALUE!</v>
      </c>
      <c r="P315" t="e">
        <f ca="1">IF((A1)=(2),"",IF((312)=(P3),IF(IF((INDEX(B1:XFD1,((A2)+(1))+(0)))=("store"),(INDEX(B1:XFD1,((A2)+(1))+(1)))=("P"),"false"),B2,P315),P315))</f>
        <v>#VALUE!</v>
      </c>
      <c r="Q315" t="e">
        <f ca="1">IF((A1)=(2),"",IF((312)=(Q3),IF(IF((INDEX(B1:XFD1,((A2)+(1))+(0)))=("store"),(INDEX(B1:XFD1,((A2)+(1))+(1)))=("Q"),"false"),B2,Q315),Q315))</f>
        <v>#VALUE!</v>
      </c>
      <c r="R315" t="e">
        <f ca="1">IF((A1)=(2),"",IF((312)=(R3),IF(IF((INDEX(B1:XFD1,((A2)+(1))+(0)))=("store"),(INDEX(B1:XFD1,((A2)+(1))+(1)))=("R"),"false"),B2,R315),R315))</f>
        <v>#VALUE!</v>
      </c>
      <c r="S315" t="e">
        <f ca="1">IF((A1)=(2),"",IF((312)=(S3),IF(IF((INDEX(B1:XFD1,((A2)+(1))+(0)))=("store"),(INDEX(B1:XFD1,((A2)+(1))+(1)))=("S"),"false"),B2,S315),S315))</f>
        <v>#VALUE!</v>
      </c>
      <c r="T315" t="e">
        <f ca="1">IF((A1)=(2),"",IF((312)=(T3),IF(IF((INDEX(B1:XFD1,((A2)+(1))+(0)))=("store"),(INDEX(B1:XFD1,((A2)+(1))+(1)))=("T"),"false"),B2,T315),T315))</f>
        <v>#VALUE!</v>
      </c>
      <c r="U315" t="e">
        <f ca="1">IF((A1)=(2),"",IF((312)=(U3),IF(IF((INDEX(B1:XFD1,((A2)+(1))+(0)))=("store"),(INDEX(B1:XFD1,((A2)+(1))+(1)))=("U"),"false"),B2,U315),U315))</f>
        <v>#VALUE!</v>
      </c>
      <c r="V315" t="e">
        <f ca="1">IF((A1)=(2),"",IF((312)=(V3),IF(IF((INDEX(B1:XFD1,((A2)+(1))+(0)))=("store"),(INDEX(B1:XFD1,((A2)+(1))+(1)))=("V"),"false"),B2,V315),V315))</f>
        <v>#VALUE!</v>
      </c>
      <c r="W315" t="e">
        <f ca="1">IF((A1)=(2),"",IF((312)=(W3),IF(IF((INDEX(B1:XFD1,((A2)+(1))+(0)))=("store"),(INDEX(B1:XFD1,((A2)+(1))+(1)))=("W"),"false"),B2,W315),W315))</f>
        <v>#VALUE!</v>
      </c>
      <c r="X315" t="e">
        <f ca="1">IF((A1)=(2),"",IF((312)=(X3),IF(IF((INDEX(B1:XFD1,((A2)+(1))+(0)))=("store"),(INDEX(B1:XFD1,((A2)+(1))+(1)))=("X"),"false"),B2,X315),X315))</f>
        <v>#VALUE!</v>
      </c>
      <c r="Y315" t="e">
        <f ca="1">IF((A1)=(2),"",IF((312)=(Y3),IF(IF((INDEX(B1:XFD1,((A2)+(1))+(0)))=("store"),(INDEX(B1:XFD1,((A2)+(1))+(1)))=("Y"),"false"),B2,Y315),Y315))</f>
        <v>#VALUE!</v>
      </c>
      <c r="Z315" t="e">
        <f ca="1">IF((A1)=(2),"",IF((312)=(Z3),IF(IF((INDEX(B1:XFD1,((A2)+(1))+(0)))=("store"),(INDEX(B1:XFD1,((A2)+(1))+(1)))=("Z"),"false"),B2,Z315),Z315))</f>
        <v>#VALUE!</v>
      </c>
      <c r="AA315" t="e">
        <f ca="1">IF((A1)=(2),"",IF((312)=(AA3),IF(IF((INDEX(B1:XFD1,((A2)+(1))+(0)))=("store"),(INDEX(B1:XFD1,((A2)+(1))+(1)))=("AA"),"false"),B2,AA315),AA315))</f>
        <v>#VALUE!</v>
      </c>
      <c r="AB315" t="e">
        <f ca="1">IF((A1)=(2),"",IF((312)=(AB3),IF(IF((INDEX(B1:XFD1,((A2)+(1))+(0)))=("store"),(INDEX(B1:XFD1,((A2)+(1))+(1)))=("AB"),"false"),B2,AB315),AB315))</f>
        <v>#VALUE!</v>
      </c>
      <c r="AC315" t="e">
        <f ca="1">IF((A1)=(2),"",IF((312)=(AC3),IF(IF((INDEX(B1:XFD1,((A2)+(1))+(0)))=("store"),(INDEX(B1:XFD1,((A2)+(1))+(1)))=("AC"),"false"),B2,AC315),AC315))</f>
        <v>#VALUE!</v>
      </c>
      <c r="AD315" t="e">
        <f ca="1">IF((A1)=(2),"",IF((312)=(AD3),IF(IF((INDEX(B1:XFD1,((A2)+(1))+(0)))=("store"),(INDEX(B1:XFD1,((A2)+(1))+(1)))=("AD"),"false"),B2,AD315),AD315))</f>
        <v>#VALUE!</v>
      </c>
    </row>
    <row r="316" spans="1:30" x14ac:dyDescent="0.25">
      <c r="A316" t="e">
        <f ca="1">IF((A1)=(2),"",IF((313)=(A3),IF(("call")=(INDEX(B1:XFD1,((A2)+(1))+(0))),(B2)*(2),IF(("goto")=(INDEX(B1:XFD1,((A2)+(1))+(0))),(INDEX(B1:XFD1,((A2)+(1))+(1)))*(2),IF(("gotoiftrue")=(INDEX(B1:XFD1,((A2)+(1))+(0))),IF(B2,(INDEX(B1:XFD1,((A2)+(1))+(1)))*(2),(A316)+(2)),(A316)+(2)))),A316))</f>
        <v>#VALUE!</v>
      </c>
      <c r="B316" t="e">
        <f ca="1">IF((A1)=(2),"",IF((313)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316)+(1)),IF(("add")=(INDEX(B1:XFD1,((A2)+(1))+(0))),(INDEX(B4:B404,(B3)+(1)))+(B316),IF(("equals")=(INDEX(B1:XFD1,((A2)+(1))+(0))),(INDEX(B4:B404,(B3)+(1)))=(B316),IF(("leq")=(INDEX(B1:XFD1,((A2)+(1))+(0))),(INDEX(B4:B404,(B3)+(1)))&lt;=(B316),IF(("greater")=(INDEX(B1:XFD1,((A2)+(1))+(0))),(INDEX(B4:B404,(B3)+(1)))&gt;(B316),IF(("mod")=(INDEX(B1:XFD1,((A2)+(1))+(0))),MOD(INDEX(B4:B404,(B3)+(1)),B316),B316))))))))),B316))</f>
        <v>#VALUE!</v>
      </c>
      <c r="C316" t="e">
        <f ca="1">IF((A1)=(2),1,IF(AND((INDEX(B1:XFD1,((A2)+(1))+(0)))=("writeheap"),(INDEX(B4:B404,(B3)+(1)))=(312)),INDEX(B4:B404,(B3)+(2)),IF((A1)=(2),"",IF((313)=(C3),C316,C316))))</f>
        <v>#VALUE!</v>
      </c>
      <c r="E316" t="e">
        <f ca="1">IF((A1)=(2),"",IF((313)=(E3),IF(("outputline")=(INDEX(B1:XFD1,((A2)+(1))+(0))),B2,E316),E316))</f>
        <v>#VALUE!</v>
      </c>
      <c r="F316" t="e">
        <f ca="1">IF((A1)=(2),"",IF((313)=(F3),IF(IF((INDEX(B1:XFD1,((A2)+(1))+(0)))=("store"),(INDEX(B1:XFD1,((A2)+(1))+(1)))=("F"),"false"),B2,F316),F316))</f>
        <v>#VALUE!</v>
      </c>
      <c r="G316" t="e">
        <f ca="1">IF((A1)=(2),"",IF((313)=(G3),IF(IF((INDEX(B1:XFD1,((A2)+(1))+(0)))=("store"),(INDEX(B1:XFD1,((A2)+(1))+(1)))=("G"),"false"),B2,G316),G316))</f>
        <v>#VALUE!</v>
      </c>
      <c r="H316" t="e">
        <f ca="1">IF((A1)=(2),"",IF((313)=(H3),IF(IF((INDEX(B1:XFD1,((A2)+(1))+(0)))=("store"),(INDEX(B1:XFD1,((A2)+(1))+(1)))=("H"),"false"),B2,H316),H316))</f>
        <v>#VALUE!</v>
      </c>
      <c r="I316" t="e">
        <f ca="1">IF((A1)=(2),"",IF((313)=(I3),IF(IF((INDEX(B1:XFD1,((A2)+(1))+(0)))=("store"),(INDEX(B1:XFD1,((A2)+(1))+(1)))=("I"),"false"),B2,I316),I316))</f>
        <v>#VALUE!</v>
      </c>
      <c r="J316" t="e">
        <f ca="1">IF((A1)=(2),"",IF((313)=(J3),IF(IF((INDEX(B1:XFD1,((A2)+(1))+(0)))=("store"),(INDEX(B1:XFD1,((A2)+(1))+(1)))=("J"),"false"),B2,J316),J316))</f>
        <v>#VALUE!</v>
      </c>
      <c r="K316" t="e">
        <f ca="1">IF((A1)=(2),"",IF((313)=(K3),IF(IF((INDEX(B1:XFD1,((A2)+(1))+(0)))=("store"),(INDEX(B1:XFD1,((A2)+(1))+(1)))=("K"),"false"),B2,K316),K316))</f>
        <v>#VALUE!</v>
      </c>
      <c r="L316" t="e">
        <f ca="1">IF((A1)=(2),"",IF((313)=(L3),IF(IF((INDEX(B1:XFD1,((A2)+(1))+(0)))=("store"),(INDEX(B1:XFD1,((A2)+(1))+(1)))=("L"),"false"),B2,L316),L316))</f>
        <v>#VALUE!</v>
      </c>
      <c r="M316" t="e">
        <f ca="1">IF((A1)=(2),"",IF((313)=(M3),IF(IF((INDEX(B1:XFD1,((A2)+(1))+(0)))=("store"),(INDEX(B1:XFD1,((A2)+(1))+(1)))=("M"),"false"),B2,M316),M316))</f>
        <v>#VALUE!</v>
      </c>
      <c r="N316" t="e">
        <f ca="1">IF((A1)=(2),"",IF((313)=(N3),IF(IF((INDEX(B1:XFD1,((A2)+(1))+(0)))=("store"),(INDEX(B1:XFD1,((A2)+(1))+(1)))=("N"),"false"),B2,N316),N316))</f>
        <v>#VALUE!</v>
      </c>
      <c r="O316" t="e">
        <f ca="1">IF((A1)=(2),"",IF((313)=(O3),IF(IF((INDEX(B1:XFD1,((A2)+(1))+(0)))=("store"),(INDEX(B1:XFD1,((A2)+(1))+(1)))=("O"),"false"),B2,O316),O316))</f>
        <v>#VALUE!</v>
      </c>
      <c r="P316" t="e">
        <f ca="1">IF((A1)=(2),"",IF((313)=(P3),IF(IF((INDEX(B1:XFD1,((A2)+(1))+(0)))=("store"),(INDEX(B1:XFD1,((A2)+(1))+(1)))=("P"),"false"),B2,P316),P316))</f>
        <v>#VALUE!</v>
      </c>
      <c r="Q316" t="e">
        <f ca="1">IF((A1)=(2),"",IF((313)=(Q3),IF(IF((INDEX(B1:XFD1,((A2)+(1))+(0)))=("store"),(INDEX(B1:XFD1,((A2)+(1))+(1)))=("Q"),"false"),B2,Q316),Q316))</f>
        <v>#VALUE!</v>
      </c>
      <c r="R316" t="e">
        <f ca="1">IF((A1)=(2),"",IF((313)=(R3),IF(IF((INDEX(B1:XFD1,((A2)+(1))+(0)))=("store"),(INDEX(B1:XFD1,((A2)+(1))+(1)))=("R"),"false"),B2,R316),R316))</f>
        <v>#VALUE!</v>
      </c>
      <c r="S316" t="e">
        <f ca="1">IF((A1)=(2),"",IF((313)=(S3),IF(IF((INDEX(B1:XFD1,((A2)+(1))+(0)))=("store"),(INDEX(B1:XFD1,((A2)+(1))+(1)))=("S"),"false"),B2,S316),S316))</f>
        <v>#VALUE!</v>
      </c>
      <c r="T316" t="e">
        <f ca="1">IF((A1)=(2),"",IF((313)=(T3),IF(IF((INDEX(B1:XFD1,((A2)+(1))+(0)))=("store"),(INDEX(B1:XFD1,((A2)+(1))+(1)))=("T"),"false"),B2,T316),T316))</f>
        <v>#VALUE!</v>
      </c>
      <c r="U316" t="e">
        <f ca="1">IF((A1)=(2),"",IF((313)=(U3),IF(IF((INDEX(B1:XFD1,((A2)+(1))+(0)))=("store"),(INDEX(B1:XFD1,((A2)+(1))+(1)))=("U"),"false"),B2,U316),U316))</f>
        <v>#VALUE!</v>
      </c>
      <c r="V316" t="e">
        <f ca="1">IF((A1)=(2),"",IF((313)=(V3),IF(IF((INDEX(B1:XFD1,((A2)+(1))+(0)))=("store"),(INDEX(B1:XFD1,((A2)+(1))+(1)))=("V"),"false"),B2,V316),V316))</f>
        <v>#VALUE!</v>
      </c>
      <c r="W316" t="e">
        <f ca="1">IF((A1)=(2),"",IF((313)=(W3),IF(IF((INDEX(B1:XFD1,((A2)+(1))+(0)))=("store"),(INDEX(B1:XFD1,((A2)+(1))+(1)))=("W"),"false"),B2,W316),W316))</f>
        <v>#VALUE!</v>
      </c>
      <c r="X316" t="e">
        <f ca="1">IF((A1)=(2),"",IF((313)=(X3),IF(IF((INDEX(B1:XFD1,((A2)+(1))+(0)))=("store"),(INDEX(B1:XFD1,((A2)+(1))+(1)))=("X"),"false"),B2,X316),X316))</f>
        <v>#VALUE!</v>
      </c>
      <c r="Y316" t="e">
        <f ca="1">IF((A1)=(2),"",IF((313)=(Y3),IF(IF((INDEX(B1:XFD1,((A2)+(1))+(0)))=("store"),(INDEX(B1:XFD1,((A2)+(1))+(1)))=("Y"),"false"),B2,Y316),Y316))</f>
        <v>#VALUE!</v>
      </c>
      <c r="Z316" t="e">
        <f ca="1">IF((A1)=(2),"",IF((313)=(Z3),IF(IF((INDEX(B1:XFD1,((A2)+(1))+(0)))=("store"),(INDEX(B1:XFD1,((A2)+(1))+(1)))=("Z"),"false"),B2,Z316),Z316))</f>
        <v>#VALUE!</v>
      </c>
      <c r="AA316" t="e">
        <f ca="1">IF((A1)=(2),"",IF((313)=(AA3),IF(IF((INDEX(B1:XFD1,((A2)+(1))+(0)))=("store"),(INDEX(B1:XFD1,((A2)+(1))+(1)))=("AA"),"false"),B2,AA316),AA316))</f>
        <v>#VALUE!</v>
      </c>
      <c r="AB316" t="e">
        <f ca="1">IF((A1)=(2),"",IF((313)=(AB3),IF(IF((INDEX(B1:XFD1,((A2)+(1))+(0)))=("store"),(INDEX(B1:XFD1,((A2)+(1))+(1)))=("AB"),"false"),B2,AB316),AB316))</f>
        <v>#VALUE!</v>
      </c>
      <c r="AC316" t="e">
        <f ca="1">IF((A1)=(2),"",IF((313)=(AC3),IF(IF((INDEX(B1:XFD1,((A2)+(1))+(0)))=("store"),(INDEX(B1:XFD1,((A2)+(1))+(1)))=("AC"),"false"),B2,AC316),AC316))</f>
        <v>#VALUE!</v>
      </c>
      <c r="AD316" t="e">
        <f ca="1">IF((A1)=(2),"",IF((313)=(AD3),IF(IF((INDEX(B1:XFD1,((A2)+(1))+(0)))=("store"),(INDEX(B1:XFD1,((A2)+(1))+(1)))=("AD"),"false"),B2,AD316),AD316))</f>
        <v>#VALUE!</v>
      </c>
    </row>
    <row r="317" spans="1:30" x14ac:dyDescent="0.25">
      <c r="A317" t="e">
        <f ca="1">IF((A1)=(2),"",IF((314)=(A3),IF(("call")=(INDEX(B1:XFD1,((A2)+(1))+(0))),(B2)*(2),IF(("goto")=(INDEX(B1:XFD1,((A2)+(1))+(0))),(INDEX(B1:XFD1,((A2)+(1))+(1)))*(2),IF(("gotoiftrue")=(INDEX(B1:XFD1,((A2)+(1))+(0))),IF(B2,(INDEX(B1:XFD1,((A2)+(1))+(1)))*(2),(A317)+(2)),(A317)+(2)))),A317))</f>
        <v>#VALUE!</v>
      </c>
      <c r="B317" t="e">
        <f ca="1">IF((A1)=(2),"",IF((314)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317)+(1)),IF(("add")=(INDEX(B1:XFD1,((A2)+(1))+(0))),(INDEX(B4:B404,(B3)+(1)))+(B317),IF(("equals")=(INDEX(B1:XFD1,((A2)+(1))+(0))),(INDEX(B4:B404,(B3)+(1)))=(B317),IF(("leq")=(INDEX(B1:XFD1,((A2)+(1))+(0))),(INDEX(B4:B404,(B3)+(1)))&lt;=(B317),IF(("greater")=(INDEX(B1:XFD1,((A2)+(1))+(0))),(INDEX(B4:B404,(B3)+(1)))&gt;(B317),IF(("mod")=(INDEX(B1:XFD1,((A2)+(1))+(0))),MOD(INDEX(B4:B404,(B3)+(1)),B317),B317))))))))),B317))</f>
        <v>#VALUE!</v>
      </c>
      <c r="C317" t="e">
        <f ca="1">IF((A1)=(2),1,IF(AND((INDEX(B1:XFD1,((A2)+(1))+(0)))=("writeheap"),(INDEX(B4:B404,(B3)+(1)))=(313)),INDEX(B4:B404,(B3)+(2)),IF((A1)=(2),"",IF((314)=(C3),C317,C317))))</f>
        <v>#VALUE!</v>
      </c>
      <c r="E317" t="e">
        <f ca="1">IF((A1)=(2),"",IF((314)=(E3),IF(("outputline")=(INDEX(B1:XFD1,((A2)+(1))+(0))),B2,E317),E317))</f>
        <v>#VALUE!</v>
      </c>
      <c r="F317" t="e">
        <f ca="1">IF((A1)=(2),"",IF((314)=(F3),IF(IF((INDEX(B1:XFD1,((A2)+(1))+(0)))=("store"),(INDEX(B1:XFD1,((A2)+(1))+(1)))=("F"),"false"),B2,F317),F317))</f>
        <v>#VALUE!</v>
      </c>
      <c r="G317" t="e">
        <f ca="1">IF((A1)=(2),"",IF((314)=(G3),IF(IF((INDEX(B1:XFD1,((A2)+(1))+(0)))=("store"),(INDEX(B1:XFD1,((A2)+(1))+(1)))=("G"),"false"),B2,G317),G317))</f>
        <v>#VALUE!</v>
      </c>
      <c r="H317" t="e">
        <f ca="1">IF((A1)=(2),"",IF((314)=(H3),IF(IF((INDEX(B1:XFD1,((A2)+(1))+(0)))=("store"),(INDEX(B1:XFD1,((A2)+(1))+(1)))=("H"),"false"),B2,H317),H317))</f>
        <v>#VALUE!</v>
      </c>
      <c r="I317" t="e">
        <f ca="1">IF((A1)=(2),"",IF((314)=(I3),IF(IF((INDEX(B1:XFD1,((A2)+(1))+(0)))=("store"),(INDEX(B1:XFD1,((A2)+(1))+(1)))=("I"),"false"),B2,I317),I317))</f>
        <v>#VALUE!</v>
      </c>
      <c r="J317" t="e">
        <f ca="1">IF((A1)=(2),"",IF((314)=(J3),IF(IF((INDEX(B1:XFD1,((A2)+(1))+(0)))=("store"),(INDEX(B1:XFD1,((A2)+(1))+(1)))=("J"),"false"),B2,J317),J317))</f>
        <v>#VALUE!</v>
      </c>
      <c r="K317" t="e">
        <f ca="1">IF((A1)=(2),"",IF((314)=(K3),IF(IF((INDEX(B1:XFD1,((A2)+(1))+(0)))=("store"),(INDEX(B1:XFD1,((A2)+(1))+(1)))=("K"),"false"),B2,K317),K317))</f>
        <v>#VALUE!</v>
      </c>
      <c r="L317" t="e">
        <f ca="1">IF((A1)=(2),"",IF((314)=(L3),IF(IF((INDEX(B1:XFD1,((A2)+(1))+(0)))=("store"),(INDEX(B1:XFD1,((A2)+(1))+(1)))=("L"),"false"),B2,L317),L317))</f>
        <v>#VALUE!</v>
      </c>
      <c r="M317" t="e">
        <f ca="1">IF((A1)=(2),"",IF((314)=(M3),IF(IF((INDEX(B1:XFD1,((A2)+(1))+(0)))=("store"),(INDEX(B1:XFD1,((A2)+(1))+(1)))=("M"),"false"),B2,M317),M317))</f>
        <v>#VALUE!</v>
      </c>
      <c r="N317" t="e">
        <f ca="1">IF((A1)=(2),"",IF((314)=(N3),IF(IF((INDEX(B1:XFD1,((A2)+(1))+(0)))=("store"),(INDEX(B1:XFD1,((A2)+(1))+(1)))=("N"),"false"),B2,N317),N317))</f>
        <v>#VALUE!</v>
      </c>
      <c r="O317" t="e">
        <f ca="1">IF((A1)=(2),"",IF((314)=(O3),IF(IF((INDEX(B1:XFD1,((A2)+(1))+(0)))=("store"),(INDEX(B1:XFD1,((A2)+(1))+(1)))=("O"),"false"),B2,O317),O317))</f>
        <v>#VALUE!</v>
      </c>
      <c r="P317" t="e">
        <f ca="1">IF((A1)=(2),"",IF((314)=(P3),IF(IF((INDEX(B1:XFD1,((A2)+(1))+(0)))=("store"),(INDEX(B1:XFD1,((A2)+(1))+(1)))=("P"),"false"),B2,P317),P317))</f>
        <v>#VALUE!</v>
      </c>
      <c r="Q317" t="e">
        <f ca="1">IF((A1)=(2),"",IF((314)=(Q3),IF(IF((INDEX(B1:XFD1,((A2)+(1))+(0)))=("store"),(INDEX(B1:XFD1,((A2)+(1))+(1)))=("Q"),"false"),B2,Q317),Q317))</f>
        <v>#VALUE!</v>
      </c>
      <c r="R317" t="e">
        <f ca="1">IF((A1)=(2),"",IF((314)=(R3),IF(IF((INDEX(B1:XFD1,((A2)+(1))+(0)))=("store"),(INDEX(B1:XFD1,((A2)+(1))+(1)))=("R"),"false"),B2,R317),R317))</f>
        <v>#VALUE!</v>
      </c>
      <c r="S317" t="e">
        <f ca="1">IF((A1)=(2),"",IF((314)=(S3),IF(IF((INDEX(B1:XFD1,((A2)+(1))+(0)))=("store"),(INDEX(B1:XFD1,((A2)+(1))+(1)))=("S"),"false"),B2,S317),S317))</f>
        <v>#VALUE!</v>
      </c>
      <c r="T317" t="e">
        <f ca="1">IF((A1)=(2),"",IF((314)=(T3),IF(IF((INDEX(B1:XFD1,((A2)+(1))+(0)))=("store"),(INDEX(B1:XFD1,((A2)+(1))+(1)))=("T"),"false"),B2,T317),T317))</f>
        <v>#VALUE!</v>
      </c>
      <c r="U317" t="e">
        <f ca="1">IF((A1)=(2),"",IF((314)=(U3),IF(IF((INDEX(B1:XFD1,((A2)+(1))+(0)))=("store"),(INDEX(B1:XFD1,((A2)+(1))+(1)))=("U"),"false"),B2,U317),U317))</f>
        <v>#VALUE!</v>
      </c>
      <c r="V317" t="e">
        <f ca="1">IF((A1)=(2),"",IF((314)=(V3),IF(IF((INDEX(B1:XFD1,((A2)+(1))+(0)))=("store"),(INDEX(B1:XFD1,((A2)+(1))+(1)))=("V"),"false"),B2,V317),V317))</f>
        <v>#VALUE!</v>
      </c>
      <c r="W317" t="e">
        <f ca="1">IF((A1)=(2),"",IF((314)=(W3),IF(IF((INDEX(B1:XFD1,((A2)+(1))+(0)))=("store"),(INDEX(B1:XFD1,((A2)+(1))+(1)))=("W"),"false"),B2,W317),W317))</f>
        <v>#VALUE!</v>
      </c>
      <c r="X317" t="e">
        <f ca="1">IF((A1)=(2),"",IF((314)=(X3),IF(IF((INDEX(B1:XFD1,((A2)+(1))+(0)))=("store"),(INDEX(B1:XFD1,((A2)+(1))+(1)))=("X"),"false"),B2,X317),X317))</f>
        <v>#VALUE!</v>
      </c>
      <c r="Y317" t="e">
        <f ca="1">IF((A1)=(2),"",IF((314)=(Y3),IF(IF((INDEX(B1:XFD1,((A2)+(1))+(0)))=("store"),(INDEX(B1:XFD1,((A2)+(1))+(1)))=("Y"),"false"),B2,Y317),Y317))</f>
        <v>#VALUE!</v>
      </c>
      <c r="Z317" t="e">
        <f ca="1">IF((A1)=(2),"",IF((314)=(Z3),IF(IF((INDEX(B1:XFD1,((A2)+(1))+(0)))=("store"),(INDEX(B1:XFD1,((A2)+(1))+(1)))=("Z"),"false"),B2,Z317),Z317))</f>
        <v>#VALUE!</v>
      </c>
      <c r="AA317" t="e">
        <f ca="1">IF((A1)=(2),"",IF((314)=(AA3),IF(IF((INDEX(B1:XFD1,((A2)+(1))+(0)))=("store"),(INDEX(B1:XFD1,((A2)+(1))+(1)))=("AA"),"false"),B2,AA317),AA317))</f>
        <v>#VALUE!</v>
      </c>
      <c r="AB317" t="e">
        <f ca="1">IF((A1)=(2),"",IF((314)=(AB3),IF(IF((INDEX(B1:XFD1,((A2)+(1))+(0)))=("store"),(INDEX(B1:XFD1,((A2)+(1))+(1)))=("AB"),"false"),B2,AB317),AB317))</f>
        <v>#VALUE!</v>
      </c>
      <c r="AC317" t="e">
        <f ca="1">IF((A1)=(2),"",IF((314)=(AC3),IF(IF((INDEX(B1:XFD1,((A2)+(1))+(0)))=("store"),(INDEX(B1:XFD1,((A2)+(1))+(1)))=("AC"),"false"),B2,AC317),AC317))</f>
        <v>#VALUE!</v>
      </c>
      <c r="AD317" t="e">
        <f ca="1">IF((A1)=(2),"",IF((314)=(AD3),IF(IF((INDEX(B1:XFD1,((A2)+(1))+(0)))=("store"),(INDEX(B1:XFD1,((A2)+(1))+(1)))=("AD"),"false"),B2,AD317),AD317))</f>
        <v>#VALUE!</v>
      </c>
    </row>
    <row r="318" spans="1:30" x14ac:dyDescent="0.25">
      <c r="A318" t="e">
        <f ca="1">IF((A1)=(2),"",IF((315)=(A3),IF(("call")=(INDEX(B1:XFD1,((A2)+(1))+(0))),(B2)*(2),IF(("goto")=(INDEX(B1:XFD1,((A2)+(1))+(0))),(INDEX(B1:XFD1,((A2)+(1))+(1)))*(2),IF(("gotoiftrue")=(INDEX(B1:XFD1,((A2)+(1))+(0))),IF(B2,(INDEX(B1:XFD1,((A2)+(1))+(1)))*(2),(A318)+(2)),(A318)+(2)))),A318))</f>
        <v>#VALUE!</v>
      </c>
      <c r="B318" t="e">
        <f ca="1">IF((A1)=(2),"",IF((315)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318)+(1)),IF(("add")=(INDEX(B1:XFD1,((A2)+(1))+(0))),(INDEX(B4:B404,(B3)+(1)))+(B318),IF(("equals")=(INDEX(B1:XFD1,((A2)+(1))+(0))),(INDEX(B4:B404,(B3)+(1)))=(B318),IF(("leq")=(INDEX(B1:XFD1,((A2)+(1))+(0))),(INDEX(B4:B404,(B3)+(1)))&lt;=(B318),IF(("greater")=(INDEX(B1:XFD1,((A2)+(1))+(0))),(INDEX(B4:B404,(B3)+(1)))&gt;(B318),IF(("mod")=(INDEX(B1:XFD1,((A2)+(1))+(0))),MOD(INDEX(B4:B404,(B3)+(1)),B318),B318))))))))),B318))</f>
        <v>#VALUE!</v>
      </c>
      <c r="C318" t="e">
        <f ca="1">IF((A1)=(2),1,IF(AND((INDEX(B1:XFD1,((A2)+(1))+(0)))=("writeheap"),(INDEX(B4:B404,(B3)+(1)))=(314)),INDEX(B4:B404,(B3)+(2)),IF((A1)=(2),"",IF((315)=(C3),C318,C318))))</f>
        <v>#VALUE!</v>
      </c>
      <c r="E318" t="e">
        <f ca="1">IF((A1)=(2),"",IF((315)=(E3),IF(("outputline")=(INDEX(B1:XFD1,((A2)+(1))+(0))),B2,E318),E318))</f>
        <v>#VALUE!</v>
      </c>
      <c r="F318" t="e">
        <f ca="1">IF((A1)=(2),"",IF((315)=(F3),IF(IF((INDEX(B1:XFD1,((A2)+(1))+(0)))=("store"),(INDEX(B1:XFD1,((A2)+(1))+(1)))=("F"),"false"),B2,F318),F318))</f>
        <v>#VALUE!</v>
      </c>
      <c r="G318" t="e">
        <f ca="1">IF((A1)=(2),"",IF((315)=(G3),IF(IF((INDEX(B1:XFD1,((A2)+(1))+(0)))=("store"),(INDEX(B1:XFD1,((A2)+(1))+(1)))=("G"),"false"),B2,G318),G318))</f>
        <v>#VALUE!</v>
      </c>
      <c r="H318" t="e">
        <f ca="1">IF((A1)=(2),"",IF((315)=(H3),IF(IF((INDEX(B1:XFD1,((A2)+(1))+(0)))=("store"),(INDEX(B1:XFD1,((A2)+(1))+(1)))=("H"),"false"),B2,H318),H318))</f>
        <v>#VALUE!</v>
      </c>
      <c r="I318" t="e">
        <f ca="1">IF((A1)=(2),"",IF((315)=(I3),IF(IF((INDEX(B1:XFD1,((A2)+(1))+(0)))=("store"),(INDEX(B1:XFD1,((A2)+(1))+(1)))=("I"),"false"),B2,I318),I318))</f>
        <v>#VALUE!</v>
      </c>
      <c r="J318" t="e">
        <f ca="1">IF((A1)=(2),"",IF((315)=(J3),IF(IF((INDEX(B1:XFD1,((A2)+(1))+(0)))=("store"),(INDEX(B1:XFD1,((A2)+(1))+(1)))=("J"),"false"),B2,J318),J318))</f>
        <v>#VALUE!</v>
      </c>
      <c r="K318" t="e">
        <f ca="1">IF((A1)=(2),"",IF((315)=(K3),IF(IF((INDEX(B1:XFD1,((A2)+(1))+(0)))=("store"),(INDEX(B1:XFD1,((A2)+(1))+(1)))=("K"),"false"),B2,K318),K318))</f>
        <v>#VALUE!</v>
      </c>
      <c r="L318" t="e">
        <f ca="1">IF((A1)=(2),"",IF((315)=(L3),IF(IF((INDEX(B1:XFD1,((A2)+(1))+(0)))=("store"),(INDEX(B1:XFD1,((A2)+(1))+(1)))=("L"),"false"),B2,L318),L318))</f>
        <v>#VALUE!</v>
      </c>
      <c r="M318" t="e">
        <f ca="1">IF((A1)=(2),"",IF((315)=(M3),IF(IF((INDEX(B1:XFD1,((A2)+(1))+(0)))=("store"),(INDEX(B1:XFD1,((A2)+(1))+(1)))=("M"),"false"),B2,M318),M318))</f>
        <v>#VALUE!</v>
      </c>
      <c r="N318" t="e">
        <f ca="1">IF((A1)=(2),"",IF((315)=(N3),IF(IF((INDEX(B1:XFD1,((A2)+(1))+(0)))=("store"),(INDEX(B1:XFD1,((A2)+(1))+(1)))=("N"),"false"),B2,N318),N318))</f>
        <v>#VALUE!</v>
      </c>
      <c r="O318" t="e">
        <f ca="1">IF((A1)=(2),"",IF((315)=(O3),IF(IF((INDEX(B1:XFD1,((A2)+(1))+(0)))=("store"),(INDEX(B1:XFD1,((A2)+(1))+(1)))=("O"),"false"),B2,O318),O318))</f>
        <v>#VALUE!</v>
      </c>
      <c r="P318" t="e">
        <f ca="1">IF((A1)=(2),"",IF((315)=(P3),IF(IF((INDEX(B1:XFD1,((A2)+(1))+(0)))=("store"),(INDEX(B1:XFD1,((A2)+(1))+(1)))=("P"),"false"),B2,P318),P318))</f>
        <v>#VALUE!</v>
      </c>
      <c r="Q318" t="e">
        <f ca="1">IF((A1)=(2),"",IF((315)=(Q3),IF(IF((INDEX(B1:XFD1,((A2)+(1))+(0)))=("store"),(INDEX(B1:XFD1,((A2)+(1))+(1)))=("Q"),"false"),B2,Q318),Q318))</f>
        <v>#VALUE!</v>
      </c>
      <c r="R318" t="e">
        <f ca="1">IF((A1)=(2),"",IF((315)=(R3),IF(IF((INDEX(B1:XFD1,((A2)+(1))+(0)))=("store"),(INDEX(B1:XFD1,((A2)+(1))+(1)))=("R"),"false"),B2,R318),R318))</f>
        <v>#VALUE!</v>
      </c>
      <c r="S318" t="e">
        <f ca="1">IF((A1)=(2),"",IF((315)=(S3),IF(IF((INDEX(B1:XFD1,((A2)+(1))+(0)))=("store"),(INDEX(B1:XFD1,((A2)+(1))+(1)))=("S"),"false"),B2,S318),S318))</f>
        <v>#VALUE!</v>
      </c>
      <c r="T318" t="e">
        <f ca="1">IF((A1)=(2),"",IF((315)=(T3),IF(IF((INDEX(B1:XFD1,((A2)+(1))+(0)))=("store"),(INDEX(B1:XFD1,((A2)+(1))+(1)))=("T"),"false"),B2,T318),T318))</f>
        <v>#VALUE!</v>
      </c>
      <c r="U318" t="e">
        <f ca="1">IF((A1)=(2),"",IF((315)=(U3),IF(IF((INDEX(B1:XFD1,((A2)+(1))+(0)))=("store"),(INDEX(B1:XFD1,((A2)+(1))+(1)))=("U"),"false"),B2,U318),U318))</f>
        <v>#VALUE!</v>
      </c>
      <c r="V318" t="e">
        <f ca="1">IF((A1)=(2),"",IF((315)=(V3),IF(IF((INDEX(B1:XFD1,((A2)+(1))+(0)))=("store"),(INDEX(B1:XFD1,((A2)+(1))+(1)))=("V"),"false"),B2,V318),V318))</f>
        <v>#VALUE!</v>
      </c>
      <c r="W318" t="e">
        <f ca="1">IF((A1)=(2),"",IF((315)=(W3),IF(IF((INDEX(B1:XFD1,((A2)+(1))+(0)))=("store"),(INDEX(B1:XFD1,((A2)+(1))+(1)))=("W"),"false"),B2,W318),W318))</f>
        <v>#VALUE!</v>
      </c>
      <c r="X318" t="e">
        <f ca="1">IF((A1)=(2),"",IF((315)=(X3),IF(IF((INDEX(B1:XFD1,((A2)+(1))+(0)))=("store"),(INDEX(B1:XFD1,((A2)+(1))+(1)))=("X"),"false"),B2,X318),X318))</f>
        <v>#VALUE!</v>
      </c>
      <c r="Y318" t="e">
        <f ca="1">IF((A1)=(2),"",IF((315)=(Y3),IF(IF((INDEX(B1:XFD1,((A2)+(1))+(0)))=("store"),(INDEX(B1:XFD1,((A2)+(1))+(1)))=("Y"),"false"),B2,Y318),Y318))</f>
        <v>#VALUE!</v>
      </c>
      <c r="Z318" t="e">
        <f ca="1">IF((A1)=(2),"",IF((315)=(Z3),IF(IF((INDEX(B1:XFD1,((A2)+(1))+(0)))=("store"),(INDEX(B1:XFD1,((A2)+(1))+(1)))=("Z"),"false"),B2,Z318),Z318))</f>
        <v>#VALUE!</v>
      </c>
      <c r="AA318" t="e">
        <f ca="1">IF((A1)=(2),"",IF((315)=(AA3),IF(IF((INDEX(B1:XFD1,((A2)+(1))+(0)))=("store"),(INDEX(B1:XFD1,((A2)+(1))+(1)))=("AA"),"false"),B2,AA318),AA318))</f>
        <v>#VALUE!</v>
      </c>
      <c r="AB318" t="e">
        <f ca="1">IF((A1)=(2),"",IF((315)=(AB3),IF(IF((INDEX(B1:XFD1,((A2)+(1))+(0)))=("store"),(INDEX(B1:XFD1,((A2)+(1))+(1)))=("AB"),"false"),B2,AB318),AB318))</f>
        <v>#VALUE!</v>
      </c>
      <c r="AC318" t="e">
        <f ca="1">IF((A1)=(2),"",IF((315)=(AC3),IF(IF((INDEX(B1:XFD1,((A2)+(1))+(0)))=("store"),(INDEX(B1:XFD1,((A2)+(1))+(1)))=("AC"),"false"),B2,AC318),AC318))</f>
        <v>#VALUE!</v>
      </c>
      <c r="AD318" t="e">
        <f ca="1">IF((A1)=(2),"",IF((315)=(AD3),IF(IF((INDEX(B1:XFD1,((A2)+(1))+(0)))=("store"),(INDEX(B1:XFD1,((A2)+(1))+(1)))=("AD"),"false"),B2,AD318),AD318))</f>
        <v>#VALUE!</v>
      </c>
    </row>
    <row r="319" spans="1:30" x14ac:dyDescent="0.25">
      <c r="A319" t="e">
        <f ca="1">IF((A1)=(2),"",IF((316)=(A3),IF(("call")=(INDEX(B1:XFD1,((A2)+(1))+(0))),(B2)*(2),IF(("goto")=(INDEX(B1:XFD1,((A2)+(1))+(0))),(INDEX(B1:XFD1,((A2)+(1))+(1)))*(2),IF(("gotoiftrue")=(INDEX(B1:XFD1,((A2)+(1))+(0))),IF(B2,(INDEX(B1:XFD1,((A2)+(1))+(1)))*(2),(A319)+(2)),(A319)+(2)))),A319))</f>
        <v>#VALUE!</v>
      </c>
      <c r="B319" t="e">
        <f ca="1">IF((A1)=(2),"",IF((316)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319)+(1)),IF(("add")=(INDEX(B1:XFD1,((A2)+(1))+(0))),(INDEX(B4:B404,(B3)+(1)))+(B319),IF(("equals")=(INDEX(B1:XFD1,((A2)+(1))+(0))),(INDEX(B4:B404,(B3)+(1)))=(B319),IF(("leq")=(INDEX(B1:XFD1,((A2)+(1))+(0))),(INDEX(B4:B404,(B3)+(1)))&lt;=(B319),IF(("greater")=(INDEX(B1:XFD1,((A2)+(1))+(0))),(INDEX(B4:B404,(B3)+(1)))&gt;(B319),IF(("mod")=(INDEX(B1:XFD1,((A2)+(1))+(0))),MOD(INDEX(B4:B404,(B3)+(1)),B319),B319))))))))),B319))</f>
        <v>#VALUE!</v>
      </c>
      <c r="C319" t="e">
        <f ca="1">IF((A1)=(2),1,IF(AND((INDEX(B1:XFD1,((A2)+(1))+(0)))=("writeheap"),(INDEX(B4:B404,(B3)+(1)))=(315)),INDEX(B4:B404,(B3)+(2)),IF((A1)=(2),"",IF((316)=(C3),C319,C319))))</f>
        <v>#VALUE!</v>
      </c>
      <c r="E319" t="e">
        <f ca="1">IF((A1)=(2),"",IF((316)=(E3),IF(("outputline")=(INDEX(B1:XFD1,((A2)+(1))+(0))),B2,E319),E319))</f>
        <v>#VALUE!</v>
      </c>
      <c r="F319" t="e">
        <f ca="1">IF((A1)=(2),"",IF((316)=(F3),IF(IF((INDEX(B1:XFD1,((A2)+(1))+(0)))=("store"),(INDEX(B1:XFD1,((A2)+(1))+(1)))=("F"),"false"),B2,F319),F319))</f>
        <v>#VALUE!</v>
      </c>
      <c r="G319" t="e">
        <f ca="1">IF((A1)=(2),"",IF((316)=(G3),IF(IF((INDEX(B1:XFD1,((A2)+(1))+(0)))=("store"),(INDEX(B1:XFD1,((A2)+(1))+(1)))=("G"),"false"),B2,G319),G319))</f>
        <v>#VALUE!</v>
      </c>
      <c r="H319" t="e">
        <f ca="1">IF((A1)=(2),"",IF((316)=(H3),IF(IF((INDEX(B1:XFD1,((A2)+(1))+(0)))=("store"),(INDEX(B1:XFD1,((A2)+(1))+(1)))=("H"),"false"),B2,H319),H319))</f>
        <v>#VALUE!</v>
      </c>
      <c r="I319" t="e">
        <f ca="1">IF((A1)=(2),"",IF((316)=(I3),IF(IF((INDEX(B1:XFD1,((A2)+(1))+(0)))=("store"),(INDEX(B1:XFD1,((A2)+(1))+(1)))=("I"),"false"),B2,I319),I319))</f>
        <v>#VALUE!</v>
      </c>
      <c r="J319" t="e">
        <f ca="1">IF((A1)=(2),"",IF((316)=(J3),IF(IF((INDEX(B1:XFD1,((A2)+(1))+(0)))=("store"),(INDEX(B1:XFD1,((A2)+(1))+(1)))=("J"),"false"),B2,J319),J319))</f>
        <v>#VALUE!</v>
      </c>
      <c r="K319" t="e">
        <f ca="1">IF((A1)=(2),"",IF((316)=(K3),IF(IF((INDEX(B1:XFD1,((A2)+(1))+(0)))=("store"),(INDEX(B1:XFD1,((A2)+(1))+(1)))=("K"),"false"),B2,K319),K319))</f>
        <v>#VALUE!</v>
      </c>
      <c r="L319" t="e">
        <f ca="1">IF((A1)=(2),"",IF((316)=(L3),IF(IF((INDEX(B1:XFD1,((A2)+(1))+(0)))=("store"),(INDEX(B1:XFD1,((A2)+(1))+(1)))=("L"),"false"),B2,L319),L319))</f>
        <v>#VALUE!</v>
      </c>
      <c r="M319" t="e">
        <f ca="1">IF((A1)=(2),"",IF((316)=(M3),IF(IF((INDEX(B1:XFD1,((A2)+(1))+(0)))=("store"),(INDEX(B1:XFD1,((A2)+(1))+(1)))=("M"),"false"),B2,M319),M319))</f>
        <v>#VALUE!</v>
      </c>
      <c r="N319" t="e">
        <f ca="1">IF((A1)=(2),"",IF((316)=(N3),IF(IF((INDEX(B1:XFD1,((A2)+(1))+(0)))=("store"),(INDEX(B1:XFD1,((A2)+(1))+(1)))=("N"),"false"),B2,N319),N319))</f>
        <v>#VALUE!</v>
      </c>
      <c r="O319" t="e">
        <f ca="1">IF((A1)=(2),"",IF((316)=(O3),IF(IF((INDEX(B1:XFD1,((A2)+(1))+(0)))=("store"),(INDEX(B1:XFD1,((A2)+(1))+(1)))=("O"),"false"),B2,O319),O319))</f>
        <v>#VALUE!</v>
      </c>
      <c r="P319" t="e">
        <f ca="1">IF((A1)=(2),"",IF((316)=(P3),IF(IF((INDEX(B1:XFD1,((A2)+(1))+(0)))=("store"),(INDEX(B1:XFD1,((A2)+(1))+(1)))=("P"),"false"),B2,P319),P319))</f>
        <v>#VALUE!</v>
      </c>
      <c r="Q319" t="e">
        <f ca="1">IF((A1)=(2),"",IF((316)=(Q3),IF(IF((INDEX(B1:XFD1,((A2)+(1))+(0)))=("store"),(INDEX(B1:XFD1,((A2)+(1))+(1)))=("Q"),"false"),B2,Q319),Q319))</f>
        <v>#VALUE!</v>
      </c>
      <c r="R319" t="e">
        <f ca="1">IF((A1)=(2),"",IF((316)=(R3),IF(IF((INDEX(B1:XFD1,((A2)+(1))+(0)))=("store"),(INDEX(B1:XFD1,((A2)+(1))+(1)))=("R"),"false"),B2,R319),R319))</f>
        <v>#VALUE!</v>
      </c>
      <c r="S319" t="e">
        <f ca="1">IF((A1)=(2),"",IF((316)=(S3),IF(IF((INDEX(B1:XFD1,((A2)+(1))+(0)))=("store"),(INDEX(B1:XFD1,((A2)+(1))+(1)))=("S"),"false"),B2,S319),S319))</f>
        <v>#VALUE!</v>
      </c>
      <c r="T319" t="e">
        <f ca="1">IF((A1)=(2),"",IF((316)=(T3),IF(IF((INDEX(B1:XFD1,((A2)+(1))+(0)))=("store"),(INDEX(B1:XFD1,((A2)+(1))+(1)))=("T"),"false"),B2,T319),T319))</f>
        <v>#VALUE!</v>
      </c>
      <c r="U319" t="e">
        <f ca="1">IF((A1)=(2),"",IF((316)=(U3),IF(IF((INDEX(B1:XFD1,((A2)+(1))+(0)))=("store"),(INDEX(B1:XFD1,((A2)+(1))+(1)))=("U"),"false"),B2,U319),U319))</f>
        <v>#VALUE!</v>
      </c>
      <c r="V319" t="e">
        <f ca="1">IF((A1)=(2),"",IF((316)=(V3),IF(IF((INDEX(B1:XFD1,((A2)+(1))+(0)))=("store"),(INDEX(B1:XFD1,((A2)+(1))+(1)))=("V"),"false"),B2,V319),V319))</f>
        <v>#VALUE!</v>
      </c>
      <c r="W319" t="e">
        <f ca="1">IF((A1)=(2),"",IF((316)=(W3),IF(IF((INDEX(B1:XFD1,((A2)+(1))+(0)))=("store"),(INDEX(B1:XFD1,((A2)+(1))+(1)))=("W"),"false"),B2,W319),W319))</f>
        <v>#VALUE!</v>
      </c>
      <c r="X319" t="e">
        <f ca="1">IF((A1)=(2),"",IF((316)=(X3),IF(IF((INDEX(B1:XFD1,((A2)+(1))+(0)))=("store"),(INDEX(B1:XFD1,((A2)+(1))+(1)))=("X"),"false"),B2,X319),X319))</f>
        <v>#VALUE!</v>
      </c>
      <c r="Y319" t="e">
        <f ca="1">IF((A1)=(2),"",IF((316)=(Y3),IF(IF((INDEX(B1:XFD1,((A2)+(1))+(0)))=("store"),(INDEX(B1:XFD1,((A2)+(1))+(1)))=("Y"),"false"),B2,Y319),Y319))</f>
        <v>#VALUE!</v>
      </c>
      <c r="Z319" t="e">
        <f ca="1">IF((A1)=(2),"",IF((316)=(Z3),IF(IF((INDEX(B1:XFD1,((A2)+(1))+(0)))=("store"),(INDEX(B1:XFD1,((A2)+(1))+(1)))=("Z"),"false"),B2,Z319),Z319))</f>
        <v>#VALUE!</v>
      </c>
      <c r="AA319" t="e">
        <f ca="1">IF((A1)=(2),"",IF((316)=(AA3),IF(IF((INDEX(B1:XFD1,((A2)+(1))+(0)))=("store"),(INDEX(B1:XFD1,((A2)+(1))+(1)))=("AA"),"false"),B2,AA319),AA319))</f>
        <v>#VALUE!</v>
      </c>
      <c r="AB319" t="e">
        <f ca="1">IF((A1)=(2),"",IF((316)=(AB3),IF(IF((INDEX(B1:XFD1,((A2)+(1))+(0)))=("store"),(INDEX(B1:XFD1,((A2)+(1))+(1)))=("AB"),"false"),B2,AB319),AB319))</f>
        <v>#VALUE!</v>
      </c>
      <c r="AC319" t="e">
        <f ca="1">IF((A1)=(2),"",IF((316)=(AC3),IF(IF((INDEX(B1:XFD1,((A2)+(1))+(0)))=("store"),(INDEX(B1:XFD1,((A2)+(1))+(1)))=("AC"),"false"),B2,AC319),AC319))</f>
        <v>#VALUE!</v>
      </c>
      <c r="AD319" t="e">
        <f ca="1">IF((A1)=(2),"",IF((316)=(AD3),IF(IF((INDEX(B1:XFD1,((A2)+(1))+(0)))=("store"),(INDEX(B1:XFD1,((A2)+(1))+(1)))=("AD"),"false"),B2,AD319),AD319))</f>
        <v>#VALUE!</v>
      </c>
    </row>
    <row r="320" spans="1:30" x14ac:dyDescent="0.25">
      <c r="A320" t="e">
        <f ca="1">IF((A1)=(2),"",IF((317)=(A3),IF(("call")=(INDEX(B1:XFD1,((A2)+(1))+(0))),(B2)*(2),IF(("goto")=(INDEX(B1:XFD1,((A2)+(1))+(0))),(INDEX(B1:XFD1,((A2)+(1))+(1)))*(2),IF(("gotoiftrue")=(INDEX(B1:XFD1,((A2)+(1))+(0))),IF(B2,(INDEX(B1:XFD1,((A2)+(1))+(1)))*(2),(A320)+(2)),(A320)+(2)))),A320))</f>
        <v>#VALUE!</v>
      </c>
      <c r="B320" t="e">
        <f ca="1">IF((A1)=(2),"",IF((317)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320)+(1)),IF(("add")=(INDEX(B1:XFD1,((A2)+(1))+(0))),(INDEX(B4:B404,(B3)+(1)))+(B320),IF(("equals")=(INDEX(B1:XFD1,((A2)+(1))+(0))),(INDEX(B4:B404,(B3)+(1)))=(B320),IF(("leq")=(INDEX(B1:XFD1,((A2)+(1))+(0))),(INDEX(B4:B404,(B3)+(1)))&lt;=(B320),IF(("greater")=(INDEX(B1:XFD1,((A2)+(1))+(0))),(INDEX(B4:B404,(B3)+(1)))&gt;(B320),IF(("mod")=(INDEX(B1:XFD1,((A2)+(1))+(0))),MOD(INDEX(B4:B404,(B3)+(1)),B320),B320))))))))),B320))</f>
        <v>#VALUE!</v>
      </c>
      <c r="C320" t="e">
        <f ca="1">IF((A1)=(2),1,IF(AND((INDEX(B1:XFD1,((A2)+(1))+(0)))=("writeheap"),(INDEX(B4:B404,(B3)+(1)))=(316)),INDEX(B4:B404,(B3)+(2)),IF((A1)=(2),"",IF((317)=(C3),C320,C320))))</f>
        <v>#VALUE!</v>
      </c>
      <c r="E320" t="e">
        <f ca="1">IF((A1)=(2),"",IF((317)=(E3),IF(("outputline")=(INDEX(B1:XFD1,((A2)+(1))+(0))),B2,E320),E320))</f>
        <v>#VALUE!</v>
      </c>
      <c r="F320" t="e">
        <f ca="1">IF((A1)=(2),"",IF((317)=(F3),IF(IF((INDEX(B1:XFD1,((A2)+(1))+(0)))=("store"),(INDEX(B1:XFD1,((A2)+(1))+(1)))=("F"),"false"),B2,F320),F320))</f>
        <v>#VALUE!</v>
      </c>
      <c r="G320" t="e">
        <f ca="1">IF((A1)=(2),"",IF((317)=(G3),IF(IF((INDEX(B1:XFD1,((A2)+(1))+(0)))=("store"),(INDEX(B1:XFD1,((A2)+(1))+(1)))=("G"),"false"),B2,G320),G320))</f>
        <v>#VALUE!</v>
      </c>
      <c r="H320" t="e">
        <f ca="1">IF((A1)=(2),"",IF((317)=(H3),IF(IF((INDEX(B1:XFD1,((A2)+(1))+(0)))=("store"),(INDEX(B1:XFD1,((A2)+(1))+(1)))=("H"),"false"),B2,H320),H320))</f>
        <v>#VALUE!</v>
      </c>
      <c r="I320" t="e">
        <f ca="1">IF((A1)=(2),"",IF((317)=(I3),IF(IF((INDEX(B1:XFD1,((A2)+(1))+(0)))=("store"),(INDEX(B1:XFD1,((A2)+(1))+(1)))=("I"),"false"),B2,I320),I320))</f>
        <v>#VALUE!</v>
      </c>
      <c r="J320" t="e">
        <f ca="1">IF((A1)=(2),"",IF((317)=(J3),IF(IF((INDEX(B1:XFD1,((A2)+(1))+(0)))=("store"),(INDEX(B1:XFD1,((A2)+(1))+(1)))=("J"),"false"),B2,J320),J320))</f>
        <v>#VALUE!</v>
      </c>
      <c r="K320" t="e">
        <f ca="1">IF((A1)=(2),"",IF((317)=(K3),IF(IF((INDEX(B1:XFD1,((A2)+(1))+(0)))=("store"),(INDEX(B1:XFD1,((A2)+(1))+(1)))=("K"),"false"),B2,K320),K320))</f>
        <v>#VALUE!</v>
      </c>
      <c r="L320" t="e">
        <f ca="1">IF((A1)=(2),"",IF((317)=(L3),IF(IF((INDEX(B1:XFD1,((A2)+(1))+(0)))=("store"),(INDEX(B1:XFD1,((A2)+(1))+(1)))=("L"),"false"),B2,L320),L320))</f>
        <v>#VALUE!</v>
      </c>
      <c r="M320" t="e">
        <f ca="1">IF((A1)=(2),"",IF((317)=(M3),IF(IF((INDEX(B1:XFD1,((A2)+(1))+(0)))=("store"),(INDEX(B1:XFD1,((A2)+(1))+(1)))=("M"),"false"),B2,M320),M320))</f>
        <v>#VALUE!</v>
      </c>
      <c r="N320" t="e">
        <f ca="1">IF((A1)=(2),"",IF((317)=(N3),IF(IF((INDEX(B1:XFD1,((A2)+(1))+(0)))=("store"),(INDEX(B1:XFD1,((A2)+(1))+(1)))=("N"),"false"),B2,N320),N320))</f>
        <v>#VALUE!</v>
      </c>
      <c r="O320" t="e">
        <f ca="1">IF((A1)=(2),"",IF((317)=(O3),IF(IF((INDEX(B1:XFD1,((A2)+(1))+(0)))=("store"),(INDEX(B1:XFD1,((A2)+(1))+(1)))=("O"),"false"),B2,O320),O320))</f>
        <v>#VALUE!</v>
      </c>
      <c r="P320" t="e">
        <f ca="1">IF((A1)=(2),"",IF((317)=(P3),IF(IF((INDEX(B1:XFD1,((A2)+(1))+(0)))=("store"),(INDEX(B1:XFD1,((A2)+(1))+(1)))=("P"),"false"),B2,P320),P320))</f>
        <v>#VALUE!</v>
      </c>
      <c r="Q320" t="e">
        <f ca="1">IF((A1)=(2),"",IF((317)=(Q3),IF(IF((INDEX(B1:XFD1,((A2)+(1))+(0)))=("store"),(INDEX(B1:XFD1,((A2)+(1))+(1)))=("Q"),"false"),B2,Q320),Q320))</f>
        <v>#VALUE!</v>
      </c>
      <c r="R320" t="e">
        <f ca="1">IF((A1)=(2),"",IF((317)=(R3),IF(IF((INDEX(B1:XFD1,((A2)+(1))+(0)))=("store"),(INDEX(B1:XFD1,((A2)+(1))+(1)))=("R"),"false"),B2,R320),R320))</f>
        <v>#VALUE!</v>
      </c>
      <c r="S320" t="e">
        <f ca="1">IF((A1)=(2),"",IF((317)=(S3),IF(IF((INDEX(B1:XFD1,((A2)+(1))+(0)))=("store"),(INDEX(B1:XFD1,((A2)+(1))+(1)))=("S"),"false"),B2,S320),S320))</f>
        <v>#VALUE!</v>
      </c>
      <c r="T320" t="e">
        <f ca="1">IF((A1)=(2),"",IF((317)=(T3),IF(IF((INDEX(B1:XFD1,((A2)+(1))+(0)))=("store"),(INDEX(B1:XFD1,((A2)+(1))+(1)))=("T"),"false"),B2,T320),T320))</f>
        <v>#VALUE!</v>
      </c>
      <c r="U320" t="e">
        <f ca="1">IF((A1)=(2),"",IF((317)=(U3),IF(IF((INDEX(B1:XFD1,((A2)+(1))+(0)))=("store"),(INDEX(B1:XFD1,((A2)+(1))+(1)))=("U"),"false"),B2,U320),U320))</f>
        <v>#VALUE!</v>
      </c>
      <c r="V320" t="e">
        <f ca="1">IF((A1)=(2),"",IF((317)=(V3),IF(IF((INDEX(B1:XFD1,((A2)+(1))+(0)))=("store"),(INDEX(B1:XFD1,((A2)+(1))+(1)))=("V"),"false"),B2,V320),V320))</f>
        <v>#VALUE!</v>
      </c>
      <c r="W320" t="e">
        <f ca="1">IF((A1)=(2),"",IF((317)=(W3),IF(IF((INDEX(B1:XFD1,((A2)+(1))+(0)))=("store"),(INDEX(B1:XFD1,((A2)+(1))+(1)))=("W"),"false"),B2,W320),W320))</f>
        <v>#VALUE!</v>
      </c>
      <c r="X320" t="e">
        <f ca="1">IF((A1)=(2),"",IF((317)=(X3),IF(IF((INDEX(B1:XFD1,((A2)+(1))+(0)))=("store"),(INDEX(B1:XFD1,((A2)+(1))+(1)))=("X"),"false"),B2,X320),X320))</f>
        <v>#VALUE!</v>
      </c>
      <c r="Y320" t="e">
        <f ca="1">IF((A1)=(2),"",IF((317)=(Y3),IF(IF((INDEX(B1:XFD1,((A2)+(1))+(0)))=("store"),(INDEX(B1:XFD1,((A2)+(1))+(1)))=("Y"),"false"),B2,Y320),Y320))</f>
        <v>#VALUE!</v>
      </c>
      <c r="Z320" t="e">
        <f ca="1">IF((A1)=(2),"",IF((317)=(Z3),IF(IF((INDEX(B1:XFD1,((A2)+(1))+(0)))=("store"),(INDEX(B1:XFD1,((A2)+(1))+(1)))=("Z"),"false"),B2,Z320),Z320))</f>
        <v>#VALUE!</v>
      </c>
      <c r="AA320" t="e">
        <f ca="1">IF((A1)=(2),"",IF((317)=(AA3),IF(IF((INDEX(B1:XFD1,((A2)+(1))+(0)))=("store"),(INDEX(B1:XFD1,((A2)+(1))+(1)))=("AA"),"false"),B2,AA320),AA320))</f>
        <v>#VALUE!</v>
      </c>
      <c r="AB320" t="e">
        <f ca="1">IF((A1)=(2),"",IF((317)=(AB3),IF(IF((INDEX(B1:XFD1,((A2)+(1))+(0)))=("store"),(INDEX(B1:XFD1,((A2)+(1))+(1)))=("AB"),"false"),B2,AB320),AB320))</f>
        <v>#VALUE!</v>
      </c>
      <c r="AC320" t="e">
        <f ca="1">IF((A1)=(2),"",IF((317)=(AC3),IF(IF((INDEX(B1:XFD1,((A2)+(1))+(0)))=("store"),(INDEX(B1:XFD1,((A2)+(1))+(1)))=("AC"),"false"),B2,AC320),AC320))</f>
        <v>#VALUE!</v>
      </c>
      <c r="AD320" t="e">
        <f ca="1">IF((A1)=(2),"",IF((317)=(AD3),IF(IF((INDEX(B1:XFD1,((A2)+(1))+(0)))=("store"),(INDEX(B1:XFD1,((A2)+(1))+(1)))=("AD"),"false"),B2,AD320),AD320))</f>
        <v>#VALUE!</v>
      </c>
    </row>
    <row r="321" spans="1:30" x14ac:dyDescent="0.25">
      <c r="A321" t="e">
        <f ca="1">IF((A1)=(2),"",IF((318)=(A3),IF(("call")=(INDEX(B1:XFD1,((A2)+(1))+(0))),(B2)*(2),IF(("goto")=(INDEX(B1:XFD1,((A2)+(1))+(0))),(INDEX(B1:XFD1,((A2)+(1))+(1)))*(2),IF(("gotoiftrue")=(INDEX(B1:XFD1,((A2)+(1))+(0))),IF(B2,(INDEX(B1:XFD1,((A2)+(1))+(1)))*(2),(A321)+(2)),(A321)+(2)))),A321))</f>
        <v>#VALUE!</v>
      </c>
      <c r="B321" t="e">
        <f ca="1">IF((A1)=(2),"",IF((318)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321)+(1)),IF(("add")=(INDEX(B1:XFD1,((A2)+(1))+(0))),(INDEX(B4:B404,(B3)+(1)))+(B321),IF(("equals")=(INDEX(B1:XFD1,((A2)+(1))+(0))),(INDEX(B4:B404,(B3)+(1)))=(B321),IF(("leq")=(INDEX(B1:XFD1,((A2)+(1))+(0))),(INDEX(B4:B404,(B3)+(1)))&lt;=(B321),IF(("greater")=(INDEX(B1:XFD1,((A2)+(1))+(0))),(INDEX(B4:B404,(B3)+(1)))&gt;(B321),IF(("mod")=(INDEX(B1:XFD1,((A2)+(1))+(0))),MOD(INDEX(B4:B404,(B3)+(1)),B321),B321))))))))),B321))</f>
        <v>#VALUE!</v>
      </c>
      <c r="C321" t="e">
        <f ca="1">IF((A1)=(2),1,IF(AND((INDEX(B1:XFD1,((A2)+(1))+(0)))=("writeheap"),(INDEX(B4:B404,(B3)+(1)))=(317)),INDEX(B4:B404,(B3)+(2)),IF((A1)=(2),"",IF((318)=(C3),C321,C321))))</f>
        <v>#VALUE!</v>
      </c>
      <c r="E321" t="e">
        <f ca="1">IF((A1)=(2),"",IF((318)=(E3),IF(("outputline")=(INDEX(B1:XFD1,((A2)+(1))+(0))),B2,E321),E321))</f>
        <v>#VALUE!</v>
      </c>
      <c r="F321" t="e">
        <f ca="1">IF((A1)=(2),"",IF((318)=(F3),IF(IF((INDEX(B1:XFD1,((A2)+(1))+(0)))=("store"),(INDEX(B1:XFD1,((A2)+(1))+(1)))=("F"),"false"),B2,F321),F321))</f>
        <v>#VALUE!</v>
      </c>
      <c r="G321" t="e">
        <f ca="1">IF((A1)=(2),"",IF((318)=(G3),IF(IF((INDEX(B1:XFD1,((A2)+(1))+(0)))=("store"),(INDEX(B1:XFD1,((A2)+(1))+(1)))=("G"),"false"),B2,G321),G321))</f>
        <v>#VALUE!</v>
      </c>
      <c r="H321" t="e">
        <f ca="1">IF((A1)=(2),"",IF((318)=(H3),IF(IF((INDEX(B1:XFD1,((A2)+(1))+(0)))=("store"),(INDEX(B1:XFD1,((A2)+(1))+(1)))=("H"),"false"),B2,H321),H321))</f>
        <v>#VALUE!</v>
      </c>
      <c r="I321" t="e">
        <f ca="1">IF((A1)=(2),"",IF((318)=(I3),IF(IF((INDEX(B1:XFD1,((A2)+(1))+(0)))=("store"),(INDEX(B1:XFD1,((A2)+(1))+(1)))=("I"),"false"),B2,I321),I321))</f>
        <v>#VALUE!</v>
      </c>
      <c r="J321" t="e">
        <f ca="1">IF((A1)=(2),"",IF((318)=(J3),IF(IF((INDEX(B1:XFD1,((A2)+(1))+(0)))=("store"),(INDEX(B1:XFD1,((A2)+(1))+(1)))=("J"),"false"),B2,J321),J321))</f>
        <v>#VALUE!</v>
      </c>
      <c r="K321" t="e">
        <f ca="1">IF((A1)=(2),"",IF((318)=(K3),IF(IF((INDEX(B1:XFD1,((A2)+(1))+(0)))=("store"),(INDEX(B1:XFD1,((A2)+(1))+(1)))=("K"),"false"),B2,K321),K321))</f>
        <v>#VALUE!</v>
      </c>
      <c r="L321" t="e">
        <f ca="1">IF((A1)=(2),"",IF((318)=(L3),IF(IF((INDEX(B1:XFD1,((A2)+(1))+(0)))=("store"),(INDEX(B1:XFD1,((A2)+(1))+(1)))=("L"),"false"),B2,L321),L321))</f>
        <v>#VALUE!</v>
      </c>
      <c r="M321" t="e">
        <f ca="1">IF((A1)=(2),"",IF((318)=(M3),IF(IF((INDEX(B1:XFD1,((A2)+(1))+(0)))=("store"),(INDEX(B1:XFD1,((A2)+(1))+(1)))=("M"),"false"),B2,M321),M321))</f>
        <v>#VALUE!</v>
      </c>
      <c r="N321" t="e">
        <f ca="1">IF((A1)=(2),"",IF((318)=(N3),IF(IF((INDEX(B1:XFD1,((A2)+(1))+(0)))=("store"),(INDEX(B1:XFD1,((A2)+(1))+(1)))=("N"),"false"),B2,N321),N321))</f>
        <v>#VALUE!</v>
      </c>
      <c r="O321" t="e">
        <f ca="1">IF((A1)=(2),"",IF((318)=(O3),IF(IF((INDEX(B1:XFD1,((A2)+(1))+(0)))=("store"),(INDEX(B1:XFD1,((A2)+(1))+(1)))=("O"),"false"),B2,O321),O321))</f>
        <v>#VALUE!</v>
      </c>
      <c r="P321" t="e">
        <f ca="1">IF((A1)=(2),"",IF((318)=(P3),IF(IF((INDEX(B1:XFD1,((A2)+(1))+(0)))=("store"),(INDEX(B1:XFD1,((A2)+(1))+(1)))=("P"),"false"),B2,P321),P321))</f>
        <v>#VALUE!</v>
      </c>
      <c r="Q321" t="e">
        <f ca="1">IF((A1)=(2),"",IF((318)=(Q3),IF(IF((INDEX(B1:XFD1,((A2)+(1))+(0)))=("store"),(INDEX(B1:XFD1,((A2)+(1))+(1)))=("Q"),"false"),B2,Q321),Q321))</f>
        <v>#VALUE!</v>
      </c>
      <c r="R321" t="e">
        <f ca="1">IF((A1)=(2),"",IF((318)=(R3),IF(IF((INDEX(B1:XFD1,((A2)+(1))+(0)))=("store"),(INDEX(B1:XFD1,((A2)+(1))+(1)))=("R"),"false"),B2,R321),R321))</f>
        <v>#VALUE!</v>
      </c>
      <c r="S321" t="e">
        <f ca="1">IF((A1)=(2),"",IF((318)=(S3),IF(IF((INDEX(B1:XFD1,((A2)+(1))+(0)))=("store"),(INDEX(B1:XFD1,((A2)+(1))+(1)))=("S"),"false"),B2,S321),S321))</f>
        <v>#VALUE!</v>
      </c>
      <c r="T321" t="e">
        <f ca="1">IF((A1)=(2),"",IF((318)=(T3),IF(IF((INDEX(B1:XFD1,((A2)+(1))+(0)))=("store"),(INDEX(B1:XFD1,((A2)+(1))+(1)))=("T"),"false"),B2,T321),T321))</f>
        <v>#VALUE!</v>
      </c>
      <c r="U321" t="e">
        <f ca="1">IF((A1)=(2),"",IF((318)=(U3),IF(IF((INDEX(B1:XFD1,((A2)+(1))+(0)))=("store"),(INDEX(B1:XFD1,((A2)+(1))+(1)))=("U"),"false"),B2,U321),U321))</f>
        <v>#VALUE!</v>
      </c>
      <c r="V321" t="e">
        <f ca="1">IF((A1)=(2),"",IF((318)=(V3),IF(IF((INDEX(B1:XFD1,((A2)+(1))+(0)))=("store"),(INDEX(B1:XFD1,((A2)+(1))+(1)))=("V"),"false"),B2,V321),V321))</f>
        <v>#VALUE!</v>
      </c>
      <c r="W321" t="e">
        <f ca="1">IF((A1)=(2),"",IF((318)=(W3),IF(IF((INDEX(B1:XFD1,((A2)+(1))+(0)))=("store"),(INDEX(B1:XFD1,((A2)+(1))+(1)))=("W"),"false"),B2,W321),W321))</f>
        <v>#VALUE!</v>
      </c>
      <c r="X321" t="e">
        <f ca="1">IF((A1)=(2),"",IF((318)=(X3),IF(IF((INDEX(B1:XFD1,((A2)+(1))+(0)))=("store"),(INDEX(B1:XFD1,((A2)+(1))+(1)))=("X"),"false"),B2,X321),X321))</f>
        <v>#VALUE!</v>
      </c>
      <c r="Y321" t="e">
        <f ca="1">IF((A1)=(2),"",IF((318)=(Y3),IF(IF((INDEX(B1:XFD1,((A2)+(1))+(0)))=("store"),(INDEX(B1:XFD1,((A2)+(1))+(1)))=("Y"),"false"),B2,Y321),Y321))</f>
        <v>#VALUE!</v>
      </c>
      <c r="Z321" t="e">
        <f ca="1">IF((A1)=(2),"",IF((318)=(Z3),IF(IF((INDEX(B1:XFD1,((A2)+(1))+(0)))=("store"),(INDEX(B1:XFD1,((A2)+(1))+(1)))=("Z"),"false"),B2,Z321),Z321))</f>
        <v>#VALUE!</v>
      </c>
      <c r="AA321" t="e">
        <f ca="1">IF((A1)=(2),"",IF((318)=(AA3),IF(IF((INDEX(B1:XFD1,((A2)+(1))+(0)))=("store"),(INDEX(B1:XFD1,((A2)+(1))+(1)))=("AA"),"false"),B2,AA321),AA321))</f>
        <v>#VALUE!</v>
      </c>
      <c r="AB321" t="e">
        <f ca="1">IF((A1)=(2),"",IF((318)=(AB3),IF(IF((INDEX(B1:XFD1,((A2)+(1))+(0)))=("store"),(INDEX(B1:XFD1,((A2)+(1))+(1)))=("AB"),"false"),B2,AB321),AB321))</f>
        <v>#VALUE!</v>
      </c>
      <c r="AC321" t="e">
        <f ca="1">IF((A1)=(2),"",IF((318)=(AC3),IF(IF((INDEX(B1:XFD1,((A2)+(1))+(0)))=("store"),(INDEX(B1:XFD1,((A2)+(1))+(1)))=("AC"),"false"),B2,AC321),AC321))</f>
        <v>#VALUE!</v>
      </c>
      <c r="AD321" t="e">
        <f ca="1">IF((A1)=(2),"",IF((318)=(AD3),IF(IF((INDEX(B1:XFD1,((A2)+(1))+(0)))=("store"),(INDEX(B1:XFD1,((A2)+(1))+(1)))=("AD"),"false"),B2,AD321),AD321))</f>
        <v>#VALUE!</v>
      </c>
    </row>
    <row r="322" spans="1:30" x14ac:dyDescent="0.25">
      <c r="A322" t="e">
        <f ca="1">IF((A1)=(2),"",IF((319)=(A3),IF(("call")=(INDEX(B1:XFD1,((A2)+(1))+(0))),(B2)*(2),IF(("goto")=(INDEX(B1:XFD1,((A2)+(1))+(0))),(INDEX(B1:XFD1,((A2)+(1))+(1)))*(2),IF(("gotoiftrue")=(INDEX(B1:XFD1,((A2)+(1))+(0))),IF(B2,(INDEX(B1:XFD1,((A2)+(1))+(1)))*(2),(A322)+(2)),(A322)+(2)))),A322))</f>
        <v>#VALUE!</v>
      </c>
      <c r="B322" t="e">
        <f ca="1">IF((A1)=(2),"",IF((319)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322)+(1)),IF(("add")=(INDEX(B1:XFD1,((A2)+(1))+(0))),(INDEX(B4:B404,(B3)+(1)))+(B322),IF(("equals")=(INDEX(B1:XFD1,((A2)+(1))+(0))),(INDEX(B4:B404,(B3)+(1)))=(B322),IF(("leq")=(INDEX(B1:XFD1,((A2)+(1))+(0))),(INDEX(B4:B404,(B3)+(1)))&lt;=(B322),IF(("greater")=(INDEX(B1:XFD1,((A2)+(1))+(0))),(INDEX(B4:B404,(B3)+(1)))&gt;(B322),IF(("mod")=(INDEX(B1:XFD1,((A2)+(1))+(0))),MOD(INDEX(B4:B404,(B3)+(1)),B322),B322))))))))),B322))</f>
        <v>#VALUE!</v>
      </c>
      <c r="C322" t="e">
        <f ca="1">IF((A1)=(2),1,IF(AND((INDEX(B1:XFD1,((A2)+(1))+(0)))=("writeheap"),(INDEX(B4:B404,(B3)+(1)))=(318)),INDEX(B4:B404,(B3)+(2)),IF((A1)=(2),"",IF((319)=(C3),C322,C322))))</f>
        <v>#VALUE!</v>
      </c>
      <c r="E322" t="e">
        <f ca="1">IF((A1)=(2),"",IF((319)=(E3),IF(("outputline")=(INDEX(B1:XFD1,((A2)+(1))+(0))),B2,E322),E322))</f>
        <v>#VALUE!</v>
      </c>
      <c r="F322" t="e">
        <f ca="1">IF((A1)=(2),"",IF((319)=(F3),IF(IF((INDEX(B1:XFD1,((A2)+(1))+(0)))=("store"),(INDEX(B1:XFD1,((A2)+(1))+(1)))=("F"),"false"),B2,F322),F322))</f>
        <v>#VALUE!</v>
      </c>
      <c r="G322" t="e">
        <f ca="1">IF((A1)=(2),"",IF((319)=(G3),IF(IF((INDEX(B1:XFD1,((A2)+(1))+(0)))=("store"),(INDEX(B1:XFD1,((A2)+(1))+(1)))=("G"),"false"),B2,G322),G322))</f>
        <v>#VALUE!</v>
      </c>
      <c r="H322" t="e">
        <f ca="1">IF((A1)=(2),"",IF((319)=(H3),IF(IF((INDEX(B1:XFD1,((A2)+(1))+(0)))=("store"),(INDEX(B1:XFD1,((A2)+(1))+(1)))=("H"),"false"),B2,H322),H322))</f>
        <v>#VALUE!</v>
      </c>
      <c r="I322" t="e">
        <f ca="1">IF((A1)=(2),"",IF((319)=(I3),IF(IF((INDEX(B1:XFD1,((A2)+(1))+(0)))=("store"),(INDEX(B1:XFD1,((A2)+(1))+(1)))=("I"),"false"),B2,I322),I322))</f>
        <v>#VALUE!</v>
      </c>
      <c r="J322" t="e">
        <f ca="1">IF((A1)=(2),"",IF((319)=(J3),IF(IF((INDEX(B1:XFD1,((A2)+(1))+(0)))=("store"),(INDEX(B1:XFD1,((A2)+(1))+(1)))=("J"),"false"),B2,J322),J322))</f>
        <v>#VALUE!</v>
      </c>
      <c r="K322" t="e">
        <f ca="1">IF((A1)=(2),"",IF((319)=(K3),IF(IF((INDEX(B1:XFD1,((A2)+(1))+(0)))=("store"),(INDEX(B1:XFD1,((A2)+(1))+(1)))=("K"),"false"),B2,K322),K322))</f>
        <v>#VALUE!</v>
      </c>
      <c r="L322" t="e">
        <f ca="1">IF((A1)=(2),"",IF((319)=(L3),IF(IF((INDEX(B1:XFD1,((A2)+(1))+(0)))=("store"),(INDEX(B1:XFD1,((A2)+(1))+(1)))=("L"),"false"),B2,L322),L322))</f>
        <v>#VALUE!</v>
      </c>
      <c r="M322" t="e">
        <f ca="1">IF((A1)=(2),"",IF((319)=(M3),IF(IF((INDEX(B1:XFD1,((A2)+(1))+(0)))=("store"),(INDEX(B1:XFD1,((A2)+(1))+(1)))=("M"),"false"),B2,M322),M322))</f>
        <v>#VALUE!</v>
      </c>
      <c r="N322" t="e">
        <f ca="1">IF((A1)=(2),"",IF((319)=(N3),IF(IF((INDEX(B1:XFD1,((A2)+(1))+(0)))=("store"),(INDEX(B1:XFD1,((A2)+(1))+(1)))=("N"),"false"),B2,N322),N322))</f>
        <v>#VALUE!</v>
      </c>
      <c r="O322" t="e">
        <f ca="1">IF((A1)=(2),"",IF((319)=(O3),IF(IF((INDEX(B1:XFD1,((A2)+(1))+(0)))=("store"),(INDEX(B1:XFD1,((A2)+(1))+(1)))=("O"),"false"),B2,O322),O322))</f>
        <v>#VALUE!</v>
      </c>
      <c r="P322" t="e">
        <f ca="1">IF((A1)=(2),"",IF((319)=(P3),IF(IF((INDEX(B1:XFD1,((A2)+(1))+(0)))=("store"),(INDEX(B1:XFD1,((A2)+(1))+(1)))=("P"),"false"),B2,P322),P322))</f>
        <v>#VALUE!</v>
      </c>
      <c r="Q322" t="e">
        <f ca="1">IF((A1)=(2),"",IF((319)=(Q3),IF(IF((INDEX(B1:XFD1,((A2)+(1))+(0)))=("store"),(INDEX(B1:XFD1,((A2)+(1))+(1)))=("Q"),"false"),B2,Q322),Q322))</f>
        <v>#VALUE!</v>
      </c>
      <c r="R322" t="e">
        <f ca="1">IF((A1)=(2),"",IF((319)=(R3),IF(IF((INDEX(B1:XFD1,((A2)+(1))+(0)))=("store"),(INDEX(B1:XFD1,((A2)+(1))+(1)))=("R"),"false"),B2,R322),R322))</f>
        <v>#VALUE!</v>
      </c>
      <c r="S322" t="e">
        <f ca="1">IF((A1)=(2),"",IF((319)=(S3),IF(IF((INDEX(B1:XFD1,((A2)+(1))+(0)))=("store"),(INDEX(B1:XFD1,((A2)+(1))+(1)))=("S"),"false"),B2,S322),S322))</f>
        <v>#VALUE!</v>
      </c>
      <c r="T322" t="e">
        <f ca="1">IF((A1)=(2),"",IF((319)=(T3),IF(IF((INDEX(B1:XFD1,((A2)+(1))+(0)))=("store"),(INDEX(B1:XFD1,((A2)+(1))+(1)))=("T"),"false"),B2,T322),T322))</f>
        <v>#VALUE!</v>
      </c>
      <c r="U322" t="e">
        <f ca="1">IF((A1)=(2),"",IF((319)=(U3),IF(IF((INDEX(B1:XFD1,((A2)+(1))+(0)))=("store"),(INDEX(B1:XFD1,((A2)+(1))+(1)))=("U"),"false"),B2,U322),U322))</f>
        <v>#VALUE!</v>
      </c>
      <c r="V322" t="e">
        <f ca="1">IF((A1)=(2),"",IF((319)=(V3),IF(IF((INDEX(B1:XFD1,((A2)+(1))+(0)))=("store"),(INDEX(B1:XFD1,((A2)+(1))+(1)))=("V"),"false"),B2,V322),V322))</f>
        <v>#VALUE!</v>
      </c>
      <c r="W322" t="e">
        <f ca="1">IF((A1)=(2),"",IF((319)=(W3),IF(IF((INDEX(B1:XFD1,((A2)+(1))+(0)))=("store"),(INDEX(B1:XFD1,((A2)+(1))+(1)))=("W"),"false"),B2,W322),W322))</f>
        <v>#VALUE!</v>
      </c>
      <c r="X322" t="e">
        <f ca="1">IF((A1)=(2),"",IF((319)=(X3),IF(IF((INDEX(B1:XFD1,((A2)+(1))+(0)))=("store"),(INDEX(B1:XFD1,((A2)+(1))+(1)))=("X"),"false"),B2,X322),X322))</f>
        <v>#VALUE!</v>
      </c>
      <c r="Y322" t="e">
        <f ca="1">IF((A1)=(2),"",IF((319)=(Y3),IF(IF((INDEX(B1:XFD1,((A2)+(1))+(0)))=("store"),(INDEX(B1:XFD1,((A2)+(1))+(1)))=("Y"),"false"),B2,Y322),Y322))</f>
        <v>#VALUE!</v>
      </c>
      <c r="Z322" t="e">
        <f ca="1">IF((A1)=(2),"",IF((319)=(Z3),IF(IF((INDEX(B1:XFD1,((A2)+(1))+(0)))=("store"),(INDEX(B1:XFD1,((A2)+(1))+(1)))=("Z"),"false"),B2,Z322),Z322))</f>
        <v>#VALUE!</v>
      </c>
      <c r="AA322" t="e">
        <f ca="1">IF((A1)=(2),"",IF((319)=(AA3),IF(IF((INDEX(B1:XFD1,((A2)+(1))+(0)))=("store"),(INDEX(B1:XFD1,((A2)+(1))+(1)))=("AA"),"false"),B2,AA322),AA322))</f>
        <v>#VALUE!</v>
      </c>
      <c r="AB322" t="e">
        <f ca="1">IF((A1)=(2),"",IF((319)=(AB3),IF(IF((INDEX(B1:XFD1,((A2)+(1))+(0)))=("store"),(INDEX(B1:XFD1,((A2)+(1))+(1)))=("AB"),"false"),B2,AB322),AB322))</f>
        <v>#VALUE!</v>
      </c>
      <c r="AC322" t="e">
        <f ca="1">IF((A1)=(2),"",IF((319)=(AC3),IF(IF((INDEX(B1:XFD1,((A2)+(1))+(0)))=("store"),(INDEX(B1:XFD1,((A2)+(1))+(1)))=("AC"),"false"),B2,AC322),AC322))</f>
        <v>#VALUE!</v>
      </c>
      <c r="AD322" t="e">
        <f ca="1">IF((A1)=(2),"",IF((319)=(AD3),IF(IF((INDEX(B1:XFD1,((A2)+(1))+(0)))=("store"),(INDEX(B1:XFD1,((A2)+(1))+(1)))=("AD"),"false"),B2,AD322),AD322))</f>
        <v>#VALUE!</v>
      </c>
    </row>
    <row r="323" spans="1:30" x14ac:dyDescent="0.25">
      <c r="A323" t="e">
        <f ca="1">IF((A1)=(2),"",IF((320)=(A3),IF(("call")=(INDEX(B1:XFD1,((A2)+(1))+(0))),(B2)*(2),IF(("goto")=(INDEX(B1:XFD1,((A2)+(1))+(0))),(INDEX(B1:XFD1,((A2)+(1))+(1)))*(2),IF(("gotoiftrue")=(INDEX(B1:XFD1,((A2)+(1))+(0))),IF(B2,(INDEX(B1:XFD1,((A2)+(1))+(1)))*(2),(A323)+(2)),(A323)+(2)))),A323))</f>
        <v>#VALUE!</v>
      </c>
      <c r="B323" t="e">
        <f ca="1">IF((A1)=(2),"",IF((320)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323)+(1)),IF(("add")=(INDEX(B1:XFD1,((A2)+(1))+(0))),(INDEX(B4:B404,(B3)+(1)))+(B323),IF(("equals")=(INDEX(B1:XFD1,((A2)+(1))+(0))),(INDEX(B4:B404,(B3)+(1)))=(B323),IF(("leq")=(INDEX(B1:XFD1,((A2)+(1))+(0))),(INDEX(B4:B404,(B3)+(1)))&lt;=(B323),IF(("greater")=(INDEX(B1:XFD1,((A2)+(1))+(0))),(INDEX(B4:B404,(B3)+(1)))&gt;(B323),IF(("mod")=(INDEX(B1:XFD1,((A2)+(1))+(0))),MOD(INDEX(B4:B404,(B3)+(1)),B323),B323))))))))),B323))</f>
        <v>#VALUE!</v>
      </c>
      <c r="C323" t="e">
        <f ca="1">IF((A1)=(2),1,IF(AND((INDEX(B1:XFD1,((A2)+(1))+(0)))=("writeheap"),(INDEX(B4:B404,(B3)+(1)))=(319)),INDEX(B4:B404,(B3)+(2)),IF((A1)=(2),"",IF((320)=(C3),C323,C323))))</f>
        <v>#VALUE!</v>
      </c>
      <c r="E323" t="e">
        <f ca="1">IF((A1)=(2),"",IF((320)=(E3),IF(("outputline")=(INDEX(B1:XFD1,((A2)+(1))+(0))),B2,E323),E323))</f>
        <v>#VALUE!</v>
      </c>
      <c r="F323" t="e">
        <f ca="1">IF((A1)=(2),"",IF((320)=(F3),IF(IF((INDEX(B1:XFD1,((A2)+(1))+(0)))=("store"),(INDEX(B1:XFD1,((A2)+(1))+(1)))=("F"),"false"),B2,F323),F323))</f>
        <v>#VALUE!</v>
      </c>
      <c r="G323" t="e">
        <f ca="1">IF((A1)=(2),"",IF((320)=(G3),IF(IF((INDEX(B1:XFD1,((A2)+(1))+(0)))=("store"),(INDEX(B1:XFD1,((A2)+(1))+(1)))=("G"),"false"),B2,G323),G323))</f>
        <v>#VALUE!</v>
      </c>
      <c r="H323" t="e">
        <f ca="1">IF((A1)=(2),"",IF((320)=(H3),IF(IF((INDEX(B1:XFD1,((A2)+(1))+(0)))=("store"),(INDEX(B1:XFD1,((A2)+(1))+(1)))=("H"),"false"),B2,H323),H323))</f>
        <v>#VALUE!</v>
      </c>
      <c r="I323" t="e">
        <f ca="1">IF((A1)=(2),"",IF((320)=(I3),IF(IF((INDEX(B1:XFD1,((A2)+(1))+(0)))=("store"),(INDEX(B1:XFD1,((A2)+(1))+(1)))=("I"),"false"),B2,I323),I323))</f>
        <v>#VALUE!</v>
      </c>
      <c r="J323" t="e">
        <f ca="1">IF((A1)=(2),"",IF((320)=(J3),IF(IF((INDEX(B1:XFD1,((A2)+(1))+(0)))=("store"),(INDEX(B1:XFD1,((A2)+(1))+(1)))=("J"),"false"),B2,J323),J323))</f>
        <v>#VALUE!</v>
      </c>
      <c r="K323" t="e">
        <f ca="1">IF((A1)=(2),"",IF((320)=(K3),IF(IF((INDEX(B1:XFD1,((A2)+(1))+(0)))=("store"),(INDEX(B1:XFD1,((A2)+(1))+(1)))=("K"),"false"),B2,K323),K323))</f>
        <v>#VALUE!</v>
      </c>
      <c r="L323" t="e">
        <f ca="1">IF((A1)=(2),"",IF((320)=(L3),IF(IF((INDEX(B1:XFD1,((A2)+(1))+(0)))=("store"),(INDEX(B1:XFD1,((A2)+(1))+(1)))=("L"),"false"),B2,L323),L323))</f>
        <v>#VALUE!</v>
      </c>
      <c r="M323" t="e">
        <f ca="1">IF((A1)=(2),"",IF((320)=(M3),IF(IF((INDEX(B1:XFD1,((A2)+(1))+(0)))=("store"),(INDEX(B1:XFD1,((A2)+(1))+(1)))=("M"),"false"),B2,M323),M323))</f>
        <v>#VALUE!</v>
      </c>
      <c r="N323" t="e">
        <f ca="1">IF((A1)=(2),"",IF((320)=(N3),IF(IF((INDEX(B1:XFD1,((A2)+(1))+(0)))=("store"),(INDEX(B1:XFD1,((A2)+(1))+(1)))=("N"),"false"),B2,N323),N323))</f>
        <v>#VALUE!</v>
      </c>
      <c r="O323" t="e">
        <f ca="1">IF((A1)=(2),"",IF((320)=(O3),IF(IF((INDEX(B1:XFD1,((A2)+(1))+(0)))=("store"),(INDEX(B1:XFD1,((A2)+(1))+(1)))=("O"),"false"),B2,O323),O323))</f>
        <v>#VALUE!</v>
      </c>
      <c r="P323" t="e">
        <f ca="1">IF((A1)=(2),"",IF((320)=(P3),IF(IF((INDEX(B1:XFD1,((A2)+(1))+(0)))=("store"),(INDEX(B1:XFD1,((A2)+(1))+(1)))=("P"),"false"),B2,P323),P323))</f>
        <v>#VALUE!</v>
      </c>
      <c r="Q323" t="e">
        <f ca="1">IF((A1)=(2),"",IF((320)=(Q3),IF(IF((INDEX(B1:XFD1,((A2)+(1))+(0)))=("store"),(INDEX(B1:XFD1,((A2)+(1))+(1)))=("Q"),"false"),B2,Q323),Q323))</f>
        <v>#VALUE!</v>
      </c>
      <c r="R323" t="e">
        <f ca="1">IF((A1)=(2),"",IF((320)=(R3),IF(IF((INDEX(B1:XFD1,((A2)+(1))+(0)))=("store"),(INDEX(B1:XFD1,((A2)+(1))+(1)))=("R"),"false"),B2,R323),R323))</f>
        <v>#VALUE!</v>
      </c>
      <c r="S323" t="e">
        <f ca="1">IF((A1)=(2),"",IF((320)=(S3),IF(IF((INDEX(B1:XFD1,((A2)+(1))+(0)))=("store"),(INDEX(B1:XFD1,((A2)+(1))+(1)))=("S"),"false"),B2,S323),S323))</f>
        <v>#VALUE!</v>
      </c>
      <c r="T323" t="e">
        <f ca="1">IF((A1)=(2),"",IF((320)=(T3),IF(IF((INDEX(B1:XFD1,((A2)+(1))+(0)))=("store"),(INDEX(B1:XFD1,((A2)+(1))+(1)))=("T"),"false"),B2,T323),T323))</f>
        <v>#VALUE!</v>
      </c>
      <c r="U323" t="e">
        <f ca="1">IF((A1)=(2),"",IF((320)=(U3),IF(IF((INDEX(B1:XFD1,((A2)+(1))+(0)))=("store"),(INDEX(B1:XFD1,((A2)+(1))+(1)))=("U"),"false"),B2,U323),U323))</f>
        <v>#VALUE!</v>
      </c>
      <c r="V323" t="e">
        <f ca="1">IF((A1)=(2),"",IF((320)=(V3),IF(IF((INDEX(B1:XFD1,((A2)+(1))+(0)))=("store"),(INDEX(B1:XFD1,((A2)+(1))+(1)))=("V"),"false"),B2,V323),V323))</f>
        <v>#VALUE!</v>
      </c>
      <c r="W323" t="e">
        <f ca="1">IF((A1)=(2),"",IF((320)=(W3),IF(IF((INDEX(B1:XFD1,((A2)+(1))+(0)))=("store"),(INDEX(B1:XFD1,((A2)+(1))+(1)))=("W"),"false"),B2,W323),W323))</f>
        <v>#VALUE!</v>
      </c>
      <c r="X323" t="e">
        <f ca="1">IF((A1)=(2),"",IF((320)=(X3),IF(IF((INDEX(B1:XFD1,((A2)+(1))+(0)))=("store"),(INDEX(B1:XFD1,((A2)+(1))+(1)))=("X"),"false"),B2,X323),X323))</f>
        <v>#VALUE!</v>
      </c>
      <c r="Y323" t="e">
        <f ca="1">IF((A1)=(2),"",IF((320)=(Y3),IF(IF((INDEX(B1:XFD1,((A2)+(1))+(0)))=("store"),(INDEX(B1:XFD1,((A2)+(1))+(1)))=("Y"),"false"),B2,Y323),Y323))</f>
        <v>#VALUE!</v>
      </c>
      <c r="Z323" t="e">
        <f ca="1">IF((A1)=(2),"",IF((320)=(Z3),IF(IF((INDEX(B1:XFD1,((A2)+(1))+(0)))=("store"),(INDEX(B1:XFD1,((A2)+(1))+(1)))=("Z"),"false"),B2,Z323),Z323))</f>
        <v>#VALUE!</v>
      </c>
      <c r="AA323" t="e">
        <f ca="1">IF((A1)=(2),"",IF((320)=(AA3),IF(IF((INDEX(B1:XFD1,((A2)+(1))+(0)))=("store"),(INDEX(B1:XFD1,((A2)+(1))+(1)))=("AA"),"false"),B2,AA323),AA323))</f>
        <v>#VALUE!</v>
      </c>
      <c r="AB323" t="e">
        <f ca="1">IF((A1)=(2),"",IF((320)=(AB3),IF(IF((INDEX(B1:XFD1,((A2)+(1))+(0)))=("store"),(INDEX(B1:XFD1,((A2)+(1))+(1)))=("AB"),"false"),B2,AB323),AB323))</f>
        <v>#VALUE!</v>
      </c>
      <c r="AC323" t="e">
        <f ca="1">IF((A1)=(2),"",IF((320)=(AC3),IF(IF((INDEX(B1:XFD1,((A2)+(1))+(0)))=("store"),(INDEX(B1:XFD1,((A2)+(1))+(1)))=("AC"),"false"),B2,AC323),AC323))</f>
        <v>#VALUE!</v>
      </c>
      <c r="AD323" t="e">
        <f ca="1">IF((A1)=(2),"",IF((320)=(AD3),IF(IF((INDEX(B1:XFD1,((A2)+(1))+(0)))=("store"),(INDEX(B1:XFD1,((A2)+(1))+(1)))=("AD"),"false"),B2,AD323),AD323))</f>
        <v>#VALUE!</v>
      </c>
    </row>
    <row r="324" spans="1:30" x14ac:dyDescent="0.25">
      <c r="A324" t="e">
        <f ca="1">IF((A1)=(2),"",IF((321)=(A3),IF(("call")=(INDEX(B1:XFD1,((A2)+(1))+(0))),(B2)*(2),IF(("goto")=(INDEX(B1:XFD1,((A2)+(1))+(0))),(INDEX(B1:XFD1,((A2)+(1))+(1)))*(2),IF(("gotoiftrue")=(INDEX(B1:XFD1,((A2)+(1))+(0))),IF(B2,(INDEX(B1:XFD1,((A2)+(1))+(1)))*(2),(A324)+(2)),(A324)+(2)))),A324))</f>
        <v>#VALUE!</v>
      </c>
      <c r="B324" t="e">
        <f ca="1">IF((A1)=(2),"",IF((321)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324)+(1)),IF(("add")=(INDEX(B1:XFD1,((A2)+(1))+(0))),(INDEX(B4:B404,(B3)+(1)))+(B324),IF(("equals")=(INDEX(B1:XFD1,((A2)+(1))+(0))),(INDEX(B4:B404,(B3)+(1)))=(B324),IF(("leq")=(INDEX(B1:XFD1,((A2)+(1))+(0))),(INDEX(B4:B404,(B3)+(1)))&lt;=(B324),IF(("greater")=(INDEX(B1:XFD1,((A2)+(1))+(0))),(INDEX(B4:B404,(B3)+(1)))&gt;(B324),IF(("mod")=(INDEX(B1:XFD1,((A2)+(1))+(0))),MOD(INDEX(B4:B404,(B3)+(1)),B324),B324))))))))),B324))</f>
        <v>#VALUE!</v>
      </c>
      <c r="C324" t="e">
        <f ca="1">IF((A1)=(2),1,IF(AND((INDEX(B1:XFD1,((A2)+(1))+(0)))=("writeheap"),(INDEX(B4:B404,(B3)+(1)))=(320)),INDEX(B4:B404,(B3)+(2)),IF((A1)=(2),"",IF((321)=(C3),C324,C324))))</f>
        <v>#VALUE!</v>
      </c>
      <c r="E324" t="e">
        <f ca="1">IF((A1)=(2),"",IF((321)=(E3),IF(("outputline")=(INDEX(B1:XFD1,((A2)+(1))+(0))),B2,E324),E324))</f>
        <v>#VALUE!</v>
      </c>
      <c r="F324" t="e">
        <f ca="1">IF((A1)=(2),"",IF((321)=(F3),IF(IF((INDEX(B1:XFD1,((A2)+(1))+(0)))=("store"),(INDEX(B1:XFD1,((A2)+(1))+(1)))=("F"),"false"),B2,F324),F324))</f>
        <v>#VALUE!</v>
      </c>
      <c r="G324" t="e">
        <f ca="1">IF((A1)=(2),"",IF((321)=(G3),IF(IF((INDEX(B1:XFD1,((A2)+(1))+(0)))=("store"),(INDEX(B1:XFD1,((A2)+(1))+(1)))=("G"),"false"),B2,G324),G324))</f>
        <v>#VALUE!</v>
      </c>
      <c r="H324" t="e">
        <f ca="1">IF((A1)=(2),"",IF((321)=(H3),IF(IF((INDEX(B1:XFD1,((A2)+(1))+(0)))=("store"),(INDEX(B1:XFD1,((A2)+(1))+(1)))=("H"),"false"),B2,H324),H324))</f>
        <v>#VALUE!</v>
      </c>
      <c r="I324" t="e">
        <f ca="1">IF((A1)=(2),"",IF((321)=(I3),IF(IF((INDEX(B1:XFD1,((A2)+(1))+(0)))=("store"),(INDEX(B1:XFD1,((A2)+(1))+(1)))=("I"),"false"),B2,I324),I324))</f>
        <v>#VALUE!</v>
      </c>
      <c r="J324" t="e">
        <f ca="1">IF((A1)=(2),"",IF((321)=(J3),IF(IF((INDEX(B1:XFD1,((A2)+(1))+(0)))=("store"),(INDEX(B1:XFD1,((A2)+(1))+(1)))=("J"),"false"),B2,J324),J324))</f>
        <v>#VALUE!</v>
      </c>
      <c r="K324" t="e">
        <f ca="1">IF((A1)=(2),"",IF((321)=(K3),IF(IF((INDEX(B1:XFD1,((A2)+(1))+(0)))=("store"),(INDEX(B1:XFD1,((A2)+(1))+(1)))=("K"),"false"),B2,K324),K324))</f>
        <v>#VALUE!</v>
      </c>
      <c r="L324" t="e">
        <f ca="1">IF((A1)=(2),"",IF((321)=(L3),IF(IF((INDEX(B1:XFD1,((A2)+(1))+(0)))=("store"),(INDEX(B1:XFD1,((A2)+(1))+(1)))=("L"),"false"),B2,L324),L324))</f>
        <v>#VALUE!</v>
      </c>
      <c r="M324" t="e">
        <f ca="1">IF((A1)=(2),"",IF((321)=(M3),IF(IF((INDEX(B1:XFD1,((A2)+(1))+(0)))=("store"),(INDEX(B1:XFD1,((A2)+(1))+(1)))=("M"),"false"),B2,M324),M324))</f>
        <v>#VALUE!</v>
      </c>
      <c r="N324" t="e">
        <f ca="1">IF((A1)=(2),"",IF((321)=(N3),IF(IF((INDEX(B1:XFD1,((A2)+(1))+(0)))=("store"),(INDEX(B1:XFD1,((A2)+(1))+(1)))=("N"),"false"),B2,N324),N324))</f>
        <v>#VALUE!</v>
      </c>
      <c r="O324" t="e">
        <f ca="1">IF((A1)=(2),"",IF((321)=(O3),IF(IF((INDEX(B1:XFD1,((A2)+(1))+(0)))=("store"),(INDEX(B1:XFD1,((A2)+(1))+(1)))=("O"),"false"),B2,O324),O324))</f>
        <v>#VALUE!</v>
      </c>
      <c r="P324" t="e">
        <f ca="1">IF((A1)=(2),"",IF((321)=(P3),IF(IF((INDEX(B1:XFD1,((A2)+(1))+(0)))=("store"),(INDEX(B1:XFD1,((A2)+(1))+(1)))=("P"),"false"),B2,P324),P324))</f>
        <v>#VALUE!</v>
      </c>
      <c r="Q324" t="e">
        <f ca="1">IF((A1)=(2),"",IF((321)=(Q3),IF(IF((INDEX(B1:XFD1,((A2)+(1))+(0)))=("store"),(INDEX(B1:XFD1,((A2)+(1))+(1)))=("Q"),"false"),B2,Q324),Q324))</f>
        <v>#VALUE!</v>
      </c>
      <c r="R324" t="e">
        <f ca="1">IF((A1)=(2),"",IF((321)=(R3),IF(IF((INDEX(B1:XFD1,((A2)+(1))+(0)))=("store"),(INDEX(B1:XFD1,((A2)+(1))+(1)))=("R"),"false"),B2,R324),R324))</f>
        <v>#VALUE!</v>
      </c>
      <c r="S324" t="e">
        <f ca="1">IF((A1)=(2),"",IF((321)=(S3),IF(IF((INDEX(B1:XFD1,((A2)+(1))+(0)))=("store"),(INDEX(B1:XFD1,((A2)+(1))+(1)))=("S"),"false"),B2,S324),S324))</f>
        <v>#VALUE!</v>
      </c>
      <c r="T324" t="e">
        <f ca="1">IF((A1)=(2),"",IF((321)=(T3),IF(IF((INDEX(B1:XFD1,((A2)+(1))+(0)))=("store"),(INDEX(B1:XFD1,((A2)+(1))+(1)))=("T"),"false"),B2,T324),T324))</f>
        <v>#VALUE!</v>
      </c>
      <c r="U324" t="e">
        <f ca="1">IF((A1)=(2),"",IF((321)=(U3),IF(IF((INDEX(B1:XFD1,((A2)+(1))+(0)))=("store"),(INDEX(B1:XFD1,((A2)+(1))+(1)))=("U"),"false"),B2,U324),U324))</f>
        <v>#VALUE!</v>
      </c>
      <c r="V324" t="e">
        <f ca="1">IF((A1)=(2),"",IF((321)=(V3),IF(IF((INDEX(B1:XFD1,((A2)+(1))+(0)))=("store"),(INDEX(B1:XFD1,((A2)+(1))+(1)))=("V"),"false"),B2,V324),V324))</f>
        <v>#VALUE!</v>
      </c>
      <c r="W324" t="e">
        <f ca="1">IF((A1)=(2),"",IF((321)=(W3),IF(IF((INDEX(B1:XFD1,((A2)+(1))+(0)))=("store"),(INDEX(B1:XFD1,((A2)+(1))+(1)))=("W"),"false"),B2,W324),W324))</f>
        <v>#VALUE!</v>
      </c>
      <c r="X324" t="e">
        <f ca="1">IF((A1)=(2),"",IF((321)=(X3),IF(IF((INDEX(B1:XFD1,((A2)+(1))+(0)))=("store"),(INDEX(B1:XFD1,((A2)+(1))+(1)))=("X"),"false"),B2,X324),X324))</f>
        <v>#VALUE!</v>
      </c>
      <c r="Y324" t="e">
        <f ca="1">IF((A1)=(2),"",IF((321)=(Y3),IF(IF((INDEX(B1:XFD1,((A2)+(1))+(0)))=("store"),(INDEX(B1:XFD1,((A2)+(1))+(1)))=("Y"),"false"),B2,Y324),Y324))</f>
        <v>#VALUE!</v>
      </c>
      <c r="Z324" t="e">
        <f ca="1">IF((A1)=(2),"",IF((321)=(Z3),IF(IF((INDEX(B1:XFD1,((A2)+(1))+(0)))=("store"),(INDEX(B1:XFD1,((A2)+(1))+(1)))=("Z"),"false"),B2,Z324),Z324))</f>
        <v>#VALUE!</v>
      </c>
      <c r="AA324" t="e">
        <f ca="1">IF((A1)=(2),"",IF((321)=(AA3),IF(IF((INDEX(B1:XFD1,((A2)+(1))+(0)))=("store"),(INDEX(B1:XFD1,((A2)+(1))+(1)))=("AA"),"false"),B2,AA324),AA324))</f>
        <v>#VALUE!</v>
      </c>
      <c r="AB324" t="e">
        <f ca="1">IF((A1)=(2),"",IF((321)=(AB3),IF(IF((INDEX(B1:XFD1,((A2)+(1))+(0)))=("store"),(INDEX(B1:XFD1,((A2)+(1))+(1)))=("AB"),"false"),B2,AB324),AB324))</f>
        <v>#VALUE!</v>
      </c>
      <c r="AC324" t="e">
        <f ca="1">IF((A1)=(2),"",IF((321)=(AC3),IF(IF((INDEX(B1:XFD1,((A2)+(1))+(0)))=("store"),(INDEX(B1:XFD1,((A2)+(1))+(1)))=("AC"),"false"),B2,AC324),AC324))</f>
        <v>#VALUE!</v>
      </c>
      <c r="AD324" t="e">
        <f ca="1">IF((A1)=(2),"",IF((321)=(AD3),IF(IF((INDEX(B1:XFD1,((A2)+(1))+(0)))=("store"),(INDEX(B1:XFD1,((A2)+(1))+(1)))=("AD"),"false"),B2,AD324),AD324))</f>
        <v>#VALUE!</v>
      </c>
    </row>
    <row r="325" spans="1:30" x14ac:dyDescent="0.25">
      <c r="A325" t="e">
        <f ca="1">IF((A1)=(2),"",IF((322)=(A3),IF(("call")=(INDEX(B1:XFD1,((A2)+(1))+(0))),(B2)*(2),IF(("goto")=(INDEX(B1:XFD1,((A2)+(1))+(0))),(INDEX(B1:XFD1,((A2)+(1))+(1)))*(2),IF(("gotoiftrue")=(INDEX(B1:XFD1,((A2)+(1))+(0))),IF(B2,(INDEX(B1:XFD1,((A2)+(1))+(1)))*(2),(A325)+(2)),(A325)+(2)))),A325))</f>
        <v>#VALUE!</v>
      </c>
      <c r="B325" t="e">
        <f ca="1">IF((A1)=(2),"",IF((322)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325)+(1)),IF(("add")=(INDEX(B1:XFD1,((A2)+(1))+(0))),(INDEX(B4:B404,(B3)+(1)))+(B325),IF(("equals")=(INDEX(B1:XFD1,((A2)+(1))+(0))),(INDEX(B4:B404,(B3)+(1)))=(B325),IF(("leq")=(INDEX(B1:XFD1,((A2)+(1))+(0))),(INDEX(B4:B404,(B3)+(1)))&lt;=(B325),IF(("greater")=(INDEX(B1:XFD1,((A2)+(1))+(0))),(INDEX(B4:B404,(B3)+(1)))&gt;(B325),IF(("mod")=(INDEX(B1:XFD1,((A2)+(1))+(0))),MOD(INDEX(B4:B404,(B3)+(1)),B325),B325))))))))),B325))</f>
        <v>#VALUE!</v>
      </c>
      <c r="C325" t="e">
        <f ca="1">IF((A1)=(2),1,IF(AND((INDEX(B1:XFD1,((A2)+(1))+(0)))=("writeheap"),(INDEX(B4:B404,(B3)+(1)))=(321)),INDEX(B4:B404,(B3)+(2)),IF((A1)=(2),"",IF((322)=(C3),C325,C325))))</f>
        <v>#VALUE!</v>
      </c>
      <c r="E325" t="e">
        <f ca="1">IF((A1)=(2),"",IF((322)=(E3),IF(("outputline")=(INDEX(B1:XFD1,((A2)+(1))+(0))),B2,E325),E325))</f>
        <v>#VALUE!</v>
      </c>
      <c r="F325" t="e">
        <f ca="1">IF((A1)=(2),"",IF((322)=(F3),IF(IF((INDEX(B1:XFD1,((A2)+(1))+(0)))=("store"),(INDEX(B1:XFD1,((A2)+(1))+(1)))=("F"),"false"),B2,F325),F325))</f>
        <v>#VALUE!</v>
      </c>
      <c r="G325" t="e">
        <f ca="1">IF((A1)=(2),"",IF((322)=(G3),IF(IF((INDEX(B1:XFD1,((A2)+(1))+(0)))=("store"),(INDEX(B1:XFD1,((A2)+(1))+(1)))=("G"),"false"),B2,G325),G325))</f>
        <v>#VALUE!</v>
      </c>
      <c r="H325" t="e">
        <f ca="1">IF((A1)=(2),"",IF((322)=(H3),IF(IF((INDEX(B1:XFD1,((A2)+(1))+(0)))=("store"),(INDEX(B1:XFD1,((A2)+(1))+(1)))=("H"),"false"),B2,H325),H325))</f>
        <v>#VALUE!</v>
      </c>
      <c r="I325" t="e">
        <f ca="1">IF((A1)=(2),"",IF((322)=(I3),IF(IF((INDEX(B1:XFD1,((A2)+(1))+(0)))=("store"),(INDEX(B1:XFD1,((A2)+(1))+(1)))=("I"),"false"),B2,I325),I325))</f>
        <v>#VALUE!</v>
      </c>
      <c r="J325" t="e">
        <f ca="1">IF((A1)=(2),"",IF((322)=(J3),IF(IF((INDEX(B1:XFD1,((A2)+(1))+(0)))=("store"),(INDEX(B1:XFD1,((A2)+(1))+(1)))=("J"),"false"),B2,J325),J325))</f>
        <v>#VALUE!</v>
      </c>
      <c r="K325" t="e">
        <f ca="1">IF((A1)=(2),"",IF((322)=(K3),IF(IF((INDEX(B1:XFD1,((A2)+(1))+(0)))=("store"),(INDEX(B1:XFD1,((A2)+(1))+(1)))=("K"),"false"),B2,K325),K325))</f>
        <v>#VALUE!</v>
      </c>
      <c r="L325" t="e">
        <f ca="1">IF((A1)=(2),"",IF((322)=(L3),IF(IF((INDEX(B1:XFD1,((A2)+(1))+(0)))=("store"),(INDEX(B1:XFD1,((A2)+(1))+(1)))=("L"),"false"),B2,L325),L325))</f>
        <v>#VALUE!</v>
      </c>
      <c r="M325" t="e">
        <f ca="1">IF((A1)=(2),"",IF((322)=(M3),IF(IF((INDEX(B1:XFD1,((A2)+(1))+(0)))=("store"),(INDEX(B1:XFD1,((A2)+(1))+(1)))=("M"),"false"),B2,M325),M325))</f>
        <v>#VALUE!</v>
      </c>
      <c r="N325" t="e">
        <f ca="1">IF((A1)=(2),"",IF((322)=(N3),IF(IF((INDEX(B1:XFD1,((A2)+(1))+(0)))=("store"),(INDEX(B1:XFD1,((A2)+(1))+(1)))=("N"),"false"),B2,N325),N325))</f>
        <v>#VALUE!</v>
      </c>
      <c r="O325" t="e">
        <f ca="1">IF((A1)=(2),"",IF((322)=(O3),IF(IF((INDEX(B1:XFD1,((A2)+(1))+(0)))=("store"),(INDEX(B1:XFD1,((A2)+(1))+(1)))=("O"),"false"),B2,O325),O325))</f>
        <v>#VALUE!</v>
      </c>
      <c r="P325" t="e">
        <f ca="1">IF((A1)=(2),"",IF((322)=(P3),IF(IF((INDEX(B1:XFD1,((A2)+(1))+(0)))=("store"),(INDEX(B1:XFD1,((A2)+(1))+(1)))=("P"),"false"),B2,P325),P325))</f>
        <v>#VALUE!</v>
      </c>
      <c r="Q325" t="e">
        <f ca="1">IF((A1)=(2),"",IF((322)=(Q3),IF(IF((INDEX(B1:XFD1,((A2)+(1))+(0)))=("store"),(INDEX(B1:XFD1,((A2)+(1))+(1)))=("Q"),"false"),B2,Q325),Q325))</f>
        <v>#VALUE!</v>
      </c>
      <c r="R325" t="e">
        <f ca="1">IF((A1)=(2),"",IF((322)=(R3),IF(IF((INDEX(B1:XFD1,((A2)+(1))+(0)))=("store"),(INDEX(B1:XFD1,((A2)+(1))+(1)))=("R"),"false"),B2,R325),R325))</f>
        <v>#VALUE!</v>
      </c>
      <c r="S325" t="e">
        <f ca="1">IF((A1)=(2),"",IF((322)=(S3),IF(IF((INDEX(B1:XFD1,((A2)+(1))+(0)))=("store"),(INDEX(B1:XFD1,((A2)+(1))+(1)))=("S"),"false"),B2,S325),S325))</f>
        <v>#VALUE!</v>
      </c>
      <c r="T325" t="e">
        <f ca="1">IF((A1)=(2),"",IF((322)=(T3),IF(IF((INDEX(B1:XFD1,((A2)+(1))+(0)))=("store"),(INDEX(B1:XFD1,((A2)+(1))+(1)))=("T"),"false"),B2,T325),T325))</f>
        <v>#VALUE!</v>
      </c>
      <c r="U325" t="e">
        <f ca="1">IF((A1)=(2),"",IF((322)=(U3),IF(IF((INDEX(B1:XFD1,((A2)+(1))+(0)))=("store"),(INDEX(B1:XFD1,((A2)+(1))+(1)))=("U"),"false"),B2,U325),U325))</f>
        <v>#VALUE!</v>
      </c>
      <c r="V325" t="e">
        <f ca="1">IF((A1)=(2),"",IF((322)=(V3),IF(IF((INDEX(B1:XFD1,((A2)+(1))+(0)))=("store"),(INDEX(B1:XFD1,((A2)+(1))+(1)))=("V"),"false"),B2,V325),V325))</f>
        <v>#VALUE!</v>
      </c>
      <c r="W325" t="e">
        <f ca="1">IF((A1)=(2),"",IF((322)=(W3),IF(IF((INDEX(B1:XFD1,((A2)+(1))+(0)))=("store"),(INDEX(B1:XFD1,((A2)+(1))+(1)))=("W"),"false"),B2,W325),W325))</f>
        <v>#VALUE!</v>
      </c>
      <c r="X325" t="e">
        <f ca="1">IF((A1)=(2),"",IF((322)=(X3),IF(IF((INDEX(B1:XFD1,((A2)+(1))+(0)))=("store"),(INDEX(B1:XFD1,((A2)+(1))+(1)))=("X"),"false"),B2,X325),X325))</f>
        <v>#VALUE!</v>
      </c>
      <c r="Y325" t="e">
        <f ca="1">IF((A1)=(2),"",IF((322)=(Y3),IF(IF((INDEX(B1:XFD1,((A2)+(1))+(0)))=("store"),(INDEX(B1:XFD1,((A2)+(1))+(1)))=("Y"),"false"),B2,Y325),Y325))</f>
        <v>#VALUE!</v>
      </c>
      <c r="Z325" t="e">
        <f ca="1">IF((A1)=(2),"",IF((322)=(Z3),IF(IF((INDEX(B1:XFD1,((A2)+(1))+(0)))=("store"),(INDEX(B1:XFD1,((A2)+(1))+(1)))=("Z"),"false"),B2,Z325),Z325))</f>
        <v>#VALUE!</v>
      </c>
      <c r="AA325" t="e">
        <f ca="1">IF((A1)=(2),"",IF((322)=(AA3),IF(IF((INDEX(B1:XFD1,((A2)+(1))+(0)))=("store"),(INDEX(B1:XFD1,((A2)+(1))+(1)))=("AA"),"false"),B2,AA325),AA325))</f>
        <v>#VALUE!</v>
      </c>
      <c r="AB325" t="e">
        <f ca="1">IF((A1)=(2),"",IF((322)=(AB3),IF(IF((INDEX(B1:XFD1,((A2)+(1))+(0)))=("store"),(INDEX(B1:XFD1,((A2)+(1))+(1)))=("AB"),"false"),B2,AB325),AB325))</f>
        <v>#VALUE!</v>
      </c>
      <c r="AC325" t="e">
        <f ca="1">IF((A1)=(2),"",IF((322)=(AC3),IF(IF((INDEX(B1:XFD1,((A2)+(1))+(0)))=("store"),(INDEX(B1:XFD1,((A2)+(1))+(1)))=("AC"),"false"),B2,AC325),AC325))</f>
        <v>#VALUE!</v>
      </c>
      <c r="AD325" t="e">
        <f ca="1">IF((A1)=(2),"",IF((322)=(AD3),IF(IF((INDEX(B1:XFD1,((A2)+(1))+(0)))=("store"),(INDEX(B1:XFD1,((A2)+(1))+(1)))=("AD"),"false"),B2,AD325),AD325))</f>
        <v>#VALUE!</v>
      </c>
    </row>
    <row r="326" spans="1:30" x14ac:dyDescent="0.25">
      <c r="A326" t="e">
        <f ca="1">IF((A1)=(2),"",IF((323)=(A3),IF(("call")=(INDEX(B1:XFD1,((A2)+(1))+(0))),(B2)*(2),IF(("goto")=(INDEX(B1:XFD1,((A2)+(1))+(0))),(INDEX(B1:XFD1,((A2)+(1))+(1)))*(2),IF(("gotoiftrue")=(INDEX(B1:XFD1,((A2)+(1))+(0))),IF(B2,(INDEX(B1:XFD1,((A2)+(1))+(1)))*(2),(A326)+(2)),(A326)+(2)))),A326))</f>
        <v>#VALUE!</v>
      </c>
      <c r="B326" t="e">
        <f ca="1">IF((A1)=(2),"",IF((323)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326)+(1)),IF(("add")=(INDEX(B1:XFD1,((A2)+(1))+(0))),(INDEX(B4:B404,(B3)+(1)))+(B326),IF(("equals")=(INDEX(B1:XFD1,((A2)+(1))+(0))),(INDEX(B4:B404,(B3)+(1)))=(B326),IF(("leq")=(INDEX(B1:XFD1,((A2)+(1))+(0))),(INDEX(B4:B404,(B3)+(1)))&lt;=(B326),IF(("greater")=(INDEX(B1:XFD1,((A2)+(1))+(0))),(INDEX(B4:B404,(B3)+(1)))&gt;(B326),IF(("mod")=(INDEX(B1:XFD1,((A2)+(1))+(0))),MOD(INDEX(B4:B404,(B3)+(1)),B326),B326))))))))),B326))</f>
        <v>#VALUE!</v>
      </c>
      <c r="C326" t="e">
        <f ca="1">IF((A1)=(2),1,IF(AND((INDEX(B1:XFD1,((A2)+(1))+(0)))=("writeheap"),(INDEX(B4:B404,(B3)+(1)))=(322)),INDEX(B4:B404,(B3)+(2)),IF((A1)=(2),"",IF((323)=(C3),C326,C326))))</f>
        <v>#VALUE!</v>
      </c>
      <c r="E326" t="e">
        <f ca="1">IF((A1)=(2),"",IF((323)=(E3),IF(("outputline")=(INDEX(B1:XFD1,((A2)+(1))+(0))),B2,E326),E326))</f>
        <v>#VALUE!</v>
      </c>
      <c r="F326" t="e">
        <f ca="1">IF((A1)=(2),"",IF((323)=(F3),IF(IF((INDEX(B1:XFD1,((A2)+(1))+(0)))=("store"),(INDEX(B1:XFD1,((A2)+(1))+(1)))=("F"),"false"),B2,F326),F326))</f>
        <v>#VALUE!</v>
      </c>
      <c r="G326" t="e">
        <f ca="1">IF((A1)=(2),"",IF((323)=(G3),IF(IF((INDEX(B1:XFD1,((A2)+(1))+(0)))=("store"),(INDEX(B1:XFD1,((A2)+(1))+(1)))=("G"),"false"),B2,G326),G326))</f>
        <v>#VALUE!</v>
      </c>
      <c r="H326" t="e">
        <f ca="1">IF((A1)=(2),"",IF((323)=(H3),IF(IF((INDEX(B1:XFD1,((A2)+(1))+(0)))=("store"),(INDEX(B1:XFD1,((A2)+(1))+(1)))=("H"),"false"),B2,H326),H326))</f>
        <v>#VALUE!</v>
      </c>
      <c r="I326" t="e">
        <f ca="1">IF((A1)=(2),"",IF((323)=(I3),IF(IF((INDEX(B1:XFD1,((A2)+(1))+(0)))=("store"),(INDEX(B1:XFD1,((A2)+(1))+(1)))=("I"),"false"),B2,I326),I326))</f>
        <v>#VALUE!</v>
      </c>
      <c r="J326" t="e">
        <f ca="1">IF((A1)=(2),"",IF((323)=(J3),IF(IF((INDEX(B1:XFD1,((A2)+(1))+(0)))=("store"),(INDEX(B1:XFD1,((A2)+(1))+(1)))=("J"),"false"),B2,J326),J326))</f>
        <v>#VALUE!</v>
      </c>
      <c r="K326" t="e">
        <f ca="1">IF((A1)=(2),"",IF((323)=(K3),IF(IF((INDEX(B1:XFD1,((A2)+(1))+(0)))=("store"),(INDEX(B1:XFD1,((A2)+(1))+(1)))=("K"),"false"),B2,K326),K326))</f>
        <v>#VALUE!</v>
      </c>
      <c r="L326" t="e">
        <f ca="1">IF((A1)=(2),"",IF((323)=(L3),IF(IF((INDEX(B1:XFD1,((A2)+(1))+(0)))=("store"),(INDEX(B1:XFD1,((A2)+(1))+(1)))=("L"),"false"),B2,L326),L326))</f>
        <v>#VALUE!</v>
      </c>
      <c r="M326" t="e">
        <f ca="1">IF((A1)=(2),"",IF((323)=(M3),IF(IF((INDEX(B1:XFD1,((A2)+(1))+(0)))=("store"),(INDEX(B1:XFD1,((A2)+(1))+(1)))=("M"),"false"),B2,M326),M326))</f>
        <v>#VALUE!</v>
      </c>
      <c r="N326" t="e">
        <f ca="1">IF((A1)=(2),"",IF((323)=(N3),IF(IF((INDEX(B1:XFD1,((A2)+(1))+(0)))=("store"),(INDEX(B1:XFD1,((A2)+(1))+(1)))=("N"),"false"),B2,N326),N326))</f>
        <v>#VALUE!</v>
      </c>
      <c r="O326" t="e">
        <f ca="1">IF((A1)=(2),"",IF((323)=(O3),IF(IF((INDEX(B1:XFD1,((A2)+(1))+(0)))=("store"),(INDEX(B1:XFD1,((A2)+(1))+(1)))=("O"),"false"),B2,O326),O326))</f>
        <v>#VALUE!</v>
      </c>
      <c r="P326" t="e">
        <f ca="1">IF((A1)=(2),"",IF((323)=(P3),IF(IF((INDEX(B1:XFD1,((A2)+(1))+(0)))=("store"),(INDEX(B1:XFD1,((A2)+(1))+(1)))=("P"),"false"),B2,P326),P326))</f>
        <v>#VALUE!</v>
      </c>
      <c r="Q326" t="e">
        <f ca="1">IF((A1)=(2),"",IF((323)=(Q3),IF(IF((INDEX(B1:XFD1,((A2)+(1))+(0)))=("store"),(INDEX(B1:XFD1,((A2)+(1))+(1)))=("Q"),"false"),B2,Q326),Q326))</f>
        <v>#VALUE!</v>
      </c>
      <c r="R326" t="e">
        <f ca="1">IF((A1)=(2),"",IF((323)=(R3),IF(IF((INDEX(B1:XFD1,((A2)+(1))+(0)))=("store"),(INDEX(B1:XFD1,((A2)+(1))+(1)))=("R"),"false"),B2,R326),R326))</f>
        <v>#VALUE!</v>
      </c>
      <c r="S326" t="e">
        <f ca="1">IF((A1)=(2),"",IF((323)=(S3),IF(IF((INDEX(B1:XFD1,((A2)+(1))+(0)))=("store"),(INDEX(B1:XFD1,((A2)+(1))+(1)))=("S"),"false"),B2,S326),S326))</f>
        <v>#VALUE!</v>
      </c>
      <c r="T326" t="e">
        <f ca="1">IF((A1)=(2),"",IF((323)=(T3),IF(IF((INDEX(B1:XFD1,((A2)+(1))+(0)))=("store"),(INDEX(B1:XFD1,((A2)+(1))+(1)))=("T"),"false"),B2,T326),T326))</f>
        <v>#VALUE!</v>
      </c>
      <c r="U326" t="e">
        <f ca="1">IF((A1)=(2),"",IF((323)=(U3),IF(IF((INDEX(B1:XFD1,((A2)+(1))+(0)))=("store"),(INDEX(B1:XFD1,((A2)+(1))+(1)))=("U"),"false"),B2,U326),U326))</f>
        <v>#VALUE!</v>
      </c>
      <c r="V326" t="e">
        <f ca="1">IF((A1)=(2),"",IF((323)=(V3),IF(IF((INDEX(B1:XFD1,((A2)+(1))+(0)))=("store"),(INDEX(B1:XFD1,((A2)+(1))+(1)))=("V"),"false"),B2,V326),V326))</f>
        <v>#VALUE!</v>
      </c>
      <c r="W326" t="e">
        <f ca="1">IF((A1)=(2),"",IF((323)=(W3),IF(IF((INDEX(B1:XFD1,((A2)+(1))+(0)))=("store"),(INDEX(B1:XFD1,((A2)+(1))+(1)))=("W"),"false"),B2,W326),W326))</f>
        <v>#VALUE!</v>
      </c>
      <c r="X326" t="e">
        <f ca="1">IF((A1)=(2),"",IF((323)=(X3),IF(IF((INDEX(B1:XFD1,((A2)+(1))+(0)))=("store"),(INDEX(B1:XFD1,((A2)+(1))+(1)))=("X"),"false"),B2,X326),X326))</f>
        <v>#VALUE!</v>
      </c>
      <c r="Y326" t="e">
        <f ca="1">IF((A1)=(2),"",IF((323)=(Y3),IF(IF((INDEX(B1:XFD1,((A2)+(1))+(0)))=("store"),(INDEX(B1:XFD1,((A2)+(1))+(1)))=("Y"),"false"),B2,Y326),Y326))</f>
        <v>#VALUE!</v>
      </c>
      <c r="Z326" t="e">
        <f ca="1">IF((A1)=(2),"",IF((323)=(Z3),IF(IF((INDEX(B1:XFD1,((A2)+(1))+(0)))=("store"),(INDEX(B1:XFD1,((A2)+(1))+(1)))=("Z"),"false"),B2,Z326),Z326))</f>
        <v>#VALUE!</v>
      </c>
      <c r="AA326" t="e">
        <f ca="1">IF((A1)=(2),"",IF((323)=(AA3),IF(IF((INDEX(B1:XFD1,((A2)+(1))+(0)))=("store"),(INDEX(B1:XFD1,((A2)+(1))+(1)))=("AA"),"false"),B2,AA326),AA326))</f>
        <v>#VALUE!</v>
      </c>
      <c r="AB326" t="e">
        <f ca="1">IF((A1)=(2),"",IF((323)=(AB3),IF(IF((INDEX(B1:XFD1,((A2)+(1))+(0)))=("store"),(INDEX(B1:XFD1,((A2)+(1))+(1)))=("AB"),"false"),B2,AB326),AB326))</f>
        <v>#VALUE!</v>
      </c>
      <c r="AC326" t="e">
        <f ca="1">IF((A1)=(2),"",IF((323)=(AC3),IF(IF((INDEX(B1:XFD1,((A2)+(1))+(0)))=("store"),(INDEX(B1:XFD1,((A2)+(1))+(1)))=("AC"),"false"),B2,AC326),AC326))</f>
        <v>#VALUE!</v>
      </c>
      <c r="AD326" t="e">
        <f ca="1">IF((A1)=(2),"",IF((323)=(AD3),IF(IF((INDEX(B1:XFD1,((A2)+(1))+(0)))=("store"),(INDEX(B1:XFD1,((A2)+(1))+(1)))=("AD"),"false"),B2,AD326),AD326))</f>
        <v>#VALUE!</v>
      </c>
    </row>
    <row r="327" spans="1:30" x14ac:dyDescent="0.25">
      <c r="A327" t="e">
        <f ca="1">IF((A1)=(2),"",IF((324)=(A3),IF(("call")=(INDEX(B1:XFD1,((A2)+(1))+(0))),(B2)*(2),IF(("goto")=(INDEX(B1:XFD1,((A2)+(1))+(0))),(INDEX(B1:XFD1,((A2)+(1))+(1)))*(2),IF(("gotoiftrue")=(INDEX(B1:XFD1,((A2)+(1))+(0))),IF(B2,(INDEX(B1:XFD1,((A2)+(1))+(1)))*(2),(A327)+(2)),(A327)+(2)))),A327))</f>
        <v>#VALUE!</v>
      </c>
      <c r="B327" t="e">
        <f ca="1">IF((A1)=(2),"",IF((324)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327)+(1)),IF(("add")=(INDEX(B1:XFD1,((A2)+(1))+(0))),(INDEX(B4:B404,(B3)+(1)))+(B327),IF(("equals")=(INDEX(B1:XFD1,((A2)+(1))+(0))),(INDEX(B4:B404,(B3)+(1)))=(B327),IF(("leq")=(INDEX(B1:XFD1,((A2)+(1))+(0))),(INDEX(B4:B404,(B3)+(1)))&lt;=(B327),IF(("greater")=(INDEX(B1:XFD1,((A2)+(1))+(0))),(INDEX(B4:B404,(B3)+(1)))&gt;(B327),IF(("mod")=(INDEX(B1:XFD1,((A2)+(1))+(0))),MOD(INDEX(B4:B404,(B3)+(1)),B327),B327))))))))),B327))</f>
        <v>#VALUE!</v>
      </c>
      <c r="C327" t="e">
        <f ca="1">IF((A1)=(2),1,IF(AND((INDEX(B1:XFD1,((A2)+(1))+(0)))=("writeheap"),(INDEX(B4:B404,(B3)+(1)))=(323)),INDEX(B4:B404,(B3)+(2)),IF((A1)=(2),"",IF((324)=(C3),C327,C327))))</f>
        <v>#VALUE!</v>
      </c>
      <c r="E327" t="e">
        <f ca="1">IF((A1)=(2),"",IF((324)=(E3),IF(("outputline")=(INDEX(B1:XFD1,((A2)+(1))+(0))),B2,E327),E327))</f>
        <v>#VALUE!</v>
      </c>
      <c r="F327" t="e">
        <f ca="1">IF((A1)=(2),"",IF((324)=(F3),IF(IF((INDEX(B1:XFD1,((A2)+(1))+(0)))=("store"),(INDEX(B1:XFD1,((A2)+(1))+(1)))=("F"),"false"),B2,F327),F327))</f>
        <v>#VALUE!</v>
      </c>
      <c r="G327" t="e">
        <f ca="1">IF((A1)=(2),"",IF((324)=(G3),IF(IF((INDEX(B1:XFD1,((A2)+(1))+(0)))=("store"),(INDEX(B1:XFD1,((A2)+(1))+(1)))=("G"),"false"),B2,G327),G327))</f>
        <v>#VALUE!</v>
      </c>
      <c r="H327" t="e">
        <f ca="1">IF((A1)=(2),"",IF((324)=(H3),IF(IF((INDEX(B1:XFD1,((A2)+(1))+(0)))=("store"),(INDEX(B1:XFD1,((A2)+(1))+(1)))=("H"),"false"),B2,H327),H327))</f>
        <v>#VALUE!</v>
      </c>
      <c r="I327" t="e">
        <f ca="1">IF((A1)=(2),"",IF((324)=(I3),IF(IF((INDEX(B1:XFD1,((A2)+(1))+(0)))=("store"),(INDEX(B1:XFD1,((A2)+(1))+(1)))=("I"),"false"),B2,I327),I327))</f>
        <v>#VALUE!</v>
      </c>
      <c r="J327" t="e">
        <f ca="1">IF((A1)=(2),"",IF((324)=(J3),IF(IF((INDEX(B1:XFD1,((A2)+(1))+(0)))=("store"),(INDEX(B1:XFD1,((A2)+(1))+(1)))=("J"),"false"),B2,J327),J327))</f>
        <v>#VALUE!</v>
      </c>
      <c r="K327" t="e">
        <f ca="1">IF((A1)=(2),"",IF((324)=(K3),IF(IF((INDEX(B1:XFD1,((A2)+(1))+(0)))=("store"),(INDEX(B1:XFD1,((A2)+(1))+(1)))=("K"),"false"),B2,K327),K327))</f>
        <v>#VALUE!</v>
      </c>
      <c r="L327" t="e">
        <f ca="1">IF((A1)=(2),"",IF((324)=(L3),IF(IF((INDEX(B1:XFD1,((A2)+(1))+(0)))=("store"),(INDEX(B1:XFD1,((A2)+(1))+(1)))=("L"),"false"),B2,L327),L327))</f>
        <v>#VALUE!</v>
      </c>
      <c r="M327" t="e">
        <f ca="1">IF((A1)=(2),"",IF((324)=(M3),IF(IF((INDEX(B1:XFD1,((A2)+(1))+(0)))=("store"),(INDEX(B1:XFD1,((A2)+(1))+(1)))=("M"),"false"),B2,M327),M327))</f>
        <v>#VALUE!</v>
      </c>
      <c r="N327" t="e">
        <f ca="1">IF((A1)=(2),"",IF((324)=(N3),IF(IF((INDEX(B1:XFD1,((A2)+(1))+(0)))=("store"),(INDEX(B1:XFD1,((A2)+(1))+(1)))=("N"),"false"),B2,N327),N327))</f>
        <v>#VALUE!</v>
      </c>
      <c r="O327" t="e">
        <f ca="1">IF((A1)=(2),"",IF((324)=(O3),IF(IF((INDEX(B1:XFD1,((A2)+(1))+(0)))=("store"),(INDEX(B1:XFD1,((A2)+(1))+(1)))=("O"),"false"),B2,O327),O327))</f>
        <v>#VALUE!</v>
      </c>
      <c r="P327" t="e">
        <f ca="1">IF((A1)=(2),"",IF((324)=(P3),IF(IF((INDEX(B1:XFD1,((A2)+(1))+(0)))=("store"),(INDEX(B1:XFD1,((A2)+(1))+(1)))=("P"),"false"),B2,P327),P327))</f>
        <v>#VALUE!</v>
      </c>
      <c r="Q327" t="e">
        <f ca="1">IF((A1)=(2),"",IF((324)=(Q3),IF(IF((INDEX(B1:XFD1,((A2)+(1))+(0)))=("store"),(INDEX(B1:XFD1,((A2)+(1))+(1)))=("Q"),"false"),B2,Q327),Q327))</f>
        <v>#VALUE!</v>
      </c>
      <c r="R327" t="e">
        <f ca="1">IF((A1)=(2),"",IF((324)=(R3),IF(IF((INDEX(B1:XFD1,((A2)+(1))+(0)))=("store"),(INDEX(B1:XFD1,((A2)+(1))+(1)))=("R"),"false"),B2,R327),R327))</f>
        <v>#VALUE!</v>
      </c>
      <c r="S327" t="e">
        <f ca="1">IF((A1)=(2),"",IF((324)=(S3),IF(IF((INDEX(B1:XFD1,((A2)+(1))+(0)))=("store"),(INDEX(B1:XFD1,((A2)+(1))+(1)))=("S"),"false"),B2,S327),S327))</f>
        <v>#VALUE!</v>
      </c>
      <c r="T327" t="e">
        <f ca="1">IF((A1)=(2),"",IF((324)=(T3),IF(IF((INDEX(B1:XFD1,((A2)+(1))+(0)))=("store"),(INDEX(B1:XFD1,((A2)+(1))+(1)))=("T"),"false"),B2,T327),T327))</f>
        <v>#VALUE!</v>
      </c>
      <c r="U327" t="e">
        <f ca="1">IF((A1)=(2),"",IF((324)=(U3),IF(IF((INDEX(B1:XFD1,((A2)+(1))+(0)))=("store"),(INDEX(B1:XFD1,((A2)+(1))+(1)))=("U"),"false"),B2,U327),U327))</f>
        <v>#VALUE!</v>
      </c>
      <c r="V327" t="e">
        <f ca="1">IF((A1)=(2),"",IF((324)=(V3),IF(IF((INDEX(B1:XFD1,((A2)+(1))+(0)))=("store"),(INDEX(B1:XFD1,((A2)+(1))+(1)))=("V"),"false"),B2,V327),V327))</f>
        <v>#VALUE!</v>
      </c>
      <c r="W327" t="e">
        <f ca="1">IF((A1)=(2),"",IF((324)=(W3),IF(IF((INDEX(B1:XFD1,((A2)+(1))+(0)))=("store"),(INDEX(B1:XFD1,((A2)+(1))+(1)))=("W"),"false"),B2,W327),W327))</f>
        <v>#VALUE!</v>
      </c>
      <c r="X327" t="e">
        <f ca="1">IF((A1)=(2),"",IF((324)=(X3),IF(IF((INDEX(B1:XFD1,((A2)+(1))+(0)))=("store"),(INDEX(B1:XFD1,((A2)+(1))+(1)))=("X"),"false"),B2,X327),X327))</f>
        <v>#VALUE!</v>
      </c>
      <c r="Y327" t="e">
        <f ca="1">IF((A1)=(2),"",IF((324)=(Y3),IF(IF((INDEX(B1:XFD1,((A2)+(1))+(0)))=("store"),(INDEX(B1:XFD1,((A2)+(1))+(1)))=("Y"),"false"),B2,Y327),Y327))</f>
        <v>#VALUE!</v>
      </c>
      <c r="Z327" t="e">
        <f ca="1">IF((A1)=(2),"",IF((324)=(Z3),IF(IF((INDEX(B1:XFD1,((A2)+(1))+(0)))=("store"),(INDEX(B1:XFD1,((A2)+(1))+(1)))=("Z"),"false"),B2,Z327),Z327))</f>
        <v>#VALUE!</v>
      </c>
      <c r="AA327" t="e">
        <f ca="1">IF((A1)=(2),"",IF((324)=(AA3),IF(IF((INDEX(B1:XFD1,((A2)+(1))+(0)))=("store"),(INDEX(B1:XFD1,((A2)+(1))+(1)))=("AA"),"false"),B2,AA327),AA327))</f>
        <v>#VALUE!</v>
      </c>
      <c r="AB327" t="e">
        <f ca="1">IF((A1)=(2),"",IF((324)=(AB3),IF(IF((INDEX(B1:XFD1,((A2)+(1))+(0)))=("store"),(INDEX(B1:XFD1,((A2)+(1))+(1)))=("AB"),"false"),B2,AB327),AB327))</f>
        <v>#VALUE!</v>
      </c>
      <c r="AC327" t="e">
        <f ca="1">IF((A1)=(2),"",IF((324)=(AC3),IF(IF((INDEX(B1:XFD1,((A2)+(1))+(0)))=("store"),(INDEX(B1:XFD1,((A2)+(1))+(1)))=("AC"),"false"),B2,AC327),AC327))</f>
        <v>#VALUE!</v>
      </c>
      <c r="AD327" t="e">
        <f ca="1">IF((A1)=(2),"",IF((324)=(AD3),IF(IF((INDEX(B1:XFD1,((A2)+(1))+(0)))=("store"),(INDEX(B1:XFD1,((A2)+(1))+(1)))=("AD"),"false"),B2,AD327),AD327))</f>
        <v>#VALUE!</v>
      </c>
    </row>
    <row r="328" spans="1:30" x14ac:dyDescent="0.25">
      <c r="A328" t="e">
        <f ca="1">IF((A1)=(2),"",IF((325)=(A3),IF(("call")=(INDEX(B1:XFD1,((A2)+(1))+(0))),(B2)*(2),IF(("goto")=(INDEX(B1:XFD1,((A2)+(1))+(0))),(INDEX(B1:XFD1,((A2)+(1))+(1)))*(2),IF(("gotoiftrue")=(INDEX(B1:XFD1,((A2)+(1))+(0))),IF(B2,(INDEX(B1:XFD1,((A2)+(1))+(1)))*(2),(A328)+(2)),(A328)+(2)))),A328))</f>
        <v>#VALUE!</v>
      </c>
      <c r="B328" t="e">
        <f ca="1">IF((A1)=(2),"",IF((325)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328)+(1)),IF(("add")=(INDEX(B1:XFD1,((A2)+(1))+(0))),(INDEX(B4:B404,(B3)+(1)))+(B328),IF(("equals")=(INDEX(B1:XFD1,((A2)+(1))+(0))),(INDEX(B4:B404,(B3)+(1)))=(B328),IF(("leq")=(INDEX(B1:XFD1,((A2)+(1))+(0))),(INDEX(B4:B404,(B3)+(1)))&lt;=(B328),IF(("greater")=(INDEX(B1:XFD1,((A2)+(1))+(0))),(INDEX(B4:B404,(B3)+(1)))&gt;(B328),IF(("mod")=(INDEX(B1:XFD1,((A2)+(1))+(0))),MOD(INDEX(B4:B404,(B3)+(1)),B328),B328))))))))),B328))</f>
        <v>#VALUE!</v>
      </c>
      <c r="C328" t="e">
        <f ca="1">IF((A1)=(2),1,IF(AND((INDEX(B1:XFD1,((A2)+(1))+(0)))=("writeheap"),(INDEX(B4:B404,(B3)+(1)))=(324)),INDEX(B4:B404,(B3)+(2)),IF((A1)=(2),"",IF((325)=(C3),C328,C328))))</f>
        <v>#VALUE!</v>
      </c>
      <c r="E328" t="e">
        <f ca="1">IF((A1)=(2),"",IF((325)=(E3),IF(("outputline")=(INDEX(B1:XFD1,((A2)+(1))+(0))),B2,E328),E328))</f>
        <v>#VALUE!</v>
      </c>
      <c r="F328" t="e">
        <f ca="1">IF((A1)=(2),"",IF((325)=(F3),IF(IF((INDEX(B1:XFD1,((A2)+(1))+(0)))=("store"),(INDEX(B1:XFD1,((A2)+(1))+(1)))=("F"),"false"),B2,F328),F328))</f>
        <v>#VALUE!</v>
      </c>
      <c r="G328" t="e">
        <f ca="1">IF((A1)=(2),"",IF((325)=(G3),IF(IF((INDEX(B1:XFD1,((A2)+(1))+(0)))=("store"),(INDEX(B1:XFD1,((A2)+(1))+(1)))=("G"),"false"),B2,G328),G328))</f>
        <v>#VALUE!</v>
      </c>
      <c r="H328" t="e">
        <f ca="1">IF((A1)=(2),"",IF((325)=(H3),IF(IF((INDEX(B1:XFD1,((A2)+(1))+(0)))=("store"),(INDEX(B1:XFD1,((A2)+(1))+(1)))=("H"),"false"),B2,H328),H328))</f>
        <v>#VALUE!</v>
      </c>
      <c r="I328" t="e">
        <f ca="1">IF((A1)=(2),"",IF((325)=(I3),IF(IF((INDEX(B1:XFD1,((A2)+(1))+(0)))=("store"),(INDEX(B1:XFD1,((A2)+(1))+(1)))=("I"),"false"),B2,I328),I328))</f>
        <v>#VALUE!</v>
      </c>
      <c r="J328" t="e">
        <f ca="1">IF((A1)=(2),"",IF((325)=(J3),IF(IF((INDEX(B1:XFD1,((A2)+(1))+(0)))=("store"),(INDEX(B1:XFD1,((A2)+(1))+(1)))=("J"),"false"),B2,J328),J328))</f>
        <v>#VALUE!</v>
      </c>
      <c r="K328" t="e">
        <f ca="1">IF((A1)=(2),"",IF((325)=(K3),IF(IF((INDEX(B1:XFD1,((A2)+(1))+(0)))=("store"),(INDEX(B1:XFD1,((A2)+(1))+(1)))=("K"),"false"),B2,K328),K328))</f>
        <v>#VALUE!</v>
      </c>
      <c r="L328" t="e">
        <f ca="1">IF((A1)=(2),"",IF((325)=(L3),IF(IF((INDEX(B1:XFD1,((A2)+(1))+(0)))=("store"),(INDEX(B1:XFD1,((A2)+(1))+(1)))=("L"),"false"),B2,L328),L328))</f>
        <v>#VALUE!</v>
      </c>
      <c r="M328" t="e">
        <f ca="1">IF((A1)=(2),"",IF((325)=(M3),IF(IF((INDEX(B1:XFD1,((A2)+(1))+(0)))=("store"),(INDEX(B1:XFD1,((A2)+(1))+(1)))=("M"),"false"),B2,M328),M328))</f>
        <v>#VALUE!</v>
      </c>
      <c r="N328" t="e">
        <f ca="1">IF((A1)=(2),"",IF((325)=(N3),IF(IF((INDEX(B1:XFD1,((A2)+(1))+(0)))=("store"),(INDEX(B1:XFD1,((A2)+(1))+(1)))=("N"),"false"),B2,N328),N328))</f>
        <v>#VALUE!</v>
      </c>
      <c r="O328" t="e">
        <f ca="1">IF((A1)=(2),"",IF((325)=(O3),IF(IF((INDEX(B1:XFD1,((A2)+(1))+(0)))=("store"),(INDEX(B1:XFD1,((A2)+(1))+(1)))=("O"),"false"),B2,O328),O328))</f>
        <v>#VALUE!</v>
      </c>
      <c r="P328" t="e">
        <f ca="1">IF((A1)=(2),"",IF((325)=(P3),IF(IF((INDEX(B1:XFD1,((A2)+(1))+(0)))=("store"),(INDEX(B1:XFD1,((A2)+(1))+(1)))=("P"),"false"),B2,P328),P328))</f>
        <v>#VALUE!</v>
      </c>
      <c r="Q328" t="e">
        <f ca="1">IF((A1)=(2),"",IF((325)=(Q3),IF(IF((INDEX(B1:XFD1,((A2)+(1))+(0)))=("store"),(INDEX(B1:XFD1,((A2)+(1))+(1)))=("Q"),"false"),B2,Q328),Q328))</f>
        <v>#VALUE!</v>
      </c>
      <c r="R328" t="e">
        <f ca="1">IF((A1)=(2),"",IF((325)=(R3),IF(IF((INDEX(B1:XFD1,((A2)+(1))+(0)))=("store"),(INDEX(B1:XFD1,((A2)+(1))+(1)))=("R"),"false"),B2,R328),R328))</f>
        <v>#VALUE!</v>
      </c>
      <c r="S328" t="e">
        <f ca="1">IF((A1)=(2),"",IF((325)=(S3),IF(IF((INDEX(B1:XFD1,((A2)+(1))+(0)))=("store"),(INDEX(B1:XFD1,((A2)+(1))+(1)))=("S"),"false"),B2,S328),S328))</f>
        <v>#VALUE!</v>
      </c>
      <c r="T328" t="e">
        <f ca="1">IF((A1)=(2),"",IF((325)=(T3),IF(IF((INDEX(B1:XFD1,((A2)+(1))+(0)))=("store"),(INDEX(B1:XFD1,((A2)+(1))+(1)))=("T"),"false"),B2,T328),T328))</f>
        <v>#VALUE!</v>
      </c>
      <c r="U328" t="e">
        <f ca="1">IF((A1)=(2),"",IF((325)=(U3),IF(IF((INDEX(B1:XFD1,((A2)+(1))+(0)))=("store"),(INDEX(B1:XFD1,((A2)+(1))+(1)))=("U"),"false"),B2,U328),U328))</f>
        <v>#VALUE!</v>
      </c>
      <c r="V328" t="e">
        <f ca="1">IF((A1)=(2),"",IF((325)=(V3),IF(IF((INDEX(B1:XFD1,((A2)+(1))+(0)))=("store"),(INDEX(B1:XFD1,((A2)+(1))+(1)))=("V"),"false"),B2,V328),V328))</f>
        <v>#VALUE!</v>
      </c>
      <c r="W328" t="e">
        <f ca="1">IF((A1)=(2),"",IF((325)=(W3),IF(IF((INDEX(B1:XFD1,((A2)+(1))+(0)))=("store"),(INDEX(B1:XFD1,((A2)+(1))+(1)))=("W"),"false"),B2,W328),W328))</f>
        <v>#VALUE!</v>
      </c>
      <c r="X328" t="e">
        <f ca="1">IF((A1)=(2),"",IF((325)=(X3),IF(IF((INDEX(B1:XFD1,((A2)+(1))+(0)))=("store"),(INDEX(B1:XFD1,((A2)+(1))+(1)))=("X"),"false"),B2,X328),X328))</f>
        <v>#VALUE!</v>
      </c>
      <c r="Y328" t="e">
        <f ca="1">IF((A1)=(2),"",IF((325)=(Y3),IF(IF((INDEX(B1:XFD1,((A2)+(1))+(0)))=("store"),(INDEX(B1:XFD1,((A2)+(1))+(1)))=("Y"),"false"),B2,Y328),Y328))</f>
        <v>#VALUE!</v>
      </c>
      <c r="Z328" t="e">
        <f ca="1">IF((A1)=(2),"",IF((325)=(Z3),IF(IF((INDEX(B1:XFD1,((A2)+(1))+(0)))=("store"),(INDEX(B1:XFD1,((A2)+(1))+(1)))=("Z"),"false"),B2,Z328),Z328))</f>
        <v>#VALUE!</v>
      </c>
      <c r="AA328" t="e">
        <f ca="1">IF((A1)=(2),"",IF((325)=(AA3),IF(IF((INDEX(B1:XFD1,((A2)+(1))+(0)))=("store"),(INDEX(B1:XFD1,((A2)+(1))+(1)))=("AA"),"false"),B2,AA328),AA328))</f>
        <v>#VALUE!</v>
      </c>
      <c r="AB328" t="e">
        <f ca="1">IF((A1)=(2),"",IF((325)=(AB3),IF(IF((INDEX(B1:XFD1,((A2)+(1))+(0)))=("store"),(INDEX(B1:XFD1,((A2)+(1))+(1)))=("AB"),"false"),B2,AB328),AB328))</f>
        <v>#VALUE!</v>
      </c>
      <c r="AC328" t="e">
        <f ca="1">IF((A1)=(2),"",IF((325)=(AC3),IF(IF((INDEX(B1:XFD1,((A2)+(1))+(0)))=("store"),(INDEX(B1:XFD1,((A2)+(1))+(1)))=("AC"),"false"),B2,AC328),AC328))</f>
        <v>#VALUE!</v>
      </c>
      <c r="AD328" t="e">
        <f ca="1">IF((A1)=(2),"",IF((325)=(AD3),IF(IF((INDEX(B1:XFD1,((A2)+(1))+(0)))=("store"),(INDEX(B1:XFD1,((A2)+(1))+(1)))=("AD"),"false"),B2,AD328),AD328))</f>
        <v>#VALUE!</v>
      </c>
    </row>
    <row r="329" spans="1:30" x14ac:dyDescent="0.25">
      <c r="A329" t="e">
        <f ca="1">IF((A1)=(2),"",IF((326)=(A3),IF(("call")=(INDEX(B1:XFD1,((A2)+(1))+(0))),(B2)*(2),IF(("goto")=(INDEX(B1:XFD1,((A2)+(1))+(0))),(INDEX(B1:XFD1,((A2)+(1))+(1)))*(2),IF(("gotoiftrue")=(INDEX(B1:XFD1,((A2)+(1))+(0))),IF(B2,(INDEX(B1:XFD1,((A2)+(1))+(1)))*(2),(A329)+(2)),(A329)+(2)))),A329))</f>
        <v>#VALUE!</v>
      </c>
      <c r="B329" t="e">
        <f ca="1">IF((A1)=(2),"",IF((326)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329)+(1)),IF(("add")=(INDEX(B1:XFD1,((A2)+(1))+(0))),(INDEX(B4:B404,(B3)+(1)))+(B329),IF(("equals")=(INDEX(B1:XFD1,((A2)+(1))+(0))),(INDEX(B4:B404,(B3)+(1)))=(B329),IF(("leq")=(INDEX(B1:XFD1,((A2)+(1))+(0))),(INDEX(B4:B404,(B3)+(1)))&lt;=(B329),IF(("greater")=(INDEX(B1:XFD1,((A2)+(1))+(0))),(INDEX(B4:B404,(B3)+(1)))&gt;(B329),IF(("mod")=(INDEX(B1:XFD1,((A2)+(1))+(0))),MOD(INDEX(B4:B404,(B3)+(1)),B329),B329))))))))),B329))</f>
        <v>#VALUE!</v>
      </c>
      <c r="C329" t="e">
        <f ca="1">IF((A1)=(2),1,IF(AND((INDEX(B1:XFD1,((A2)+(1))+(0)))=("writeheap"),(INDEX(B4:B404,(B3)+(1)))=(325)),INDEX(B4:B404,(B3)+(2)),IF((A1)=(2),"",IF((326)=(C3),C329,C329))))</f>
        <v>#VALUE!</v>
      </c>
      <c r="E329" t="e">
        <f ca="1">IF((A1)=(2),"",IF((326)=(E3),IF(("outputline")=(INDEX(B1:XFD1,((A2)+(1))+(0))),B2,E329),E329))</f>
        <v>#VALUE!</v>
      </c>
      <c r="F329" t="e">
        <f ca="1">IF((A1)=(2),"",IF((326)=(F3),IF(IF((INDEX(B1:XFD1,((A2)+(1))+(0)))=("store"),(INDEX(B1:XFD1,((A2)+(1))+(1)))=("F"),"false"),B2,F329),F329))</f>
        <v>#VALUE!</v>
      </c>
      <c r="G329" t="e">
        <f ca="1">IF((A1)=(2),"",IF((326)=(G3),IF(IF((INDEX(B1:XFD1,((A2)+(1))+(0)))=("store"),(INDEX(B1:XFD1,((A2)+(1))+(1)))=("G"),"false"),B2,G329),G329))</f>
        <v>#VALUE!</v>
      </c>
      <c r="H329" t="e">
        <f ca="1">IF((A1)=(2),"",IF((326)=(H3),IF(IF((INDEX(B1:XFD1,((A2)+(1))+(0)))=("store"),(INDEX(B1:XFD1,((A2)+(1))+(1)))=("H"),"false"),B2,H329),H329))</f>
        <v>#VALUE!</v>
      </c>
      <c r="I329" t="e">
        <f ca="1">IF((A1)=(2),"",IF((326)=(I3),IF(IF((INDEX(B1:XFD1,((A2)+(1))+(0)))=("store"),(INDEX(B1:XFD1,((A2)+(1))+(1)))=("I"),"false"),B2,I329),I329))</f>
        <v>#VALUE!</v>
      </c>
      <c r="J329" t="e">
        <f ca="1">IF((A1)=(2),"",IF((326)=(J3),IF(IF((INDEX(B1:XFD1,((A2)+(1))+(0)))=("store"),(INDEX(B1:XFD1,((A2)+(1))+(1)))=("J"),"false"),B2,J329),J329))</f>
        <v>#VALUE!</v>
      </c>
      <c r="K329" t="e">
        <f ca="1">IF((A1)=(2),"",IF((326)=(K3),IF(IF((INDEX(B1:XFD1,((A2)+(1))+(0)))=("store"),(INDEX(B1:XFD1,((A2)+(1))+(1)))=("K"),"false"),B2,K329),K329))</f>
        <v>#VALUE!</v>
      </c>
      <c r="L329" t="e">
        <f ca="1">IF((A1)=(2),"",IF((326)=(L3),IF(IF((INDEX(B1:XFD1,((A2)+(1))+(0)))=("store"),(INDEX(B1:XFD1,((A2)+(1))+(1)))=("L"),"false"),B2,L329),L329))</f>
        <v>#VALUE!</v>
      </c>
      <c r="M329" t="e">
        <f ca="1">IF((A1)=(2),"",IF((326)=(M3),IF(IF((INDEX(B1:XFD1,((A2)+(1))+(0)))=("store"),(INDEX(B1:XFD1,((A2)+(1))+(1)))=("M"),"false"),B2,M329),M329))</f>
        <v>#VALUE!</v>
      </c>
      <c r="N329" t="e">
        <f ca="1">IF((A1)=(2),"",IF((326)=(N3),IF(IF((INDEX(B1:XFD1,((A2)+(1))+(0)))=("store"),(INDEX(B1:XFD1,((A2)+(1))+(1)))=("N"),"false"),B2,N329),N329))</f>
        <v>#VALUE!</v>
      </c>
      <c r="O329" t="e">
        <f ca="1">IF((A1)=(2),"",IF((326)=(O3),IF(IF((INDEX(B1:XFD1,((A2)+(1))+(0)))=("store"),(INDEX(B1:XFD1,((A2)+(1))+(1)))=("O"),"false"),B2,O329),O329))</f>
        <v>#VALUE!</v>
      </c>
      <c r="P329" t="e">
        <f ca="1">IF((A1)=(2),"",IF((326)=(P3),IF(IF((INDEX(B1:XFD1,((A2)+(1))+(0)))=("store"),(INDEX(B1:XFD1,((A2)+(1))+(1)))=("P"),"false"),B2,P329),P329))</f>
        <v>#VALUE!</v>
      </c>
      <c r="Q329" t="e">
        <f ca="1">IF((A1)=(2),"",IF((326)=(Q3),IF(IF((INDEX(B1:XFD1,((A2)+(1))+(0)))=("store"),(INDEX(B1:XFD1,((A2)+(1))+(1)))=("Q"),"false"),B2,Q329),Q329))</f>
        <v>#VALUE!</v>
      </c>
      <c r="R329" t="e">
        <f ca="1">IF((A1)=(2),"",IF((326)=(R3),IF(IF((INDEX(B1:XFD1,((A2)+(1))+(0)))=("store"),(INDEX(B1:XFD1,((A2)+(1))+(1)))=("R"),"false"),B2,R329),R329))</f>
        <v>#VALUE!</v>
      </c>
      <c r="S329" t="e">
        <f ca="1">IF((A1)=(2),"",IF((326)=(S3),IF(IF((INDEX(B1:XFD1,((A2)+(1))+(0)))=("store"),(INDEX(B1:XFD1,((A2)+(1))+(1)))=("S"),"false"),B2,S329),S329))</f>
        <v>#VALUE!</v>
      </c>
      <c r="T329" t="e">
        <f ca="1">IF((A1)=(2),"",IF((326)=(T3),IF(IF((INDEX(B1:XFD1,((A2)+(1))+(0)))=("store"),(INDEX(B1:XFD1,((A2)+(1))+(1)))=("T"),"false"),B2,T329),T329))</f>
        <v>#VALUE!</v>
      </c>
      <c r="U329" t="e">
        <f ca="1">IF((A1)=(2),"",IF((326)=(U3),IF(IF((INDEX(B1:XFD1,((A2)+(1))+(0)))=("store"),(INDEX(B1:XFD1,((A2)+(1))+(1)))=("U"),"false"),B2,U329),U329))</f>
        <v>#VALUE!</v>
      </c>
      <c r="V329" t="e">
        <f ca="1">IF((A1)=(2),"",IF((326)=(V3),IF(IF((INDEX(B1:XFD1,((A2)+(1))+(0)))=("store"),(INDEX(B1:XFD1,((A2)+(1))+(1)))=("V"),"false"),B2,V329),V329))</f>
        <v>#VALUE!</v>
      </c>
      <c r="W329" t="e">
        <f ca="1">IF((A1)=(2),"",IF((326)=(W3),IF(IF((INDEX(B1:XFD1,((A2)+(1))+(0)))=("store"),(INDEX(B1:XFD1,((A2)+(1))+(1)))=("W"),"false"),B2,W329),W329))</f>
        <v>#VALUE!</v>
      </c>
      <c r="X329" t="e">
        <f ca="1">IF((A1)=(2),"",IF((326)=(X3),IF(IF((INDEX(B1:XFD1,((A2)+(1))+(0)))=("store"),(INDEX(B1:XFD1,((A2)+(1))+(1)))=("X"),"false"),B2,X329),X329))</f>
        <v>#VALUE!</v>
      </c>
      <c r="Y329" t="e">
        <f ca="1">IF((A1)=(2),"",IF((326)=(Y3),IF(IF((INDEX(B1:XFD1,((A2)+(1))+(0)))=("store"),(INDEX(B1:XFD1,((A2)+(1))+(1)))=("Y"),"false"),B2,Y329),Y329))</f>
        <v>#VALUE!</v>
      </c>
      <c r="Z329" t="e">
        <f ca="1">IF((A1)=(2),"",IF((326)=(Z3),IF(IF((INDEX(B1:XFD1,((A2)+(1))+(0)))=("store"),(INDEX(B1:XFD1,((A2)+(1))+(1)))=("Z"),"false"),B2,Z329),Z329))</f>
        <v>#VALUE!</v>
      </c>
      <c r="AA329" t="e">
        <f ca="1">IF((A1)=(2),"",IF((326)=(AA3),IF(IF((INDEX(B1:XFD1,((A2)+(1))+(0)))=("store"),(INDEX(B1:XFD1,((A2)+(1))+(1)))=("AA"),"false"),B2,AA329),AA329))</f>
        <v>#VALUE!</v>
      </c>
      <c r="AB329" t="e">
        <f ca="1">IF((A1)=(2),"",IF((326)=(AB3),IF(IF((INDEX(B1:XFD1,((A2)+(1))+(0)))=("store"),(INDEX(B1:XFD1,((A2)+(1))+(1)))=("AB"),"false"),B2,AB329),AB329))</f>
        <v>#VALUE!</v>
      </c>
      <c r="AC329" t="e">
        <f ca="1">IF((A1)=(2),"",IF((326)=(AC3),IF(IF((INDEX(B1:XFD1,((A2)+(1))+(0)))=("store"),(INDEX(B1:XFD1,((A2)+(1))+(1)))=("AC"),"false"),B2,AC329),AC329))</f>
        <v>#VALUE!</v>
      </c>
      <c r="AD329" t="e">
        <f ca="1">IF((A1)=(2),"",IF((326)=(AD3),IF(IF((INDEX(B1:XFD1,((A2)+(1))+(0)))=("store"),(INDEX(B1:XFD1,((A2)+(1))+(1)))=("AD"),"false"),B2,AD329),AD329))</f>
        <v>#VALUE!</v>
      </c>
    </row>
    <row r="330" spans="1:30" x14ac:dyDescent="0.25">
      <c r="A330" t="e">
        <f ca="1">IF((A1)=(2),"",IF((327)=(A3),IF(("call")=(INDEX(B1:XFD1,((A2)+(1))+(0))),(B2)*(2),IF(("goto")=(INDEX(B1:XFD1,((A2)+(1))+(0))),(INDEX(B1:XFD1,((A2)+(1))+(1)))*(2),IF(("gotoiftrue")=(INDEX(B1:XFD1,((A2)+(1))+(0))),IF(B2,(INDEX(B1:XFD1,((A2)+(1))+(1)))*(2),(A330)+(2)),(A330)+(2)))),A330))</f>
        <v>#VALUE!</v>
      </c>
      <c r="B330" t="e">
        <f ca="1">IF((A1)=(2),"",IF((327)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330)+(1)),IF(("add")=(INDEX(B1:XFD1,((A2)+(1))+(0))),(INDEX(B4:B404,(B3)+(1)))+(B330),IF(("equals")=(INDEX(B1:XFD1,((A2)+(1))+(0))),(INDEX(B4:B404,(B3)+(1)))=(B330),IF(("leq")=(INDEX(B1:XFD1,((A2)+(1))+(0))),(INDEX(B4:B404,(B3)+(1)))&lt;=(B330),IF(("greater")=(INDEX(B1:XFD1,((A2)+(1))+(0))),(INDEX(B4:B404,(B3)+(1)))&gt;(B330),IF(("mod")=(INDEX(B1:XFD1,((A2)+(1))+(0))),MOD(INDEX(B4:B404,(B3)+(1)),B330),B330))))))))),B330))</f>
        <v>#VALUE!</v>
      </c>
      <c r="C330" t="e">
        <f ca="1">IF((A1)=(2),1,IF(AND((INDEX(B1:XFD1,((A2)+(1))+(0)))=("writeheap"),(INDEX(B4:B404,(B3)+(1)))=(326)),INDEX(B4:B404,(B3)+(2)),IF((A1)=(2),"",IF((327)=(C3),C330,C330))))</f>
        <v>#VALUE!</v>
      </c>
      <c r="E330" t="e">
        <f ca="1">IF((A1)=(2),"",IF((327)=(E3),IF(("outputline")=(INDEX(B1:XFD1,((A2)+(1))+(0))),B2,E330),E330))</f>
        <v>#VALUE!</v>
      </c>
      <c r="F330" t="e">
        <f ca="1">IF((A1)=(2),"",IF((327)=(F3),IF(IF((INDEX(B1:XFD1,((A2)+(1))+(0)))=("store"),(INDEX(B1:XFD1,((A2)+(1))+(1)))=("F"),"false"),B2,F330),F330))</f>
        <v>#VALUE!</v>
      </c>
      <c r="G330" t="e">
        <f ca="1">IF((A1)=(2),"",IF((327)=(G3),IF(IF((INDEX(B1:XFD1,((A2)+(1))+(0)))=("store"),(INDEX(B1:XFD1,((A2)+(1))+(1)))=("G"),"false"),B2,G330),G330))</f>
        <v>#VALUE!</v>
      </c>
      <c r="H330" t="e">
        <f ca="1">IF((A1)=(2),"",IF((327)=(H3),IF(IF((INDEX(B1:XFD1,((A2)+(1))+(0)))=("store"),(INDEX(B1:XFD1,((A2)+(1))+(1)))=("H"),"false"),B2,H330),H330))</f>
        <v>#VALUE!</v>
      </c>
      <c r="I330" t="e">
        <f ca="1">IF((A1)=(2),"",IF((327)=(I3),IF(IF((INDEX(B1:XFD1,((A2)+(1))+(0)))=("store"),(INDEX(B1:XFD1,((A2)+(1))+(1)))=("I"),"false"),B2,I330),I330))</f>
        <v>#VALUE!</v>
      </c>
      <c r="J330" t="e">
        <f ca="1">IF((A1)=(2),"",IF((327)=(J3),IF(IF((INDEX(B1:XFD1,((A2)+(1))+(0)))=("store"),(INDEX(B1:XFD1,((A2)+(1))+(1)))=("J"),"false"),B2,J330),J330))</f>
        <v>#VALUE!</v>
      </c>
      <c r="K330" t="e">
        <f ca="1">IF((A1)=(2),"",IF((327)=(K3),IF(IF((INDEX(B1:XFD1,((A2)+(1))+(0)))=("store"),(INDEX(B1:XFD1,((A2)+(1))+(1)))=("K"),"false"),B2,K330),K330))</f>
        <v>#VALUE!</v>
      </c>
      <c r="L330" t="e">
        <f ca="1">IF((A1)=(2),"",IF((327)=(L3),IF(IF((INDEX(B1:XFD1,((A2)+(1))+(0)))=("store"),(INDEX(B1:XFD1,((A2)+(1))+(1)))=("L"),"false"),B2,L330),L330))</f>
        <v>#VALUE!</v>
      </c>
      <c r="M330" t="e">
        <f ca="1">IF((A1)=(2),"",IF((327)=(M3),IF(IF((INDEX(B1:XFD1,((A2)+(1))+(0)))=("store"),(INDEX(B1:XFD1,((A2)+(1))+(1)))=("M"),"false"),B2,M330),M330))</f>
        <v>#VALUE!</v>
      </c>
      <c r="N330" t="e">
        <f ca="1">IF((A1)=(2),"",IF((327)=(N3),IF(IF((INDEX(B1:XFD1,((A2)+(1))+(0)))=("store"),(INDEX(B1:XFD1,((A2)+(1))+(1)))=("N"),"false"),B2,N330),N330))</f>
        <v>#VALUE!</v>
      </c>
      <c r="O330" t="e">
        <f ca="1">IF((A1)=(2),"",IF((327)=(O3),IF(IF((INDEX(B1:XFD1,((A2)+(1))+(0)))=("store"),(INDEX(B1:XFD1,((A2)+(1))+(1)))=("O"),"false"),B2,O330),O330))</f>
        <v>#VALUE!</v>
      </c>
      <c r="P330" t="e">
        <f ca="1">IF((A1)=(2),"",IF((327)=(P3),IF(IF((INDEX(B1:XFD1,((A2)+(1))+(0)))=("store"),(INDEX(B1:XFD1,((A2)+(1))+(1)))=("P"),"false"),B2,P330),P330))</f>
        <v>#VALUE!</v>
      </c>
      <c r="Q330" t="e">
        <f ca="1">IF((A1)=(2),"",IF((327)=(Q3),IF(IF((INDEX(B1:XFD1,((A2)+(1))+(0)))=("store"),(INDEX(B1:XFD1,((A2)+(1))+(1)))=("Q"),"false"),B2,Q330),Q330))</f>
        <v>#VALUE!</v>
      </c>
      <c r="R330" t="e">
        <f ca="1">IF((A1)=(2),"",IF((327)=(R3),IF(IF((INDEX(B1:XFD1,((A2)+(1))+(0)))=("store"),(INDEX(B1:XFD1,((A2)+(1))+(1)))=("R"),"false"),B2,R330),R330))</f>
        <v>#VALUE!</v>
      </c>
      <c r="S330" t="e">
        <f ca="1">IF((A1)=(2),"",IF((327)=(S3),IF(IF((INDEX(B1:XFD1,((A2)+(1))+(0)))=("store"),(INDEX(B1:XFD1,((A2)+(1))+(1)))=("S"),"false"),B2,S330),S330))</f>
        <v>#VALUE!</v>
      </c>
      <c r="T330" t="e">
        <f ca="1">IF((A1)=(2),"",IF((327)=(T3),IF(IF((INDEX(B1:XFD1,((A2)+(1))+(0)))=("store"),(INDEX(B1:XFD1,((A2)+(1))+(1)))=("T"),"false"),B2,T330),T330))</f>
        <v>#VALUE!</v>
      </c>
      <c r="U330" t="e">
        <f ca="1">IF((A1)=(2),"",IF((327)=(U3),IF(IF((INDEX(B1:XFD1,((A2)+(1))+(0)))=("store"),(INDEX(B1:XFD1,((A2)+(1))+(1)))=("U"),"false"),B2,U330),U330))</f>
        <v>#VALUE!</v>
      </c>
      <c r="V330" t="e">
        <f ca="1">IF((A1)=(2),"",IF((327)=(V3),IF(IF((INDEX(B1:XFD1,((A2)+(1))+(0)))=("store"),(INDEX(B1:XFD1,((A2)+(1))+(1)))=("V"),"false"),B2,V330),V330))</f>
        <v>#VALUE!</v>
      </c>
      <c r="W330" t="e">
        <f ca="1">IF((A1)=(2),"",IF((327)=(W3),IF(IF((INDEX(B1:XFD1,((A2)+(1))+(0)))=("store"),(INDEX(B1:XFD1,((A2)+(1))+(1)))=("W"),"false"),B2,W330),W330))</f>
        <v>#VALUE!</v>
      </c>
      <c r="X330" t="e">
        <f ca="1">IF((A1)=(2),"",IF((327)=(X3),IF(IF((INDEX(B1:XFD1,((A2)+(1))+(0)))=("store"),(INDEX(B1:XFD1,((A2)+(1))+(1)))=("X"),"false"),B2,X330),X330))</f>
        <v>#VALUE!</v>
      </c>
      <c r="Y330" t="e">
        <f ca="1">IF((A1)=(2),"",IF((327)=(Y3),IF(IF((INDEX(B1:XFD1,((A2)+(1))+(0)))=("store"),(INDEX(B1:XFD1,((A2)+(1))+(1)))=("Y"),"false"),B2,Y330),Y330))</f>
        <v>#VALUE!</v>
      </c>
      <c r="Z330" t="e">
        <f ca="1">IF((A1)=(2),"",IF((327)=(Z3),IF(IF((INDEX(B1:XFD1,((A2)+(1))+(0)))=("store"),(INDEX(B1:XFD1,((A2)+(1))+(1)))=("Z"),"false"),B2,Z330),Z330))</f>
        <v>#VALUE!</v>
      </c>
      <c r="AA330" t="e">
        <f ca="1">IF((A1)=(2),"",IF((327)=(AA3),IF(IF((INDEX(B1:XFD1,((A2)+(1))+(0)))=("store"),(INDEX(B1:XFD1,((A2)+(1))+(1)))=("AA"),"false"),B2,AA330),AA330))</f>
        <v>#VALUE!</v>
      </c>
      <c r="AB330" t="e">
        <f ca="1">IF((A1)=(2),"",IF((327)=(AB3),IF(IF((INDEX(B1:XFD1,((A2)+(1))+(0)))=("store"),(INDEX(B1:XFD1,((A2)+(1))+(1)))=("AB"),"false"),B2,AB330),AB330))</f>
        <v>#VALUE!</v>
      </c>
      <c r="AC330" t="e">
        <f ca="1">IF((A1)=(2),"",IF((327)=(AC3),IF(IF((INDEX(B1:XFD1,((A2)+(1))+(0)))=("store"),(INDEX(B1:XFD1,((A2)+(1))+(1)))=("AC"),"false"),B2,AC330),AC330))</f>
        <v>#VALUE!</v>
      </c>
      <c r="AD330" t="e">
        <f ca="1">IF((A1)=(2),"",IF((327)=(AD3),IF(IF((INDEX(B1:XFD1,((A2)+(1))+(0)))=("store"),(INDEX(B1:XFD1,((A2)+(1))+(1)))=("AD"),"false"),B2,AD330),AD330))</f>
        <v>#VALUE!</v>
      </c>
    </row>
    <row r="331" spans="1:30" x14ac:dyDescent="0.25">
      <c r="A331" t="e">
        <f ca="1">IF((A1)=(2),"",IF((328)=(A3),IF(("call")=(INDEX(B1:XFD1,((A2)+(1))+(0))),(B2)*(2),IF(("goto")=(INDEX(B1:XFD1,((A2)+(1))+(0))),(INDEX(B1:XFD1,((A2)+(1))+(1)))*(2),IF(("gotoiftrue")=(INDEX(B1:XFD1,((A2)+(1))+(0))),IF(B2,(INDEX(B1:XFD1,((A2)+(1))+(1)))*(2),(A331)+(2)),(A331)+(2)))),A331))</f>
        <v>#VALUE!</v>
      </c>
      <c r="B331" t="e">
        <f ca="1">IF((A1)=(2),"",IF((328)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331)+(1)),IF(("add")=(INDEX(B1:XFD1,((A2)+(1))+(0))),(INDEX(B4:B404,(B3)+(1)))+(B331),IF(("equals")=(INDEX(B1:XFD1,((A2)+(1))+(0))),(INDEX(B4:B404,(B3)+(1)))=(B331),IF(("leq")=(INDEX(B1:XFD1,((A2)+(1))+(0))),(INDEX(B4:B404,(B3)+(1)))&lt;=(B331),IF(("greater")=(INDEX(B1:XFD1,((A2)+(1))+(0))),(INDEX(B4:B404,(B3)+(1)))&gt;(B331),IF(("mod")=(INDEX(B1:XFD1,((A2)+(1))+(0))),MOD(INDEX(B4:B404,(B3)+(1)),B331),B331))))))))),B331))</f>
        <v>#VALUE!</v>
      </c>
      <c r="C331" t="e">
        <f ca="1">IF((A1)=(2),1,IF(AND((INDEX(B1:XFD1,((A2)+(1))+(0)))=("writeheap"),(INDEX(B4:B404,(B3)+(1)))=(327)),INDEX(B4:B404,(B3)+(2)),IF((A1)=(2),"",IF((328)=(C3),C331,C331))))</f>
        <v>#VALUE!</v>
      </c>
      <c r="E331" t="e">
        <f ca="1">IF((A1)=(2),"",IF((328)=(E3),IF(("outputline")=(INDEX(B1:XFD1,((A2)+(1))+(0))),B2,E331),E331))</f>
        <v>#VALUE!</v>
      </c>
      <c r="F331" t="e">
        <f ca="1">IF((A1)=(2),"",IF((328)=(F3),IF(IF((INDEX(B1:XFD1,((A2)+(1))+(0)))=("store"),(INDEX(B1:XFD1,((A2)+(1))+(1)))=("F"),"false"),B2,F331),F331))</f>
        <v>#VALUE!</v>
      </c>
      <c r="G331" t="e">
        <f ca="1">IF((A1)=(2),"",IF((328)=(G3),IF(IF((INDEX(B1:XFD1,((A2)+(1))+(0)))=("store"),(INDEX(B1:XFD1,((A2)+(1))+(1)))=("G"),"false"),B2,G331),G331))</f>
        <v>#VALUE!</v>
      </c>
      <c r="H331" t="e">
        <f ca="1">IF((A1)=(2),"",IF((328)=(H3),IF(IF((INDEX(B1:XFD1,((A2)+(1))+(0)))=("store"),(INDEX(B1:XFD1,((A2)+(1))+(1)))=("H"),"false"),B2,H331),H331))</f>
        <v>#VALUE!</v>
      </c>
      <c r="I331" t="e">
        <f ca="1">IF((A1)=(2),"",IF((328)=(I3),IF(IF((INDEX(B1:XFD1,((A2)+(1))+(0)))=("store"),(INDEX(B1:XFD1,((A2)+(1))+(1)))=("I"),"false"),B2,I331),I331))</f>
        <v>#VALUE!</v>
      </c>
      <c r="J331" t="e">
        <f ca="1">IF((A1)=(2),"",IF((328)=(J3),IF(IF((INDEX(B1:XFD1,((A2)+(1))+(0)))=("store"),(INDEX(B1:XFD1,((A2)+(1))+(1)))=("J"),"false"),B2,J331),J331))</f>
        <v>#VALUE!</v>
      </c>
      <c r="K331" t="e">
        <f ca="1">IF((A1)=(2),"",IF((328)=(K3),IF(IF((INDEX(B1:XFD1,((A2)+(1))+(0)))=("store"),(INDEX(B1:XFD1,((A2)+(1))+(1)))=("K"),"false"),B2,K331),K331))</f>
        <v>#VALUE!</v>
      </c>
      <c r="L331" t="e">
        <f ca="1">IF((A1)=(2),"",IF((328)=(L3),IF(IF((INDEX(B1:XFD1,((A2)+(1))+(0)))=("store"),(INDEX(B1:XFD1,((A2)+(1))+(1)))=("L"),"false"),B2,L331),L331))</f>
        <v>#VALUE!</v>
      </c>
      <c r="M331" t="e">
        <f ca="1">IF((A1)=(2),"",IF((328)=(M3),IF(IF((INDEX(B1:XFD1,((A2)+(1))+(0)))=("store"),(INDEX(B1:XFD1,((A2)+(1))+(1)))=("M"),"false"),B2,M331),M331))</f>
        <v>#VALUE!</v>
      </c>
      <c r="N331" t="e">
        <f ca="1">IF((A1)=(2),"",IF((328)=(N3),IF(IF((INDEX(B1:XFD1,((A2)+(1))+(0)))=("store"),(INDEX(B1:XFD1,((A2)+(1))+(1)))=("N"),"false"),B2,N331),N331))</f>
        <v>#VALUE!</v>
      </c>
      <c r="O331" t="e">
        <f ca="1">IF((A1)=(2),"",IF((328)=(O3),IF(IF((INDEX(B1:XFD1,((A2)+(1))+(0)))=("store"),(INDEX(B1:XFD1,((A2)+(1))+(1)))=("O"),"false"),B2,O331),O331))</f>
        <v>#VALUE!</v>
      </c>
      <c r="P331" t="e">
        <f ca="1">IF((A1)=(2),"",IF((328)=(P3),IF(IF((INDEX(B1:XFD1,((A2)+(1))+(0)))=("store"),(INDEX(B1:XFD1,((A2)+(1))+(1)))=("P"),"false"),B2,P331),P331))</f>
        <v>#VALUE!</v>
      </c>
      <c r="Q331" t="e">
        <f ca="1">IF((A1)=(2),"",IF((328)=(Q3),IF(IF((INDEX(B1:XFD1,((A2)+(1))+(0)))=("store"),(INDEX(B1:XFD1,((A2)+(1))+(1)))=("Q"),"false"),B2,Q331),Q331))</f>
        <v>#VALUE!</v>
      </c>
      <c r="R331" t="e">
        <f ca="1">IF((A1)=(2),"",IF((328)=(R3),IF(IF((INDEX(B1:XFD1,((A2)+(1))+(0)))=("store"),(INDEX(B1:XFD1,((A2)+(1))+(1)))=("R"),"false"),B2,R331),R331))</f>
        <v>#VALUE!</v>
      </c>
      <c r="S331" t="e">
        <f ca="1">IF((A1)=(2),"",IF((328)=(S3),IF(IF((INDEX(B1:XFD1,((A2)+(1))+(0)))=("store"),(INDEX(B1:XFD1,((A2)+(1))+(1)))=("S"),"false"),B2,S331),S331))</f>
        <v>#VALUE!</v>
      </c>
      <c r="T331" t="e">
        <f ca="1">IF((A1)=(2),"",IF((328)=(T3),IF(IF((INDEX(B1:XFD1,((A2)+(1))+(0)))=("store"),(INDEX(B1:XFD1,((A2)+(1))+(1)))=("T"),"false"),B2,T331),T331))</f>
        <v>#VALUE!</v>
      </c>
      <c r="U331" t="e">
        <f ca="1">IF((A1)=(2),"",IF((328)=(U3),IF(IF((INDEX(B1:XFD1,((A2)+(1))+(0)))=("store"),(INDEX(B1:XFD1,((A2)+(1))+(1)))=("U"),"false"),B2,U331),U331))</f>
        <v>#VALUE!</v>
      </c>
      <c r="V331" t="e">
        <f ca="1">IF((A1)=(2),"",IF((328)=(V3),IF(IF((INDEX(B1:XFD1,((A2)+(1))+(0)))=("store"),(INDEX(B1:XFD1,((A2)+(1))+(1)))=("V"),"false"),B2,V331),V331))</f>
        <v>#VALUE!</v>
      </c>
      <c r="W331" t="e">
        <f ca="1">IF((A1)=(2),"",IF((328)=(W3),IF(IF((INDEX(B1:XFD1,((A2)+(1))+(0)))=("store"),(INDEX(B1:XFD1,((A2)+(1))+(1)))=("W"),"false"),B2,W331),W331))</f>
        <v>#VALUE!</v>
      </c>
      <c r="X331" t="e">
        <f ca="1">IF((A1)=(2),"",IF((328)=(X3),IF(IF((INDEX(B1:XFD1,((A2)+(1))+(0)))=("store"),(INDEX(B1:XFD1,((A2)+(1))+(1)))=("X"),"false"),B2,X331),X331))</f>
        <v>#VALUE!</v>
      </c>
      <c r="Y331" t="e">
        <f ca="1">IF((A1)=(2),"",IF((328)=(Y3),IF(IF((INDEX(B1:XFD1,((A2)+(1))+(0)))=("store"),(INDEX(B1:XFD1,((A2)+(1))+(1)))=("Y"),"false"),B2,Y331),Y331))</f>
        <v>#VALUE!</v>
      </c>
      <c r="Z331" t="e">
        <f ca="1">IF((A1)=(2),"",IF((328)=(Z3),IF(IF((INDEX(B1:XFD1,((A2)+(1))+(0)))=("store"),(INDEX(B1:XFD1,((A2)+(1))+(1)))=("Z"),"false"),B2,Z331),Z331))</f>
        <v>#VALUE!</v>
      </c>
      <c r="AA331" t="e">
        <f ca="1">IF((A1)=(2),"",IF((328)=(AA3),IF(IF((INDEX(B1:XFD1,((A2)+(1))+(0)))=("store"),(INDEX(B1:XFD1,((A2)+(1))+(1)))=("AA"),"false"),B2,AA331),AA331))</f>
        <v>#VALUE!</v>
      </c>
      <c r="AB331" t="e">
        <f ca="1">IF((A1)=(2),"",IF((328)=(AB3),IF(IF((INDEX(B1:XFD1,((A2)+(1))+(0)))=("store"),(INDEX(B1:XFD1,((A2)+(1))+(1)))=("AB"),"false"),B2,AB331),AB331))</f>
        <v>#VALUE!</v>
      </c>
      <c r="AC331" t="e">
        <f ca="1">IF((A1)=(2),"",IF((328)=(AC3),IF(IF((INDEX(B1:XFD1,((A2)+(1))+(0)))=("store"),(INDEX(B1:XFD1,((A2)+(1))+(1)))=("AC"),"false"),B2,AC331),AC331))</f>
        <v>#VALUE!</v>
      </c>
      <c r="AD331" t="e">
        <f ca="1">IF((A1)=(2),"",IF((328)=(AD3),IF(IF((INDEX(B1:XFD1,((A2)+(1))+(0)))=("store"),(INDEX(B1:XFD1,((A2)+(1))+(1)))=("AD"),"false"),B2,AD331),AD331))</f>
        <v>#VALUE!</v>
      </c>
    </row>
    <row r="332" spans="1:30" x14ac:dyDescent="0.25">
      <c r="A332" t="e">
        <f ca="1">IF((A1)=(2),"",IF((329)=(A3),IF(("call")=(INDEX(B1:XFD1,((A2)+(1))+(0))),(B2)*(2),IF(("goto")=(INDEX(B1:XFD1,((A2)+(1))+(0))),(INDEX(B1:XFD1,((A2)+(1))+(1)))*(2),IF(("gotoiftrue")=(INDEX(B1:XFD1,((A2)+(1))+(0))),IF(B2,(INDEX(B1:XFD1,((A2)+(1))+(1)))*(2),(A332)+(2)),(A332)+(2)))),A332))</f>
        <v>#VALUE!</v>
      </c>
      <c r="B332" t="e">
        <f ca="1">IF((A1)=(2),"",IF((329)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332)+(1)),IF(("add")=(INDEX(B1:XFD1,((A2)+(1))+(0))),(INDEX(B4:B404,(B3)+(1)))+(B332),IF(("equals")=(INDEX(B1:XFD1,((A2)+(1))+(0))),(INDEX(B4:B404,(B3)+(1)))=(B332),IF(("leq")=(INDEX(B1:XFD1,((A2)+(1))+(0))),(INDEX(B4:B404,(B3)+(1)))&lt;=(B332),IF(("greater")=(INDEX(B1:XFD1,((A2)+(1))+(0))),(INDEX(B4:B404,(B3)+(1)))&gt;(B332),IF(("mod")=(INDEX(B1:XFD1,((A2)+(1))+(0))),MOD(INDEX(B4:B404,(B3)+(1)),B332),B332))))))))),B332))</f>
        <v>#VALUE!</v>
      </c>
      <c r="C332" t="e">
        <f ca="1">IF((A1)=(2),1,IF(AND((INDEX(B1:XFD1,((A2)+(1))+(0)))=("writeheap"),(INDEX(B4:B404,(B3)+(1)))=(328)),INDEX(B4:B404,(B3)+(2)),IF((A1)=(2),"",IF((329)=(C3),C332,C332))))</f>
        <v>#VALUE!</v>
      </c>
      <c r="E332" t="e">
        <f ca="1">IF((A1)=(2),"",IF((329)=(E3),IF(("outputline")=(INDEX(B1:XFD1,((A2)+(1))+(0))),B2,E332),E332))</f>
        <v>#VALUE!</v>
      </c>
      <c r="F332" t="e">
        <f ca="1">IF((A1)=(2),"",IF((329)=(F3),IF(IF((INDEX(B1:XFD1,((A2)+(1))+(0)))=("store"),(INDEX(B1:XFD1,((A2)+(1))+(1)))=("F"),"false"),B2,F332),F332))</f>
        <v>#VALUE!</v>
      </c>
      <c r="G332" t="e">
        <f ca="1">IF((A1)=(2),"",IF((329)=(G3),IF(IF((INDEX(B1:XFD1,((A2)+(1))+(0)))=("store"),(INDEX(B1:XFD1,((A2)+(1))+(1)))=("G"),"false"),B2,G332),G332))</f>
        <v>#VALUE!</v>
      </c>
      <c r="H332" t="e">
        <f ca="1">IF((A1)=(2),"",IF((329)=(H3),IF(IF((INDEX(B1:XFD1,((A2)+(1))+(0)))=("store"),(INDEX(B1:XFD1,((A2)+(1))+(1)))=("H"),"false"),B2,H332),H332))</f>
        <v>#VALUE!</v>
      </c>
      <c r="I332" t="e">
        <f ca="1">IF((A1)=(2),"",IF((329)=(I3),IF(IF((INDEX(B1:XFD1,((A2)+(1))+(0)))=("store"),(INDEX(B1:XFD1,((A2)+(1))+(1)))=("I"),"false"),B2,I332),I332))</f>
        <v>#VALUE!</v>
      </c>
      <c r="J332" t="e">
        <f ca="1">IF((A1)=(2),"",IF((329)=(J3),IF(IF((INDEX(B1:XFD1,((A2)+(1))+(0)))=("store"),(INDEX(B1:XFD1,((A2)+(1))+(1)))=("J"),"false"),B2,J332),J332))</f>
        <v>#VALUE!</v>
      </c>
      <c r="K332" t="e">
        <f ca="1">IF((A1)=(2),"",IF((329)=(K3),IF(IF((INDEX(B1:XFD1,((A2)+(1))+(0)))=("store"),(INDEX(B1:XFD1,((A2)+(1))+(1)))=("K"),"false"),B2,K332),K332))</f>
        <v>#VALUE!</v>
      </c>
      <c r="L332" t="e">
        <f ca="1">IF((A1)=(2),"",IF((329)=(L3),IF(IF((INDEX(B1:XFD1,((A2)+(1))+(0)))=("store"),(INDEX(B1:XFD1,((A2)+(1))+(1)))=("L"),"false"),B2,L332),L332))</f>
        <v>#VALUE!</v>
      </c>
      <c r="M332" t="e">
        <f ca="1">IF((A1)=(2),"",IF((329)=(M3),IF(IF((INDEX(B1:XFD1,((A2)+(1))+(0)))=("store"),(INDEX(B1:XFD1,((A2)+(1))+(1)))=("M"),"false"),B2,M332),M332))</f>
        <v>#VALUE!</v>
      </c>
      <c r="N332" t="e">
        <f ca="1">IF((A1)=(2),"",IF((329)=(N3),IF(IF((INDEX(B1:XFD1,((A2)+(1))+(0)))=("store"),(INDEX(B1:XFD1,((A2)+(1))+(1)))=("N"),"false"),B2,N332),N332))</f>
        <v>#VALUE!</v>
      </c>
      <c r="O332" t="e">
        <f ca="1">IF((A1)=(2),"",IF((329)=(O3),IF(IF((INDEX(B1:XFD1,((A2)+(1))+(0)))=("store"),(INDEX(B1:XFD1,((A2)+(1))+(1)))=("O"),"false"),B2,O332),O332))</f>
        <v>#VALUE!</v>
      </c>
      <c r="P332" t="e">
        <f ca="1">IF((A1)=(2),"",IF((329)=(P3),IF(IF((INDEX(B1:XFD1,((A2)+(1))+(0)))=("store"),(INDEX(B1:XFD1,((A2)+(1))+(1)))=("P"),"false"),B2,P332),P332))</f>
        <v>#VALUE!</v>
      </c>
      <c r="Q332" t="e">
        <f ca="1">IF((A1)=(2),"",IF((329)=(Q3),IF(IF((INDEX(B1:XFD1,((A2)+(1))+(0)))=("store"),(INDEX(B1:XFD1,((A2)+(1))+(1)))=("Q"),"false"),B2,Q332),Q332))</f>
        <v>#VALUE!</v>
      </c>
      <c r="R332" t="e">
        <f ca="1">IF((A1)=(2),"",IF((329)=(R3),IF(IF((INDEX(B1:XFD1,((A2)+(1))+(0)))=("store"),(INDEX(B1:XFD1,((A2)+(1))+(1)))=("R"),"false"),B2,R332),R332))</f>
        <v>#VALUE!</v>
      </c>
      <c r="S332" t="e">
        <f ca="1">IF((A1)=(2),"",IF((329)=(S3),IF(IF((INDEX(B1:XFD1,((A2)+(1))+(0)))=("store"),(INDEX(B1:XFD1,((A2)+(1))+(1)))=("S"),"false"),B2,S332),S332))</f>
        <v>#VALUE!</v>
      </c>
      <c r="T332" t="e">
        <f ca="1">IF((A1)=(2),"",IF((329)=(T3),IF(IF((INDEX(B1:XFD1,((A2)+(1))+(0)))=("store"),(INDEX(B1:XFD1,((A2)+(1))+(1)))=("T"),"false"),B2,T332),T332))</f>
        <v>#VALUE!</v>
      </c>
      <c r="U332" t="e">
        <f ca="1">IF((A1)=(2),"",IF((329)=(U3),IF(IF((INDEX(B1:XFD1,((A2)+(1))+(0)))=("store"),(INDEX(B1:XFD1,((A2)+(1))+(1)))=("U"),"false"),B2,U332),U332))</f>
        <v>#VALUE!</v>
      </c>
      <c r="V332" t="e">
        <f ca="1">IF((A1)=(2),"",IF((329)=(V3),IF(IF((INDEX(B1:XFD1,((A2)+(1))+(0)))=("store"),(INDEX(B1:XFD1,((A2)+(1))+(1)))=("V"),"false"),B2,V332),V332))</f>
        <v>#VALUE!</v>
      </c>
      <c r="W332" t="e">
        <f ca="1">IF((A1)=(2),"",IF((329)=(W3),IF(IF((INDEX(B1:XFD1,((A2)+(1))+(0)))=("store"),(INDEX(B1:XFD1,((A2)+(1))+(1)))=("W"),"false"),B2,W332),W332))</f>
        <v>#VALUE!</v>
      </c>
      <c r="X332" t="e">
        <f ca="1">IF((A1)=(2),"",IF((329)=(X3),IF(IF((INDEX(B1:XFD1,((A2)+(1))+(0)))=("store"),(INDEX(B1:XFD1,((A2)+(1))+(1)))=("X"),"false"),B2,X332),X332))</f>
        <v>#VALUE!</v>
      </c>
      <c r="Y332" t="e">
        <f ca="1">IF((A1)=(2),"",IF((329)=(Y3),IF(IF((INDEX(B1:XFD1,((A2)+(1))+(0)))=("store"),(INDEX(B1:XFD1,((A2)+(1))+(1)))=("Y"),"false"),B2,Y332),Y332))</f>
        <v>#VALUE!</v>
      </c>
      <c r="Z332" t="e">
        <f ca="1">IF((A1)=(2),"",IF((329)=(Z3),IF(IF((INDEX(B1:XFD1,((A2)+(1))+(0)))=("store"),(INDEX(B1:XFD1,((A2)+(1))+(1)))=("Z"),"false"),B2,Z332),Z332))</f>
        <v>#VALUE!</v>
      </c>
      <c r="AA332" t="e">
        <f ca="1">IF((A1)=(2),"",IF((329)=(AA3),IF(IF((INDEX(B1:XFD1,((A2)+(1))+(0)))=("store"),(INDEX(B1:XFD1,((A2)+(1))+(1)))=("AA"),"false"),B2,AA332),AA332))</f>
        <v>#VALUE!</v>
      </c>
      <c r="AB332" t="e">
        <f ca="1">IF((A1)=(2),"",IF((329)=(AB3),IF(IF((INDEX(B1:XFD1,((A2)+(1))+(0)))=("store"),(INDEX(B1:XFD1,((A2)+(1))+(1)))=("AB"),"false"),B2,AB332),AB332))</f>
        <v>#VALUE!</v>
      </c>
      <c r="AC332" t="e">
        <f ca="1">IF((A1)=(2),"",IF((329)=(AC3),IF(IF((INDEX(B1:XFD1,((A2)+(1))+(0)))=("store"),(INDEX(B1:XFD1,((A2)+(1))+(1)))=("AC"),"false"),B2,AC332),AC332))</f>
        <v>#VALUE!</v>
      </c>
      <c r="AD332" t="e">
        <f ca="1">IF((A1)=(2),"",IF((329)=(AD3),IF(IF((INDEX(B1:XFD1,((A2)+(1))+(0)))=("store"),(INDEX(B1:XFD1,((A2)+(1))+(1)))=("AD"),"false"),B2,AD332),AD332))</f>
        <v>#VALUE!</v>
      </c>
    </row>
    <row r="333" spans="1:30" x14ac:dyDescent="0.25">
      <c r="A333" t="e">
        <f ca="1">IF((A1)=(2),"",IF((330)=(A3),IF(("call")=(INDEX(B1:XFD1,((A2)+(1))+(0))),(B2)*(2),IF(("goto")=(INDEX(B1:XFD1,((A2)+(1))+(0))),(INDEX(B1:XFD1,((A2)+(1))+(1)))*(2),IF(("gotoiftrue")=(INDEX(B1:XFD1,((A2)+(1))+(0))),IF(B2,(INDEX(B1:XFD1,((A2)+(1))+(1)))*(2),(A333)+(2)),(A333)+(2)))),A333))</f>
        <v>#VALUE!</v>
      </c>
      <c r="B333" t="e">
        <f ca="1">IF((A1)=(2),"",IF((330)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333)+(1)),IF(("add")=(INDEX(B1:XFD1,((A2)+(1))+(0))),(INDEX(B4:B404,(B3)+(1)))+(B333),IF(("equals")=(INDEX(B1:XFD1,((A2)+(1))+(0))),(INDEX(B4:B404,(B3)+(1)))=(B333),IF(("leq")=(INDEX(B1:XFD1,((A2)+(1))+(0))),(INDEX(B4:B404,(B3)+(1)))&lt;=(B333),IF(("greater")=(INDEX(B1:XFD1,((A2)+(1))+(0))),(INDEX(B4:B404,(B3)+(1)))&gt;(B333),IF(("mod")=(INDEX(B1:XFD1,((A2)+(1))+(0))),MOD(INDEX(B4:B404,(B3)+(1)),B333),B333))))))))),B333))</f>
        <v>#VALUE!</v>
      </c>
      <c r="C333" t="e">
        <f ca="1">IF((A1)=(2),1,IF(AND((INDEX(B1:XFD1,((A2)+(1))+(0)))=("writeheap"),(INDEX(B4:B404,(B3)+(1)))=(329)),INDEX(B4:B404,(B3)+(2)),IF((A1)=(2),"",IF((330)=(C3),C333,C333))))</f>
        <v>#VALUE!</v>
      </c>
      <c r="E333" t="e">
        <f ca="1">IF((A1)=(2),"",IF((330)=(E3),IF(("outputline")=(INDEX(B1:XFD1,((A2)+(1))+(0))),B2,E333),E333))</f>
        <v>#VALUE!</v>
      </c>
      <c r="F333" t="e">
        <f ca="1">IF((A1)=(2),"",IF((330)=(F3),IF(IF((INDEX(B1:XFD1,((A2)+(1))+(0)))=("store"),(INDEX(B1:XFD1,((A2)+(1))+(1)))=("F"),"false"),B2,F333),F333))</f>
        <v>#VALUE!</v>
      </c>
      <c r="G333" t="e">
        <f ca="1">IF((A1)=(2),"",IF((330)=(G3),IF(IF((INDEX(B1:XFD1,((A2)+(1))+(0)))=("store"),(INDEX(B1:XFD1,((A2)+(1))+(1)))=("G"),"false"),B2,G333),G333))</f>
        <v>#VALUE!</v>
      </c>
      <c r="H333" t="e">
        <f ca="1">IF((A1)=(2),"",IF((330)=(H3),IF(IF((INDEX(B1:XFD1,((A2)+(1))+(0)))=("store"),(INDEX(B1:XFD1,((A2)+(1))+(1)))=("H"),"false"),B2,H333),H333))</f>
        <v>#VALUE!</v>
      </c>
      <c r="I333" t="e">
        <f ca="1">IF((A1)=(2),"",IF((330)=(I3),IF(IF((INDEX(B1:XFD1,((A2)+(1))+(0)))=("store"),(INDEX(B1:XFD1,((A2)+(1))+(1)))=("I"),"false"),B2,I333),I333))</f>
        <v>#VALUE!</v>
      </c>
      <c r="J333" t="e">
        <f ca="1">IF((A1)=(2),"",IF((330)=(J3),IF(IF((INDEX(B1:XFD1,((A2)+(1))+(0)))=("store"),(INDEX(B1:XFD1,((A2)+(1))+(1)))=("J"),"false"),B2,J333),J333))</f>
        <v>#VALUE!</v>
      </c>
      <c r="K333" t="e">
        <f ca="1">IF((A1)=(2),"",IF((330)=(K3),IF(IF((INDEX(B1:XFD1,((A2)+(1))+(0)))=("store"),(INDEX(B1:XFD1,((A2)+(1))+(1)))=("K"),"false"),B2,K333),K333))</f>
        <v>#VALUE!</v>
      </c>
      <c r="L333" t="e">
        <f ca="1">IF((A1)=(2),"",IF((330)=(L3),IF(IF((INDEX(B1:XFD1,((A2)+(1))+(0)))=("store"),(INDEX(B1:XFD1,((A2)+(1))+(1)))=("L"),"false"),B2,L333),L333))</f>
        <v>#VALUE!</v>
      </c>
      <c r="M333" t="e">
        <f ca="1">IF((A1)=(2),"",IF((330)=(M3),IF(IF((INDEX(B1:XFD1,((A2)+(1))+(0)))=("store"),(INDEX(B1:XFD1,((A2)+(1))+(1)))=("M"),"false"),B2,M333),M333))</f>
        <v>#VALUE!</v>
      </c>
      <c r="N333" t="e">
        <f ca="1">IF((A1)=(2),"",IF((330)=(N3),IF(IF((INDEX(B1:XFD1,((A2)+(1))+(0)))=("store"),(INDEX(B1:XFD1,((A2)+(1))+(1)))=("N"),"false"),B2,N333),N333))</f>
        <v>#VALUE!</v>
      </c>
      <c r="O333" t="e">
        <f ca="1">IF((A1)=(2),"",IF((330)=(O3),IF(IF((INDEX(B1:XFD1,((A2)+(1))+(0)))=("store"),(INDEX(B1:XFD1,((A2)+(1))+(1)))=("O"),"false"),B2,O333),O333))</f>
        <v>#VALUE!</v>
      </c>
      <c r="P333" t="e">
        <f ca="1">IF((A1)=(2),"",IF((330)=(P3),IF(IF((INDEX(B1:XFD1,((A2)+(1))+(0)))=("store"),(INDEX(B1:XFD1,((A2)+(1))+(1)))=("P"),"false"),B2,P333),P333))</f>
        <v>#VALUE!</v>
      </c>
      <c r="Q333" t="e">
        <f ca="1">IF((A1)=(2),"",IF((330)=(Q3),IF(IF((INDEX(B1:XFD1,((A2)+(1))+(0)))=("store"),(INDEX(B1:XFD1,((A2)+(1))+(1)))=("Q"),"false"),B2,Q333),Q333))</f>
        <v>#VALUE!</v>
      </c>
      <c r="R333" t="e">
        <f ca="1">IF((A1)=(2),"",IF((330)=(R3),IF(IF((INDEX(B1:XFD1,((A2)+(1))+(0)))=("store"),(INDEX(B1:XFD1,((A2)+(1))+(1)))=("R"),"false"),B2,R333),R333))</f>
        <v>#VALUE!</v>
      </c>
      <c r="S333" t="e">
        <f ca="1">IF((A1)=(2),"",IF((330)=(S3),IF(IF((INDEX(B1:XFD1,((A2)+(1))+(0)))=("store"),(INDEX(B1:XFD1,((A2)+(1))+(1)))=("S"),"false"),B2,S333),S333))</f>
        <v>#VALUE!</v>
      </c>
      <c r="T333" t="e">
        <f ca="1">IF((A1)=(2),"",IF((330)=(T3),IF(IF((INDEX(B1:XFD1,((A2)+(1))+(0)))=("store"),(INDEX(B1:XFD1,((A2)+(1))+(1)))=("T"),"false"),B2,T333),T333))</f>
        <v>#VALUE!</v>
      </c>
      <c r="U333" t="e">
        <f ca="1">IF((A1)=(2),"",IF((330)=(U3),IF(IF((INDEX(B1:XFD1,((A2)+(1))+(0)))=("store"),(INDEX(B1:XFD1,((A2)+(1))+(1)))=("U"),"false"),B2,U333),U333))</f>
        <v>#VALUE!</v>
      </c>
      <c r="V333" t="e">
        <f ca="1">IF((A1)=(2),"",IF((330)=(V3),IF(IF((INDEX(B1:XFD1,((A2)+(1))+(0)))=("store"),(INDEX(B1:XFD1,((A2)+(1))+(1)))=("V"),"false"),B2,V333),V333))</f>
        <v>#VALUE!</v>
      </c>
      <c r="W333" t="e">
        <f ca="1">IF((A1)=(2),"",IF((330)=(W3),IF(IF((INDEX(B1:XFD1,((A2)+(1))+(0)))=("store"),(INDEX(B1:XFD1,((A2)+(1))+(1)))=("W"),"false"),B2,W333),W333))</f>
        <v>#VALUE!</v>
      </c>
      <c r="X333" t="e">
        <f ca="1">IF((A1)=(2),"",IF((330)=(X3),IF(IF((INDEX(B1:XFD1,((A2)+(1))+(0)))=("store"),(INDEX(B1:XFD1,((A2)+(1))+(1)))=("X"),"false"),B2,X333),X333))</f>
        <v>#VALUE!</v>
      </c>
      <c r="Y333" t="e">
        <f ca="1">IF((A1)=(2),"",IF((330)=(Y3),IF(IF((INDEX(B1:XFD1,((A2)+(1))+(0)))=("store"),(INDEX(B1:XFD1,((A2)+(1))+(1)))=("Y"),"false"),B2,Y333),Y333))</f>
        <v>#VALUE!</v>
      </c>
      <c r="Z333" t="e">
        <f ca="1">IF((A1)=(2),"",IF((330)=(Z3),IF(IF((INDEX(B1:XFD1,((A2)+(1))+(0)))=("store"),(INDEX(B1:XFD1,((A2)+(1))+(1)))=("Z"),"false"),B2,Z333),Z333))</f>
        <v>#VALUE!</v>
      </c>
      <c r="AA333" t="e">
        <f ca="1">IF((A1)=(2),"",IF((330)=(AA3),IF(IF((INDEX(B1:XFD1,((A2)+(1))+(0)))=("store"),(INDEX(B1:XFD1,((A2)+(1))+(1)))=("AA"),"false"),B2,AA333),AA333))</f>
        <v>#VALUE!</v>
      </c>
      <c r="AB333" t="e">
        <f ca="1">IF((A1)=(2),"",IF((330)=(AB3),IF(IF((INDEX(B1:XFD1,((A2)+(1))+(0)))=("store"),(INDEX(B1:XFD1,((A2)+(1))+(1)))=("AB"),"false"),B2,AB333),AB333))</f>
        <v>#VALUE!</v>
      </c>
      <c r="AC333" t="e">
        <f ca="1">IF((A1)=(2),"",IF((330)=(AC3),IF(IF((INDEX(B1:XFD1,((A2)+(1))+(0)))=("store"),(INDEX(B1:XFD1,((A2)+(1))+(1)))=("AC"),"false"),B2,AC333),AC333))</f>
        <v>#VALUE!</v>
      </c>
      <c r="AD333" t="e">
        <f ca="1">IF((A1)=(2),"",IF((330)=(AD3),IF(IF((INDEX(B1:XFD1,((A2)+(1))+(0)))=("store"),(INDEX(B1:XFD1,((A2)+(1))+(1)))=("AD"),"false"),B2,AD333),AD333))</f>
        <v>#VALUE!</v>
      </c>
    </row>
    <row r="334" spans="1:30" x14ac:dyDescent="0.25">
      <c r="A334" t="e">
        <f ca="1">IF((A1)=(2),"",IF((331)=(A3),IF(("call")=(INDEX(B1:XFD1,((A2)+(1))+(0))),(B2)*(2),IF(("goto")=(INDEX(B1:XFD1,((A2)+(1))+(0))),(INDEX(B1:XFD1,((A2)+(1))+(1)))*(2),IF(("gotoiftrue")=(INDEX(B1:XFD1,((A2)+(1))+(0))),IF(B2,(INDEX(B1:XFD1,((A2)+(1))+(1)))*(2),(A334)+(2)),(A334)+(2)))),A334))</f>
        <v>#VALUE!</v>
      </c>
      <c r="B334" t="e">
        <f ca="1">IF((A1)=(2),"",IF((331)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334)+(1)),IF(("add")=(INDEX(B1:XFD1,((A2)+(1))+(0))),(INDEX(B4:B404,(B3)+(1)))+(B334),IF(("equals")=(INDEX(B1:XFD1,((A2)+(1))+(0))),(INDEX(B4:B404,(B3)+(1)))=(B334),IF(("leq")=(INDEX(B1:XFD1,((A2)+(1))+(0))),(INDEX(B4:B404,(B3)+(1)))&lt;=(B334),IF(("greater")=(INDEX(B1:XFD1,((A2)+(1))+(0))),(INDEX(B4:B404,(B3)+(1)))&gt;(B334),IF(("mod")=(INDEX(B1:XFD1,((A2)+(1))+(0))),MOD(INDEX(B4:B404,(B3)+(1)),B334),B334))))))))),B334))</f>
        <v>#VALUE!</v>
      </c>
      <c r="C334" t="e">
        <f ca="1">IF((A1)=(2),1,IF(AND((INDEX(B1:XFD1,((A2)+(1))+(0)))=("writeheap"),(INDEX(B4:B404,(B3)+(1)))=(330)),INDEX(B4:B404,(B3)+(2)),IF((A1)=(2),"",IF((331)=(C3),C334,C334))))</f>
        <v>#VALUE!</v>
      </c>
      <c r="E334" t="e">
        <f ca="1">IF((A1)=(2),"",IF((331)=(E3),IF(("outputline")=(INDEX(B1:XFD1,((A2)+(1))+(0))),B2,E334),E334))</f>
        <v>#VALUE!</v>
      </c>
      <c r="F334" t="e">
        <f ca="1">IF((A1)=(2),"",IF((331)=(F3),IF(IF((INDEX(B1:XFD1,((A2)+(1))+(0)))=("store"),(INDEX(B1:XFD1,((A2)+(1))+(1)))=("F"),"false"),B2,F334),F334))</f>
        <v>#VALUE!</v>
      </c>
      <c r="G334" t="e">
        <f ca="1">IF((A1)=(2),"",IF((331)=(G3),IF(IF((INDEX(B1:XFD1,((A2)+(1))+(0)))=("store"),(INDEX(B1:XFD1,((A2)+(1))+(1)))=("G"),"false"),B2,G334),G334))</f>
        <v>#VALUE!</v>
      </c>
      <c r="H334" t="e">
        <f ca="1">IF((A1)=(2),"",IF((331)=(H3),IF(IF((INDEX(B1:XFD1,((A2)+(1))+(0)))=("store"),(INDEX(B1:XFD1,((A2)+(1))+(1)))=("H"),"false"),B2,H334),H334))</f>
        <v>#VALUE!</v>
      </c>
      <c r="I334" t="e">
        <f ca="1">IF((A1)=(2),"",IF((331)=(I3),IF(IF((INDEX(B1:XFD1,((A2)+(1))+(0)))=("store"),(INDEX(B1:XFD1,((A2)+(1))+(1)))=("I"),"false"),B2,I334),I334))</f>
        <v>#VALUE!</v>
      </c>
      <c r="J334" t="e">
        <f ca="1">IF((A1)=(2),"",IF((331)=(J3),IF(IF((INDEX(B1:XFD1,((A2)+(1))+(0)))=("store"),(INDEX(B1:XFD1,((A2)+(1))+(1)))=("J"),"false"),B2,J334),J334))</f>
        <v>#VALUE!</v>
      </c>
      <c r="K334" t="e">
        <f ca="1">IF((A1)=(2),"",IF((331)=(K3),IF(IF((INDEX(B1:XFD1,((A2)+(1))+(0)))=("store"),(INDEX(B1:XFD1,((A2)+(1))+(1)))=("K"),"false"),B2,K334),K334))</f>
        <v>#VALUE!</v>
      </c>
      <c r="L334" t="e">
        <f ca="1">IF((A1)=(2),"",IF((331)=(L3),IF(IF((INDEX(B1:XFD1,((A2)+(1))+(0)))=("store"),(INDEX(B1:XFD1,((A2)+(1))+(1)))=("L"),"false"),B2,L334),L334))</f>
        <v>#VALUE!</v>
      </c>
      <c r="M334" t="e">
        <f ca="1">IF((A1)=(2),"",IF((331)=(M3),IF(IF((INDEX(B1:XFD1,((A2)+(1))+(0)))=("store"),(INDEX(B1:XFD1,((A2)+(1))+(1)))=("M"),"false"),B2,M334),M334))</f>
        <v>#VALUE!</v>
      </c>
      <c r="N334" t="e">
        <f ca="1">IF((A1)=(2),"",IF((331)=(N3),IF(IF((INDEX(B1:XFD1,((A2)+(1))+(0)))=("store"),(INDEX(B1:XFD1,((A2)+(1))+(1)))=("N"),"false"),B2,N334),N334))</f>
        <v>#VALUE!</v>
      </c>
      <c r="O334" t="e">
        <f ca="1">IF((A1)=(2),"",IF((331)=(O3),IF(IF((INDEX(B1:XFD1,((A2)+(1))+(0)))=("store"),(INDEX(B1:XFD1,((A2)+(1))+(1)))=("O"),"false"),B2,O334),O334))</f>
        <v>#VALUE!</v>
      </c>
      <c r="P334" t="e">
        <f ca="1">IF((A1)=(2),"",IF((331)=(P3),IF(IF((INDEX(B1:XFD1,((A2)+(1))+(0)))=("store"),(INDEX(B1:XFD1,((A2)+(1))+(1)))=("P"),"false"),B2,P334),P334))</f>
        <v>#VALUE!</v>
      </c>
      <c r="Q334" t="e">
        <f ca="1">IF((A1)=(2),"",IF((331)=(Q3),IF(IF((INDEX(B1:XFD1,((A2)+(1))+(0)))=("store"),(INDEX(B1:XFD1,((A2)+(1))+(1)))=("Q"),"false"),B2,Q334),Q334))</f>
        <v>#VALUE!</v>
      </c>
      <c r="R334" t="e">
        <f ca="1">IF((A1)=(2),"",IF((331)=(R3),IF(IF((INDEX(B1:XFD1,((A2)+(1))+(0)))=("store"),(INDEX(B1:XFD1,((A2)+(1))+(1)))=("R"),"false"),B2,R334),R334))</f>
        <v>#VALUE!</v>
      </c>
      <c r="S334" t="e">
        <f ca="1">IF((A1)=(2),"",IF((331)=(S3),IF(IF((INDEX(B1:XFD1,((A2)+(1))+(0)))=("store"),(INDEX(B1:XFD1,((A2)+(1))+(1)))=("S"),"false"),B2,S334),S334))</f>
        <v>#VALUE!</v>
      </c>
      <c r="T334" t="e">
        <f ca="1">IF((A1)=(2),"",IF((331)=(T3),IF(IF((INDEX(B1:XFD1,((A2)+(1))+(0)))=("store"),(INDEX(B1:XFD1,((A2)+(1))+(1)))=("T"),"false"),B2,T334),T334))</f>
        <v>#VALUE!</v>
      </c>
      <c r="U334" t="e">
        <f ca="1">IF((A1)=(2),"",IF((331)=(U3),IF(IF((INDEX(B1:XFD1,((A2)+(1))+(0)))=("store"),(INDEX(B1:XFD1,((A2)+(1))+(1)))=("U"),"false"),B2,U334),U334))</f>
        <v>#VALUE!</v>
      </c>
      <c r="V334" t="e">
        <f ca="1">IF((A1)=(2),"",IF((331)=(V3),IF(IF((INDEX(B1:XFD1,((A2)+(1))+(0)))=("store"),(INDEX(B1:XFD1,((A2)+(1))+(1)))=("V"),"false"),B2,V334),V334))</f>
        <v>#VALUE!</v>
      </c>
      <c r="W334" t="e">
        <f ca="1">IF((A1)=(2),"",IF((331)=(W3),IF(IF((INDEX(B1:XFD1,((A2)+(1))+(0)))=("store"),(INDEX(B1:XFD1,((A2)+(1))+(1)))=("W"),"false"),B2,W334),W334))</f>
        <v>#VALUE!</v>
      </c>
      <c r="X334" t="e">
        <f ca="1">IF((A1)=(2),"",IF((331)=(X3),IF(IF((INDEX(B1:XFD1,((A2)+(1))+(0)))=("store"),(INDEX(B1:XFD1,((A2)+(1))+(1)))=("X"),"false"),B2,X334),X334))</f>
        <v>#VALUE!</v>
      </c>
      <c r="Y334" t="e">
        <f ca="1">IF((A1)=(2),"",IF((331)=(Y3),IF(IF((INDEX(B1:XFD1,((A2)+(1))+(0)))=("store"),(INDEX(B1:XFD1,((A2)+(1))+(1)))=("Y"),"false"),B2,Y334),Y334))</f>
        <v>#VALUE!</v>
      </c>
      <c r="Z334" t="e">
        <f ca="1">IF((A1)=(2),"",IF((331)=(Z3),IF(IF((INDEX(B1:XFD1,((A2)+(1))+(0)))=("store"),(INDEX(B1:XFD1,((A2)+(1))+(1)))=("Z"),"false"),B2,Z334),Z334))</f>
        <v>#VALUE!</v>
      </c>
      <c r="AA334" t="e">
        <f ca="1">IF((A1)=(2),"",IF((331)=(AA3),IF(IF((INDEX(B1:XFD1,((A2)+(1))+(0)))=("store"),(INDEX(B1:XFD1,((A2)+(1))+(1)))=("AA"),"false"),B2,AA334),AA334))</f>
        <v>#VALUE!</v>
      </c>
      <c r="AB334" t="e">
        <f ca="1">IF((A1)=(2),"",IF((331)=(AB3),IF(IF((INDEX(B1:XFD1,((A2)+(1))+(0)))=("store"),(INDEX(B1:XFD1,((A2)+(1))+(1)))=("AB"),"false"),B2,AB334),AB334))</f>
        <v>#VALUE!</v>
      </c>
      <c r="AC334" t="e">
        <f ca="1">IF((A1)=(2),"",IF((331)=(AC3),IF(IF((INDEX(B1:XFD1,((A2)+(1))+(0)))=("store"),(INDEX(B1:XFD1,((A2)+(1))+(1)))=("AC"),"false"),B2,AC334),AC334))</f>
        <v>#VALUE!</v>
      </c>
      <c r="AD334" t="e">
        <f ca="1">IF((A1)=(2),"",IF((331)=(AD3),IF(IF((INDEX(B1:XFD1,((A2)+(1))+(0)))=("store"),(INDEX(B1:XFD1,((A2)+(1))+(1)))=("AD"),"false"),B2,AD334),AD334))</f>
        <v>#VALUE!</v>
      </c>
    </row>
    <row r="335" spans="1:30" x14ac:dyDescent="0.25">
      <c r="A335" t="e">
        <f ca="1">IF((A1)=(2),"",IF((332)=(A3),IF(("call")=(INDEX(B1:XFD1,((A2)+(1))+(0))),(B2)*(2),IF(("goto")=(INDEX(B1:XFD1,((A2)+(1))+(0))),(INDEX(B1:XFD1,((A2)+(1))+(1)))*(2),IF(("gotoiftrue")=(INDEX(B1:XFD1,((A2)+(1))+(0))),IF(B2,(INDEX(B1:XFD1,((A2)+(1))+(1)))*(2),(A335)+(2)),(A335)+(2)))),A335))</f>
        <v>#VALUE!</v>
      </c>
      <c r="B335" t="e">
        <f ca="1">IF((A1)=(2),"",IF((332)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335)+(1)),IF(("add")=(INDEX(B1:XFD1,((A2)+(1))+(0))),(INDEX(B4:B404,(B3)+(1)))+(B335),IF(("equals")=(INDEX(B1:XFD1,((A2)+(1))+(0))),(INDEX(B4:B404,(B3)+(1)))=(B335),IF(("leq")=(INDEX(B1:XFD1,((A2)+(1))+(0))),(INDEX(B4:B404,(B3)+(1)))&lt;=(B335),IF(("greater")=(INDEX(B1:XFD1,((A2)+(1))+(0))),(INDEX(B4:B404,(B3)+(1)))&gt;(B335),IF(("mod")=(INDEX(B1:XFD1,((A2)+(1))+(0))),MOD(INDEX(B4:B404,(B3)+(1)),B335),B335))))))))),B335))</f>
        <v>#VALUE!</v>
      </c>
      <c r="C335" t="e">
        <f ca="1">IF((A1)=(2),1,IF(AND((INDEX(B1:XFD1,((A2)+(1))+(0)))=("writeheap"),(INDEX(B4:B404,(B3)+(1)))=(331)),INDEX(B4:B404,(B3)+(2)),IF((A1)=(2),"",IF((332)=(C3),C335,C335))))</f>
        <v>#VALUE!</v>
      </c>
      <c r="E335" t="e">
        <f ca="1">IF((A1)=(2),"",IF((332)=(E3),IF(("outputline")=(INDEX(B1:XFD1,((A2)+(1))+(0))),B2,E335),E335))</f>
        <v>#VALUE!</v>
      </c>
      <c r="F335" t="e">
        <f ca="1">IF((A1)=(2),"",IF((332)=(F3),IF(IF((INDEX(B1:XFD1,((A2)+(1))+(0)))=("store"),(INDEX(B1:XFD1,((A2)+(1))+(1)))=("F"),"false"),B2,F335),F335))</f>
        <v>#VALUE!</v>
      </c>
      <c r="G335" t="e">
        <f ca="1">IF((A1)=(2),"",IF((332)=(G3),IF(IF((INDEX(B1:XFD1,((A2)+(1))+(0)))=("store"),(INDEX(B1:XFD1,((A2)+(1))+(1)))=("G"),"false"),B2,G335),G335))</f>
        <v>#VALUE!</v>
      </c>
      <c r="H335" t="e">
        <f ca="1">IF((A1)=(2),"",IF((332)=(H3),IF(IF((INDEX(B1:XFD1,((A2)+(1))+(0)))=("store"),(INDEX(B1:XFD1,((A2)+(1))+(1)))=("H"),"false"),B2,H335),H335))</f>
        <v>#VALUE!</v>
      </c>
      <c r="I335" t="e">
        <f ca="1">IF((A1)=(2),"",IF((332)=(I3),IF(IF((INDEX(B1:XFD1,((A2)+(1))+(0)))=("store"),(INDEX(B1:XFD1,((A2)+(1))+(1)))=("I"),"false"),B2,I335),I335))</f>
        <v>#VALUE!</v>
      </c>
      <c r="J335" t="e">
        <f ca="1">IF((A1)=(2),"",IF((332)=(J3),IF(IF((INDEX(B1:XFD1,((A2)+(1))+(0)))=("store"),(INDEX(B1:XFD1,((A2)+(1))+(1)))=("J"),"false"),B2,J335),J335))</f>
        <v>#VALUE!</v>
      </c>
      <c r="K335" t="e">
        <f ca="1">IF((A1)=(2),"",IF((332)=(K3),IF(IF((INDEX(B1:XFD1,((A2)+(1))+(0)))=("store"),(INDEX(B1:XFD1,((A2)+(1))+(1)))=("K"),"false"),B2,K335),K335))</f>
        <v>#VALUE!</v>
      </c>
      <c r="L335" t="e">
        <f ca="1">IF((A1)=(2),"",IF((332)=(L3),IF(IF((INDEX(B1:XFD1,((A2)+(1))+(0)))=("store"),(INDEX(B1:XFD1,((A2)+(1))+(1)))=("L"),"false"),B2,L335),L335))</f>
        <v>#VALUE!</v>
      </c>
      <c r="M335" t="e">
        <f ca="1">IF((A1)=(2),"",IF((332)=(M3),IF(IF((INDEX(B1:XFD1,((A2)+(1))+(0)))=("store"),(INDEX(B1:XFD1,((A2)+(1))+(1)))=("M"),"false"),B2,M335),M335))</f>
        <v>#VALUE!</v>
      </c>
      <c r="N335" t="e">
        <f ca="1">IF((A1)=(2),"",IF((332)=(N3),IF(IF((INDEX(B1:XFD1,((A2)+(1))+(0)))=("store"),(INDEX(B1:XFD1,((A2)+(1))+(1)))=("N"),"false"),B2,N335),N335))</f>
        <v>#VALUE!</v>
      </c>
      <c r="O335" t="e">
        <f ca="1">IF((A1)=(2),"",IF((332)=(O3),IF(IF((INDEX(B1:XFD1,((A2)+(1))+(0)))=("store"),(INDEX(B1:XFD1,((A2)+(1))+(1)))=("O"),"false"),B2,O335),O335))</f>
        <v>#VALUE!</v>
      </c>
      <c r="P335" t="e">
        <f ca="1">IF((A1)=(2),"",IF((332)=(P3),IF(IF((INDEX(B1:XFD1,((A2)+(1))+(0)))=("store"),(INDEX(B1:XFD1,((A2)+(1))+(1)))=("P"),"false"),B2,P335),P335))</f>
        <v>#VALUE!</v>
      </c>
      <c r="Q335" t="e">
        <f ca="1">IF((A1)=(2),"",IF((332)=(Q3),IF(IF((INDEX(B1:XFD1,((A2)+(1))+(0)))=("store"),(INDEX(B1:XFD1,((A2)+(1))+(1)))=("Q"),"false"),B2,Q335),Q335))</f>
        <v>#VALUE!</v>
      </c>
      <c r="R335" t="e">
        <f ca="1">IF((A1)=(2),"",IF((332)=(R3),IF(IF((INDEX(B1:XFD1,((A2)+(1))+(0)))=("store"),(INDEX(B1:XFD1,((A2)+(1))+(1)))=("R"),"false"),B2,R335),R335))</f>
        <v>#VALUE!</v>
      </c>
      <c r="S335" t="e">
        <f ca="1">IF((A1)=(2),"",IF((332)=(S3),IF(IF((INDEX(B1:XFD1,((A2)+(1))+(0)))=("store"),(INDEX(B1:XFD1,((A2)+(1))+(1)))=("S"),"false"),B2,S335),S335))</f>
        <v>#VALUE!</v>
      </c>
      <c r="T335" t="e">
        <f ca="1">IF((A1)=(2),"",IF((332)=(T3),IF(IF((INDEX(B1:XFD1,((A2)+(1))+(0)))=("store"),(INDEX(B1:XFD1,((A2)+(1))+(1)))=("T"),"false"),B2,T335),T335))</f>
        <v>#VALUE!</v>
      </c>
      <c r="U335" t="e">
        <f ca="1">IF((A1)=(2),"",IF((332)=(U3),IF(IF((INDEX(B1:XFD1,((A2)+(1))+(0)))=("store"),(INDEX(B1:XFD1,((A2)+(1))+(1)))=("U"),"false"),B2,U335),U335))</f>
        <v>#VALUE!</v>
      </c>
      <c r="V335" t="e">
        <f ca="1">IF((A1)=(2),"",IF((332)=(V3),IF(IF((INDEX(B1:XFD1,((A2)+(1))+(0)))=("store"),(INDEX(B1:XFD1,((A2)+(1))+(1)))=("V"),"false"),B2,V335),V335))</f>
        <v>#VALUE!</v>
      </c>
      <c r="W335" t="e">
        <f ca="1">IF((A1)=(2),"",IF((332)=(W3),IF(IF((INDEX(B1:XFD1,((A2)+(1))+(0)))=("store"),(INDEX(B1:XFD1,((A2)+(1))+(1)))=("W"),"false"),B2,W335),W335))</f>
        <v>#VALUE!</v>
      </c>
      <c r="X335" t="e">
        <f ca="1">IF((A1)=(2),"",IF((332)=(X3),IF(IF((INDEX(B1:XFD1,((A2)+(1))+(0)))=("store"),(INDEX(B1:XFD1,((A2)+(1))+(1)))=("X"),"false"),B2,X335),X335))</f>
        <v>#VALUE!</v>
      </c>
      <c r="Y335" t="e">
        <f ca="1">IF((A1)=(2),"",IF((332)=(Y3),IF(IF((INDEX(B1:XFD1,((A2)+(1))+(0)))=("store"),(INDEX(B1:XFD1,((A2)+(1))+(1)))=("Y"),"false"),B2,Y335),Y335))</f>
        <v>#VALUE!</v>
      </c>
      <c r="Z335" t="e">
        <f ca="1">IF((A1)=(2),"",IF((332)=(Z3),IF(IF((INDEX(B1:XFD1,((A2)+(1))+(0)))=("store"),(INDEX(B1:XFD1,((A2)+(1))+(1)))=("Z"),"false"),B2,Z335),Z335))</f>
        <v>#VALUE!</v>
      </c>
      <c r="AA335" t="e">
        <f ca="1">IF((A1)=(2),"",IF((332)=(AA3),IF(IF((INDEX(B1:XFD1,((A2)+(1))+(0)))=("store"),(INDEX(B1:XFD1,((A2)+(1))+(1)))=("AA"),"false"),B2,AA335),AA335))</f>
        <v>#VALUE!</v>
      </c>
      <c r="AB335" t="e">
        <f ca="1">IF((A1)=(2),"",IF((332)=(AB3),IF(IF((INDEX(B1:XFD1,((A2)+(1))+(0)))=("store"),(INDEX(B1:XFD1,((A2)+(1))+(1)))=("AB"),"false"),B2,AB335),AB335))</f>
        <v>#VALUE!</v>
      </c>
      <c r="AC335" t="e">
        <f ca="1">IF((A1)=(2),"",IF((332)=(AC3),IF(IF((INDEX(B1:XFD1,((A2)+(1))+(0)))=("store"),(INDEX(B1:XFD1,((A2)+(1))+(1)))=("AC"),"false"),B2,AC335),AC335))</f>
        <v>#VALUE!</v>
      </c>
      <c r="AD335" t="e">
        <f ca="1">IF((A1)=(2),"",IF((332)=(AD3),IF(IF((INDEX(B1:XFD1,((A2)+(1))+(0)))=("store"),(INDEX(B1:XFD1,((A2)+(1))+(1)))=("AD"),"false"),B2,AD335),AD335))</f>
        <v>#VALUE!</v>
      </c>
    </row>
    <row r="336" spans="1:30" x14ac:dyDescent="0.25">
      <c r="A336" t="e">
        <f ca="1">IF((A1)=(2),"",IF((333)=(A3),IF(("call")=(INDEX(B1:XFD1,((A2)+(1))+(0))),(B2)*(2),IF(("goto")=(INDEX(B1:XFD1,((A2)+(1))+(0))),(INDEX(B1:XFD1,((A2)+(1))+(1)))*(2),IF(("gotoiftrue")=(INDEX(B1:XFD1,((A2)+(1))+(0))),IF(B2,(INDEX(B1:XFD1,((A2)+(1))+(1)))*(2),(A336)+(2)),(A336)+(2)))),A336))</f>
        <v>#VALUE!</v>
      </c>
      <c r="B336" t="e">
        <f ca="1">IF((A1)=(2),"",IF((333)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336)+(1)),IF(("add")=(INDEX(B1:XFD1,((A2)+(1))+(0))),(INDEX(B4:B404,(B3)+(1)))+(B336),IF(("equals")=(INDEX(B1:XFD1,((A2)+(1))+(0))),(INDEX(B4:B404,(B3)+(1)))=(B336),IF(("leq")=(INDEX(B1:XFD1,((A2)+(1))+(0))),(INDEX(B4:B404,(B3)+(1)))&lt;=(B336),IF(("greater")=(INDEX(B1:XFD1,((A2)+(1))+(0))),(INDEX(B4:B404,(B3)+(1)))&gt;(B336),IF(("mod")=(INDEX(B1:XFD1,((A2)+(1))+(0))),MOD(INDEX(B4:B404,(B3)+(1)),B336),B336))))))))),B336))</f>
        <v>#VALUE!</v>
      </c>
      <c r="C336" t="e">
        <f ca="1">IF((A1)=(2),1,IF(AND((INDEX(B1:XFD1,((A2)+(1))+(0)))=("writeheap"),(INDEX(B4:B404,(B3)+(1)))=(332)),INDEX(B4:B404,(B3)+(2)),IF((A1)=(2),"",IF((333)=(C3),C336,C336))))</f>
        <v>#VALUE!</v>
      </c>
      <c r="E336" t="e">
        <f ca="1">IF((A1)=(2),"",IF((333)=(E3),IF(("outputline")=(INDEX(B1:XFD1,((A2)+(1))+(0))),B2,E336),E336))</f>
        <v>#VALUE!</v>
      </c>
      <c r="F336" t="e">
        <f ca="1">IF((A1)=(2),"",IF((333)=(F3),IF(IF((INDEX(B1:XFD1,((A2)+(1))+(0)))=("store"),(INDEX(B1:XFD1,((A2)+(1))+(1)))=("F"),"false"),B2,F336),F336))</f>
        <v>#VALUE!</v>
      </c>
      <c r="G336" t="e">
        <f ca="1">IF((A1)=(2),"",IF((333)=(G3),IF(IF((INDEX(B1:XFD1,((A2)+(1))+(0)))=("store"),(INDEX(B1:XFD1,((A2)+(1))+(1)))=("G"),"false"),B2,G336),G336))</f>
        <v>#VALUE!</v>
      </c>
      <c r="H336" t="e">
        <f ca="1">IF((A1)=(2),"",IF((333)=(H3),IF(IF((INDEX(B1:XFD1,((A2)+(1))+(0)))=("store"),(INDEX(B1:XFD1,((A2)+(1))+(1)))=("H"),"false"),B2,H336),H336))</f>
        <v>#VALUE!</v>
      </c>
      <c r="I336" t="e">
        <f ca="1">IF((A1)=(2),"",IF((333)=(I3),IF(IF((INDEX(B1:XFD1,((A2)+(1))+(0)))=("store"),(INDEX(B1:XFD1,((A2)+(1))+(1)))=("I"),"false"),B2,I336),I336))</f>
        <v>#VALUE!</v>
      </c>
      <c r="J336" t="e">
        <f ca="1">IF((A1)=(2),"",IF((333)=(J3),IF(IF((INDEX(B1:XFD1,((A2)+(1))+(0)))=("store"),(INDEX(B1:XFD1,((A2)+(1))+(1)))=("J"),"false"),B2,J336),J336))</f>
        <v>#VALUE!</v>
      </c>
      <c r="K336" t="e">
        <f ca="1">IF((A1)=(2),"",IF((333)=(K3),IF(IF((INDEX(B1:XFD1,((A2)+(1))+(0)))=("store"),(INDEX(B1:XFD1,((A2)+(1))+(1)))=("K"),"false"),B2,K336),K336))</f>
        <v>#VALUE!</v>
      </c>
      <c r="L336" t="e">
        <f ca="1">IF((A1)=(2),"",IF((333)=(L3),IF(IF((INDEX(B1:XFD1,((A2)+(1))+(0)))=("store"),(INDEX(B1:XFD1,((A2)+(1))+(1)))=("L"),"false"),B2,L336),L336))</f>
        <v>#VALUE!</v>
      </c>
      <c r="M336" t="e">
        <f ca="1">IF((A1)=(2),"",IF((333)=(M3),IF(IF((INDEX(B1:XFD1,((A2)+(1))+(0)))=("store"),(INDEX(B1:XFD1,((A2)+(1))+(1)))=("M"),"false"),B2,M336),M336))</f>
        <v>#VALUE!</v>
      </c>
      <c r="N336" t="e">
        <f ca="1">IF((A1)=(2),"",IF((333)=(N3),IF(IF((INDEX(B1:XFD1,((A2)+(1))+(0)))=("store"),(INDEX(B1:XFD1,((A2)+(1))+(1)))=("N"),"false"),B2,N336),N336))</f>
        <v>#VALUE!</v>
      </c>
      <c r="O336" t="e">
        <f ca="1">IF((A1)=(2),"",IF((333)=(O3),IF(IF((INDEX(B1:XFD1,((A2)+(1))+(0)))=("store"),(INDEX(B1:XFD1,((A2)+(1))+(1)))=("O"),"false"),B2,O336),O336))</f>
        <v>#VALUE!</v>
      </c>
      <c r="P336" t="e">
        <f ca="1">IF((A1)=(2),"",IF((333)=(P3),IF(IF((INDEX(B1:XFD1,((A2)+(1))+(0)))=("store"),(INDEX(B1:XFD1,((A2)+(1))+(1)))=("P"),"false"),B2,P336),P336))</f>
        <v>#VALUE!</v>
      </c>
      <c r="Q336" t="e">
        <f ca="1">IF((A1)=(2),"",IF((333)=(Q3),IF(IF((INDEX(B1:XFD1,((A2)+(1))+(0)))=("store"),(INDEX(B1:XFD1,((A2)+(1))+(1)))=("Q"),"false"),B2,Q336),Q336))</f>
        <v>#VALUE!</v>
      </c>
      <c r="R336" t="e">
        <f ca="1">IF((A1)=(2),"",IF((333)=(R3),IF(IF((INDEX(B1:XFD1,((A2)+(1))+(0)))=("store"),(INDEX(B1:XFD1,((A2)+(1))+(1)))=("R"),"false"),B2,R336),R336))</f>
        <v>#VALUE!</v>
      </c>
      <c r="S336" t="e">
        <f ca="1">IF((A1)=(2),"",IF((333)=(S3),IF(IF((INDEX(B1:XFD1,((A2)+(1))+(0)))=("store"),(INDEX(B1:XFD1,((A2)+(1))+(1)))=("S"),"false"),B2,S336),S336))</f>
        <v>#VALUE!</v>
      </c>
      <c r="T336" t="e">
        <f ca="1">IF((A1)=(2),"",IF((333)=(T3),IF(IF((INDEX(B1:XFD1,((A2)+(1))+(0)))=("store"),(INDEX(B1:XFD1,((A2)+(1))+(1)))=("T"),"false"),B2,T336),T336))</f>
        <v>#VALUE!</v>
      </c>
      <c r="U336" t="e">
        <f ca="1">IF((A1)=(2),"",IF((333)=(U3),IF(IF((INDEX(B1:XFD1,((A2)+(1))+(0)))=("store"),(INDEX(B1:XFD1,((A2)+(1))+(1)))=("U"),"false"),B2,U336),U336))</f>
        <v>#VALUE!</v>
      </c>
      <c r="V336" t="e">
        <f ca="1">IF((A1)=(2),"",IF((333)=(V3),IF(IF((INDEX(B1:XFD1,((A2)+(1))+(0)))=("store"),(INDEX(B1:XFD1,((A2)+(1))+(1)))=("V"),"false"),B2,V336),V336))</f>
        <v>#VALUE!</v>
      </c>
      <c r="W336" t="e">
        <f ca="1">IF((A1)=(2),"",IF((333)=(W3),IF(IF((INDEX(B1:XFD1,((A2)+(1))+(0)))=("store"),(INDEX(B1:XFD1,((A2)+(1))+(1)))=("W"),"false"),B2,W336),W336))</f>
        <v>#VALUE!</v>
      </c>
      <c r="X336" t="e">
        <f ca="1">IF((A1)=(2),"",IF((333)=(X3),IF(IF((INDEX(B1:XFD1,((A2)+(1))+(0)))=("store"),(INDEX(B1:XFD1,((A2)+(1))+(1)))=("X"),"false"),B2,X336),X336))</f>
        <v>#VALUE!</v>
      </c>
      <c r="Y336" t="e">
        <f ca="1">IF((A1)=(2),"",IF((333)=(Y3),IF(IF((INDEX(B1:XFD1,((A2)+(1))+(0)))=("store"),(INDEX(B1:XFD1,((A2)+(1))+(1)))=("Y"),"false"),B2,Y336),Y336))</f>
        <v>#VALUE!</v>
      </c>
      <c r="Z336" t="e">
        <f ca="1">IF((A1)=(2),"",IF((333)=(Z3),IF(IF((INDEX(B1:XFD1,((A2)+(1))+(0)))=("store"),(INDEX(B1:XFD1,((A2)+(1))+(1)))=("Z"),"false"),B2,Z336),Z336))</f>
        <v>#VALUE!</v>
      </c>
      <c r="AA336" t="e">
        <f ca="1">IF((A1)=(2),"",IF((333)=(AA3),IF(IF((INDEX(B1:XFD1,((A2)+(1))+(0)))=("store"),(INDEX(B1:XFD1,((A2)+(1))+(1)))=("AA"),"false"),B2,AA336),AA336))</f>
        <v>#VALUE!</v>
      </c>
      <c r="AB336" t="e">
        <f ca="1">IF((A1)=(2),"",IF((333)=(AB3),IF(IF((INDEX(B1:XFD1,((A2)+(1))+(0)))=("store"),(INDEX(B1:XFD1,((A2)+(1))+(1)))=("AB"),"false"),B2,AB336),AB336))</f>
        <v>#VALUE!</v>
      </c>
      <c r="AC336" t="e">
        <f ca="1">IF((A1)=(2),"",IF((333)=(AC3),IF(IF((INDEX(B1:XFD1,((A2)+(1))+(0)))=("store"),(INDEX(B1:XFD1,((A2)+(1))+(1)))=("AC"),"false"),B2,AC336),AC336))</f>
        <v>#VALUE!</v>
      </c>
      <c r="AD336" t="e">
        <f ca="1">IF((A1)=(2),"",IF((333)=(AD3),IF(IF((INDEX(B1:XFD1,((A2)+(1))+(0)))=("store"),(INDEX(B1:XFD1,((A2)+(1))+(1)))=("AD"),"false"),B2,AD336),AD336))</f>
        <v>#VALUE!</v>
      </c>
    </row>
    <row r="337" spans="1:30" x14ac:dyDescent="0.25">
      <c r="A337" t="e">
        <f ca="1">IF((A1)=(2),"",IF((334)=(A3),IF(("call")=(INDEX(B1:XFD1,((A2)+(1))+(0))),(B2)*(2),IF(("goto")=(INDEX(B1:XFD1,((A2)+(1))+(0))),(INDEX(B1:XFD1,((A2)+(1))+(1)))*(2),IF(("gotoiftrue")=(INDEX(B1:XFD1,((A2)+(1))+(0))),IF(B2,(INDEX(B1:XFD1,((A2)+(1))+(1)))*(2),(A337)+(2)),(A337)+(2)))),A337))</f>
        <v>#VALUE!</v>
      </c>
      <c r="B337" t="e">
        <f ca="1">IF((A1)=(2),"",IF((334)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337)+(1)),IF(("add")=(INDEX(B1:XFD1,((A2)+(1))+(0))),(INDEX(B4:B404,(B3)+(1)))+(B337),IF(("equals")=(INDEX(B1:XFD1,((A2)+(1))+(0))),(INDEX(B4:B404,(B3)+(1)))=(B337),IF(("leq")=(INDEX(B1:XFD1,((A2)+(1))+(0))),(INDEX(B4:B404,(B3)+(1)))&lt;=(B337),IF(("greater")=(INDEX(B1:XFD1,((A2)+(1))+(0))),(INDEX(B4:B404,(B3)+(1)))&gt;(B337),IF(("mod")=(INDEX(B1:XFD1,((A2)+(1))+(0))),MOD(INDEX(B4:B404,(B3)+(1)),B337),B337))))))))),B337))</f>
        <v>#VALUE!</v>
      </c>
      <c r="C337" t="e">
        <f ca="1">IF((A1)=(2),1,IF(AND((INDEX(B1:XFD1,((A2)+(1))+(0)))=("writeheap"),(INDEX(B4:B404,(B3)+(1)))=(333)),INDEX(B4:B404,(B3)+(2)),IF((A1)=(2),"",IF((334)=(C3),C337,C337))))</f>
        <v>#VALUE!</v>
      </c>
      <c r="E337" t="e">
        <f ca="1">IF((A1)=(2),"",IF((334)=(E3),IF(("outputline")=(INDEX(B1:XFD1,((A2)+(1))+(0))),B2,E337),E337))</f>
        <v>#VALUE!</v>
      </c>
      <c r="F337" t="e">
        <f ca="1">IF((A1)=(2),"",IF((334)=(F3),IF(IF((INDEX(B1:XFD1,((A2)+(1))+(0)))=("store"),(INDEX(B1:XFD1,((A2)+(1))+(1)))=("F"),"false"),B2,F337),F337))</f>
        <v>#VALUE!</v>
      </c>
      <c r="G337" t="e">
        <f ca="1">IF((A1)=(2),"",IF((334)=(G3),IF(IF((INDEX(B1:XFD1,((A2)+(1))+(0)))=("store"),(INDEX(B1:XFD1,((A2)+(1))+(1)))=("G"),"false"),B2,G337),G337))</f>
        <v>#VALUE!</v>
      </c>
      <c r="H337" t="e">
        <f ca="1">IF((A1)=(2),"",IF((334)=(H3),IF(IF((INDEX(B1:XFD1,((A2)+(1))+(0)))=("store"),(INDEX(B1:XFD1,((A2)+(1))+(1)))=("H"),"false"),B2,H337),H337))</f>
        <v>#VALUE!</v>
      </c>
      <c r="I337" t="e">
        <f ca="1">IF((A1)=(2),"",IF((334)=(I3),IF(IF((INDEX(B1:XFD1,((A2)+(1))+(0)))=("store"),(INDEX(B1:XFD1,((A2)+(1))+(1)))=("I"),"false"),B2,I337),I337))</f>
        <v>#VALUE!</v>
      </c>
      <c r="J337" t="e">
        <f ca="1">IF((A1)=(2),"",IF((334)=(J3),IF(IF((INDEX(B1:XFD1,((A2)+(1))+(0)))=("store"),(INDEX(B1:XFD1,((A2)+(1))+(1)))=("J"),"false"),B2,J337),J337))</f>
        <v>#VALUE!</v>
      </c>
      <c r="K337" t="e">
        <f ca="1">IF((A1)=(2),"",IF((334)=(K3),IF(IF((INDEX(B1:XFD1,((A2)+(1))+(0)))=("store"),(INDEX(B1:XFD1,((A2)+(1))+(1)))=("K"),"false"),B2,K337),K337))</f>
        <v>#VALUE!</v>
      </c>
      <c r="L337" t="e">
        <f ca="1">IF((A1)=(2),"",IF((334)=(L3),IF(IF((INDEX(B1:XFD1,((A2)+(1))+(0)))=("store"),(INDEX(B1:XFD1,((A2)+(1))+(1)))=("L"),"false"),B2,L337),L337))</f>
        <v>#VALUE!</v>
      </c>
      <c r="M337" t="e">
        <f ca="1">IF((A1)=(2),"",IF((334)=(M3),IF(IF((INDEX(B1:XFD1,((A2)+(1))+(0)))=("store"),(INDEX(B1:XFD1,((A2)+(1))+(1)))=("M"),"false"),B2,M337),M337))</f>
        <v>#VALUE!</v>
      </c>
      <c r="N337" t="e">
        <f ca="1">IF((A1)=(2),"",IF((334)=(N3),IF(IF((INDEX(B1:XFD1,((A2)+(1))+(0)))=("store"),(INDEX(B1:XFD1,((A2)+(1))+(1)))=("N"),"false"),B2,N337),N337))</f>
        <v>#VALUE!</v>
      </c>
      <c r="O337" t="e">
        <f ca="1">IF((A1)=(2),"",IF((334)=(O3),IF(IF((INDEX(B1:XFD1,((A2)+(1))+(0)))=("store"),(INDEX(B1:XFD1,((A2)+(1))+(1)))=("O"),"false"),B2,O337),O337))</f>
        <v>#VALUE!</v>
      </c>
      <c r="P337" t="e">
        <f ca="1">IF((A1)=(2),"",IF((334)=(P3),IF(IF((INDEX(B1:XFD1,((A2)+(1))+(0)))=("store"),(INDEX(B1:XFD1,((A2)+(1))+(1)))=("P"),"false"),B2,P337),P337))</f>
        <v>#VALUE!</v>
      </c>
      <c r="Q337" t="e">
        <f ca="1">IF((A1)=(2),"",IF((334)=(Q3),IF(IF((INDEX(B1:XFD1,((A2)+(1))+(0)))=("store"),(INDEX(B1:XFD1,((A2)+(1))+(1)))=("Q"),"false"),B2,Q337),Q337))</f>
        <v>#VALUE!</v>
      </c>
      <c r="R337" t="e">
        <f ca="1">IF((A1)=(2),"",IF((334)=(R3),IF(IF((INDEX(B1:XFD1,((A2)+(1))+(0)))=("store"),(INDEX(B1:XFD1,((A2)+(1))+(1)))=("R"),"false"),B2,R337),R337))</f>
        <v>#VALUE!</v>
      </c>
      <c r="S337" t="e">
        <f ca="1">IF((A1)=(2),"",IF((334)=(S3),IF(IF((INDEX(B1:XFD1,((A2)+(1))+(0)))=("store"),(INDEX(B1:XFD1,((A2)+(1))+(1)))=("S"),"false"),B2,S337),S337))</f>
        <v>#VALUE!</v>
      </c>
      <c r="T337" t="e">
        <f ca="1">IF((A1)=(2),"",IF((334)=(T3),IF(IF((INDEX(B1:XFD1,((A2)+(1))+(0)))=("store"),(INDEX(B1:XFD1,((A2)+(1))+(1)))=("T"),"false"),B2,T337),T337))</f>
        <v>#VALUE!</v>
      </c>
      <c r="U337" t="e">
        <f ca="1">IF((A1)=(2),"",IF((334)=(U3),IF(IF((INDEX(B1:XFD1,((A2)+(1))+(0)))=("store"),(INDEX(B1:XFD1,((A2)+(1))+(1)))=("U"),"false"),B2,U337),U337))</f>
        <v>#VALUE!</v>
      </c>
      <c r="V337" t="e">
        <f ca="1">IF((A1)=(2),"",IF((334)=(V3),IF(IF((INDEX(B1:XFD1,((A2)+(1))+(0)))=("store"),(INDEX(B1:XFD1,((A2)+(1))+(1)))=("V"),"false"),B2,V337),V337))</f>
        <v>#VALUE!</v>
      </c>
      <c r="W337" t="e">
        <f ca="1">IF((A1)=(2),"",IF((334)=(W3),IF(IF((INDEX(B1:XFD1,((A2)+(1))+(0)))=("store"),(INDEX(B1:XFD1,((A2)+(1))+(1)))=("W"),"false"),B2,W337),W337))</f>
        <v>#VALUE!</v>
      </c>
      <c r="X337" t="e">
        <f ca="1">IF((A1)=(2),"",IF((334)=(X3),IF(IF((INDEX(B1:XFD1,((A2)+(1))+(0)))=("store"),(INDEX(B1:XFD1,((A2)+(1))+(1)))=("X"),"false"),B2,X337),X337))</f>
        <v>#VALUE!</v>
      </c>
      <c r="Y337" t="e">
        <f ca="1">IF((A1)=(2),"",IF((334)=(Y3),IF(IF((INDEX(B1:XFD1,((A2)+(1))+(0)))=("store"),(INDEX(B1:XFD1,((A2)+(1))+(1)))=("Y"),"false"),B2,Y337),Y337))</f>
        <v>#VALUE!</v>
      </c>
      <c r="Z337" t="e">
        <f ca="1">IF((A1)=(2),"",IF((334)=(Z3),IF(IF((INDEX(B1:XFD1,((A2)+(1))+(0)))=("store"),(INDEX(B1:XFD1,((A2)+(1))+(1)))=("Z"),"false"),B2,Z337),Z337))</f>
        <v>#VALUE!</v>
      </c>
      <c r="AA337" t="e">
        <f ca="1">IF((A1)=(2),"",IF((334)=(AA3),IF(IF((INDEX(B1:XFD1,((A2)+(1))+(0)))=("store"),(INDEX(B1:XFD1,((A2)+(1))+(1)))=("AA"),"false"),B2,AA337),AA337))</f>
        <v>#VALUE!</v>
      </c>
      <c r="AB337" t="e">
        <f ca="1">IF((A1)=(2),"",IF((334)=(AB3),IF(IF((INDEX(B1:XFD1,((A2)+(1))+(0)))=("store"),(INDEX(B1:XFD1,((A2)+(1))+(1)))=("AB"),"false"),B2,AB337),AB337))</f>
        <v>#VALUE!</v>
      </c>
      <c r="AC337" t="e">
        <f ca="1">IF((A1)=(2),"",IF((334)=(AC3),IF(IF((INDEX(B1:XFD1,((A2)+(1))+(0)))=("store"),(INDEX(B1:XFD1,((A2)+(1))+(1)))=("AC"),"false"),B2,AC337),AC337))</f>
        <v>#VALUE!</v>
      </c>
      <c r="AD337" t="e">
        <f ca="1">IF((A1)=(2),"",IF((334)=(AD3),IF(IF((INDEX(B1:XFD1,((A2)+(1))+(0)))=("store"),(INDEX(B1:XFD1,((A2)+(1))+(1)))=("AD"),"false"),B2,AD337),AD337))</f>
        <v>#VALUE!</v>
      </c>
    </row>
    <row r="338" spans="1:30" x14ac:dyDescent="0.25">
      <c r="A338" t="e">
        <f ca="1">IF((A1)=(2),"",IF((335)=(A3),IF(("call")=(INDEX(B1:XFD1,((A2)+(1))+(0))),(B2)*(2),IF(("goto")=(INDEX(B1:XFD1,((A2)+(1))+(0))),(INDEX(B1:XFD1,((A2)+(1))+(1)))*(2),IF(("gotoiftrue")=(INDEX(B1:XFD1,((A2)+(1))+(0))),IF(B2,(INDEX(B1:XFD1,((A2)+(1))+(1)))*(2),(A338)+(2)),(A338)+(2)))),A338))</f>
        <v>#VALUE!</v>
      </c>
      <c r="B338" t="e">
        <f ca="1">IF((A1)=(2),"",IF((335)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338)+(1)),IF(("add")=(INDEX(B1:XFD1,((A2)+(1))+(0))),(INDEX(B4:B404,(B3)+(1)))+(B338),IF(("equals")=(INDEX(B1:XFD1,((A2)+(1))+(0))),(INDEX(B4:B404,(B3)+(1)))=(B338),IF(("leq")=(INDEX(B1:XFD1,((A2)+(1))+(0))),(INDEX(B4:B404,(B3)+(1)))&lt;=(B338),IF(("greater")=(INDEX(B1:XFD1,((A2)+(1))+(0))),(INDEX(B4:B404,(B3)+(1)))&gt;(B338),IF(("mod")=(INDEX(B1:XFD1,((A2)+(1))+(0))),MOD(INDEX(B4:B404,(B3)+(1)),B338),B338))))))))),B338))</f>
        <v>#VALUE!</v>
      </c>
      <c r="C338" t="e">
        <f ca="1">IF((A1)=(2),1,IF(AND((INDEX(B1:XFD1,((A2)+(1))+(0)))=("writeheap"),(INDEX(B4:B404,(B3)+(1)))=(334)),INDEX(B4:B404,(B3)+(2)),IF((A1)=(2),"",IF((335)=(C3),C338,C338))))</f>
        <v>#VALUE!</v>
      </c>
      <c r="E338" t="e">
        <f ca="1">IF((A1)=(2),"",IF((335)=(E3),IF(("outputline")=(INDEX(B1:XFD1,((A2)+(1))+(0))),B2,E338),E338))</f>
        <v>#VALUE!</v>
      </c>
      <c r="F338" t="e">
        <f ca="1">IF((A1)=(2),"",IF((335)=(F3),IF(IF((INDEX(B1:XFD1,((A2)+(1))+(0)))=("store"),(INDEX(B1:XFD1,((A2)+(1))+(1)))=("F"),"false"),B2,F338),F338))</f>
        <v>#VALUE!</v>
      </c>
      <c r="G338" t="e">
        <f ca="1">IF((A1)=(2),"",IF((335)=(G3),IF(IF((INDEX(B1:XFD1,((A2)+(1))+(0)))=("store"),(INDEX(B1:XFD1,((A2)+(1))+(1)))=("G"),"false"),B2,G338),G338))</f>
        <v>#VALUE!</v>
      </c>
      <c r="H338" t="e">
        <f ca="1">IF((A1)=(2),"",IF((335)=(H3),IF(IF((INDEX(B1:XFD1,((A2)+(1))+(0)))=("store"),(INDEX(B1:XFD1,((A2)+(1))+(1)))=("H"),"false"),B2,H338),H338))</f>
        <v>#VALUE!</v>
      </c>
      <c r="I338" t="e">
        <f ca="1">IF((A1)=(2),"",IF((335)=(I3),IF(IF((INDEX(B1:XFD1,((A2)+(1))+(0)))=("store"),(INDEX(B1:XFD1,((A2)+(1))+(1)))=("I"),"false"),B2,I338),I338))</f>
        <v>#VALUE!</v>
      </c>
      <c r="J338" t="e">
        <f ca="1">IF((A1)=(2),"",IF((335)=(J3),IF(IF((INDEX(B1:XFD1,((A2)+(1))+(0)))=("store"),(INDEX(B1:XFD1,((A2)+(1))+(1)))=("J"),"false"),B2,J338),J338))</f>
        <v>#VALUE!</v>
      </c>
      <c r="K338" t="e">
        <f ca="1">IF((A1)=(2),"",IF((335)=(K3),IF(IF((INDEX(B1:XFD1,((A2)+(1))+(0)))=("store"),(INDEX(B1:XFD1,((A2)+(1))+(1)))=("K"),"false"),B2,K338),K338))</f>
        <v>#VALUE!</v>
      </c>
      <c r="L338" t="e">
        <f ca="1">IF((A1)=(2),"",IF((335)=(L3),IF(IF((INDEX(B1:XFD1,((A2)+(1))+(0)))=("store"),(INDEX(B1:XFD1,((A2)+(1))+(1)))=("L"),"false"),B2,L338),L338))</f>
        <v>#VALUE!</v>
      </c>
      <c r="M338" t="e">
        <f ca="1">IF((A1)=(2),"",IF((335)=(M3),IF(IF((INDEX(B1:XFD1,((A2)+(1))+(0)))=("store"),(INDEX(B1:XFD1,((A2)+(1))+(1)))=("M"),"false"),B2,M338),M338))</f>
        <v>#VALUE!</v>
      </c>
      <c r="N338" t="e">
        <f ca="1">IF((A1)=(2),"",IF((335)=(N3),IF(IF((INDEX(B1:XFD1,((A2)+(1))+(0)))=("store"),(INDEX(B1:XFD1,((A2)+(1))+(1)))=("N"),"false"),B2,N338),N338))</f>
        <v>#VALUE!</v>
      </c>
      <c r="O338" t="e">
        <f ca="1">IF((A1)=(2),"",IF((335)=(O3),IF(IF((INDEX(B1:XFD1,((A2)+(1))+(0)))=("store"),(INDEX(B1:XFD1,((A2)+(1))+(1)))=("O"),"false"),B2,O338),O338))</f>
        <v>#VALUE!</v>
      </c>
      <c r="P338" t="e">
        <f ca="1">IF((A1)=(2),"",IF((335)=(P3),IF(IF((INDEX(B1:XFD1,((A2)+(1))+(0)))=("store"),(INDEX(B1:XFD1,((A2)+(1))+(1)))=("P"),"false"),B2,P338),P338))</f>
        <v>#VALUE!</v>
      </c>
      <c r="Q338" t="e">
        <f ca="1">IF((A1)=(2),"",IF((335)=(Q3),IF(IF((INDEX(B1:XFD1,((A2)+(1))+(0)))=("store"),(INDEX(B1:XFD1,((A2)+(1))+(1)))=("Q"),"false"),B2,Q338),Q338))</f>
        <v>#VALUE!</v>
      </c>
      <c r="R338" t="e">
        <f ca="1">IF((A1)=(2),"",IF((335)=(R3),IF(IF((INDEX(B1:XFD1,((A2)+(1))+(0)))=("store"),(INDEX(B1:XFD1,((A2)+(1))+(1)))=("R"),"false"),B2,R338),R338))</f>
        <v>#VALUE!</v>
      </c>
      <c r="S338" t="e">
        <f ca="1">IF((A1)=(2),"",IF((335)=(S3),IF(IF((INDEX(B1:XFD1,((A2)+(1))+(0)))=("store"),(INDEX(B1:XFD1,((A2)+(1))+(1)))=("S"),"false"),B2,S338),S338))</f>
        <v>#VALUE!</v>
      </c>
      <c r="T338" t="e">
        <f ca="1">IF((A1)=(2),"",IF((335)=(T3),IF(IF((INDEX(B1:XFD1,((A2)+(1))+(0)))=("store"),(INDEX(B1:XFD1,((A2)+(1))+(1)))=("T"),"false"),B2,T338),T338))</f>
        <v>#VALUE!</v>
      </c>
      <c r="U338" t="e">
        <f ca="1">IF((A1)=(2),"",IF((335)=(U3),IF(IF((INDEX(B1:XFD1,((A2)+(1))+(0)))=("store"),(INDEX(B1:XFD1,((A2)+(1))+(1)))=("U"),"false"),B2,U338),U338))</f>
        <v>#VALUE!</v>
      </c>
      <c r="V338" t="e">
        <f ca="1">IF((A1)=(2),"",IF((335)=(V3),IF(IF((INDEX(B1:XFD1,((A2)+(1))+(0)))=("store"),(INDEX(B1:XFD1,((A2)+(1))+(1)))=("V"),"false"),B2,V338),V338))</f>
        <v>#VALUE!</v>
      </c>
      <c r="W338" t="e">
        <f ca="1">IF((A1)=(2),"",IF((335)=(W3),IF(IF((INDEX(B1:XFD1,((A2)+(1))+(0)))=("store"),(INDEX(B1:XFD1,((A2)+(1))+(1)))=("W"),"false"),B2,W338),W338))</f>
        <v>#VALUE!</v>
      </c>
      <c r="X338" t="e">
        <f ca="1">IF((A1)=(2),"",IF((335)=(X3),IF(IF((INDEX(B1:XFD1,((A2)+(1))+(0)))=("store"),(INDEX(B1:XFD1,((A2)+(1))+(1)))=("X"),"false"),B2,X338),X338))</f>
        <v>#VALUE!</v>
      </c>
      <c r="Y338" t="e">
        <f ca="1">IF((A1)=(2),"",IF((335)=(Y3),IF(IF((INDEX(B1:XFD1,((A2)+(1))+(0)))=("store"),(INDEX(B1:XFD1,((A2)+(1))+(1)))=("Y"),"false"),B2,Y338),Y338))</f>
        <v>#VALUE!</v>
      </c>
      <c r="Z338" t="e">
        <f ca="1">IF((A1)=(2),"",IF((335)=(Z3),IF(IF((INDEX(B1:XFD1,((A2)+(1))+(0)))=("store"),(INDEX(B1:XFD1,((A2)+(1))+(1)))=("Z"),"false"),B2,Z338),Z338))</f>
        <v>#VALUE!</v>
      </c>
      <c r="AA338" t="e">
        <f ca="1">IF((A1)=(2),"",IF((335)=(AA3),IF(IF((INDEX(B1:XFD1,((A2)+(1))+(0)))=("store"),(INDEX(B1:XFD1,((A2)+(1))+(1)))=("AA"),"false"),B2,AA338),AA338))</f>
        <v>#VALUE!</v>
      </c>
      <c r="AB338" t="e">
        <f ca="1">IF((A1)=(2),"",IF((335)=(AB3),IF(IF((INDEX(B1:XFD1,((A2)+(1))+(0)))=("store"),(INDEX(B1:XFD1,((A2)+(1))+(1)))=("AB"),"false"),B2,AB338),AB338))</f>
        <v>#VALUE!</v>
      </c>
      <c r="AC338" t="e">
        <f ca="1">IF((A1)=(2),"",IF((335)=(AC3),IF(IF((INDEX(B1:XFD1,((A2)+(1))+(0)))=("store"),(INDEX(B1:XFD1,((A2)+(1))+(1)))=("AC"),"false"),B2,AC338),AC338))</f>
        <v>#VALUE!</v>
      </c>
      <c r="AD338" t="e">
        <f ca="1">IF((A1)=(2),"",IF((335)=(AD3),IF(IF((INDEX(B1:XFD1,((A2)+(1))+(0)))=("store"),(INDEX(B1:XFD1,((A2)+(1))+(1)))=("AD"),"false"),B2,AD338),AD338))</f>
        <v>#VALUE!</v>
      </c>
    </row>
    <row r="339" spans="1:30" x14ac:dyDescent="0.25">
      <c r="A339" t="e">
        <f ca="1">IF((A1)=(2),"",IF((336)=(A3),IF(("call")=(INDEX(B1:XFD1,((A2)+(1))+(0))),(B2)*(2),IF(("goto")=(INDEX(B1:XFD1,((A2)+(1))+(0))),(INDEX(B1:XFD1,((A2)+(1))+(1)))*(2),IF(("gotoiftrue")=(INDEX(B1:XFD1,((A2)+(1))+(0))),IF(B2,(INDEX(B1:XFD1,((A2)+(1))+(1)))*(2),(A339)+(2)),(A339)+(2)))),A339))</f>
        <v>#VALUE!</v>
      </c>
      <c r="B339" t="e">
        <f ca="1">IF((A1)=(2),"",IF((336)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339)+(1)),IF(("add")=(INDEX(B1:XFD1,((A2)+(1))+(0))),(INDEX(B4:B404,(B3)+(1)))+(B339),IF(("equals")=(INDEX(B1:XFD1,((A2)+(1))+(0))),(INDEX(B4:B404,(B3)+(1)))=(B339),IF(("leq")=(INDEX(B1:XFD1,((A2)+(1))+(0))),(INDEX(B4:B404,(B3)+(1)))&lt;=(B339),IF(("greater")=(INDEX(B1:XFD1,((A2)+(1))+(0))),(INDEX(B4:B404,(B3)+(1)))&gt;(B339),IF(("mod")=(INDEX(B1:XFD1,((A2)+(1))+(0))),MOD(INDEX(B4:B404,(B3)+(1)),B339),B339))))))))),B339))</f>
        <v>#VALUE!</v>
      </c>
      <c r="C339" t="e">
        <f ca="1">IF((A1)=(2),1,IF(AND((INDEX(B1:XFD1,((A2)+(1))+(0)))=("writeheap"),(INDEX(B4:B404,(B3)+(1)))=(335)),INDEX(B4:B404,(B3)+(2)),IF((A1)=(2),"",IF((336)=(C3),C339,C339))))</f>
        <v>#VALUE!</v>
      </c>
      <c r="E339" t="e">
        <f ca="1">IF((A1)=(2),"",IF((336)=(E3),IF(("outputline")=(INDEX(B1:XFD1,((A2)+(1))+(0))),B2,E339),E339))</f>
        <v>#VALUE!</v>
      </c>
      <c r="F339" t="e">
        <f ca="1">IF((A1)=(2),"",IF((336)=(F3),IF(IF((INDEX(B1:XFD1,((A2)+(1))+(0)))=("store"),(INDEX(B1:XFD1,((A2)+(1))+(1)))=("F"),"false"),B2,F339),F339))</f>
        <v>#VALUE!</v>
      </c>
      <c r="G339" t="e">
        <f ca="1">IF((A1)=(2),"",IF((336)=(G3),IF(IF((INDEX(B1:XFD1,((A2)+(1))+(0)))=("store"),(INDEX(B1:XFD1,((A2)+(1))+(1)))=("G"),"false"),B2,G339),G339))</f>
        <v>#VALUE!</v>
      </c>
      <c r="H339" t="e">
        <f ca="1">IF((A1)=(2),"",IF((336)=(H3),IF(IF((INDEX(B1:XFD1,((A2)+(1))+(0)))=("store"),(INDEX(B1:XFD1,((A2)+(1))+(1)))=("H"),"false"),B2,H339),H339))</f>
        <v>#VALUE!</v>
      </c>
      <c r="I339" t="e">
        <f ca="1">IF((A1)=(2),"",IF((336)=(I3),IF(IF((INDEX(B1:XFD1,((A2)+(1))+(0)))=("store"),(INDEX(B1:XFD1,((A2)+(1))+(1)))=("I"),"false"),B2,I339),I339))</f>
        <v>#VALUE!</v>
      </c>
      <c r="J339" t="e">
        <f ca="1">IF((A1)=(2),"",IF((336)=(J3),IF(IF((INDEX(B1:XFD1,((A2)+(1))+(0)))=("store"),(INDEX(B1:XFD1,((A2)+(1))+(1)))=("J"),"false"),B2,J339),J339))</f>
        <v>#VALUE!</v>
      </c>
      <c r="K339" t="e">
        <f ca="1">IF((A1)=(2),"",IF((336)=(K3),IF(IF((INDEX(B1:XFD1,((A2)+(1))+(0)))=("store"),(INDEX(B1:XFD1,((A2)+(1))+(1)))=("K"),"false"),B2,K339),K339))</f>
        <v>#VALUE!</v>
      </c>
      <c r="L339" t="e">
        <f ca="1">IF((A1)=(2),"",IF((336)=(L3),IF(IF((INDEX(B1:XFD1,((A2)+(1))+(0)))=("store"),(INDEX(B1:XFD1,((A2)+(1))+(1)))=("L"),"false"),B2,L339),L339))</f>
        <v>#VALUE!</v>
      </c>
      <c r="M339" t="e">
        <f ca="1">IF((A1)=(2),"",IF((336)=(M3),IF(IF((INDEX(B1:XFD1,((A2)+(1))+(0)))=("store"),(INDEX(B1:XFD1,((A2)+(1))+(1)))=("M"),"false"),B2,M339),M339))</f>
        <v>#VALUE!</v>
      </c>
      <c r="N339" t="e">
        <f ca="1">IF((A1)=(2),"",IF((336)=(N3),IF(IF((INDEX(B1:XFD1,((A2)+(1))+(0)))=("store"),(INDEX(B1:XFD1,((A2)+(1))+(1)))=("N"),"false"),B2,N339),N339))</f>
        <v>#VALUE!</v>
      </c>
      <c r="O339" t="e">
        <f ca="1">IF((A1)=(2),"",IF((336)=(O3),IF(IF((INDEX(B1:XFD1,((A2)+(1))+(0)))=("store"),(INDEX(B1:XFD1,((A2)+(1))+(1)))=("O"),"false"),B2,O339),O339))</f>
        <v>#VALUE!</v>
      </c>
      <c r="P339" t="e">
        <f ca="1">IF((A1)=(2),"",IF((336)=(P3),IF(IF((INDEX(B1:XFD1,((A2)+(1))+(0)))=("store"),(INDEX(B1:XFD1,((A2)+(1))+(1)))=("P"),"false"),B2,P339),P339))</f>
        <v>#VALUE!</v>
      </c>
      <c r="Q339" t="e">
        <f ca="1">IF((A1)=(2),"",IF((336)=(Q3),IF(IF((INDEX(B1:XFD1,((A2)+(1))+(0)))=("store"),(INDEX(B1:XFD1,((A2)+(1))+(1)))=("Q"),"false"),B2,Q339),Q339))</f>
        <v>#VALUE!</v>
      </c>
      <c r="R339" t="e">
        <f ca="1">IF((A1)=(2),"",IF((336)=(R3),IF(IF((INDEX(B1:XFD1,((A2)+(1))+(0)))=("store"),(INDEX(B1:XFD1,((A2)+(1))+(1)))=("R"),"false"),B2,R339),R339))</f>
        <v>#VALUE!</v>
      </c>
      <c r="S339" t="e">
        <f ca="1">IF((A1)=(2),"",IF((336)=(S3),IF(IF((INDEX(B1:XFD1,((A2)+(1))+(0)))=("store"),(INDEX(B1:XFD1,((A2)+(1))+(1)))=("S"),"false"),B2,S339),S339))</f>
        <v>#VALUE!</v>
      </c>
      <c r="T339" t="e">
        <f ca="1">IF((A1)=(2),"",IF((336)=(T3),IF(IF((INDEX(B1:XFD1,((A2)+(1))+(0)))=("store"),(INDEX(B1:XFD1,((A2)+(1))+(1)))=("T"),"false"),B2,T339),T339))</f>
        <v>#VALUE!</v>
      </c>
      <c r="U339" t="e">
        <f ca="1">IF((A1)=(2),"",IF((336)=(U3),IF(IF((INDEX(B1:XFD1,((A2)+(1))+(0)))=("store"),(INDEX(B1:XFD1,((A2)+(1))+(1)))=("U"),"false"),B2,U339),U339))</f>
        <v>#VALUE!</v>
      </c>
      <c r="V339" t="e">
        <f ca="1">IF((A1)=(2),"",IF((336)=(V3),IF(IF((INDEX(B1:XFD1,((A2)+(1))+(0)))=("store"),(INDEX(B1:XFD1,((A2)+(1))+(1)))=("V"),"false"),B2,V339),V339))</f>
        <v>#VALUE!</v>
      </c>
      <c r="W339" t="e">
        <f ca="1">IF((A1)=(2),"",IF((336)=(W3),IF(IF((INDEX(B1:XFD1,((A2)+(1))+(0)))=("store"),(INDEX(B1:XFD1,((A2)+(1))+(1)))=("W"),"false"),B2,W339),W339))</f>
        <v>#VALUE!</v>
      </c>
      <c r="X339" t="e">
        <f ca="1">IF((A1)=(2),"",IF((336)=(X3),IF(IF((INDEX(B1:XFD1,((A2)+(1))+(0)))=("store"),(INDEX(B1:XFD1,((A2)+(1))+(1)))=("X"),"false"),B2,X339),X339))</f>
        <v>#VALUE!</v>
      </c>
      <c r="Y339" t="e">
        <f ca="1">IF((A1)=(2),"",IF((336)=(Y3),IF(IF((INDEX(B1:XFD1,((A2)+(1))+(0)))=("store"),(INDEX(B1:XFD1,((A2)+(1))+(1)))=("Y"),"false"),B2,Y339),Y339))</f>
        <v>#VALUE!</v>
      </c>
      <c r="Z339" t="e">
        <f ca="1">IF((A1)=(2),"",IF((336)=(Z3),IF(IF((INDEX(B1:XFD1,((A2)+(1))+(0)))=("store"),(INDEX(B1:XFD1,((A2)+(1))+(1)))=("Z"),"false"),B2,Z339),Z339))</f>
        <v>#VALUE!</v>
      </c>
      <c r="AA339" t="e">
        <f ca="1">IF((A1)=(2),"",IF((336)=(AA3),IF(IF((INDEX(B1:XFD1,((A2)+(1))+(0)))=("store"),(INDEX(B1:XFD1,((A2)+(1))+(1)))=("AA"),"false"),B2,AA339),AA339))</f>
        <v>#VALUE!</v>
      </c>
      <c r="AB339" t="e">
        <f ca="1">IF((A1)=(2),"",IF((336)=(AB3),IF(IF((INDEX(B1:XFD1,((A2)+(1))+(0)))=("store"),(INDEX(B1:XFD1,((A2)+(1))+(1)))=("AB"),"false"),B2,AB339),AB339))</f>
        <v>#VALUE!</v>
      </c>
      <c r="AC339" t="e">
        <f ca="1">IF((A1)=(2),"",IF((336)=(AC3),IF(IF((INDEX(B1:XFD1,((A2)+(1))+(0)))=("store"),(INDEX(B1:XFD1,((A2)+(1))+(1)))=("AC"),"false"),B2,AC339),AC339))</f>
        <v>#VALUE!</v>
      </c>
      <c r="AD339" t="e">
        <f ca="1">IF((A1)=(2),"",IF((336)=(AD3),IF(IF((INDEX(B1:XFD1,((A2)+(1))+(0)))=("store"),(INDEX(B1:XFD1,((A2)+(1))+(1)))=("AD"),"false"),B2,AD339),AD339))</f>
        <v>#VALUE!</v>
      </c>
    </row>
    <row r="340" spans="1:30" x14ac:dyDescent="0.25">
      <c r="A340" t="e">
        <f ca="1">IF((A1)=(2),"",IF((337)=(A3),IF(("call")=(INDEX(B1:XFD1,((A2)+(1))+(0))),(B2)*(2),IF(("goto")=(INDEX(B1:XFD1,((A2)+(1))+(0))),(INDEX(B1:XFD1,((A2)+(1))+(1)))*(2),IF(("gotoiftrue")=(INDEX(B1:XFD1,((A2)+(1))+(0))),IF(B2,(INDEX(B1:XFD1,((A2)+(1))+(1)))*(2),(A340)+(2)),(A340)+(2)))),A340))</f>
        <v>#VALUE!</v>
      </c>
      <c r="B340" t="e">
        <f ca="1">IF((A1)=(2),"",IF((337)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340)+(1)),IF(("add")=(INDEX(B1:XFD1,((A2)+(1))+(0))),(INDEX(B4:B404,(B3)+(1)))+(B340),IF(("equals")=(INDEX(B1:XFD1,((A2)+(1))+(0))),(INDEX(B4:B404,(B3)+(1)))=(B340),IF(("leq")=(INDEX(B1:XFD1,((A2)+(1))+(0))),(INDEX(B4:B404,(B3)+(1)))&lt;=(B340),IF(("greater")=(INDEX(B1:XFD1,((A2)+(1))+(0))),(INDEX(B4:B404,(B3)+(1)))&gt;(B340),IF(("mod")=(INDEX(B1:XFD1,((A2)+(1))+(0))),MOD(INDEX(B4:B404,(B3)+(1)),B340),B340))))))))),B340))</f>
        <v>#VALUE!</v>
      </c>
      <c r="C340" t="e">
        <f ca="1">IF((A1)=(2),1,IF(AND((INDEX(B1:XFD1,((A2)+(1))+(0)))=("writeheap"),(INDEX(B4:B404,(B3)+(1)))=(336)),INDEX(B4:B404,(B3)+(2)),IF((A1)=(2),"",IF((337)=(C3),C340,C340))))</f>
        <v>#VALUE!</v>
      </c>
      <c r="E340" t="e">
        <f ca="1">IF((A1)=(2),"",IF((337)=(E3),IF(("outputline")=(INDEX(B1:XFD1,((A2)+(1))+(0))),B2,E340),E340))</f>
        <v>#VALUE!</v>
      </c>
      <c r="F340" t="e">
        <f ca="1">IF((A1)=(2),"",IF((337)=(F3),IF(IF((INDEX(B1:XFD1,((A2)+(1))+(0)))=("store"),(INDEX(B1:XFD1,((A2)+(1))+(1)))=("F"),"false"),B2,F340),F340))</f>
        <v>#VALUE!</v>
      </c>
      <c r="G340" t="e">
        <f ca="1">IF((A1)=(2),"",IF((337)=(G3),IF(IF((INDEX(B1:XFD1,((A2)+(1))+(0)))=("store"),(INDEX(B1:XFD1,((A2)+(1))+(1)))=("G"),"false"),B2,G340),G340))</f>
        <v>#VALUE!</v>
      </c>
      <c r="H340" t="e">
        <f ca="1">IF((A1)=(2),"",IF((337)=(H3),IF(IF((INDEX(B1:XFD1,((A2)+(1))+(0)))=("store"),(INDEX(B1:XFD1,((A2)+(1))+(1)))=("H"),"false"),B2,H340),H340))</f>
        <v>#VALUE!</v>
      </c>
      <c r="I340" t="e">
        <f ca="1">IF((A1)=(2),"",IF((337)=(I3),IF(IF((INDEX(B1:XFD1,((A2)+(1))+(0)))=("store"),(INDEX(B1:XFD1,((A2)+(1))+(1)))=("I"),"false"),B2,I340),I340))</f>
        <v>#VALUE!</v>
      </c>
      <c r="J340" t="e">
        <f ca="1">IF((A1)=(2),"",IF((337)=(J3),IF(IF((INDEX(B1:XFD1,((A2)+(1))+(0)))=("store"),(INDEX(B1:XFD1,((A2)+(1))+(1)))=("J"),"false"),B2,J340),J340))</f>
        <v>#VALUE!</v>
      </c>
      <c r="K340" t="e">
        <f ca="1">IF((A1)=(2),"",IF((337)=(K3),IF(IF((INDEX(B1:XFD1,((A2)+(1))+(0)))=("store"),(INDEX(B1:XFD1,((A2)+(1))+(1)))=("K"),"false"),B2,K340),K340))</f>
        <v>#VALUE!</v>
      </c>
      <c r="L340" t="e">
        <f ca="1">IF((A1)=(2),"",IF((337)=(L3),IF(IF((INDEX(B1:XFD1,((A2)+(1))+(0)))=("store"),(INDEX(B1:XFD1,((A2)+(1))+(1)))=("L"),"false"),B2,L340),L340))</f>
        <v>#VALUE!</v>
      </c>
      <c r="M340" t="e">
        <f ca="1">IF((A1)=(2),"",IF((337)=(M3),IF(IF((INDEX(B1:XFD1,((A2)+(1))+(0)))=("store"),(INDEX(B1:XFD1,((A2)+(1))+(1)))=("M"),"false"),B2,M340),M340))</f>
        <v>#VALUE!</v>
      </c>
      <c r="N340" t="e">
        <f ca="1">IF((A1)=(2),"",IF((337)=(N3),IF(IF((INDEX(B1:XFD1,((A2)+(1))+(0)))=("store"),(INDEX(B1:XFD1,((A2)+(1))+(1)))=("N"),"false"),B2,N340),N340))</f>
        <v>#VALUE!</v>
      </c>
      <c r="O340" t="e">
        <f ca="1">IF((A1)=(2),"",IF((337)=(O3),IF(IF((INDEX(B1:XFD1,((A2)+(1))+(0)))=("store"),(INDEX(B1:XFD1,((A2)+(1))+(1)))=("O"),"false"),B2,O340),O340))</f>
        <v>#VALUE!</v>
      </c>
      <c r="P340" t="e">
        <f ca="1">IF((A1)=(2),"",IF((337)=(P3),IF(IF((INDEX(B1:XFD1,((A2)+(1))+(0)))=("store"),(INDEX(B1:XFD1,((A2)+(1))+(1)))=("P"),"false"),B2,P340),P340))</f>
        <v>#VALUE!</v>
      </c>
      <c r="Q340" t="e">
        <f ca="1">IF((A1)=(2),"",IF((337)=(Q3),IF(IF((INDEX(B1:XFD1,((A2)+(1))+(0)))=("store"),(INDEX(B1:XFD1,((A2)+(1))+(1)))=("Q"),"false"),B2,Q340),Q340))</f>
        <v>#VALUE!</v>
      </c>
      <c r="R340" t="e">
        <f ca="1">IF((A1)=(2),"",IF((337)=(R3),IF(IF((INDEX(B1:XFD1,((A2)+(1))+(0)))=("store"),(INDEX(B1:XFD1,((A2)+(1))+(1)))=("R"),"false"),B2,R340),R340))</f>
        <v>#VALUE!</v>
      </c>
      <c r="S340" t="e">
        <f ca="1">IF((A1)=(2),"",IF((337)=(S3),IF(IF((INDEX(B1:XFD1,((A2)+(1))+(0)))=("store"),(INDEX(B1:XFD1,((A2)+(1))+(1)))=("S"),"false"),B2,S340),S340))</f>
        <v>#VALUE!</v>
      </c>
      <c r="T340" t="e">
        <f ca="1">IF((A1)=(2),"",IF((337)=(T3),IF(IF((INDEX(B1:XFD1,((A2)+(1))+(0)))=("store"),(INDEX(B1:XFD1,((A2)+(1))+(1)))=("T"),"false"),B2,T340),T340))</f>
        <v>#VALUE!</v>
      </c>
      <c r="U340" t="e">
        <f ca="1">IF((A1)=(2),"",IF((337)=(U3),IF(IF((INDEX(B1:XFD1,((A2)+(1))+(0)))=("store"),(INDEX(B1:XFD1,((A2)+(1))+(1)))=("U"),"false"),B2,U340),U340))</f>
        <v>#VALUE!</v>
      </c>
      <c r="V340" t="e">
        <f ca="1">IF((A1)=(2),"",IF((337)=(V3),IF(IF((INDEX(B1:XFD1,((A2)+(1))+(0)))=("store"),(INDEX(B1:XFD1,((A2)+(1))+(1)))=("V"),"false"),B2,V340),V340))</f>
        <v>#VALUE!</v>
      </c>
      <c r="W340" t="e">
        <f ca="1">IF((A1)=(2),"",IF((337)=(W3),IF(IF((INDEX(B1:XFD1,((A2)+(1))+(0)))=("store"),(INDEX(B1:XFD1,((A2)+(1))+(1)))=("W"),"false"),B2,W340),W340))</f>
        <v>#VALUE!</v>
      </c>
      <c r="X340" t="e">
        <f ca="1">IF((A1)=(2),"",IF((337)=(X3),IF(IF((INDEX(B1:XFD1,((A2)+(1))+(0)))=("store"),(INDEX(B1:XFD1,((A2)+(1))+(1)))=("X"),"false"),B2,X340),X340))</f>
        <v>#VALUE!</v>
      </c>
      <c r="Y340" t="e">
        <f ca="1">IF((A1)=(2),"",IF((337)=(Y3),IF(IF((INDEX(B1:XFD1,((A2)+(1))+(0)))=("store"),(INDEX(B1:XFD1,((A2)+(1))+(1)))=("Y"),"false"),B2,Y340),Y340))</f>
        <v>#VALUE!</v>
      </c>
      <c r="Z340" t="e">
        <f ca="1">IF((A1)=(2),"",IF((337)=(Z3),IF(IF((INDEX(B1:XFD1,((A2)+(1))+(0)))=("store"),(INDEX(B1:XFD1,((A2)+(1))+(1)))=("Z"),"false"),B2,Z340),Z340))</f>
        <v>#VALUE!</v>
      </c>
      <c r="AA340" t="e">
        <f ca="1">IF((A1)=(2),"",IF((337)=(AA3),IF(IF((INDEX(B1:XFD1,((A2)+(1))+(0)))=("store"),(INDEX(B1:XFD1,((A2)+(1))+(1)))=("AA"),"false"),B2,AA340),AA340))</f>
        <v>#VALUE!</v>
      </c>
      <c r="AB340" t="e">
        <f ca="1">IF((A1)=(2),"",IF((337)=(AB3),IF(IF((INDEX(B1:XFD1,((A2)+(1))+(0)))=("store"),(INDEX(B1:XFD1,((A2)+(1))+(1)))=("AB"),"false"),B2,AB340),AB340))</f>
        <v>#VALUE!</v>
      </c>
      <c r="AC340" t="e">
        <f ca="1">IF((A1)=(2),"",IF((337)=(AC3),IF(IF((INDEX(B1:XFD1,((A2)+(1))+(0)))=("store"),(INDEX(B1:XFD1,((A2)+(1))+(1)))=("AC"),"false"),B2,AC340),AC340))</f>
        <v>#VALUE!</v>
      </c>
      <c r="AD340" t="e">
        <f ca="1">IF((A1)=(2),"",IF((337)=(AD3),IF(IF((INDEX(B1:XFD1,((A2)+(1))+(0)))=("store"),(INDEX(B1:XFD1,((A2)+(1))+(1)))=("AD"),"false"),B2,AD340),AD340))</f>
        <v>#VALUE!</v>
      </c>
    </row>
    <row r="341" spans="1:30" x14ac:dyDescent="0.25">
      <c r="A341" t="e">
        <f ca="1">IF((A1)=(2),"",IF((338)=(A3),IF(("call")=(INDEX(B1:XFD1,((A2)+(1))+(0))),(B2)*(2),IF(("goto")=(INDEX(B1:XFD1,((A2)+(1))+(0))),(INDEX(B1:XFD1,((A2)+(1))+(1)))*(2),IF(("gotoiftrue")=(INDEX(B1:XFD1,((A2)+(1))+(0))),IF(B2,(INDEX(B1:XFD1,((A2)+(1))+(1)))*(2),(A341)+(2)),(A341)+(2)))),A341))</f>
        <v>#VALUE!</v>
      </c>
      <c r="B341" t="e">
        <f ca="1">IF((A1)=(2),"",IF((338)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341)+(1)),IF(("add")=(INDEX(B1:XFD1,((A2)+(1))+(0))),(INDEX(B4:B404,(B3)+(1)))+(B341),IF(("equals")=(INDEX(B1:XFD1,((A2)+(1))+(0))),(INDEX(B4:B404,(B3)+(1)))=(B341),IF(("leq")=(INDEX(B1:XFD1,((A2)+(1))+(0))),(INDEX(B4:B404,(B3)+(1)))&lt;=(B341),IF(("greater")=(INDEX(B1:XFD1,((A2)+(1))+(0))),(INDEX(B4:B404,(B3)+(1)))&gt;(B341),IF(("mod")=(INDEX(B1:XFD1,((A2)+(1))+(0))),MOD(INDEX(B4:B404,(B3)+(1)),B341),B341))))))))),B341))</f>
        <v>#VALUE!</v>
      </c>
      <c r="C341" t="e">
        <f ca="1">IF((A1)=(2),1,IF(AND((INDEX(B1:XFD1,((A2)+(1))+(0)))=("writeheap"),(INDEX(B4:B404,(B3)+(1)))=(337)),INDEX(B4:B404,(B3)+(2)),IF((A1)=(2),"",IF((338)=(C3),C341,C341))))</f>
        <v>#VALUE!</v>
      </c>
      <c r="E341" t="e">
        <f ca="1">IF((A1)=(2),"",IF((338)=(E3),IF(("outputline")=(INDEX(B1:XFD1,((A2)+(1))+(0))),B2,E341),E341))</f>
        <v>#VALUE!</v>
      </c>
      <c r="F341" t="e">
        <f ca="1">IF((A1)=(2),"",IF((338)=(F3),IF(IF((INDEX(B1:XFD1,((A2)+(1))+(0)))=("store"),(INDEX(B1:XFD1,((A2)+(1))+(1)))=("F"),"false"),B2,F341),F341))</f>
        <v>#VALUE!</v>
      </c>
      <c r="G341" t="e">
        <f ca="1">IF((A1)=(2),"",IF((338)=(G3),IF(IF((INDEX(B1:XFD1,((A2)+(1))+(0)))=("store"),(INDEX(B1:XFD1,((A2)+(1))+(1)))=("G"),"false"),B2,G341),G341))</f>
        <v>#VALUE!</v>
      </c>
      <c r="H341" t="e">
        <f ca="1">IF((A1)=(2),"",IF((338)=(H3),IF(IF((INDEX(B1:XFD1,((A2)+(1))+(0)))=("store"),(INDEX(B1:XFD1,((A2)+(1))+(1)))=("H"),"false"),B2,H341),H341))</f>
        <v>#VALUE!</v>
      </c>
      <c r="I341" t="e">
        <f ca="1">IF((A1)=(2),"",IF((338)=(I3),IF(IF((INDEX(B1:XFD1,((A2)+(1))+(0)))=("store"),(INDEX(B1:XFD1,((A2)+(1))+(1)))=("I"),"false"),B2,I341),I341))</f>
        <v>#VALUE!</v>
      </c>
      <c r="J341" t="e">
        <f ca="1">IF((A1)=(2),"",IF((338)=(J3),IF(IF((INDEX(B1:XFD1,((A2)+(1))+(0)))=("store"),(INDEX(B1:XFD1,((A2)+(1))+(1)))=("J"),"false"),B2,J341),J341))</f>
        <v>#VALUE!</v>
      </c>
      <c r="K341" t="e">
        <f ca="1">IF((A1)=(2),"",IF((338)=(K3),IF(IF((INDEX(B1:XFD1,((A2)+(1))+(0)))=("store"),(INDEX(B1:XFD1,((A2)+(1))+(1)))=("K"),"false"),B2,K341),K341))</f>
        <v>#VALUE!</v>
      </c>
      <c r="L341" t="e">
        <f ca="1">IF((A1)=(2),"",IF((338)=(L3),IF(IF((INDEX(B1:XFD1,((A2)+(1))+(0)))=("store"),(INDEX(B1:XFD1,((A2)+(1))+(1)))=("L"),"false"),B2,L341),L341))</f>
        <v>#VALUE!</v>
      </c>
      <c r="M341" t="e">
        <f ca="1">IF((A1)=(2),"",IF((338)=(M3),IF(IF((INDEX(B1:XFD1,((A2)+(1))+(0)))=("store"),(INDEX(B1:XFD1,((A2)+(1))+(1)))=("M"),"false"),B2,M341),M341))</f>
        <v>#VALUE!</v>
      </c>
      <c r="N341" t="e">
        <f ca="1">IF((A1)=(2),"",IF((338)=(N3),IF(IF((INDEX(B1:XFD1,((A2)+(1))+(0)))=("store"),(INDEX(B1:XFD1,((A2)+(1))+(1)))=("N"),"false"),B2,N341),N341))</f>
        <v>#VALUE!</v>
      </c>
      <c r="O341" t="e">
        <f ca="1">IF((A1)=(2),"",IF((338)=(O3),IF(IF((INDEX(B1:XFD1,((A2)+(1))+(0)))=("store"),(INDEX(B1:XFD1,((A2)+(1))+(1)))=("O"),"false"),B2,O341),O341))</f>
        <v>#VALUE!</v>
      </c>
      <c r="P341" t="e">
        <f ca="1">IF((A1)=(2),"",IF((338)=(P3),IF(IF((INDEX(B1:XFD1,((A2)+(1))+(0)))=("store"),(INDEX(B1:XFD1,((A2)+(1))+(1)))=("P"),"false"),B2,P341),P341))</f>
        <v>#VALUE!</v>
      </c>
      <c r="Q341" t="e">
        <f ca="1">IF((A1)=(2),"",IF((338)=(Q3),IF(IF((INDEX(B1:XFD1,((A2)+(1))+(0)))=("store"),(INDEX(B1:XFD1,((A2)+(1))+(1)))=("Q"),"false"),B2,Q341),Q341))</f>
        <v>#VALUE!</v>
      </c>
      <c r="R341" t="e">
        <f ca="1">IF((A1)=(2),"",IF((338)=(R3),IF(IF((INDEX(B1:XFD1,((A2)+(1))+(0)))=("store"),(INDEX(B1:XFD1,((A2)+(1))+(1)))=("R"),"false"),B2,R341),R341))</f>
        <v>#VALUE!</v>
      </c>
      <c r="S341" t="e">
        <f ca="1">IF((A1)=(2),"",IF((338)=(S3),IF(IF((INDEX(B1:XFD1,((A2)+(1))+(0)))=("store"),(INDEX(B1:XFD1,((A2)+(1))+(1)))=("S"),"false"),B2,S341),S341))</f>
        <v>#VALUE!</v>
      </c>
      <c r="T341" t="e">
        <f ca="1">IF((A1)=(2),"",IF((338)=(T3),IF(IF((INDEX(B1:XFD1,((A2)+(1))+(0)))=("store"),(INDEX(B1:XFD1,((A2)+(1))+(1)))=("T"),"false"),B2,T341),T341))</f>
        <v>#VALUE!</v>
      </c>
      <c r="U341" t="e">
        <f ca="1">IF((A1)=(2),"",IF((338)=(U3),IF(IF((INDEX(B1:XFD1,((A2)+(1))+(0)))=("store"),(INDEX(B1:XFD1,((A2)+(1))+(1)))=("U"),"false"),B2,U341),U341))</f>
        <v>#VALUE!</v>
      </c>
      <c r="V341" t="e">
        <f ca="1">IF((A1)=(2),"",IF((338)=(V3),IF(IF((INDEX(B1:XFD1,((A2)+(1))+(0)))=("store"),(INDEX(B1:XFD1,((A2)+(1))+(1)))=("V"),"false"),B2,V341),V341))</f>
        <v>#VALUE!</v>
      </c>
      <c r="W341" t="e">
        <f ca="1">IF((A1)=(2),"",IF((338)=(W3),IF(IF((INDEX(B1:XFD1,((A2)+(1))+(0)))=("store"),(INDEX(B1:XFD1,((A2)+(1))+(1)))=("W"),"false"),B2,W341),W341))</f>
        <v>#VALUE!</v>
      </c>
      <c r="X341" t="e">
        <f ca="1">IF((A1)=(2),"",IF((338)=(X3),IF(IF((INDEX(B1:XFD1,((A2)+(1))+(0)))=("store"),(INDEX(B1:XFD1,((A2)+(1))+(1)))=("X"),"false"),B2,X341),X341))</f>
        <v>#VALUE!</v>
      </c>
      <c r="Y341" t="e">
        <f ca="1">IF((A1)=(2),"",IF((338)=(Y3),IF(IF((INDEX(B1:XFD1,((A2)+(1))+(0)))=("store"),(INDEX(B1:XFD1,((A2)+(1))+(1)))=("Y"),"false"),B2,Y341),Y341))</f>
        <v>#VALUE!</v>
      </c>
      <c r="Z341" t="e">
        <f ca="1">IF((A1)=(2),"",IF((338)=(Z3),IF(IF((INDEX(B1:XFD1,((A2)+(1))+(0)))=("store"),(INDEX(B1:XFD1,((A2)+(1))+(1)))=("Z"),"false"),B2,Z341),Z341))</f>
        <v>#VALUE!</v>
      </c>
      <c r="AA341" t="e">
        <f ca="1">IF((A1)=(2),"",IF((338)=(AA3),IF(IF((INDEX(B1:XFD1,((A2)+(1))+(0)))=("store"),(INDEX(B1:XFD1,((A2)+(1))+(1)))=("AA"),"false"),B2,AA341),AA341))</f>
        <v>#VALUE!</v>
      </c>
      <c r="AB341" t="e">
        <f ca="1">IF((A1)=(2),"",IF((338)=(AB3),IF(IF((INDEX(B1:XFD1,((A2)+(1))+(0)))=("store"),(INDEX(B1:XFD1,((A2)+(1))+(1)))=("AB"),"false"),B2,AB341),AB341))</f>
        <v>#VALUE!</v>
      </c>
      <c r="AC341" t="e">
        <f ca="1">IF((A1)=(2),"",IF((338)=(AC3),IF(IF((INDEX(B1:XFD1,((A2)+(1))+(0)))=("store"),(INDEX(B1:XFD1,((A2)+(1))+(1)))=("AC"),"false"),B2,AC341),AC341))</f>
        <v>#VALUE!</v>
      </c>
      <c r="AD341" t="e">
        <f ca="1">IF((A1)=(2),"",IF((338)=(AD3),IF(IF((INDEX(B1:XFD1,((A2)+(1))+(0)))=("store"),(INDEX(B1:XFD1,((A2)+(1))+(1)))=("AD"),"false"),B2,AD341),AD341))</f>
        <v>#VALUE!</v>
      </c>
    </row>
    <row r="342" spans="1:30" x14ac:dyDescent="0.25">
      <c r="A342" t="e">
        <f ca="1">IF((A1)=(2),"",IF((339)=(A3),IF(("call")=(INDEX(B1:XFD1,((A2)+(1))+(0))),(B2)*(2),IF(("goto")=(INDEX(B1:XFD1,((A2)+(1))+(0))),(INDEX(B1:XFD1,((A2)+(1))+(1)))*(2),IF(("gotoiftrue")=(INDEX(B1:XFD1,((A2)+(1))+(0))),IF(B2,(INDEX(B1:XFD1,((A2)+(1))+(1)))*(2),(A342)+(2)),(A342)+(2)))),A342))</f>
        <v>#VALUE!</v>
      </c>
      <c r="B342" t="e">
        <f ca="1">IF((A1)=(2),"",IF((339)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342)+(1)),IF(("add")=(INDEX(B1:XFD1,((A2)+(1))+(0))),(INDEX(B4:B404,(B3)+(1)))+(B342),IF(("equals")=(INDEX(B1:XFD1,((A2)+(1))+(0))),(INDEX(B4:B404,(B3)+(1)))=(B342),IF(("leq")=(INDEX(B1:XFD1,((A2)+(1))+(0))),(INDEX(B4:B404,(B3)+(1)))&lt;=(B342),IF(("greater")=(INDEX(B1:XFD1,((A2)+(1))+(0))),(INDEX(B4:B404,(B3)+(1)))&gt;(B342),IF(("mod")=(INDEX(B1:XFD1,((A2)+(1))+(0))),MOD(INDEX(B4:B404,(B3)+(1)),B342),B342))))))))),B342))</f>
        <v>#VALUE!</v>
      </c>
      <c r="C342" t="e">
        <f ca="1">IF((A1)=(2),1,IF(AND((INDEX(B1:XFD1,((A2)+(1))+(0)))=("writeheap"),(INDEX(B4:B404,(B3)+(1)))=(338)),INDEX(B4:B404,(B3)+(2)),IF((A1)=(2),"",IF((339)=(C3),C342,C342))))</f>
        <v>#VALUE!</v>
      </c>
      <c r="E342" t="e">
        <f ca="1">IF((A1)=(2),"",IF((339)=(E3),IF(("outputline")=(INDEX(B1:XFD1,((A2)+(1))+(0))),B2,E342),E342))</f>
        <v>#VALUE!</v>
      </c>
      <c r="F342" t="e">
        <f ca="1">IF((A1)=(2),"",IF((339)=(F3),IF(IF((INDEX(B1:XFD1,((A2)+(1))+(0)))=("store"),(INDEX(B1:XFD1,((A2)+(1))+(1)))=("F"),"false"),B2,F342),F342))</f>
        <v>#VALUE!</v>
      </c>
      <c r="G342" t="e">
        <f ca="1">IF((A1)=(2),"",IF((339)=(G3),IF(IF((INDEX(B1:XFD1,((A2)+(1))+(0)))=("store"),(INDEX(B1:XFD1,((A2)+(1))+(1)))=("G"),"false"),B2,G342),G342))</f>
        <v>#VALUE!</v>
      </c>
      <c r="H342" t="e">
        <f ca="1">IF((A1)=(2),"",IF((339)=(H3),IF(IF((INDEX(B1:XFD1,((A2)+(1))+(0)))=("store"),(INDEX(B1:XFD1,((A2)+(1))+(1)))=("H"),"false"),B2,H342),H342))</f>
        <v>#VALUE!</v>
      </c>
      <c r="I342" t="e">
        <f ca="1">IF((A1)=(2),"",IF((339)=(I3),IF(IF((INDEX(B1:XFD1,((A2)+(1))+(0)))=("store"),(INDEX(B1:XFD1,((A2)+(1))+(1)))=("I"),"false"),B2,I342),I342))</f>
        <v>#VALUE!</v>
      </c>
      <c r="J342" t="e">
        <f ca="1">IF((A1)=(2),"",IF((339)=(J3),IF(IF((INDEX(B1:XFD1,((A2)+(1))+(0)))=("store"),(INDEX(B1:XFD1,((A2)+(1))+(1)))=("J"),"false"),B2,J342),J342))</f>
        <v>#VALUE!</v>
      </c>
      <c r="K342" t="e">
        <f ca="1">IF((A1)=(2),"",IF((339)=(K3),IF(IF((INDEX(B1:XFD1,((A2)+(1))+(0)))=("store"),(INDEX(B1:XFD1,((A2)+(1))+(1)))=("K"),"false"),B2,K342),K342))</f>
        <v>#VALUE!</v>
      </c>
      <c r="L342" t="e">
        <f ca="1">IF((A1)=(2),"",IF((339)=(L3),IF(IF((INDEX(B1:XFD1,((A2)+(1))+(0)))=("store"),(INDEX(B1:XFD1,((A2)+(1))+(1)))=("L"),"false"),B2,L342),L342))</f>
        <v>#VALUE!</v>
      </c>
      <c r="M342" t="e">
        <f ca="1">IF((A1)=(2),"",IF((339)=(M3),IF(IF((INDEX(B1:XFD1,((A2)+(1))+(0)))=("store"),(INDEX(B1:XFD1,((A2)+(1))+(1)))=("M"),"false"),B2,M342),M342))</f>
        <v>#VALUE!</v>
      </c>
      <c r="N342" t="e">
        <f ca="1">IF((A1)=(2),"",IF((339)=(N3),IF(IF((INDEX(B1:XFD1,((A2)+(1))+(0)))=("store"),(INDEX(B1:XFD1,((A2)+(1))+(1)))=("N"),"false"),B2,N342),N342))</f>
        <v>#VALUE!</v>
      </c>
      <c r="O342" t="e">
        <f ca="1">IF((A1)=(2),"",IF((339)=(O3),IF(IF((INDEX(B1:XFD1,((A2)+(1))+(0)))=("store"),(INDEX(B1:XFD1,((A2)+(1))+(1)))=("O"),"false"),B2,O342),O342))</f>
        <v>#VALUE!</v>
      </c>
      <c r="P342" t="e">
        <f ca="1">IF((A1)=(2),"",IF((339)=(P3),IF(IF((INDEX(B1:XFD1,((A2)+(1))+(0)))=("store"),(INDEX(B1:XFD1,((A2)+(1))+(1)))=("P"),"false"),B2,P342),P342))</f>
        <v>#VALUE!</v>
      </c>
      <c r="Q342" t="e">
        <f ca="1">IF((A1)=(2),"",IF((339)=(Q3),IF(IF((INDEX(B1:XFD1,((A2)+(1))+(0)))=("store"),(INDEX(B1:XFD1,((A2)+(1))+(1)))=("Q"),"false"),B2,Q342),Q342))</f>
        <v>#VALUE!</v>
      </c>
      <c r="R342" t="e">
        <f ca="1">IF((A1)=(2),"",IF((339)=(R3),IF(IF((INDEX(B1:XFD1,((A2)+(1))+(0)))=("store"),(INDEX(B1:XFD1,((A2)+(1))+(1)))=("R"),"false"),B2,R342),R342))</f>
        <v>#VALUE!</v>
      </c>
      <c r="S342" t="e">
        <f ca="1">IF((A1)=(2),"",IF((339)=(S3),IF(IF((INDEX(B1:XFD1,((A2)+(1))+(0)))=("store"),(INDEX(B1:XFD1,((A2)+(1))+(1)))=("S"),"false"),B2,S342),S342))</f>
        <v>#VALUE!</v>
      </c>
      <c r="T342" t="e">
        <f ca="1">IF((A1)=(2),"",IF((339)=(T3),IF(IF((INDEX(B1:XFD1,((A2)+(1))+(0)))=("store"),(INDEX(B1:XFD1,((A2)+(1))+(1)))=("T"),"false"),B2,T342),T342))</f>
        <v>#VALUE!</v>
      </c>
      <c r="U342" t="e">
        <f ca="1">IF((A1)=(2),"",IF((339)=(U3),IF(IF((INDEX(B1:XFD1,((A2)+(1))+(0)))=("store"),(INDEX(B1:XFD1,((A2)+(1))+(1)))=("U"),"false"),B2,U342),U342))</f>
        <v>#VALUE!</v>
      </c>
      <c r="V342" t="e">
        <f ca="1">IF((A1)=(2),"",IF((339)=(V3),IF(IF((INDEX(B1:XFD1,((A2)+(1))+(0)))=("store"),(INDEX(B1:XFD1,((A2)+(1))+(1)))=("V"),"false"),B2,V342),V342))</f>
        <v>#VALUE!</v>
      </c>
      <c r="W342" t="e">
        <f ca="1">IF((A1)=(2),"",IF((339)=(W3),IF(IF((INDEX(B1:XFD1,((A2)+(1))+(0)))=("store"),(INDEX(B1:XFD1,((A2)+(1))+(1)))=("W"),"false"),B2,W342),W342))</f>
        <v>#VALUE!</v>
      </c>
      <c r="X342" t="e">
        <f ca="1">IF((A1)=(2),"",IF((339)=(X3),IF(IF((INDEX(B1:XFD1,((A2)+(1))+(0)))=("store"),(INDEX(B1:XFD1,((A2)+(1))+(1)))=("X"),"false"),B2,X342),X342))</f>
        <v>#VALUE!</v>
      </c>
      <c r="Y342" t="e">
        <f ca="1">IF((A1)=(2),"",IF((339)=(Y3),IF(IF((INDEX(B1:XFD1,((A2)+(1))+(0)))=("store"),(INDEX(B1:XFD1,((A2)+(1))+(1)))=("Y"),"false"),B2,Y342),Y342))</f>
        <v>#VALUE!</v>
      </c>
      <c r="Z342" t="e">
        <f ca="1">IF((A1)=(2),"",IF((339)=(Z3),IF(IF((INDEX(B1:XFD1,((A2)+(1))+(0)))=("store"),(INDEX(B1:XFD1,((A2)+(1))+(1)))=("Z"),"false"),B2,Z342),Z342))</f>
        <v>#VALUE!</v>
      </c>
      <c r="AA342" t="e">
        <f ca="1">IF((A1)=(2),"",IF((339)=(AA3),IF(IF((INDEX(B1:XFD1,((A2)+(1))+(0)))=("store"),(INDEX(B1:XFD1,((A2)+(1))+(1)))=("AA"),"false"),B2,AA342),AA342))</f>
        <v>#VALUE!</v>
      </c>
      <c r="AB342" t="e">
        <f ca="1">IF((A1)=(2),"",IF((339)=(AB3),IF(IF((INDEX(B1:XFD1,((A2)+(1))+(0)))=("store"),(INDEX(B1:XFD1,((A2)+(1))+(1)))=("AB"),"false"),B2,AB342),AB342))</f>
        <v>#VALUE!</v>
      </c>
      <c r="AC342" t="e">
        <f ca="1">IF((A1)=(2),"",IF((339)=(AC3),IF(IF((INDEX(B1:XFD1,((A2)+(1))+(0)))=("store"),(INDEX(B1:XFD1,((A2)+(1))+(1)))=("AC"),"false"),B2,AC342),AC342))</f>
        <v>#VALUE!</v>
      </c>
      <c r="AD342" t="e">
        <f ca="1">IF((A1)=(2),"",IF((339)=(AD3),IF(IF((INDEX(B1:XFD1,((A2)+(1))+(0)))=("store"),(INDEX(B1:XFD1,((A2)+(1))+(1)))=("AD"),"false"),B2,AD342),AD342))</f>
        <v>#VALUE!</v>
      </c>
    </row>
    <row r="343" spans="1:30" x14ac:dyDescent="0.25">
      <c r="A343" t="e">
        <f ca="1">IF((A1)=(2),"",IF((340)=(A3),IF(("call")=(INDEX(B1:XFD1,((A2)+(1))+(0))),(B2)*(2),IF(("goto")=(INDEX(B1:XFD1,((A2)+(1))+(0))),(INDEX(B1:XFD1,((A2)+(1))+(1)))*(2),IF(("gotoiftrue")=(INDEX(B1:XFD1,((A2)+(1))+(0))),IF(B2,(INDEX(B1:XFD1,((A2)+(1))+(1)))*(2),(A343)+(2)),(A343)+(2)))),A343))</f>
        <v>#VALUE!</v>
      </c>
      <c r="B343" t="e">
        <f ca="1">IF((A1)=(2),"",IF((340)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343)+(1)),IF(("add")=(INDEX(B1:XFD1,((A2)+(1))+(0))),(INDEX(B4:B404,(B3)+(1)))+(B343),IF(("equals")=(INDEX(B1:XFD1,((A2)+(1))+(0))),(INDEX(B4:B404,(B3)+(1)))=(B343),IF(("leq")=(INDEX(B1:XFD1,((A2)+(1))+(0))),(INDEX(B4:B404,(B3)+(1)))&lt;=(B343),IF(("greater")=(INDEX(B1:XFD1,((A2)+(1))+(0))),(INDEX(B4:B404,(B3)+(1)))&gt;(B343),IF(("mod")=(INDEX(B1:XFD1,((A2)+(1))+(0))),MOD(INDEX(B4:B404,(B3)+(1)),B343),B343))))))))),B343))</f>
        <v>#VALUE!</v>
      </c>
      <c r="C343" t="e">
        <f ca="1">IF((A1)=(2),1,IF(AND((INDEX(B1:XFD1,((A2)+(1))+(0)))=("writeheap"),(INDEX(B4:B404,(B3)+(1)))=(339)),INDEX(B4:B404,(B3)+(2)),IF((A1)=(2),"",IF((340)=(C3),C343,C343))))</f>
        <v>#VALUE!</v>
      </c>
      <c r="E343" t="e">
        <f ca="1">IF((A1)=(2),"",IF((340)=(E3),IF(("outputline")=(INDEX(B1:XFD1,((A2)+(1))+(0))),B2,E343),E343))</f>
        <v>#VALUE!</v>
      </c>
      <c r="F343" t="e">
        <f ca="1">IF((A1)=(2),"",IF((340)=(F3),IF(IF((INDEX(B1:XFD1,((A2)+(1))+(0)))=("store"),(INDEX(B1:XFD1,((A2)+(1))+(1)))=("F"),"false"),B2,F343),F343))</f>
        <v>#VALUE!</v>
      </c>
      <c r="G343" t="e">
        <f ca="1">IF((A1)=(2),"",IF((340)=(G3),IF(IF((INDEX(B1:XFD1,((A2)+(1))+(0)))=("store"),(INDEX(B1:XFD1,((A2)+(1))+(1)))=("G"),"false"),B2,G343),G343))</f>
        <v>#VALUE!</v>
      </c>
      <c r="H343" t="e">
        <f ca="1">IF((A1)=(2),"",IF((340)=(H3),IF(IF((INDEX(B1:XFD1,((A2)+(1))+(0)))=("store"),(INDEX(B1:XFD1,((A2)+(1))+(1)))=("H"),"false"),B2,H343),H343))</f>
        <v>#VALUE!</v>
      </c>
      <c r="I343" t="e">
        <f ca="1">IF((A1)=(2),"",IF((340)=(I3),IF(IF((INDEX(B1:XFD1,((A2)+(1))+(0)))=("store"),(INDEX(B1:XFD1,((A2)+(1))+(1)))=("I"),"false"),B2,I343),I343))</f>
        <v>#VALUE!</v>
      </c>
      <c r="J343" t="e">
        <f ca="1">IF((A1)=(2),"",IF((340)=(J3),IF(IF((INDEX(B1:XFD1,((A2)+(1))+(0)))=("store"),(INDEX(B1:XFD1,((A2)+(1))+(1)))=("J"),"false"),B2,J343),J343))</f>
        <v>#VALUE!</v>
      </c>
      <c r="K343" t="e">
        <f ca="1">IF((A1)=(2),"",IF((340)=(K3),IF(IF((INDEX(B1:XFD1,((A2)+(1))+(0)))=("store"),(INDEX(B1:XFD1,((A2)+(1))+(1)))=("K"),"false"),B2,K343),K343))</f>
        <v>#VALUE!</v>
      </c>
      <c r="L343" t="e">
        <f ca="1">IF((A1)=(2),"",IF((340)=(L3),IF(IF((INDEX(B1:XFD1,((A2)+(1))+(0)))=("store"),(INDEX(B1:XFD1,((A2)+(1))+(1)))=("L"),"false"),B2,L343),L343))</f>
        <v>#VALUE!</v>
      </c>
      <c r="M343" t="e">
        <f ca="1">IF((A1)=(2),"",IF((340)=(M3),IF(IF((INDEX(B1:XFD1,((A2)+(1))+(0)))=("store"),(INDEX(B1:XFD1,((A2)+(1))+(1)))=("M"),"false"),B2,M343),M343))</f>
        <v>#VALUE!</v>
      </c>
      <c r="N343" t="e">
        <f ca="1">IF((A1)=(2),"",IF((340)=(N3),IF(IF((INDEX(B1:XFD1,((A2)+(1))+(0)))=("store"),(INDEX(B1:XFD1,((A2)+(1))+(1)))=("N"),"false"),B2,N343),N343))</f>
        <v>#VALUE!</v>
      </c>
      <c r="O343" t="e">
        <f ca="1">IF((A1)=(2),"",IF((340)=(O3),IF(IF((INDEX(B1:XFD1,((A2)+(1))+(0)))=("store"),(INDEX(B1:XFD1,((A2)+(1))+(1)))=("O"),"false"),B2,O343),O343))</f>
        <v>#VALUE!</v>
      </c>
      <c r="P343" t="e">
        <f ca="1">IF((A1)=(2),"",IF((340)=(P3),IF(IF((INDEX(B1:XFD1,((A2)+(1))+(0)))=("store"),(INDEX(B1:XFD1,((A2)+(1))+(1)))=("P"),"false"),B2,P343),P343))</f>
        <v>#VALUE!</v>
      </c>
      <c r="Q343" t="e">
        <f ca="1">IF((A1)=(2),"",IF((340)=(Q3),IF(IF((INDEX(B1:XFD1,((A2)+(1))+(0)))=("store"),(INDEX(B1:XFD1,((A2)+(1))+(1)))=("Q"),"false"),B2,Q343),Q343))</f>
        <v>#VALUE!</v>
      </c>
      <c r="R343" t="e">
        <f ca="1">IF((A1)=(2),"",IF((340)=(R3),IF(IF((INDEX(B1:XFD1,((A2)+(1))+(0)))=("store"),(INDEX(B1:XFD1,((A2)+(1))+(1)))=("R"),"false"),B2,R343),R343))</f>
        <v>#VALUE!</v>
      </c>
      <c r="S343" t="e">
        <f ca="1">IF((A1)=(2),"",IF((340)=(S3),IF(IF((INDEX(B1:XFD1,((A2)+(1))+(0)))=("store"),(INDEX(B1:XFD1,((A2)+(1))+(1)))=("S"),"false"),B2,S343),S343))</f>
        <v>#VALUE!</v>
      </c>
      <c r="T343" t="e">
        <f ca="1">IF((A1)=(2),"",IF((340)=(T3),IF(IF((INDEX(B1:XFD1,((A2)+(1))+(0)))=("store"),(INDEX(B1:XFD1,((A2)+(1))+(1)))=("T"),"false"),B2,T343),T343))</f>
        <v>#VALUE!</v>
      </c>
      <c r="U343" t="e">
        <f ca="1">IF((A1)=(2),"",IF((340)=(U3),IF(IF((INDEX(B1:XFD1,((A2)+(1))+(0)))=("store"),(INDEX(B1:XFD1,((A2)+(1))+(1)))=("U"),"false"),B2,U343),U343))</f>
        <v>#VALUE!</v>
      </c>
      <c r="V343" t="e">
        <f ca="1">IF((A1)=(2),"",IF((340)=(V3),IF(IF((INDEX(B1:XFD1,((A2)+(1))+(0)))=("store"),(INDEX(B1:XFD1,((A2)+(1))+(1)))=("V"),"false"),B2,V343),V343))</f>
        <v>#VALUE!</v>
      </c>
      <c r="W343" t="e">
        <f ca="1">IF((A1)=(2),"",IF((340)=(W3),IF(IF((INDEX(B1:XFD1,((A2)+(1))+(0)))=("store"),(INDEX(B1:XFD1,((A2)+(1))+(1)))=("W"),"false"),B2,W343),W343))</f>
        <v>#VALUE!</v>
      </c>
      <c r="X343" t="e">
        <f ca="1">IF((A1)=(2),"",IF((340)=(X3),IF(IF((INDEX(B1:XFD1,((A2)+(1))+(0)))=("store"),(INDEX(B1:XFD1,((A2)+(1))+(1)))=("X"),"false"),B2,X343),X343))</f>
        <v>#VALUE!</v>
      </c>
      <c r="Y343" t="e">
        <f ca="1">IF((A1)=(2),"",IF((340)=(Y3),IF(IF((INDEX(B1:XFD1,((A2)+(1))+(0)))=("store"),(INDEX(B1:XFD1,((A2)+(1))+(1)))=("Y"),"false"),B2,Y343),Y343))</f>
        <v>#VALUE!</v>
      </c>
      <c r="Z343" t="e">
        <f ca="1">IF((A1)=(2),"",IF((340)=(Z3),IF(IF((INDEX(B1:XFD1,((A2)+(1))+(0)))=("store"),(INDEX(B1:XFD1,((A2)+(1))+(1)))=("Z"),"false"),B2,Z343),Z343))</f>
        <v>#VALUE!</v>
      </c>
      <c r="AA343" t="e">
        <f ca="1">IF((A1)=(2),"",IF((340)=(AA3),IF(IF((INDEX(B1:XFD1,((A2)+(1))+(0)))=("store"),(INDEX(B1:XFD1,((A2)+(1))+(1)))=("AA"),"false"),B2,AA343),AA343))</f>
        <v>#VALUE!</v>
      </c>
      <c r="AB343" t="e">
        <f ca="1">IF((A1)=(2),"",IF((340)=(AB3),IF(IF((INDEX(B1:XFD1,((A2)+(1))+(0)))=("store"),(INDEX(B1:XFD1,((A2)+(1))+(1)))=("AB"),"false"),B2,AB343),AB343))</f>
        <v>#VALUE!</v>
      </c>
      <c r="AC343" t="e">
        <f ca="1">IF((A1)=(2),"",IF((340)=(AC3),IF(IF((INDEX(B1:XFD1,((A2)+(1))+(0)))=("store"),(INDEX(B1:XFD1,((A2)+(1))+(1)))=("AC"),"false"),B2,AC343),AC343))</f>
        <v>#VALUE!</v>
      </c>
      <c r="AD343" t="e">
        <f ca="1">IF((A1)=(2),"",IF((340)=(AD3),IF(IF((INDEX(B1:XFD1,((A2)+(1))+(0)))=("store"),(INDEX(B1:XFD1,((A2)+(1))+(1)))=("AD"),"false"),B2,AD343),AD343))</f>
        <v>#VALUE!</v>
      </c>
    </row>
    <row r="344" spans="1:30" x14ac:dyDescent="0.25">
      <c r="A344" t="e">
        <f ca="1">IF((A1)=(2),"",IF((341)=(A3),IF(("call")=(INDEX(B1:XFD1,((A2)+(1))+(0))),(B2)*(2),IF(("goto")=(INDEX(B1:XFD1,((A2)+(1))+(0))),(INDEX(B1:XFD1,((A2)+(1))+(1)))*(2),IF(("gotoiftrue")=(INDEX(B1:XFD1,((A2)+(1))+(0))),IF(B2,(INDEX(B1:XFD1,((A2)+(1))+(1)))*(2),(A344)+(2)),(A344)+(2)))),A344))</f>
        <v>#VALUE!</v>
      </c>
      <c r="B344" t="e">
        <f ca="1">IF((A1)=(2),"",IF((341)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344)+(1)),IF(("add")=(INDEX(B1:XFD1,((A2)+(1))+(0))),(INDEX(B4:B404,(B3)+(1)))+(B344),IF(("equals")=(INDEX(B1:XFD1,((A2)+(1))+(0))),(INDEX(B4:B404,(B3)+(1)))=(B344),IF(("leq")=(INDEX(B1:XFD1,((A2)+(1))+(0))),(INDEX(B4:B404,(B3)+(1)))&lt;=(B344),IF(("greater")=(INDEX(B1:XFD1,((A2)+(1))+(0))),(INDEX(B4:B404,(B3)+(1)))&gt;(B344),IF(("mod")=(INDEX(B1:XFD1,((A2)+(1))+(0))),MOD(INDEX(B4:B404,(B3)+(1)),B344),B344))))))))),B344))</f>
        <v>#VALUE!</v>
      </c>
      <c r="C344" t="e">
        <f ca="1">IF((A1)=(2),1,IF(AND((INDEX(B1:XFD1,((A2)+(1))+(0)))=("writeheap"),(INDEX(B4:B404,(B3)+(1)))=(340)),INDEX(B4:B404,(B3)+(2)),IF((A1)=(2),"",IF((341)=(C3),C344,C344))))</f>
        <v>#VALUE!</v>
      </c>
      <c r="E344" t="e">
        <f ca="1">IF((A1)=(2),"",IF((341)=(E3),IF(("outputline")=(INDEX(B1:XFD1,((A2)+(1))+(0))),B2,E344),E344))</f>
        <v>#VALUE!</v>
      </c>
      <c r="F344" t="e">
        <f ca="1">IF((A1)=(2),"",IF((341)=(F3),IF(IF((INDEX(B1:XFD1,((A2)+(1))+(0)))=("store"),(INDEX(B1:XFD1,((A2)+(1))+(1)))=("F"),"false"),B2,F344),F344))</f>
        <v>#VALUE!</v>
      </c>
      <c r="G344" t="e">
        <f ca="1">IF((A1)=(2),"",IF((341)=(G3),IF(IF((INDEX(B1:XFD1,((A2)+(1))+(0)))=("store"),(INDEX(B1:XFD1,((A2)+(1))+(1)))=("G"),"false"),B2,G344),G344))</f>
        <v>#VALUE!</v>
      </c>
      <c r="H344" t="e">
        <f ca="1">IF((A1)=(2),"",IF((341)=(H3),IF(IF((INDEX(B1:XFD1,((A2)+(1))+(0)))=("store"),(INDEX(B1:XFD1,((A2)+(1))+(1)))=("H"),"false"),B2,H344),H344))</f>
        <v>#VALUE!</v>
      </c>
      <c r="I344" t="e">
        <f ca="1">IF((A1)=(2),"",IF((341)=(I3),IF(IF((INDEX(B1:XFD1,((A2)+(1))+(0)))=("store"),(INDEX(B1:XFD1,((A2)+(1))+(1)))=("I"),"false"),B2,I344),I344))</f>
        <v>#VALUE!</v>
      </c>
      <c r="J344" t="e">
        <f ca="1">IF((A1)=(2),"",IF((341)=(J3),IF(IF((INDEX(B1:XFD1,((A2)+(1))+(0)))=("store"),(INDEX(B1:XFD1,((A2)+(1))+(1)))=("J"),"false"),B2,J344),J344))</f>
        <v>#VALUE!</v>
      </c>
      <c r="K344" t="e">
        <f ca="1">IF((A1)=(2),"",IF((341)=(K3),IF(IF((INDEX(B1:XFD1,((A2)+(1))+(0)))=("store"),(INDEX(B1:XFD1,((A2)+(1))+(1)))=("K"),"false"),B2,K344),K344))</f>
        <v>#VALUE!</v>
      </c>
      <c r="L344" t="e">
        <f ca="1">IF((A1)=(2),"",IF((341)=(L3),IF(IF((INDEX(B1:XFD1,((A2)+(1))+(0)))=("store"),(INDEX(B1:XFD1,((A2)+(1))+(1)))=("L"),"false"),B2,L344),L344))</f>
        <v>#VALUE!</v>
      </c>
      <c r="M344" t="e">
        <f ca="1">IF((A1)=(2),"",IF((341)=(M3),IF(IF((INDEX(B1:XFD1,((A2)+(1))+(0)))=("store"),(INDEX(B1:XFD1,((A2)+(1))+(1)))=("M"),"false"),B2,M344),M344))</f>
        <v>#VALUE!</v>
      </c>
      <c r="N344" t="e">
        <f ca="1">IF((A1)=(2),"",IF((341)=(N3),IF(IF((INDEX(B1:XFD1,((A2)+(1))+(0)))=("store"),(INDEX(B1:XFD1,((A2)+(1))+(1)))=("N"),"false"),B2,N344),N344))</f>
        <v>#VALUE!</v>
      </c>
      <c r="O344" t="e">
        <f ca="1">IF((A1)=(2),"",IF((341)=(O3),IF(IF((INDEX(B1:XFD1,((A2)+(1))+(0)))=("store"),(INDEX(B1:XFD1,((A2)+(1))+(1)))=("O"),"false"),B2,O344),O344))</f>
        <v>#VALUE!</v>
      </c>
      <c r="P344" t="e">
        <f ca="1">IF((A1)=(2),"",IF((341)=(P3),IF(IF((INDEX(B1:XFD1,((A2)+(1))+(0)))=("store"),(INDEX(B1:XFD1,((A2)+(1))+(1)))=("P"),"false"),B2,P344),P344))</f>
        <v>#VALUE!</v>
      </c>
      <c r="Q344" t="e">
        <f ca="1">IF((A1)=(2),"",IF((341)=(Q3),IF(IF((INDEX(B1:XFD1,((A2)+(1))+(0)))=("store"),(INDEX(B1:XFD1,((A2)+(1))+(1)))=("Q"),"false"),B2,Q344),Q344))</f>
        <v>#VALUE!</v>
      </c>
      <c r="R344" t="e">
        <f ca="1">IF((A1)=(2),"",IF((341)=(R3),IF(IF((INDEX(B1:XFD1,((A2)+(1))+(0)))=("store"),(INDEX(B1:XFD1,((A2)+(1))+(1)))=("R"),"false"),B2,R344),R344))</f>
        <v>#VALUE!</v>
      </c>
      <c r="S344" t="e">
        <f ca="1">IF((A1)=(2),"",IF((341)=(S3),IF(IF((INDEX(B1:XFD1,((A2)+(1))+(0)))=("store"),(INDEX(B1:XFD1,((A2)+(1))+(1)))=("S"),"false"),B2,S344),S344))</f>
        <v>#VALUE!</v>
      </c>
      <c r="T344" t="e">
        <f ca="1">IF((A1)=(2),"",IF((341)=(T3),IF(IF((INDEX(B1:XFD1,((A2)+(1))+(0)))=("store"),(INDEX(B1:XFD1,((A2)+(1))+(1)))=("T"),"false"),B2,T344),T344))</f>
        <v>#VALUE!</v>
      </c>
      <c r="U344" t="e">
        <f ca="1">IF((A1)=(2),"",IF((341)=(U3),IF(IF((INDEX(B1:XFD1,((A2)+(1))+(0)))=("store"),(INDEX(B1:XFD1,((A2)+(1))+(1)))=("U"),"false"),B2,U344),U344))</f>
        <v>#VALUE!</v>
      </c>
      <c r="V344" t="e">
        <f ca="1">IF((A1)=(2),"",IF((341)=(V3),IF(IF((INDEX(B1:XFD1,((A2)+(1))+(0)))=("store"),(INDEX(B1:XFD1,((A2)+(1))+(1)))=("V"),"false"),B2,V344),V344))</f>
        <v>#VALUE!</v>
      </c>
      <c r="W344" t="e">
        <f ca="1">IF((A1)=(2),"",IF((341)=(W3),IF(IF((INDEX(B1:XFD1,((A2)+(1))+(0)))=("store"),(INDEX(B1:XFD1,((A2)+(1))+(1)))=("W"),"false"),B2,W344),W344))</f>
        <v>#VALUE!</v>
      </c>
      <c r="X344" t="e">
        <f ca="1">IF((A1)=(2),"",IF((341)=(X3),IF(IF((INDEX(B1:XFD1,((A2)+(1))+(0)))=("store"),(INDEX(B1:XFD1,((A2)+(1))+(1)))=("X"),"false"),B2,X344),X344))</f>
        <v>#VALUE!</v>
      </c>
      <c r="Y344" t="e">
        <f ca="1">IF((A1)=(2),"",IF((341)=(Y3),IF(IF((INDEX(B1:XFD1,((A2)+(1))+(0)))=("store"),(INDEX(B1:XFD1,((A2)+(1))+(1)))=("Y"),"false"),B2,Y344),Y344))</f>
        <v>#VALUE!</v>
      </c>
      <c r="Z344" t="e">
        <f ca="1">IF((A1)=(2),"",IF((341)=(Z3),IF(IF((INDEX(B1:XFD1,((A2)+(1))+(0)))=("store"),(INDEX(B1:XFD1,((A2)+(1))+(1)))=("Z"),"false"),B2,Z344),Z344))</f>
        <v>#VALUE!</v>
      </c>
      <c r="AA344" t="e">
        <f ca="1">IF((A1)=(2),"",IF((341)=(AA3),IF(IF((INDEX(B1:XFD1,((A2)+(1))+(0)))=("store"),(INDEX(B1:XFD1,((A2)+(1))+(1)))=("AA"),"false"),B2,AA344),AA344))</f>
        <v>#VALUE!</v>
      </c>
      <c r="AB344" t="e">
        <f ca="1">IF((A1)=(2),"",IF((341)=(AB3),IF(IF((INDEX(B1:XFD1,((A2)+(1))+(0)))=("store"),(INDEX(B1:XFD1,((A2)+(1))+(1)))=("AB"),"false"),B2,AB344),AB344))</f>
        <v>#VALUE!</v>
      </c>
      <c r="AC344" t="e">
        <f ca="1">IF((A1)=(2),"",IF((341)=(AC3),IF(IF((INDEX(B1:XFD1,((A2)+(1))+(0)))=("store"),(INDEX(B1:XFD1,((A2)+(1))+(1)))=("AC"),"false"),B2,AC344),AC344))</f>
        <v>#VALUE!</v>
      </c>
      <c r="AD344" t="e">
        <f ca="1">IF((A1)=(2),"",IF((341)=(AD3),IF(IF((INDEX(B1:XFD1,((A2)+(1))+(0)))=("store"),(INDEX(B1:XFD1,((A2)+(1))+(1)))=("AD"),"false"),B2,AD344),AD344))</f>
        <v>#VALUE!</v>
      </c>
    </row>
    <row r="345" spans="1:30" x14ac:dyDescent="0.25">
      <c r="A345" t="e">
        <f ca="1">IF((A1)=(2),"",IF((342)=(A3),IF(("call")=(INDEX(B1:XFD1,((A2)+(1))+(0))),(B2)*(2),IF(("goto")=(INDEX(B1:XFD1,((A2)+(1))+(0))),(INDEX(B1:XFD1,((A2)+(1))+(1)))*(2),IF(("gotoiftrue")=(INDEX(B1:XFD1,((A2)+(1))+(0))),IF(B2,(INDEX(B1:XFD1,((A2)+(1))+(1)))*(2),(A345)+(2)),(A345)+(2)))),A345))</f>
        <v>#VALUE!</v>
      </c>
      <c r="B345" t="e">
        <f ca="1">IF((A1)=(2),"",IF((342)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345)+(1)),IF(("add")=(INDEX(B1:XFD1,((A2)+(1))+(0))),(INDEX(B4:B404,(B3)+(1)))+(B345),IF(("equals")=(INDEX(B1:XFD1,((A2)+(1))+(0))),(INDEX(B4:B404,(B3)+(1)))=(B345),IF(("leq")=(INDEX(B1:XFD1,((A2)+(1))+(0))),(INDEX(B4:B404,(B3)+(1)))&lt;=(B345),IF(("greater")=(INDEX(B1:XFD1,((A2)+(1))+(0))),(INDEX(B4:B404,(B3)+(1)))&gt;(B345),IF(("mod")=(INDEX(B1:XFD1,((A2)+(1))+(0))),MOD(INDEX(B4:B404,(B3)+(1)),B345),B345))))))))),B345))</f>
        <v>#VALUE!</v>
      </c>
      <c r="C345" t="e">
        <f ca="1">IF((A1)=(2),1,IF(AND((INDEX(B1:XFD1,((A2)+(1))+(0)))=("writeheap"),(INDEX(B4:B404,(B3)+(1)))=(341)),INDEX(B4:B404,(B3)+(2)),IF((A1)=(2),"",IF((342)=(C3),C345,C345))))</f>
        <v>#VALUE!</v>
      </c>
      <c r="E345" t="e">
        <f ca="1">IF((A1)=(2),"",IF((342)=(E3),IF(("outputline")=(INDEX(B1:XFD1,((A2)+(1))+(0))),B2,E345),E345))</f>
        <v>#VALUE!</v>
      </c>
      <c r="F345" t="e">
        <f ca="1">IF((A1)=(2),"",IF((342)=(F3),IF(IF((INDEX(B1:XFD1,((A2)+(1))+(0)))=("store"),(INDEX(B1:XFD1,((A2)+(1))+(1)))=("F"),"false"),B2,F345),F345))</f>
        <v>#VALUE!</v>
      </c>
      <c r="G345" t="e">
        <f ca="1">IF((A1)=(2),"",IF((342)=(G3),IF(IF((INDEX(B1:XFD1,((A2)+(1))+(0)))=("store"),(INDEX(B1:XFD1,((A2)+(1))+(1)))=("G"),"false"),B2,G345),G345))</f>
        <v>#VALUE!</v>
      </c>
      <c r="H345" t="e">
        <f ca="1">IF((A1)=(2),"",IF((342)=(H3),IF(IF((INDEX(B1:XFD1,((A2)+(1))+(0)))=("store"),(INDEX(B1:XFD1,((A2)+(1))+(1)))=("H"),"false"),B2,H345),H345))</f>
        <v>#VALUE!</v>
      </c>
      <c r="I345" t="e">
        <f ca="1">IF((A1)=(2),"",IF((342)=(I3),IF(IF((INDEX(B1:XFD1,((A2)+(1))+(0)))=("store"),(INDEX(B1:XFD1,((A2)+(1))+(1)))=("I"),"false"),B2,I345),I345))</f>
        <v>#VALUE!</v>
      </c>
      <c r="J345" t="e">
        <f ca="1">IF((A1)=(2),"",IF((342)=(J3),IF(IF((INDEX(B1:XFD1,((A2)+(1))+(0)))=("store"),(INDEX(B1:XFD1,((A2)+(1))+(1)))=("J"),"false"),B2,J345),J345))</f>
        <v>#VALUE!</v>
      </c>
      <c r="K345" t="e">
        <f ca="1">IF((A1)=(2),"",IF((342)=(K3),IF(IF((INDEX(B1:XFD1,((A2)+(1))+(0)))=("store"),(INDEX(B1:XFD1,((A2)+(1))+(1)))=("K"),"false"),B2,K345),K345))</f>
        <v>#VALUE!</v>
      </c>
      <c r="L345" t="e">
        <f ca="1">IF((A1)=(2),"",IF((342)=(L3),IF(IF((INDEX(B1:XFD1,((A2)+(1))+(0)))=("store"),(INDEX(B1:XFD1,((A2)+(1))+(1)))=("L"),"false"),B2,L345),L345))</f>
        <v>#VALUE!</v>
      </c>
      <c r="M345" t="e">
        <f ca="1">IF((A1)=(2),"",IF((342)=(M3),IF(IF((INDEX(B1:XFD1,((A2)+(1))+(0)))=("store"),(INDEX(B1:XFD1,((A2)+(1))+(1)))=("M"),"false"),B2,M345),M345))</f>
        <v>#VALUE!</v>
      </c>
      <c r="N345" t="e">
        <f ca="1">IF((A1)=(2),"",IF((342)=(N3),IF(IF((INDEX(B1:XFD1,((A2)+(1))+(0)))=("store"),(INDEX(B1:XFD1,((A2)+(1))+(1)))=("N"),"false"),B2,N345),N345))</f>
        <v>#VALUE!</v>
      </c>
      <c r="O345" t="e">
        <f ca="1">IF((A1)=(2),"",IF((342)=(O3),IF(IF((INDEX(B1:XFD1,((A2)+(1))+(0)))=("store"),(INDEX(B1:XFD1,((A2)+(1))+(1)))=("O"),"false"),B2,O345),O345))</f>
        <v>#VALUE!</v>
      </c>
      <c r="P345" t="e">
        <f ca="1">IF((A1)=(2),"",IF((342)=(P3),IF(IF((INDEX(B1:XFD1,((A2)+(1))+(0)))=("store"),(INDEX(B1:XFD1,((A2)+(1))+(1)))=("P"),"false"),B2,P345),P345))</f>
        <v>#VALUE!</v>
      </c>
      <c r="Q345" t="e">
        <f ca="1">IF((A1)=(2),"",IF((342)=(Q3),IF(IF((INDEX(B1:XFD1,((A2)+(1))+(0)))=("store"),(INDEX(B1:XFD1,((A2)+(1))+(1)))=("Q"),"false"),B2,Q345),Q345))</f>
        <v>#VALUE!</v>
      </c>
      <c r="R345" t="e">
        <f ca="1">IF((A1)=(2),"",IF((342)=(R3),IF(IF((INDEX(B1:XFD1,((A2)+(1))+(0)))=("store"),(INDEX(B1:XFD1,((A2)+(1))+(1)))=("R"),"false"),B2,R345),R345))</f>
        <v>#VALUE!</v>
      </c>
      <c r="S345" t="e">
        <f ca="1">IF((A1)=(2),"",IF((342)=(S3),IF(IF((INDEX(B1:XFD1,((A2)+(1))+(0)))=("store"),(INDEX(B1:XFD1,((A2)+(1))+(1)))=("S"),"false"),B2,S345),S345))</f>
        <v>#VALUE!</v>
      </c>
      <c r="T345" t="e">
        <f ca="1">IF((A1)=(2),"",IF((342)=(T3),IF(IF((INDEX(B1:XFD1,((A2)+(1))+(0)))=("store"),(INDEX(B1:XFD1,((A2)+(1))+(1)))=("T"),"false"),B2,T345),T345))</f>
        <v>#VALUE!</v>
      </c>
      <c r="U345" t="e">
        <f ca="1">IF((A1)=(2),"",IF((342)=(U3),IF(IF((INDEX(B1:XFD1,((A2)+(1))+(0)))=("store"),(INDEX(B1:XFD1,((A2)+(1))+(1)))=("U"),"false"),B2,U345),U345))</f>
        <v>#VALUE!</v>
      </c>
      <c r="V345" t="e">
        <f ca="1">IF((A1)=(2),"",IF((342)=(V3),IF(IF((INDEX(B1:XFD1,((A2)+(1))+(0)))=("store"),(INDEX(B1:XFD1,((A2)+(1))+(1)))=("V"),"false"),B2,V345),V345))</f>
        <v>#VALUE!</v>
      </c>
      <c r="W345" t="e">
        <f ca="1">IF((A1)=(2),"",IF((342)=(W3),IF(IF((INDEX(B1:XFD1,((A2)+(1))+(0)))=("store"),(INDEX(B1:XFD1,((A2)+(1))+(1)))=("W"),"false"),B2,W345),W345))</f>
        <v>#VALUE!</v>
      </c>
      <c r="X345" t="e">
        <f ca="1">IF((A1)=(2),"",IF((342)=(X3),IF(IF((INDEX(B1:XFD1,((A2)+(1))+(0)))=("store"),(INDEX(B1:XFD1,((A2)+(1))+(1)))=("X"),"false"),B2,X345),X345))</f>
        <v>#VALUE!</v>
      </c>
      <c r="Y345" t="e">
        <f ca="1">IF((A1)=(2),"",IF((342)=(Y3),IF(IF((INDEX(B1:XFD1,((A2)+(1))+(0)))=("store"),(INDEX(B1:XFD1,((A2)+(1))+(1)))=("Y"),"false"),B2,Y345),Y345))</f>
        <v>#VALUE!</v>
      </c>
      <c r="Z345" t="e">
        <f ca="1">IF((A1)=(2),"",IF((342)=(Z3),IF(IF((INDEX(B1:XFD1,((A2)+(1))+(0)))=("store"),(INDEX(B1:XFD1,((A2)+(1))+(1)))=("Z"),"false"),B2,Z345),Z345))</f>
        <v>#VALUE!</v>
      </c>
      <c r="AA345" t="e">
        <f ca="1">IF((A1)=(2),"",IF((342)=(AA3),IF(IF((INDEX(B1:XFD1,((A2)+(1))+(0)))=("store"),(INDEX(B1:XFD1,((A2)+(1))+(1)))=("AA"),"false"),B2,AA345),AA345))</f>
        <v>#VALUE!</v>
      </c>
      <c r="AB345" t="e">
        <f ca="1">IF((A1)=(2),"",IF((342)=(AB3),IF(IF((INDEX(B1:XFD1,((A2)+(1))+(0)))=("store"),(INDEX(B1:XFD1,((A2)+(1))+(1)))=("AB"),"false"),B2,AB345),AB345))</f>
        <v>#VALUE!</v>
      </c>
      <c r="AC345" t="e">
        <f ca="1">IF((A1)=(2),"",IF((342)=(AC3),IF(IF((INDEX(B1:XFD1,((A2)+(1))+(0)))=("store"),(INDEX(B1:XFD1,((A2)+(1))+(1)))=("AC"),"false"),B2,AC345),AC345))</f>
        <v>#VALUE!</v>
      </c>
      <c r="AD345" t="e">
        <f ca="1">IF((A1)=(2),"",IF((342)=(AD3),IF(IF((INDEX(B1:XFD1,((A2)+(1))+(0)))=("store"),(INDEX(B1:XFD1,((A2)+(1))+(1)))=("AD"),"false"),B2,AD345),AD345))</f>
        <v>#VALUE!</v>
      </c>
    </row>
    <row r="346" spans="1:30" x14ac:dyDescent="0.25">
      <c r="A346" t="e">
        <f ca="1">IF((A1)=(2),"",IF((343)=(A3),IF(("call")=(INDEX(B1:XFD1,((A2)+(1))+(0))),(B2)*(2),IF(("goto")=(INDEX(B1:XFD1,((A2)+(1))+(0))),(INDEX(B1:XFD1,((A2)+(1))+(1)))*(2),IF(("gotoiftrue")=(INDEX(B1:XFD1,((A2)+(1))+(0))),IF(B2,(INDEX(B1:XFD1,((A2)+(1))+(1)))*(2),(A346)+(2)),(A346)+(2)))),A346))</f>
        <v>#VALUE!</v>
      </c>
      <c r="B346" t="e">
        <f ca="1">IF((A1)=(2),"",IF((343)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346)+(1)),IF(("add")=(INDEX(B1:XFD1,((A2)+(1))+(0))),(INDEX(B4:B404,(B3)+(1)))+(B346),IF(("equals")=(INDEX(B1:XFD1,((A2)+(1))+(0))),(INDEX(B4:B404,(B3)+(1)))=(B346),IF(("leq")=(INDEX(B1:XFD1,((A2)+(1))+(0))),(INDEX(B4:B404,(B3)+(1)))&lt;=(B346),IF(("greater")=(INDEX(B1:XFD1,((A2)+(1))+(0))),(INDEX(B4:B404,(B3)+(1)))&gt;(B346),IF(("mod")=(INDEX(B1:XFD1,((A2)+(1))+(0))),MOD(INDEX(B4:B404,(B3)+(1)),B346),B346))))))))),B346))</f>
        <v>#VALUE!</v>
      </c>
      <c r="C346" t="e">
        <f ca="1">IF((A1)=(2),1,IF(AND((INDEX(B1:XFD1,((A2)+(1))+(0)))=("writeheap"),(INDEX(B4:B404,(B3)+(1)))=(342)),INDEX(B4:B404,(B3)+(2)),IF((A1)=(2),"",IF((343)=(C3),C346,C346))))</f>
        <v>#VALUE!</v>
      </c>
      <c r="E346" t="e">
        <f ca="1">IF((A1)=(2),"",IF((343)=(E3),IF(("outputline")=(INDEX(B1:XFD1,((A2)+(1))+(0))),B2,E346),E346))</f>
        <v>#VALUE!</v>
      </c>
      <c r="F346" t="e">
        <f ca="1">IF((A1)=(2),"",IF((343)=(F3),IF(IF((INDEX(B1:XFD1,((A2)+(1))+(0)))=("store"),(INDEX(B1:XFD1,((A2)+(1))+(1)))=("F"),"false"),B2,F346),F346))</f>
        <v>#VALUE!</v>
      </c>
      <c r="G346" t="e">
        <f ca="1">IF((A1)=(2),"",IF((343)=(G3),IF(IF((INDEX(B1:XFD1,((A2)+(1))+(0)))=("store"),(INDEX(B1:XFD1,((A2)+(1))+(1)))=("G"),"false"),B2,G346),G346))</f>
        <v>#VALUE!</v>
      </c>
      <c r="H346" t="e">
        <f ca="1">IF((A1)=(2),"",IF((343)=(H3),IF(IF((INDEX(B1:XFD1,((A2)+(1))+(0)))=("store"),(INDEX(B1:XFD1,((A2)+(1))+(1)))=("H"),"false"),B2,H346),H346))</f>
        <v>#VALUE!</v>
      </c>
      <c r="I346" t="e">
        <f ca="1">IF((A1)=(2),"",IF((343)=(I3),IF(IF((INDEX(B1:XFD1,((A2)+(1))+(0)))=("store"),(INDEX(B1:XFD1,((A2)+(1))+(1)))=("I"),"false"),B2,I346),I346))</f>
        <v>#VALUE!</v>
      </c>
      <c r="J346" t="e">
        <f ca="1">IF((A1)=(2),"",IF((343)=(J3),IF(IF((INDEX(B1:XFD1,((A2)+(1))+(0)))=("store"),(INDEX(B1:XFD1,((A2)+(1))+(1)))=("J"),"false"),B2,J346),J346))</f>
        <v>#VALUE!</v>
      </c>
      <c r="K346" t="e">
        <f ca="1">IF((A1)=(2),"",IF((343)=(K3),IF(IF((INDEX(B1:XFD1,((A2)+(1))+(0)))=("store"),(INDEX(B1:XFD1,((A2)+(1))+(1)))=("K"),"false"),B2,K346),K346))</f>
        <v>#VALUE!</v>
      </c>
      <c r="L346" t="e">
        <f ca="1">IF((A1)=(2),"",IF((343)=(L3),IF(IF((INDEX(B1:XFD1,((A2)+(1))+(0)))=("store"),(INDEX(B1:XFD1,((A2)+(1))+(1)))=("L"),"false"),B2,L346),L346))</f>
        <v>#VALUE!</v>
      </c>
      <c r="M346" t="e">
        <f ca="1">IF((A1)=(2),"",IF((343)=(M3),IF(IF((INDEX(B1:XFD1,((A2)+(1))+(0)))=("store"),(INDEX(B1:XFD1,((A2)+(1))+(1)))=("M"),"false"),B2,M346),M346))</f>
        <v>#VALUE!</v>
      </c>
      <c r="N346" t="e">
        <f ca="1">IF((A1)=(2),"",IF((343)=(N3),IF(IF((INDEX(B1:XFD1,((A2)+(1))+(0)))=("store"),(INDEX(B1:XFD1,((A2)+(1))+(1)))=("N"),"false"),B2,N346),N346))</f>
        <v>#VALUE!</v>
      </c>
      <c r="O346" t="e">
        <f ca="1">IF((A1)=(2),"",IF((343)=(O3),IF(IF((INDEX(B1:XFD1,((A2)+(1))+(0)))=("store"),(INDEX(B1:XFD1,((A2)+(1))+(1)))=("O"),"false"),B2,O346),O346))</f>
        <v>#VALUE!</v>
      </c>
      <c r="P346" t="e">
        <f ca="1">IF((A1)=(2),"",IF((343)=(P3),IF(IF((INDEX(B1:XFD1,((A2)+(1))+(0)))=("store"),(INDEX(B1:XFD1,((A2)+(1))+(1)))=("P"),"false"),B2,P346),P346))</f>
        <v>#VALUE!</v>
      </c>
      <c r="Q346" t="e">
        <f ca="1">IF((A1)=(2),"",IF((343)=(Q3),IF(IF((INDEX(B1:XFD1,((A2)+(1))+(0)))=("store"),(INDEX(B1:XFD1,((A2)+(1))+(1)))=("Q"),"false"),B2,Q346),Q346))</f>
        <v>#VALUE!</v>
      </c>
      <c r="R346" t="e">
        <f ca="1">IF((A1)=(2),"",IF((343)=(R3),IF(IF((INDEX(B1:XFD1,((A2)+(1))+(0)))=("store"),(INDEX(B1:XFD1,((A2)+(1))+(1)))=("R"),"false"),B2,R346),R346))</f>
        <v>#VALUE!</v>
      </c>
      <c r="S346" t="e">
        <f ca="1">IF((A1)=(2),"",IF((343)=(S3),IF(IF((INDEX(B1:XFD1,((A2)+(1))+(0)))=("store"),(INDEX(B1:XFD1,((A2)+(1))+(1)))=("S"),"false"),B2,S346),S346))</f>
        <v>#VALUE!</v>
      </c>
      <c r="T346" t="e">
        <f ca="1">IF((A1)=(2),"",IF((343)=(T3),IF(IF((INDEX(B1:XFD1,((A2)+(1))+(0)))=("store"),(INDEX(B1:XFD1,((A2)+(1))+(1)))=("T"),"false"),B2,T346),T346))</f>
        <v>#VALUE!</v>
      </c>
      <c r="U346" t="e">
        <f ca="1">IF((A1)=(2),"",IF((343)=(U3),IF(IF((INDEX(B1:XFD1,((A2)+(1))+(0)))=("store"),(INDEX(B1:XFD1,((A2)+(1))+(1)))=("U"),"false"),B2,U346),U346))</f>
        <v>#VALUE!</v>
      </c>
      <c r="V346" t="e">
        <f ca="1">IF((A1)=(2),"",IF((343)=(V3),IF(IF((INDEX(B1:XFD1,((A2)+(1))+(0)))=("store"),(INDEX(B1:XFD1,((A2)+(1))+(1)))=("V"),"false"),B2,V346),V346))</f>
        <v>#VALUE!</v>
      </c>
      <c r="W346" t="e">
        <f ca="1">IF((A1)=(2),"",IF((343)=(W3),IF(IF((INDEX(B1:XFD1,((A2)+(1))+(0)))=("store"),(INDEX(B1:XFD1,((A2)+(1))+(1)))=("W"),"false"),B2,W346),W346))</f>
        <v>#VALUE!</v>
      </c>
      <c r="X346" t="e">
        <f ca="1">IF((A1)=(2),"",IF((343)=(X3),IF(IF((INDEX(B1:XFD1,((A2)+(1))+(0)))=("store"),(INDEX(B1:XFD1,((A2)+(1))+(1)))=("X"),"false"),B2,X346),X346))</f>
        <v>#VALUE!</v>
      </c>
      <c r="Y346" t="e">
        <f ca="1">IF((A1)=(2),"",IF((343)=(Y3),IF(IF((INDEX(B1:XFD1,((A2)+(1))+(0)))=("store"),(INDEX(B1:XFD1,((A2)+(1))+(1)))=("Y"),"false"),B2,Y346),Y346))</f>
        <v>#VALUE!</v>
      </c>
      <c r="Z346" t="e">
        <f ca="1">IF((A1)=(2),"",IF((343)=(Z3),IF(IF((INDEX(B1:XFD1,((A2)+(1))+(0)))=("store"),(INDEX(B1:XFD1,((A2)+(1))+(1)))=("Z"),"false"),B2,Z346),Z346))</f>
        <v>#VALUE!</v>
      </c>
      <c r="AA346" t="e">
        <f ca="1">IF((A1)=(2),"",IF((343)=(AA3),IF(IF((INDEX(B1:XFD1,((A2)+(1))+(0)))=("store"),(INDEX(B1:XFD1,((A2)+(1))+(1)))=("AA"),"false"),B2,AA346),AA346))</f>
        <v>#VALUE!</v>
      </c>
      <c r="AB346" t="e">
        <f ca="1">IF((A1)=(2),"",IF((343)=(AB3),IF(IF((INDEX(B1:XFD1,((A2)+(1))+(0)))=("store"),(INDEX(B1:XFD1,((A2)+(1))+(1)))=("AB"),"false"),B2,AB346),AB346))</f>
        <v>#VALUE!</v>
      </c>
      <c r="AC346" t="e">
        <f ca="1">IF((A1)=(2),"",IF((343)=(AC3),IF(IF((INDEX(B1:XFD1,((A2)+(1))+(0)))=("store"),(INDEX(B1:XFD1,((A2)+(1))+(1)))=("AC"),"false"),B2,AC346),AC346))</f>
        <v>#VALUE!</v>
      </c>
      <c r="AD346" t="e">
        <f ca="1">IF((A1)=(2),"",IF((343)=(AD3),IF(IF((INDEX(B1:XFD1,((A2)+(1))+(0)))=("store"),(INDEX(B1:XFD1,((A2)+(1))+(1)))=("AD"),"false"),B2,AD346),AD346))</f>
        <v>#VALUE!</v>
      </c>
    </row>
    <row r="347" spans="1:30" x14ac:dyDescent="0.25">
      <c r="A347" t="e">
        <f ca="1">IF((A1)=(2),"",IF((344)=(A3),IF(("call")=(INDEX(B1:XFD1,((A2)+(1))+(0))),(B2)*(2),IF(("goto")=(INDEX(B1:XFD1,((A2)+(1))+(0))),(INDEX(B1:XFD1,((A2)+(1))+(1)))*(2),IF(("gotoiftrue")=(INDEX(B1:XFD1,((A2)+(1))+(0))),IF(B2,(INDEX(B1:XFD1,((A2)+(1))+(1)))*(2),(A347)+(2)),(A347)+(2)))),A347))</f>
        <v>#VALUE!</v>
      </c>
      <c r="B347" t="e">
        <f ca="1">IF((A1)=(2),"",IF((344)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347)+(1)),IF(("add")=(INDEX(B1:XFD1,((A2)+(1))+(0))),(INDEX(B4:B404,(B3)+(1)))+(B347),IF(("equals")=(INDEX(B1:XFD1,((A2)+(1))+(0))),(INDEX(B4:B404,(B3)+(1)))=(B347),IF(("leq")=(INDEX(B1:XFD1,((A2)+(1))+(0))),(INDEX(B4:B404,(B3)+(1)))&lt;=(B347),IF(("greater")=(INDEX(B1:XFD1,((A2)+(1))+(0))),(INDEX(B4:B404,(B3)+(1)))&gt;(B347),IF(("mod")=(INDEX(B1:XFD1,((A2)+(1))+(0))),MOD(INDEX(B4:B404,(B3)+(1)),B347),B347))))))))),B347))</f>
        <v>#VALUE!</v>
      </c>
      <c r="C347" t="e">
        <f ca="1">IF((A1)=(2),1,IF(AND((INDEX(B1:XFD1,((A2)+(1))+(0)))=("writeheap"),(INDEX(B4:B404,(B3)+(1)))=(343)),INDEX(B4:B404,(B3)+(2)),IF((A1)=(2),"",IF((344)=(C3),C347,C347))))</f>
        <v>#VALUE!</v>
      </c>
      <c r="E347" t="e">
        <f ca="1">IF((A1)=(2),"",IF((344)=(E3),IF(("outputline")=(INDEX(B1:XFD1,((A2)+(1))+(0))),B2,E347),E347))</f>
        <v>#VALUE!</v>
      </c>
      <c r="F347" t="e">
        <f ca="1">IF((A1)=(2),"",IF((344)=(F3),IF(IF((INDEX(B1:XFD1,((A2)+(1))+(0)))=("store"),(INDEX(B1:XFD1,((A2)+(1))+(1)))=("F"),"false"),B2,F347),F347))</f>
        <v>#VALUE!</v>
      </c>
      <c r="G347" t="e">
        <f ca="1">IF((A1)=(2),"",IF((344)=(G3),IF(IF((INDEX(B1:XFD1,((A2)+(1))+(0)))=("store"),(INDEX(B1:XFD1,((A2)+(1))+(1)))=("G"),"false"),B2,G347),G347))</f>
        <v>#VALUE!</v>
      </c>
      <c r="H347" t="e">
        <f ca="1">IF((A1)=(2),"",IF((344)=(H3),IF(IF((INDEX(B1:XFD1,((A2)+(1))+(0)))=("store"),(INDEX(B1:XFD1,((A2)+(1))+(1)))=("H"),"false"),B2,H347),H347))</f>
        <v>#VALUE!</v>
      </c>
      <c r="I347" t="e">
        <f ca="1">IF((A1)=(2),"",IF((344)=(I3),IF(IF((INDEX(B1:XFD1,((A2)+(1))+(0)))=("store"),(INDEX(B1:XFD1,((A2)+(1))+(1)))=("I"),"false"),B2,I347),I347))</f>
        <v>#VALUE!</v>
      </c>
      <c r="J347" t="e">
        <f ca="1">IF((A1)=(2),"",IF((344)=(J3),IF(IF((INDEX(B1:XFD1,((A2)+(1))+(0)))=("store"),(INDEX(B1:XFD1,((A2)+(1))+(1)))=("J"),"false"),B2,J347),J347))</f>
        <v>#VALUE!</v>
      </c>
      <c r="K347" t="e">
        <f ca="1">IF((A1)=(2),"",IF((344)=(K3),IF(IF((INDEX(B1:XFD1,((A2)+(1))+(0)))=("store"),(INDEX(B1:XFD1,((A2)+(1))+(1)))=("K"),"false"),B2,K347),K347))</f>
        <v>#VALUE!</v>
      </c>
      <c r="L347" t="e">
        <f ca="1">IF((A1)=(2),"",IF((344)=(L3),IF(IF((INDEX(B1:XFD1,((A2)+(1))+(0)))=("store"),(INDEX(B1:XFD1,((A2)+(1))+(1)))=("L"),"false"),B2,L347),L347))</f>
        <v>#VALUE!</v>
      </c>
      <c r="M347" t="e">
        <f ca="1">IF((A1)=(2),"",IF((344)=(M3),IF(IF((INDEX(B1:XFD1,((A2)+(1))+(0)))=("store"),(INDEX(B1:XFD1,((A2)+(1))+(1)))=("M"),"false"),B2,M347),M347))</f>
        <v>#VALUE!</v>
      </c>
      <c r="N347" t="e">
        <f ca="1">IF((A1)=(2),"",IF((344)=(N3),IF(IF((INDEX(B1:XFD1,((A2)+(1))+(0)))=("store"),(INDEX(B1:XFD1,((A2)+(1))+(1)))=("N"),"false"),B2,N347),N347))</f>
        <v>#VALUE!</v>
      </c>
      <c r="O347" t="e">
        <f ca="1">IF((A1)=(2),"",IF((344)=(O3),IF(IF((INDEX(B1:XFD1,((A2)+(1))+(0)))=("store"),(INDEX(B1:XFD1,((A2)+(1))+(1)))=("O"),"false"),B2,O347),O347))</f>
        <v>#VALUE!</v>
      </c>
      <c r="P347" t="e">
        <f ca="1">IF((A1)=(2),"",IF((344)=(P3),IF(IF((INDEX(B1:XFD1,((A2)+(1))+(0)))=("store"),(INDEX(B1:XFD1,((A2)+(1))+(1)))=("P"),"false"),B2,P347),P347))</f>
        <v>#VALUE!</v>
      </c>
      <c r="Q347" t="e">
        <f ca="1">IF((A1)=(2),"",IF((344)=(Q3),IF(IF((INDEX(B1:XFD1,((A2)+(1))+(0)))=("store"),(INDEX(B1:XFD1,((A2)+(1))+(1)))=("Q"),"false"),B2,Q347),Q347))</f>
        <v>#VALUE!</v>
      </c>
      <c r="R347" t="e">
        <f ca="1">IF((A1)=(2),"",IF((344)=(R3),IF(IF((INDEX(B1:XFD1,((A2)+(1))+(0)))=("store"),(INDEX(B1:XFD1,((A2)+(1))+(1)))=("R"),"false"),B2,R347),R347))</f>
        <v>#VALUE!</v>
      </c>
      <c r="S347" t="e">
        <f ca="1">IF((A1)=(2),"",IF((344)=(S3),IF(IF((INDEX(B1:XFD1,((A2)+(1))+(0)))=("store"),(INDEX(B1:XFD1,((A2)+(1))+(1)))=("S"),"false"),B2,S347),S347))</f>
        <v>#VALUE!</v>
      </c>
      <c r="T347" t="e">
        <f ca="1">IF((A1)=(2),"",IF((344)=(T3),IF(IF((INDEX(B1:XFD1,((A2)+(1))+(0)))=("store"),(INDEX(B1:XFD1,((A2)+(1))+(1)))=("T"),"false"),B2,T347),T347))</f>
        <v>#VALUE!</v>
      </c>
      <c r="U347" t="e">
        <f ca="1">IF((A1)=(2),"",IF((344)=(U3),IF(IF((INDEX(B1:XFD1,((A2)+(1))+(0)))=("store"),(INDEX(B1:XFD1,((A2)+(1))+(1)))=("U"),"false"),B2,U347),U347))</f>
        <v>#VALUE!</v>
      </c>
      <c r="V347" t="e">
        <f ca="1">IF((A1)=(2),"",IF((344)=(V3),IF(IF((INDEX(B1:XFD1,((A2)+(1))+(0)))=("store"),(INDEX(B1:XFD1,((A2)+(1))+(1)))=("V"),"false"),B2,V347),V347))</f>
        <v>#VALUE!</v>
      </c>
      <c r="W347" t="e">
        <f ca="1">IF((A1)=(2),"",IF((344)=(W3),IF(IF((INDEX(B1:XFD1,((A2)+(1))+(0)))=("store"),(INDEX(B1:XFD1,((A2)+(1))+(1)))=("W"),"false"),B2,W347),W347))</f>
        <v>#VALUE!</v>
      </c>
      <c r="X347" t="e">
        <f ca="1">IF((A1)=(2),"",IF((344)=(X3),IF(IF((INDEX(B1:XFD1,((A2)+(1))+(0)))=("store"),(INDEX(B1:XFD1,((A2)+(1))+(1)))=("X"),"false"),B2,X347),X347))</f>
        <v>#VALUE!</v>
      </c>
      <c r="Y347" t="e">
        <f ca="1">IF((A1)=(2),"",IF((344)=(Y3),IF(IF((INDEX(B1:XFD1,((A2)+(1))+(0)))=("store"),(INDEX(B1:XFD1,((A2)+(1))+(1)))=("Y"),"false"),B2,Y347),Y347))</f>
        <v>#VALUE!</v>
      </c>
      <c r="Z347" t="e">
        <f ca="1">IF((A1)=(2),"",IF((344)=(Z3),IF(IF((INDEX(B1:XFD1,((A2)+(1))+(0)))=("store"),(INDEX(B1:XFD1,((A2)+(1))+(1)))=("Z"),"false"),B2,Z347),Z347))</f>
        <v>#VALUE!</v>
      </c>
      <c r="AA347" t="e">
        <f ca="1">IF((A1)=(2),"",IF((344)=(AA3),IF(IF((INDEX(B1:XFD1,((A2)+(1))+(0)))=("store"),(INDEX(B1:XFD1,((A2)+(1))+(1)))=("AA"),"false"),B2,AA347),AA347))</f>
        <v>#VALUE!</v>
      </c>
      <c r="AB347" t="e">
        <f ca="1">IF((A1)=(2),"",IF((344)=(AB3),IF(IF((INDEX(B1:XFD1,((A2)+(1))+(0)))=("store"),(INDEX(B1:XFD1,((A2)+(1))+(1)))=("AB"),"false"),B2,AB347),AB347))</f>
        <v>#VALUE!</v>
      </c>
      <c r="AC347" t="e">
        <f ca="1">IF((A1)=(2),"",IF((344)=(AC3),IF(IF((INDEX(B1:XFD1,((A2)+(1))+(0)))=("store"),(INDEX(B1:XFD1,((A2)+(1))+(1)))=("AC"),"false"),B2,AC347),AC347))</f>
        <v>#VALUE!</v>
      </c>
      <c r="AD347" t="e">
        <f ca="1">IF((A1)=(2),"",IF((344)=(AD3),IF(IF((INDEX(B1:XFD1,((A2)+(1))+(0)))=("store"),(INDEX(B1:XFD1,((A2)+(1))+(1)))=("AD"),"false"),B2,AD347),AD347))</f>
        <v>#VALUE!</v>
      </c>
    </row>
    <row r="348" spans="1:30" x14ac:dyDescent="0.25">
      <c r="A348" t="e">
        <f ca="1">IF((A1)=(2),"",IF((345)=(A3),IF(("call")=(INDEX(B1:XFD1,((A2)+(1))+(0))),(B2)*(2),IF(("goto")=(INDEX(B1:XFD1,((A2)+(1))+(0))),(INDEX(B1:XFD1,((A2)+(1))+(1)))*(2),IF(("gotoiftrue")=(INDEX(B1:XFD1,((A2)+(1))+(0))),IF(B2,(INDEX(B1:XFD1,((A2)+(1))+(1)))*(2),(A348)+(2)),(A348)+(2)))),A348))</f>
        <v>#VALUE!</v>
      </c>
      <c r="B348" t="e">
        <f ca="1">IF((A1)=(2),"",IF((345)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348)+(1)),IF(("add")=(INDEX(B1:XFD1,((A2)+(1))+(0))),(INDEX(B4:B404,(B3)+(1)))+(B348),IF(("equals")=(INDEX(B1:XFD1,((A2)+(1))+(0))),(INDEX(B4:B404,(B3)+(1)))=(B348),IF(("leq")=(INDEX(B1:XFD1,((A2)+(1))+(0))),(INDEX(B4:B404,(B3)+(1)))&lt;=(B348),IF(("greater")=(INDEX(B1:XFD1,((A2)+(1))+(0))),(INDEX(B4:B404,(B3)+(1)))&gt;(B348),IF(("mod")=(INDEX(B1:XFD1,((A2)+(1))+(0))),MOD(INDEX(B4:B404,(B3)+(1)),B348),B348))))))))),B348))</f>
        <v>#VALUE!</v>
      </c>
      <c r="C348" t="e">
        <f ca="1">IF((A1)=(2),1,IF(AND((INDEX(B1:XFD1,((A2)+(1))+(0)))=("writeheap"),(INDEX(B4:B404,(B3)+(1)))=(344)),INDEX(B4:B404,(B3)+(2)),IF((A1)=(2),"",IF((345)=(C3),C348,C348))))</f>
        <v>#VALUE!</v>
      </c>
      <c r="E348" t="e">
        <f ca="1">IF((A1)=(2),"",IF((345)=(E3),IF(("outputline")=(INDEX(B1:XFD1,((A2)+(1))+(0))),B2,E348),E348))</f>
        <v>#VALUE!</v>
      </c>
      <c r="F348" t="e">
        <f ca="1">IF((A1)=(2),"",IF((345)=(F3),IF(IF((INDEX(B1:XFD1,((A2)+(1))+(0)))=("store"),(INDEX(B1:XFD1,((A2)+(1))+(1)))=("F"),"false"),B2,F348),F348))</f>
        <v>#VALUE!</v>
      </c>
      <c r="G348" t="e">
        <f ca="1">IF((A1)=(2),"",IF((345)=(G3),IF(IF((INDEX(B1:XFD1,((A2)+(1))+(0)))=("store"),(INDEX(B1:XFD1,((A2)+(1))+(1)))=("G"),"false"),B2,G348),G348))</f>
        <v>#VALUE!</v>
      </c>
      <c r="H348" t="e">
        <f ca="1">IF((A1)=(2),"",IF((345)=(H3),IF(IF((INDEX(B1:XFD1,((A2)+(1))+(0)))=("store"),(INDEX(B1:XFD1,((A2)+(1))+(1)))=("H"),"false"),B2,H348),H348))</f>
        <v>#VALUE!</v>
      </c>
      <c r="I348" t="e">
        <f ca="1">IF((A1)=(2),"",IF((345)=(I3),IF(IF((INDEX(B1:XFD1,((A2)+(1))+(0)))=("store"),(INDEX(B1:XFD1,((A2)+(1))+(1)))=("I"),"false"),B2,I348),I348))</f>
        <v>#VALUE!</v>
      </c>
      <c r="J348" t="e">
        <f ca="1">IF((A1)=(2),"",IF((345)=(J3),IF(IF((INDEX(B1:XFD1,((A2)+(1))+(0)))=("store"),(INDEX(B1:XFD1,((A2)+(1))+(1)))=("J"),"false"),B2,J348),J348))</f>
        <v>#VALUE!</v>
      </c>
      <c r="K348" t="e">
        <f ca="1">IF((A1)=(2),"",IF((345)=(K3),IF(IF((INDEX(B1:XFD1,((A2)+(1))+(0)))=("store"),(INDEX(B1:XFD1,((A2)+(1))+(1)))=("K"),"false"),B2,K348),K348))</f>
        <v>#VALUE!</v>
      </c>
      <c r="L348" t="e">
        <f ca="1">IF((A1)=(2),"",IF((345)=(L3),IF(IF((INDEX(B1:XFD1,((A2)+(1))+(0)))=("store"),(INDEX(B1:XFD1,((A2)+(1))+(1)))=("L"),"false"),B2,L348),L348))</f>
        <v>#VALUE!</v>
      </c>
      <c r="M348" t="e">
        <f ca="1">IF((A1)=(2),"",IF((345)=(M3),IF(IF((INDEX(B1:XFD1,((A2)+(1))+(0)))=("store"),(INDEX(B1:XFD1,((A2)+(1))+(1)))=("M"),"false"),B2,M348),M348))</f>
        <v>#VALUE!</v>
      </c>
      <c r="N348" t="e">
        <f ca="1">IF((A1)=(2),"",IF((345)=(N3),IF(IF((INDEX(B1:XFD1,((A2)+(1))+(0)))=("store"),(INDEX(B1:XFD1,((A2)+(1))+(1)))=("N"),"false"),B2,N348),N348))</f>
        <v>#VALUE!</v>
      </c>
      <c r="O348" t="e">
        <f ca="1">IF((A1)=(2),"",IF((345)=(O3),IF(IF((INDEX(B1:XFD1,((A2)+(1))+(0)))=("store"),(INDEX(B1:XFD1,((A2)+(1))+(1)))=("O"),"false"),B2,O348),O348))</f>
        <v>#VALUE!</v>
      </c>
      <c r="P348" t="e">
        <f ca="1">IF((A1)=(2),"",IF((345)=(P3),IF(IF((INDEX(B1:XFD1,((A2)+(1))+(0)))=("store"),(INDEX(B1:XFD1,((A2)+(1))+(1)))=("P"),"false"),B2,P348),P348))</f>
        <v>#VALUE!</v>
      </c>
      <c r="Q348" t="e">
        <f ca="1">IF((A1)=(2),"",IF((345)=(Q3),IF(IF((INDEX(B1:XFD1,((A2)+(1))+(0)))=("store"),(INDEX(B1:XFD1,((A2)+(1))+(1)))=("Q"),"false"),B2,Q348),Q348))</f>
        <v>#VALUE!</v>
      </c>
      <c r="R348" t="e">
        <f ca="1">IF((A1)=(2),"",IF((345)=(R3),IF(IF((INDEX(B1:XFD1,((A2)+(1))+(0)))=("store"),(INDEX(B1:XFD1,((A2)+(1))+(1)))=("R"),"false"),B2,R348),R348))</f>
        <v>#VALUE!</v>
      </c>
      <c r="S348" t="e">
        <f ca="1">IF((A1)=(2),"",IF((345)=(S3),IF(IF((INDEX(B1:XFD1,((A2)+(1))+(0)))=("store"),(INDEX(B1:XFD1,((A2)+(1))+(1)))=("S"),"false"),B2,S348),S348))</f>
        <v>#VALUE!</v>
      </c>
      <c r="T348" t="e">
        <f ca="1">IF((A1)=(2),"",IF((345)=(T3),IF(IF((INDEX(B1:XFD1,((A2)+(1))+(0)))=("store"),(INDEX(B1:XFD1,((A2)+(1))+(1)))=("T"),"false"),B2,T348),T348))</f>
        <v>#VALUE!</v>
      </c>
      <c r="U348" t="e">
        <f ca="1">IF((A1)=(2),"",IF((345)=(U3),IF(IF((INDEX(B1:XFD1,((A2)+(1))+(0)))=("store"),(INDEX(B1:XFD1,((A2)+(1))+(1)))=("U"),"false"),B2,U348),U348))</f>
        <v>#VALUE!</v>
      </c>
      <c r="V348" t="e">
        <f ca="1">IF((A1)=(2),"",IF((345)=(V3),IF(IF((INDEX(B1:XFD1,((A2)+(1))+(0)))=("store"),(INDEX(B1:XFD1,((A2)+(1))+(1)))=("V"),"false"),B2,V348),V348))</f>
        <v>#VALUE!</v>
      </c>
      <c r="W348" t="e">
        <f ca="1">IF((A1)=(2),"",IF((345)=(W3),IF(IF((INDEX(B1:XFD1,((A2)+(1))+(0)))=("store"),(INDEX(B1:XFD1,((A2)+(1))+(1)))=("W"),"false"),B2,W348),W348))</f>
        <v>#VALUE!</v>
      </c>
      <c r="X348" t="e">
        <f ca="1">IF((A1)=(2),"",IF((345)=(X3),IF(IF((INDEX(B1:XFD1,((A2)+(1))+(0)))=("store"),(INDEX(B1:XFD1,((A2)+(1))+(1)))=("X"),"false"),B2,X348),X348))</f>
        <v>#VALUE!</v>
      </c>
      <c r="Y348" t="e">
        <f ca="1">IF((A1)=(2),"",IF((345)=(Y3),IF(IF((INDEX(B1:XFD1,((A2)+(1))+(0)))=("store"),(INDEX(B1:XFD1,((A2)+(1))+(1)))=("Y"),"false"),B2,Y348),Y348))</f>
        <v>#VALUE!</v>
      </c>
      <c r="Z348" t="e">
        <f ca="1">IF((A1)=(2),"",IF((345)=(Z3),IF(IF((INDEX(B1:XFD1,((A2)+(1))+(0)))=("store"),(INDEX(B1:XFD1,((A2)+(1))+(1)))=("Z"),"false"),B2,Z348),Z348))</f>
        <v>#VALUE!</v>
      </c>
      <c r="AA348" t="e">
        <f ca="1">IF((A1)=(2),"",IF((345)=(AA3),IF(IF((INDEX(B1:XFD1,((A2)+(1))+(0)))=("store"),(INDEX(B1:XFD1,((A2)+(1))+(1)))=("AA"),"false"),B2,AA348),AA348))</f>
        <v>#VALUE!</v>
      </c>
      <c r="AB348" t="e">
        <f ca="1">IF((A1)=(2),"",IF((345)=(AB3),IF(IF((INDEX(B1:XFD1,((A2)+(1))+(0)))=("store"),(INDEX(B1:XFD1,((A2)+(1))+(1)))=("AB"),"false"),B2,AB348),AB348))</f>
        <v>#VALUE!</v>
      </c>
      <c r="AC348" t="e">
        <f ca="1">IF((A1)=(2),"",IF((345)=(AC3),IF(IF((INDEX(B1:XFD1,((A2)+(1))+(0)))=("store"),(INDEX(B1:XFD1,((A2)+(1))+(1)))=("AC"),"false"),B2,AC348),AC348))</f>
        <v>#VALUE!</v>
      </c>
      <c r="AD348" t="e">
        <f ca="1">IF((A1)=(2),"",IF((345)=(AD3),IF(IF((INDEX(B1:XFD1,((A2)+(1))+(0)))=("store"),(INDEX(B1:XFD1,((A2)+(1))+(1)))=("AD"),"false"),B2,AD348),AD348))</f>
        <v>#VALUE!</v>
      </c>
    </row>
    <row r="349" spans="1:30" x14ac:dyDescent="0.25">
      <c r="A349" t="e">
        <f ca="1">IF((A1)=(2),"",IF((346)=(A3),IF(("call")=(INDEX(B1:XFD1,((A2)+(1))+(0))),(B2)*(2),IF(("goto")=(INDEX(B1:XFD1,((A2)+(1))+(0))),(INDEX(B1:XFD1,((A2)+(1))+(1)))*(2),IF(("gotoiftrue")=(INDEX(B1:XFD1,((A2)+(1))+(0))),IF(B2,(INDEX(B1:XFD1,((A2)+(1))+(1)))*(2),(A349)+(2)),(A349)+(2)))),A349))</f>
        <v>#VALUE!</v>
      </c>
      <c r="B349" t="e">
        <f ca="1">IF((A1)=(2),"",IF((346)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349)+(1)),IF(("add")=(INDEX(B1:XFD1,((A2)+(1))+(0))),(INDEX(B4:B404,(B3)+(1)))+(B349),IF(("equals")=(INDEX(B1:XFD1,((A2)+(1))+(0))),(INDEX(B4:B404,(B3)+(1)))=(B349),IF(("leq")=(INDEX(B1:XFD1,((A2)+(1))+(0))),(INDEX(B4:B404,(B3)+(1)))&lt;=(B349),IF(("greater")=(INDEX(B1:XFD1,((A2)+(1))+(0))),(INDEX(B4:B404,(B3)+(1)))&gt;(B349),IF(("mod")=(INDEX(B1:XFD1,((A2)+(1))+(0))),MOD(INDEX(B4:B404,(B3)+(1)),B349),B349))))))))),B349))</f>
        <v>#VALUE!</v>
      </c>
      <c r="C349" t="e">
        <f ca="1">IF((A1)=(2),1,IF(AND((INDEX(B1:XFD1,((A2)+(1))+(0)))=("writeheap"),(INDEX(B4:B404,(B3)+(1)))=(345)),INDEX(B4:B404,(B3)+(2)),IF((A1)=(2),"",IF((346)=(C3),C349,C349))))</f>
        <v>#VALUE!</v>
      </c>
      <c r="E349" t="e">
        <f ca="1">IF((A1)=(2),"",IF((346)=(E3),IF(("outputline")=(INDEX(B1:XFD1,((A2)+(1))+(0))),B2,E349),E349))</f>
        <v>#VALUE!</v>
      </c>
      <c r="F349" t="e">
        <f ca="1">IF((A1)=(2),"",IF((346)=(F3),IF(IF((INDEX(B1:XFD1,((A2)+(1))+(0)))=("store"),(INDEX(B1:XFD1,((A2)+(1))+(1)))=("F"),"false"),B2,F349),F349))</f>
        <v>#VALUE!</v>
      </c>
      <c r="G349" t="e">
        <f ca="1">IF((A1)=(2),"",IF((346)=(G3),IF(IF((INDEX(B1:XFD1,((A2)+(1))+(0)))=("store"),(INDEX(B1:XFD1,((A2)+(1))+(1)))=("G"),"false"),B2,G349),G349))</f>
        <v>#VALUE!</v>
      </c>
      <c r="H349" t="e">
        <f ca="1">IF((A1)=(2),"",IF((346)=(H3),IF(IF((INDEX(B1:XFD1,((A2)+(1))+(0)))=("store"),(INDEX(B1:XFD1,((A2)+(1))+(1)))=("H"),"false"),B2,H349),H349))</f>
        <v>#VALUE!</v>
      </c>
      <c r="I349" t="e">
        <f ca="1">IF((A1)=(2),"",IF((346)=(I3),IF(IF((INDEX(B1:XFD1,((A2)+(1))+(0)))=("store"),(INDEX(B1:XFD1,((A2)+(1))+(1)))=("I"),"false"),B2,I349),I349))</f>
        <v>#VALUE!</v>
      </c>
      <c r="J349" t="e">
        <f ca="1">IF((A1)=(2),"",IF((346)=(J3),IF(IF((INDEX(B1:XFD1,((A2)+(1))+(0)))=("store"),(INDEX(B1:XFD1,((A2)+(1))+(1)))=("J"),"false"),B2,J349),J349))</f>
        <v>#VALUE!</v>
      </c>
      <c r="K349" t="e">
        <f ca="1">IF((A1)=(2),"",IF((346)=(K3),IF(IF((INDEX(B1:XFD1,((A2)+(1))+(0)))=("store"),(INDEX(B1:XFD1,((A2)+(1))+(1)))=("K"),"false"),B2,K349),K349))</f>
        <v>#VALUE!</v>
      </c>
      <c r="L349" t="e">
        <f ca="1">IF((A1)=(2),"",IF((346)=(L3),IF(IF((INDEX(B1:XFD1,((A2)+(1))+(0)))=("store"),(INDEX(B1:XFD1,((A2)+(1))+(1)))=("L"),"false"),B2,L349),L349))</f>
        <v>#VALUE!</v>
      </c>
      <c r="M349" t="e">
        <f ca="1">IF((A1)=(2),"",IF((346)=(M3),IF(IF((INDEX(B1:XFD1,((A2)+(1))+(0)))=("store"),(INDEX(B1:XFD1,((A2)+(1))+(1)))=("M"),"false"),B2,M349),M349))</f>
        <v>#VALUE!</v>
      </c>
      <c r="N349" t="e">
        <f ca="1">IF((A1)=(2),"",IF((346)=(N3),IF(IF((INDEX(B1:XFD1,((A2)+(1))+(0)))=("store"),(INDEX(B1:XFD1,((A2)+(1))+(1)))=("N"),"false"),B2,N349),N349))</f>
        <v>#VALUE!</v>
      </c>
      <c r="O349" t="e">
        <f ca="1">IF((A1)=(2),"",IF((346)=(O3),IF(IF((INDEX(B1:XFD1,((A2)+(1))+(0)))=("store"),(INDEX(B1:XFD1,((A2)+(1))+(1)))=("O"),"false"),B2,O349),O349))</f>
        <v>#VALUE!</v>
      </c>
      <c r="P349" t="e">
        <f ca="1">IF((A1)=(2),"",IF((346)=(P3),IF(IF((INDEX(B1:XFD1,((A2)+(1))+(0)))=("store"),(INDEX(B1:XFD1,((A2)+(1))+(1)))=("P"),"false"),B2,P349),P349))</f>
        <v>#VALUE!</v>
      </c>
      <c r="Q349" t="e">
        <f ca="1">IF((A1)=(2),"",IF((346)=(Q3),IF(IF((INDEX(B1:XFD1,((A2)+(1))+(0)))=("store"),(INDEX(B1:XFD1,((A2)+(1))+(1)))=("Q"),"false"),B2,Q349),Q349))</f>
        <v>#VALUE!</v>
      </c>
      <c r="R349" t="e">
        <f ca="1">IF((A1)=(2),"",IF((346)=(R3),IF(IF((INDEX(B1:XFD1,((A2)+(1))+(0)))=("store"),(INDEX(B1:XFD1,((A2)+(1))+(1)))=("R"),"false"),B2,R349),R349))</f>
        <v>#VALUE!</v>
      </c>
      <c r="S349" t="e">
        <f ca="1">IF((A1)=(2),"",IF((346)=(S3),IF(IF((INDEX(B1:XFD1,((A2)+(1))+(0)))=("store"),(INDEX(B1:XFD1,((A2)+(1))+(1)))=("S"),"false"),B2,S349),S349))</f>
        <v>#VALUE!</v>
      </c>
      <c r="T349" t="e">
        <f ca="1">IF((A1)=(2),"",IF((346)=(T3),IF(IF((INDEX(B1:XFD1,((A2)+(1))+(0)))=("store"),(INDEX(B1:XFD1,((A2)+(1))+(1)))=("T"),"false"),B2,T349),T349))</f>
        <v>#VALUE!</v>
      </c>
      <c r="U349" t="e">
        <f ca="1">IF((A1)=(2),"",IF((346)=(U3),IF(IF((INDEX(B1:XFD1,((A2)+(1))+(0)))=("store"),(INDEX(B1:XFD1,((A2)+(1))+(1)))=("U"),"false"),B2,U349),U349))</f>
        <v>#VALUE!</v>
      </c>
      <c r="V349" t="e">
        <f ca="1">IF((A1)=(2),"",IF((346)=(V3),IF(IF((INDEX(B1:XFD1,((A2)+(1))+(0)))=("store"),(INDEX(B1:XFD1,((A2)+(1))+(1)))=("V"),"false"),B2,V349),V349))</f>
        <v>#VALUE!</v>
      </c>
      <c r="W349" t="e">
        <f ca="1">IF((A1)=(2),"",IF((346)=(W3),IF(IF((INDEX(B1:XFD1,((A2)+(1))+(0)))=("store"),(INDEX(B1:XFD1,((A2)+(1))+(1)))=("W"),"false"),B2,W349),W349))</f>
        <v>#VALUE!</v>
      </c>
      <c r="X349" t="e">
        <f ca="1">IF((A1)=(2),"",IF((346)=(X3),IF(IF((INDEX(B1:XFD1,((A2)+(1))+(0)))=("store"),(INDEX(B1:XFD1,((A2)+(1))+(1)))=("X"),"false"),B2,X349),X349))</f>
        <v>#VALUE!</v>
      </c>
      <c r="Y349" t="e">
        <f ca="1">IF((A1)=(2),"",IF((346)=(Y3),IF(IF((INDEX(B1:XFD1,((A2)+(1))+(0)))=("store"),(INDEX(B1:XFD1,((A2)+(1))+(1)))=("Y"),"false"),B2,Y349),Y349))</f>
        <v>#VALUE!</v>
      </c>
      <c r="Z349" t="e">
        <f ca="1">IF((A1)=(2),"",IF((346)=(Z3),IF(IF((INDEX(B1:XFD1,((A2)+(1))+(0)))=("store"),(INDEX(B1:XFD1,((A2)+(1))+(1)))=("Z"),"false"),B2,Z349),Z349))</f>
        <v>#VALUE!</v>
      </c>
      <c r="AA349" t="e">
        <f ca="1">IF((A1)=(2),"",IF((346)=(AA3),IF(IF((INDEX(B1:XFD1,((A2)+(1))+(0)))=("store"),(INDEX(B1:XFD1,((A2)+(1))+(1)))=("AA"),"false"),B2,AA349),AA349))</f>
        <v>#VALUE!</v>
      </c>
      <c r="AB349" t="e">
        <f ca="1">IF((A1)=(2),"",IF((346)=(AB3),IF(IF((INDEX(B1:XFD1,((A2)+(1))+(0)))=("store"),(INDEX(B1:XFD1,((A2)+(1))+(1)))=("AB"),"false"),B2,AB349),AB349))</f>
        <v>#VALUE!</v>
      </c>
      <c r="AC349" t="e">
        <f ca="1">IF((A1)=(2),"",IF((346)=(AC3),IF(IF((INDEX(B1:XFD1,((A2)+(1))+(0)))=("store"),(INDEX(B1:XFD1,((A2)+(1))+(1)))=("AC"),"false"),B2,AC349),AC349))</f>
        <v>#VALUE!</v>
      </c>
      <c r="AD349" t="e">
        <f ca="1">IF((A1)=(2),"",IF((346)=(AD3),IF(IF((INDEX(B1:XFD1,((A2)+(1))+(0)))=("store"),(INDEX(B1:XFD1,((A2)+(1))+(1)))=("AD"),"false"),B2,AD349),AD349))</f>
        <v>#VALUE!</v>
      </c>
    </row>
    <row r="350" spans="1:30" x14ac:dyDescent="0.25">
      <c r="A350" t="e">
        <f ca="1">IF((A1)=(2),"",IF((347)=(A3),IF(("call")=(INDEX(B1:XFD1,((A2)+(1))+(0))),(B2)*(2),IF(("goto")=(INDEX(B1:XFD1,((A2)+(1))+(0))),(INDEX(B1:XFD1,((A2)+(1))+(1)))*(2),IF(("gotoiftrue")=(INDEX(B1:XFD1,((A2)+(1))+(0))),IF(B2,(INDEX(B1:XFD1,((A2)+(1))+(1)))*(2),(A350)+(2)),(A350)+(2)))),A350))</f>
        <v>#VALUE!</v>
      </c>
      <c r="B350" t="e">
        <f ca="1">IF((A1)=(2),"",IF((347)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350)+(1)),IF(("add")=(INDEX(B1:XFD1,((A2)+(1))+(0))),(INDEX(B4:B404,(B3)+(1)))+(B350),IF(("equals")=(INDEX(B1:XFD1,((A2)+(1))+(0))),(INDEX(B4:B404,(B3)+(1)))=(B350),IF(("leq")=(INDEX(B1:XFD1,((A2)+(1))+(0))),(INDEX(B4:B404,(B3)+(1)))&lt;=(B350),IF(("greater")=(INDEX(B1:XFD1,((A2)+(1))+(0))),(INDEX(B4:B404,(B3)+(1)))&gt;(B350),IF(("mod")=(INDEX(B1:XFD1,((A2)+(1))+(0))),MOD(INDEX(B4:B404,(B3)+(1)),B350),B350))))))))),B350))</f>
        <v>#VALUE!</v>
      </c>
      <c r="C350" t="e">
        <f ca="1">IF((A1)=(2),1,IF(AND((INDEX(B1:XFD1,((A2)+(1))+(0)))=("writeheap"),(INDEX(B4:B404,(B3)+(1)))=(346)),INDEX(B4:B404,(B3)+(2)),IF((A1)=(2),"",IF((347)=(C3),C350,C350))))</f>
        <v>#VALUE!</v>
      </c>
      <c r="E350" t="e">
        <f ca="1">IF((A1)=(2),"",IF((347)=(E3),IF(("outputline")=(INDEX(B1:XFD1,((A2)+(1))+(0))),B2,E350),E350))</f>
        <v>#VALUE!</v>
      </c>
      <c r="F350" t="e">
        <f ca="1">IF((A1)=(2),"",IF((347)=(F3),IF(IF((INDEX(B1:XFD1,((A2)+(1))+(0)))=("store"),(INDEX(B1:XFD1,((A2)+(1))+(1)))=("F"),"false"),B2,F350),F350))</f>
        <v>#VALUE!</v>
      </c>
      <c r="G350" t="e">
        <f ca="1">IF((A1)=(2),"",IF((347)=(G3),IF(IF((INDEX(B1:XFD1,((A2)+(1))+(0)))=("store"),(INDEX(B1:XFD1,((A2)+(1))+(1)))=("G"),"false"),B2,G350),G350))</f>
        <v>#VALUE!</v>
      </c>
      <c r="H350" t="e">
        <f ca="1">IF((A1)=(2),"",IF((347)=(H3),IF(IF((INDEX(B1:XFD1,((A2)+(1))+(0)))=("store"),(INDEX(B1:XFD1,((A2)+(1))+(1)))=("H"),"false"),B2,H350),H350))</f>
        <v>#VALUE!</v>
      </c>
      <c r="I350" t="e">
        <f ca="1">IF((A1)=(2),"",IF((347)=(I3),IF(IF((INDEX(B1:XFD1,((A2)+(1))+(0)))=("store"),(INDEX(B1:XFD1,((A2)+(1))+(1)))=("I"),"false"),B2,I350),I350))</f>
        <v>#VALUE!</v>
      </c>
      <c r="J350" t="e">
        <f ca="1">IF((A1)=(2),"",IF((347)=(J3),IF(IF((INDEX(B1:XFD1,((A2)+(1))+(0)))=("store"),(INDEX(B1:XFD1,((A2)+(1))+(1)))=("J"),"false"),B2,J350),J350))</f>
        <v>#VALUE!</v>
      </c>
      <c r="K350" t="e">
        <f ca="1">IF((A1)=(2),"",IF((347)=(K3),IF(IF((INDEX(B1:XFD1,((A2)+(1))+(0)))=("store"),(INDEX(B1:XFD1,((A2)+(1))+(1)))=("K"),"false"),B2,K350),K350))</f>
        <v>#VALUE!</v>
      </c>
      <c r="L350" t="e">
        <f ca="1">IF((A1)=(2),"",IF((347)=(L3),IF(IF((INDEX(B1:XFD1,((A2)+(1))+(0)))=("store"),(INDEX(B1:XFD1,((A2)+(1))+(1)))=("L"),"false"),B2,L350),L350))</f>
        <v>#VALUE!</v>
      </c>
      <c r="M350" t="e">
        <f ca="1">IF((A1)=(2),"",IF((347)=(M3),IF(IF((INDEX(B1:XFD1,((A2)+(1))+(0)))=("store"),(INDEX(B1:XFD1,((A2)+(1))+(1)))=("M"),"false"),B2,M350),M350))</f>
        <v>#VALUE!</v>
      </c>
      <c r="N350" t="e">
        <f ca="1">IF((A1)=(2),"",IF((347)=(N3),IF(IF((INDEX(B1:XFD1,((A2)+(1))+(0)))=("store"),(INDEX(B1:XFD1,((A2)+(1))+(1)))=("N"),"false"),B2,N350),N350))</f>
        <v>#VALUE!</v>
      </c>
      <c r="O350" t="e">
        <f ca="1">IF((A1)=(2),"",IF((347)=(O3),IF(IF((INDEX(B1:XFD1,((A2)+(1))+(0)))=("store"),(INDEX(B1:XFD1,((A2)+(1))+(1)))=("O"),"false"),B2,O350),O350))</f>
        <v>#VALUE!</v>
      </c>
      <c r="P350" t="e">
        <f ca="1">IF((A1)=(2),"",IF((347)=(P3),IF(IF((INDEX(B1:XFD1,((A2)+(1))+(0)))=("store"),(INDEX(B1:XFD1,((A2)+(1))+(1)))=("P"),"false"),B2,P350),P350))</f>
        <v>#VALUE!</v>
      </c>
      <c r="Q350" t="e">
        <f ca="1">IF((A1)=(2),"",IF((347)=(Q3),IF(IF((INDEX(B1:XFD1,((A2)+(1))+(0)))=("store"),(INDEX(B1:XFD1,((A2)+(1))+(1)))=("Q"),"false"),B2,Q350),Q350))</f>
        <v>#VALUE!</v>
      </c>
      <c r="R350" t="e">
        <f ca="1">IF((A1)=(2),"",IF((347)=(R3),IF(IF((INDEX(B1:XFD1,((A2)+(1))+(0)))=("store"),(INDEX(B1:XFD1,((A2)+(1))+(1)))=("R"),"false"),B2,R350),R350))</f>
        <v>#VALUE!</v>
      </c>
      <c r="S350" t="e">
        <f ca="1">IF((A1)=(2),"",IF((347)=(S3),IF(IF((INDEX(B1:XFD1,((A2)+(1))+(0)))=("store"),(INDEX(B1:XFD1,((A2)+(1))+(1)))=("S"),"false"),B2,S350),S350))</f>
        <v>#VALUE!</v>
      </c>
      <c r="T350" t="e">
        <f ca="1">IF((A1)=(2),"",IF((347)=(T3),IF(IF((INDEX(B1:XFD1,((A2)+(1))+(0)))=("store"),(INDEX(B1:XFD1,((A2)+(1))+(1)))=("T"),"false"),B2,T350),T350))</f>
        <v>#VALUE!</v>
      </c>
      <c r="U350" t="e">
        <f ca="1">IF((A1)=(2),"",IF((347)=(U3),IF(IF((INDEX(B1:XFD1,((A2)+(1))+(0)))=("store"),(INDEX(B1:XFD1,((A2)+(1))+(1)))=("U"),"false"),B2,U350),U350))</f>
        <v>#VALUE!</v>
      </c>
      <c r="V350" t="e">
        <f ca="1">IF((A1)=(2),"",IF((347)=(V3),IF(IF((INDEX(B1:XFD1,((A2)+(1))+(0)))=("store"),(INDEX(B1:XFD1,((A2)+(1))+(1)))=("V"),"false"),B2,V350),V350))</f>
        <v>#VALUE!</v>
      </c>
      <c r="W350" t="e">
        <f ca="1">IF((A1)=(2),"",IF((347)=(W3),IF(IF((INDEX(B1:XFD1,((A2)+(1))+(0)))=("store"),(INDEX(B1:XFD1,((A2)+(1))+(1)))=("W"),"false"),B2,W350),W350))</f>
        <v>#VALUE!</v>
      </c>
      <c r="X350" t="e">
        <f ca="1">IF((A1)=(2),"",IF((347)=(X3),IF(IF((INDEX(B1:XFD1,((A2)+(1))+(0)))=("store"),(INDEX(B1:XFD1,((A2)+(1))+(1)))=("X"),"false"),B2,X350),X350))</f>
        <v>#VALUE!</v>
      </c>
      <c r="Y350" t="e">
        <f ca="1">IF((A1)=(2),"",IF((347)=(Y3),IF(IF((INDEX(B1:XFD1,((A2)+(1))+(0)))=("store"),(INDEX(B1:XFD1,((A2)+(1))+(1)))=("Y"),"false"),B2,Y350),Y350))</f>
        <v>#VALUE!</v>
      </c>
      <c r="Z350" t="e">
        <f ca="1">IF((A1)=(2),"",IF((347)=(Z3),IF(IF((INDEX(B1:XFD1,((A2)+(1))+(0)))=("store"),(INDEX(B1:XFD1,((A2)+(1))+(1)))=("Z"),"false"),B2,Z350),Z350))</f>
        <v>#VALUE!</v>
      </c>
      <c r="AA350" t="e">
        <f ca="1">IF((A1)=(2),"",IF((347)=(AA3),IF(IF((INDEX(B1:XFD1,((A2)+(1))+(0)))=("store"),(INDEX(B1:XFD1,((A2)+(1))+(1)))=("AA"),"false"),B2,AA350),AA350))</f>
        <v>#VALUE!</v>
      </c>
      <c r="AB350" t="e">
        <f ca="1">IF((A1)=(2),"",IF((347)=(AB3),IF(IF((INDEX(B1:XFD1,((A2)+(1))+(0)))=("store"),(INDEX(B1:XFD1,((A2)+(1))+(1)))=("AB"),"false"),B2,AB350),AB350))</f>
        <v>#VALUE!</v>
      </c>
      <c r="AC350" t="e">
        <f ca="1">IF((A1)=(2),"",IF((347)=(AC3),IF(IF((INDEX(B1:XFD1,((A2)+(1))+(0)))=("store"),(INDEX(B1:XFD1,((A2)+(1))+(1)))=("AC"),"false"),B2,AC350),AC350))</f>
        <v>#VALUE!</v>
      </c>
      <c r="AD350" t="e">
        <f ca="1">IF((A1)=(2),"",IF((347)=(AD3),IF(IF((INDEX(B1:XFD1,((A2)+(1))+(0)))=("store"),(INDEX(B1:XFD1,((A2)+(1))+(1)))=("AD"),"false"),B2,AD350),AD350))</f>
        <v>#VALUE!</v>
      </c>
    </row>
    <row r="351" spans="1:30" x14ac:dyDescent="0.25">
      <c r="A351" t="e">
        <f ca="1">IF((A1)=(2),"",IF((348)=(A3),IF(("call")=(INDEX(B1:XFD1,((A2)+(1))+(0))),(B2)*(2),IF(("goto")=(INDEX(B1:XFD1,((A2)+(1))+(0))),(INDEX(B1:XFD1,((A2)+(1))+(1)))*(2),IF(("gotoiftrue")=(INDEX(B1:XFD1,((A2)+(1))+(0))),IF(B2,(INDEX(B1:XFD1,((A2)+(1))+(1)))*(2),(A351)+(2)),(A351)+(2)))),A351))</f>
        <v>#VALUE!</v>
      </c>
      <c r="B351" t="e">
        <f ca="1">IF((A1)=(2),"",IF((348)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351)+(1)),IF(("add")=(INDEX(B1:XFD1,((A2)+(1))+(0))),(INDEX(B4:B404,(B3)+(1)))+(B351),IF(("equals")=(INDEX(B1:XFD1,((A2)+(1))+(0))),(INDEX(B4:B404,(B3)+(1)))=(B351),IF(("leq")=(INDEX(B1:XFD1,((A2)+(1))+(0))),(INDEX(B4:B404,(B3)+(1)))&lt;=(B351),IF(("greater")=(INDEX(B1:XFD1,((A2)+(1))+(0))),(INDEX(B4:B404,(B3)+(1)))&gt;(B351),IF(("mod")=(INDEX(B1:XFD1,((A2)+(1))+(0))),MOD(INDEX(B4:B404,(B3)+(1)),B351),B351))))))))),B351))</f>
        <v>#VALUE!</v>
      </c>
      <c r="C351" t="e">
        <f ca="1">IF((A1)=(2),1,IF(AND((INDEX(B1:XFD1,((A2)+(1))+(0)))=("writeheap"),(INDEX(B4:B404,(B3)+(1)))=(347)),INDEX(B4:B404,(B3)+(2)),IF((A1)=(2),"",IF((348)=(C3),C351,C351))))</f>
        <v>#VALUE!</v>
      </c>
      <c r="E351" t="e">
        <f ca="1">IF((A1)=(2),"",IF((348)=(E3),IF(("outputline")=(INDEX(B1:XFD1,((A2)+(1))+(0))),B2,E351),E351))</f>
        <v>#VALUE!</v>
      </c>
      <c r="F351" t="e">
        <f ca="1">IF((A1)=(2),"",IF((348)=(F3),IF(IF((INDEX(B1:XFD1,((A2)+(1))+(0)))=("store"),(INDEX(B1:XFD1,((A2)+(1))+(1)))=("F"),"false"),B2,F351),F351))</f>
        <v>#VALUE!</v>
      </c>
      <c r="G351" t="e">
        <f ca="1">IF((A1)=(2),"",IF((348)=(G3),IF(IF((INDEX(B1:XFD1,((A2)+(1))+(0)))=("store"),(INDEX(B1:XFD1,((A2)+(1))+(1)))=("G"),"false"),B2,G351),G351))</f>
        <v>#VALUE!</v>
      </c>
      <c r="H351" t="e">
        <f ca="1">IF((A1)=(2),"",IF((348)=(H3),IF(IF((INDEX(B1:XFD1,((A2)+(1))+(0)))=("store"),(INDEX(B1:XFD1,((A2)+(1))+(1)))=("H"),"false"),B2,H351),H351))</f>
        <v>#VALUE!</v>
      </c>
      <c r="I351" t="e">
        <f ca="1">IF((A1)=(2),"",IF((348)=(I3),IF(IF((INDEX(B1:XFD1,((A2)+(1))+(0)))=("store"),(INDEX(B1:XFD1,((A2)+(1))+(1)))=("I"),"false"),B2,I351),I351))</f>
        <v>#VALUE!</v>
      </c>
      <c r="J351" t="e">
        <f ca="1">IF((A1)=(2),"",IF((348)=(J3),IF(IF((INDEX(B1:XFD1,((A2)+(1))+(0)))=("store"),(INDEX(B1:XFD1,((A2)+(1))+(1)))=("J"),"false"),B2,J351),J351))</f>
        <v>#VALUE!</v>
      </c>
      <c r="K351" t="e">
        <f ca="1">IF((A1)=(2),"",IF((348)=(K3),IF(IF((INDEX(B1:XFD1,((A2)+(1))+(0)))=("store"),(INDEX(B1:XFD1,((A2)+(1))+(1)))=("K"),"false"),B2,K351),K351))</f>
        <v>#VALUE!</v>
      </c>
      <c r="L351" t="e">
        <f ca="1">IF((A1)=(2),"",IF((348)=(L3),IF(IF((INDEX(B1:XFD1,((A2)+(1))+(0)))=("store"),(INDEX(B1:XFD1,((A2)+(1))+(1)))=("L"),"false"),B2,L351),L351))</f>
        <v>#VALUE!</v>
      </c>
      <c r="M351" t="e">
        <f ca="1">IF((A1)=(2),"",IF((348)=(M3),IF(IF((INDEX(B1:XFD1,((A2)+(1))+(0)))=("store"),(INDEX(B1:XFD1,((A2)+(1))+(1)))=("M"),"false"),B2,M351),M351))</f>
        <v>#VALUE!</v>
      </c>
      <c r="N351" t="e">
        <f ca="1">IF((A1)=(2),"",IF((348)=(N3),IF(IF((INDEX(B1:XFD1,((A2)+(1))+(0)))=("store"),(INDEX(B1:XFD1,((A2)+(1))+(1)))=("N"),"false"),B2,N351),N351))</f>
        <v>#VALUE!</v>
      </c>
      <c r="O351" t="e">
        <f ca="1">IF((A1)=(2),"",IF((348)=(O3),IF(IF((INDEX(B1:XFD1,((A2)+(1))+(0)))=("store"),(INDEX(B1:XFD1,((A2)+(1))+(1)))=("O"),"false"),B2,O351),O351))</f>
        <v>#VALUE!</v>
      </c>
      <c r="P351" t="e">
        <f ca="1">IF((A1)=(2),"",IF((348)=(P3),IF(IF((INDEX(B1:XFD1,((A2)+(1))+(0)))=("store"),(INDEX(B1:XFD1,((A2)+(1))+(1)))=("P"),"false"),B2,P351),P351))</f>
        <v>#VALUE!</v>
      </c>
      <c r="Q351" t="e">
        <f ca="1">IF((A1)=(2),"",IF((348)=(Q3),IF(IF((INDEX(B1:XFD1,((A2)+(1))+(0)))=("store"),(INDEX(B1:XFD1,((A2)+(1))+(1)))=("Q"),"false"),B2,Q351),Q351))</f>
        <v>#VALUE!</v>
      </c>
      <c r="R351" t="e">
        <f ca="1">IF((A1)=(2),"",IF((348)=(R3),IF(IF((INDEX(B1:XFD1,((A2)+(1))+(0)))=("store"),(INDEX(B1:XFD1,((A2)+(1))+(1)))=("R"),"false"),B2,R351),R351))</f>
        <v>#VALUE!</v>
      </c>
      <c r="S351" t="e">
        <f ca="1">IF((A1)=(2),"",IF((348)=(S3),IF(IF((INDEX(B1:XFD1,((A2)+(1))+(0)))=("store"),(INDEX(B1:XFD1,((A2)+(1))+(1)))=("S"),"false"),B2,S351),S351))</f>
        <v>#VALUE!</v>
      </c>
      <c r="T351" t="e">
        <f ca="1">IF((A1)=(2),"",IF((348)=(T3),IF(IF((INDEX(B1:XFD1,((A2)+(1))+(0)))=("store"),(INDEX(B1:XFD1,((A2)+(1))+(1)))=("T"),"false"),B2,T351),T351))</f>
        <v>#VALUE!</v>
      </c>
      <c r="U351" t="e">
        <f ca="1">IF((A1)=(2),"",IF((348)=(U3),IF(IF((INDEX(B1:XFD1,((A2)+(1))+(0)))=("store"),(INDEX(B1:XFD1,((A2)+(1))+(1)))=("U"),"false"),B2,U351),U351))</f>
        <v>#VALUE!</v>
      </c>
      <c r="V351" t="e">
        <f ca="1">IF((A1)=(2),"",IF((348)=(V3),IF(IF((INDEX(B1:XFD1,((A2)+(1))+(0)))=("store"),(INDEX(B1:XFD1,((A2)+(1))+(1)))=("V"),"false"),B2,V351),V351))</f>
        <v>#VALUE!</v>
      </c>
      <c r="W351" t="e">
        <f ca="1">IF((A1)=(2),"",IF((348)=(W3),IF(IF((INDEX(B1:XFD1,((A2)+(1))+(0)))=("store"),(INDEX(B1:XFD1,((A2)+(1))+(1)))=("W"),"false"),B2,W351),W351))</f>
        <v>#VALUE!</v>
      </c>
      <c r="X351" t="e">
        <f ca="1">IF((A1)=(2),"",IF((348)=(X3),IF(IF((INDEX(B1:XFD1,((A2)+(1))+(0)))=("store"),(INDEX(B1:XFD1,((A2)+(1))+(1)))=("X"),"false"),B2,X351),X351))</f>
        <v>#VALUE!</v>
      </c>
      <c r="Y351" t="e">
        <f ca="1">IF((A1)=(2),"",IF((348)=(Y3),IF(IF((INDEX(B1:XFD1,((A2)+(1))+(0)))=("store"),(INDEX(B1:XFD1,((A2)+(1))+(1)))=("Y"),"false"),B2,Y351),Y351))</f>
        <v>#VALUE!</v>
      </c>
      <c r="Z351" t="e">
        <f ca="1">IF((A1)=(2),"",IF((348)=(Z3),IF(IF((INDEX(B1:XFD1,((A2)+(1))+(0)))=("store"),(INDEX(B1:XFD1,((A2)+(1))+(1)))=("Z"),"false"),B2,Z351),Z351))</f>
        <v>#VALUE!</v>
      </c>
      <c r="AA351" t="e">
        <f ca="1">IF((A1)=(2),"",IF((348)=(AA3),IF(IF((INDEX(B1:XFD1,((A2)+(1))+(0)))=("store"),(INDEX(B1:XFD1,((A2)+(1))+(1)))=("AA"),"false"),B2,AA351),AA351))</f>
        <v>#VALUE!</v>
      </c>
      <c r="AB351" t="e">
        <f ca="1">IF((A1)=(2),"",IF((348)=(AB3),IF(IF((INDEX(B1:XFD1,((A2)+(1))+(0)))=("store"),(INDEX(B1:XFD1,((A2)+(1))+(1)))=("AB"),"false"),B2,AB351),AB351))</f>
        <v>#VALUE!</v>
      </c>
      <c r="AC351" t="e">
        <f ca="1">IF((A1)=(2),"",IF((348)=(AC3),IF(IF((INDEX(B1:XFD1,((A2)+(1))+(0)))=("store"),(INDEX(B1:XFD1,((A2)+(1))+(1)))=("AC"),"false"),B2,AC351),AC351))</f>
        <v>#VALUE!</v>
      </c>
      <c r="AD351" t="e">
        <f ca="1">IF((A1)=(2),"",IF((348)=(AD3),IF(IF((INDEX(B1:XFD1,((A2)+(1))+(0)))=("store"),(INDEX(B1:XFD1,((A2)+(1))+(1)))=("AD"),"false"),B2,AD351),AD351))</f>
        <v>#VALUE!</v>
      </c>
    </row>
    <row r="352" spans="1:30" x14ac:dyDescent="0.25">
      <c r="A352" t="e">
        <f ca="1">IF((A1)=(2),"",IF((349)=(A3),IF(("call")=(INDEX(B1:XFD1,((A2)+(1))+(0))),(B2)*(2),IF(("goto")=(INDEX(B1:XFD1,((A2)+(1))+(0))),(INDEX(B1:XFD1,((A2)+(1))+(1)))*(2),IF(("gotoiftrue")=(INDEX(B1:XFD1,((A2)+(1))+(0))),IF(B2,(INDEX(B1:XFD1,((A2)+(1))+(1)))*(2),(A352)+(2)),(A352)+(2)))),A352))</f>
        <v>#VALUE!</v>
      </c>
      <c r="B352" t="e">
        <f ca="1">IF((A1)=(2),"",IF((349)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352)+(1)),IF(("add")=(INDEX(B1:XFD1,((A2)+(1))+(0))),(INDEX(B4:B404,(B3)+(1)))+(B352),IF(("equals")=(INDEX(B1:XFD1,((A2)+(1))+(0))),(INDEX(B4:B404,(B3)+(1)))=(B352),IF(("leq")=(INDEX(B1:XFD1,((A2)+(1))+(0))),(INDEX(B4:B404,(B3)+(1)))&lt;=(B352),IF(("greater")=(INDEX(B1:XFD1,((A2)+(1))+(0))),(INDEX(B4:B404,(B3)+(1)))&gt;(B352),IF(("mod")=(INDEX(B1:XFD1,((A2)+(1))+(0))),MOD(INDEX(B4:B404,(B3)+(1)),B352),B352))))))))),B352))</f>
        <v>#VALUE!</v>
      </c>
      <c r="C352" t="e">
        <f ca="1">IF((A1)=(2),1,IF(AND((INDEX(B1:XFD1,((A2)+(1))+(0)))=("writeheap"),(INDEX(B4:B404,(B3)+(1)))=(348)),INDEX(B4:B404,(B3)+(2)),IF((A1)=(2),"",IF((349)=(C3),C352,C352))))</f>
        <v>#VALUE!</v>
      </c>
      <c r="E352" t="e">
        <f ca="1">IF((A1)=(2),"",IF((349)=(E3),IF(("outputline")=(INDEX(B1:XFD1,((A2)+(1))+(0))),B2,E352),E352))</f>
        <v>#VALUE!</v>
      </c>
      <c r="F352" t="e">
        <f ca="1">IF((A1)=(2),"",IF((349)=(F3),IF(IF((INDEX(B1:XFD1,((A2)+(1))+(0)))=("store"),(INDEX(B1:XFD1,((A2)+(1))+(1)))=("F"),"false"),B2,F352),F352))</f>
        <v>#VALUE!</v>
      </c>
      <c r="G352" t="e">
        <f ca="1">IF((A1)=(2),"",IF((349)=(G3),IF(IF((INDEX(B1:XFD1,((A2)+(1))+(0)))=("store"),(INDEX(B1:XFD1,((A2)+(1))+(1)))=("G"),"false"),B2,G352),G352))</f>
        <v>#VALUE!</v>
      </c>
      <c r="H352" t="e">
        <f ca="1">IF((A1)=(2),"",IF((349)=(H3),IF(IF((INDEX(B1:XFD1,((A2)+(1))+(0)))=("store"),(INDEX(B1:XFD1,((A2)+(1))+(1)))=("H"),"false"),B2,H352),H352))</f>
        <v>#VALUE!</v>
      </c>
      <c r="I352" t="e">
        <f ca="1">IF((A1)=(2),"",IF((349)=(I3),IF(IF((INDEX(B1:XFD1,((A2)+(1))+(0)))=("store"),(INDEX(B1:XFD1,((A2)+(1))+(1)))=("I"),"false"),B2,I352),I352))</f>
        <v>#VALUE!</v>
      </c>
      <c r="J352" t="e">
        <f ca="1">IF((A1)=(2),"",IF((349)=(J3),IF(IF((INDEX(B1:XFD1,((A2)+(1))+(0)))=("store"),(INDEX(B1:XFD1,((A2)+(1))+(1)))=("J"),"false"),B2,J352),J352))</f>
        <v>#VALUE!</v>
      </c>
      <c r="K352" t="e">
        <f ca="1">IF((A1)=(2),"",IF((349)=(K3),IF(IF((INDEX(B1:XFD1,((A2)+(1))+(0)))=("store"),(INDEX(B1:XFD1,((A2)+(1))+(1)))=("K"),"false"),B2,K352),K352))</f>
        <v>#VALUE!</v>
      </c>
      <c r="L352" t="e">
        <f ca="1">IF((A1)=(2),"",IF((349)=(L3),IF(IF((INDEX(B1:XFD1,((A2)+(1))+(0)))=("store"),(INDEX(B1:XFD1,((A2)+(1))+(1)))=("L"),"false"),B2,L352),L352))</f>
        <v>#VALUE!</v>
      </c>
      <c r="M352" t="e">
        <f ca="1">IF((A1)=(2),"",IF((349)=(M3),IF(IF((INDEX(B1:XFD1,((A2)+(1))+(0)))=("store"),(INDEX(B1:XFD1,((A2)+(1))+(1)))=("M"),"false"),B2,M352),M352))</f>
        <v>#VALUE!</v>
      </c>
      <c r="N352" t="e">
        <f ca="1">IF((A1)=(2),"",IF((349)=(N3),IF(IF((INDEX(B1:XFD1,((A2)+(1))+(0)))=("store"),(INDEX(B1:XFD1,((A2)+(1))+(1)))=("N"),"false"),B2,N352),N352))</f>
        <v>#VALUE!</v>
      </c>
      <c r="O352" t="e">
        <f ca="1">IF((A1)=(2),"",IF((349)=(O3),IF(IF((INDEX(B1:XFD1,((A2)+(1))+(0)))=("store"),(INDEX(B1:XFD1,((A2)+(1))+(1)))=("O"),"false"),B2,O352),O352))</f>
        <v>#VALUE!</v>
      </c>
      <c r="P352" t="e">
        <f ca="1">IF((A1)=(2),"",IF((349)=(P3),IF(IF((INDEX(B1:XFD1,((A2)+(1))+(0)))=("store"),(INDEX(B1:XFD1,((A2)+(1))+(1)))=("P"),"false"),B2,P352),P352))</f>
        <v>#VALUE!</v>
      </c>
      <c r="Q352" t="e">
        <f ca="1">IF((A1)=(2),"",IF((349)=(Q3),IF(IF((INDEX(B1:XFD1,((A2)+(1))+(0)))=("store"),(INDEX(B1:XFD1,((A2)+(1))+(1)))=("Q"),"false"),B2,Q352),Q352))</f>
        <v>#VALUE!</v>
      </c>
      <c r="R352" t="e">
        <f ca="1">IF((A1)=(2),"",IF((349)=(R3),IF(IF((INDEX(B1:XFD1,((A2)+(1))+(0)))=("store"),(INDEX(B1:XFD1,((A2)+(1))+(1)))=("R"),"false"),B2,R352),R352))</f>
        <v>#VALUE!</v>
      </c>
      <c r="S352" t="e">
        <f ca="1">IF((A1)=(2),"",IF((349)=(S3),IF(IF((INDEX(B1:XFD1,((A2)+(1))+(0)))=("store"),(INDEX(B1:XFD1,((A2)+(1))+(1)))=("S"),"false"),B2,S352),S352))</f>
        <v>#VALUE!</v>
      </c>
      <c r="T352" t="e">
        <f ca="1">IF((A1)=(2),"",IF((349)=(T3),IF(IF((INDEX(B1:XFD1,((A2)+(1))+(0)))=("store"),(INDEX(B1:XFD1,((A2)+(1))+(1)))=("T"),"false"),B2,T352),T352))</f>
        <v>#VALUE!</v>
      </c>
      <c r="U352" t="e">
        <f ca="1">IF((A1)=(2),"",IF((349)=(U3),IF(IF((INDEX(B1:XFD1,((A2)+(1))+(0)))=("store"),(INDEX(B1:XFD1,((A2)+(1))+(1)))=("U"),"false"),B2,U352),U352))</f>
        <v>#VALUE!</v>
      </c>
      <c r="V352" t="e">
        <f ca="1">IF((A1)=(2),"",IF((349)=(V3),IF(IF((INDEX(B1:XFD1,((A2)+(1))+(0)))=("store"),(INDEX(B1:XFD1,((A2)+(1))+(1)))=("V"),"false"),B2,V352),V352))</f>
        <v>#VALUE!</v>
      </c>
      <c r="W352" t="e">
        <f ca="1">IF((A1)=(2),"",IF((349)=(W3),IF(IF((INDEX(B1:XFD1,((A2)+(1))+(0)))=("store"),(INDEX(B1:XFD1,((A2)+(1))+(1)))=("W"),"false"),B2,W352),W352))</f>
        <v>#VALUE!</v>
      </c>
      <c r="X352" t="e">
        <f ca="1">IF((A1)=(2),"",IF((349)=(X3),IF(IF((INDEX(B1:XFD1,((A2)+(1))+(0)))=("store"),(INDEX(B1:XFD1,((A2)+(1))+(1)))=("X"),"false"),B2,X352),X352))</f>
        <v>#VALUE!</v>
      </c>
      <c r="Y352" t="e">
        <f ca="1">IF((A1)=(2),"",IF((349)=(Y3),IF(IF((INDEX(B1:XFD1,((A2)+(1))+(0)))=("store"),(INDEX(B1:XFD1,((A2)+(1))+(1)))=("Y"),"false"),B2,Y352),Y352))</f>
        <v>#VALUE!</v>
      </c>
      <c r="Z352" t="e">
        <f ca="1">IF((A1)=(2),"",IF((349)=(Z3),IF(IF((INDEX(B1:XFD1,((A2)+(1))+(0)))=("store"),(INDEX(B1:XFD1,((A2)+(1))+(1)))=("Z"),"false"),B2,Z352),Z352))</f>
        <v>#VALUE!</v>
      </c>
      <c r="AA352" t="e">
        <f ca="1">IF((A1)=(2),"",IF((349)=(AA3),IF(IF((INDEX(B1:XFD1,((A2)+(1))+(0)))=("store"),(INDEX(B1:XFD1,((A2)+(1))+(1)))=("AA"),"false"),B2,AA352),AA352))</f>
        <v>#VALUE!</v>
      </c>
      <c r="AB352" t="e">
        <f ca="1">IF((A1)=(2),"",IF((349)=(AB3),IF(IF((INDEX(B1:XFD1,((A2)+(1))+(0)))=("store"),(INDEX(B1:XFD1,((A2)+(1))+(1)))=("AB"),"false"),B2,AB352),AB352))</f>
        <v>#VALUE!</v>
      </c>
      <c r="AC352" t="e">
        <f ca="1">IF((A1)=(2),"",IF((349)=(AC3),IF(IF((INDEX(B1:XFD1,((A2)+(1))+(0)))=("store"),(INDEX(B1:XFD1,((A2)+(1))+(1)))=("AC"),"false"),B2,AC352),AC352))</f>
        <v>#VALUE!</v>
      </c>
      <c r="AD352" t="e">
        <f ca="1">IF((A1)=(2),"",IF((349)=(AD3),IF(IF((INDEX(B1:XFD1,((A2)+(1))+(0)))=("store"),(INDEX(B1:XFD1,((A2)+(1))+(1)))=("AD"),"false"),B2,AD352),AD352))</f>
        <v>#VALUE!</v>
      </c>
    </row>
    <row r="353" spans="1:30" x14ac:dyDescent="0.25">
      <c r="A353" t="e">
        <f ca="1">IF((A1)=(2),"",IF((350)=(A3),IF(("call")=(INDEX(B1:XFD1,((A2)+(1))+(0))),(B2)*(2),IF(("goto")=(INDEX(B1:XFD1,((A2)+(1))+(0))),(INDEX(B1:XFD1,((A2)+(1))+(1)))*(2),IF(("gotoiftrue")=(INDEX(B1:XFD1,((A2)+(1))+(0))),IF(B2,(INDEX(B1:XFD1,((A2)+(1))+(1)))*(2),(A353)+(2)),(A353)+(2)))),A353))</f>
        <v>#VALUE!</v>
      </c>
      <c r="B353" t="e">
        <f ca="1">IF((A1)=(2),"",IF((350)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353)+(1)),IF(("add")=(INDEX(B1:XFD1,((A2)+(1))+(0))),(INDEX(B4:B404,(B3)+(1)))+(B353),IF(("equals")=(INDEX(B1:XFD1,((A2)+(1))+(0))),(INDEX(B4:B404,(B3)+(1)))=(B353),IF(("leq")=(INDEX(B1:XFD1,((A2)+(1))+(0))),(INDEX(B4:B404,(B3)+(1)))&lt;=(B353),IF(("greater")=(INDEX(B1:XFD1,((A2)+(1))+(0))),(INDEX(B4:B404,(B3)+(1)))&gt;(B353),IF(("mod")=(INDEX(B1:XFD1,((A2)+(1))+(0))),MOD(INDEX(B4:B404,(B3)+(1)),B353),B353))))))))),B353))</f>
        <v>#VALUE!</v>
      </c>
      <c r="C353" t="e">
        <f ca="1">IF((A1)=(2),1,IF(AND((INDEX(B1:XFD1,((A2)+(1))+(0)))=("writeheap"),(INDEX(B4:B404,(B3)+(1)))=(349)),INDEX(B4:B404,(B3)+(2)),IF((A1)=(2),"",IF((350)=(C3),C353,C353))))</f>
        <v>#VALUE!</v>
      </c>
      <c r="E353" t="e">
        <f ca="1">IF((A1)=(2),"",IF((350)=(E3),IF(("outputline")=(INDEX(B1:XFD1,((A2)+(1))+(0))),B2,E353),E353))</f>
        <v>#VALUE!</v>
      </c>
      <c r="F353" t="e">
        <f ca="1">IF((A1)=(2),"",IF((350)=(F3),IF(IF((INDEX(B1:XFD1,((A2)+(1))+(0)))=("store"),(INDEX(B1:XFD1,((A2)+(1))+(1)))=("F"),"false"),B2,F353),F353))</f>
        <v>#VALUE!</v>
      </c>
      <c r="G353" t="e">
        <f ca="1">IF((A1)=(2),"",IF((350)=(G3),IF(IF((INDEX(B1:XFD1,((A2)+(1))+(0)))=("store"),(INDEX(B1:XFD1,((A2)+(1))+(1)))=("G"),"false"),B2,G353),G353))</f>
        <v>#VALUE!</v>
      </c>
      <c r="H353" t="e">
        <f ca="1">IF((A1)=(2),"",IF((350)=(H3),IF(IF((INDEX(B1:XFD1,((A2)+(1))+(0)))=("store"),(INDEX(B1:XFD1,((A2)+(1))+(1)))=("H"),"false"),B2,H353),H353))</f>
        <v>#VALUE!</v>
      </c>
      <c r="I353" t="e">
        <f ca="1">IF((A1)=(2),"",IF((350)=(I3),IF(IF((INDEX(B1:XFD1,((A2)+(1))+(0)))=("store"),(INDEX(B1:XFD1,((A2)+(1))+(1)))=("I"),"false"),B2,I353),I353))</f>
        <v>#VALUE!</v>
      </c>
      <c r="J353" t="e">
        <f ca="1">IF((A1)=(2),"",IF((350)=(J3),IF(IF((INDEX(B1:XFD1,((A2)+(1))+(0)))=("store"),(INDEX(B1:XFD1,((A2)+(1))+(1)))=("J"),"false"),B2,J353),J353))</f>
        <v>#VALUE!</v>
      </c>
      <c r="K353" t="e">
        <f ca="1">IF((A1)=(2),"",IF((350)=(K3),IF(IF((INDEX(B1:XFD1,((A2)+(1))+(0)))=("store"),(INDEX(B1:XFD1,((A2)+(1))+(1)))=("K"),"false"),B2,K353),K353))</f>
        <v>#VALUE!</v>
      </c>
      <c r="L353" t="e">
        <f ca="1">IF((A1)=(2),"",IF((350)=(L3),IF(IF((INDEX(B1:XFD1,((A2)+(1))+(0)))=("store"),(INDEX(B1:XFD1,((A2)+(1))+(1)))=("L"),"false"),B2,L353),L353))</f>
        <v>#VALUE!</v>
      </c>
      <c r="M353" t="e">
        <f ca="1">IF((A1)=(2),"",IF((350)=(M3),IF(IF((INDEX(B1:XFD1,((A2)+(1))+(0)))=("store"),(INDEX(B1:XFD1,((A2)+(1))+(1)))=("M"),"false"),B2,M353),M353))</f>
        <v>#VALUE!</v>
      </c>
      <c r="N353" t="e">
        <f ca="1">IF((A1)=(2),"",IF((350)=(N3),IF(IF((INDEX(B1:XFD1,((A2)+(1))+(0)))=("store"),(INDEX(B1:XFD1,((A2)+(1))+(1)))=("N"),"false"),B2,N353),N353))</f>
        <v>#VALUE!</v>
      </c>
      <c r="O353" t="e">
        <f ca="1">IF((A1)=(2),"",IF((350)=(O3),IF(IF((INDEX(B1:XFD1,((A2)+(1))+(0)))=("store"),(INDEX(B1:XFD1,((A2)+(1))+(1)))=("O"),"false"),B2,O353),O353))</f>
        <v>#VALUE!</v>
      </c>
      <c r="P353" t="e">
        <f ca="1">IF((A1)=(2),"",IF((350)=(P3),IF(IF((INDEX(B1:XFD1,((A2)+(1))+(0)))=("store"),(INDEX(B1:XFD1,((A2)+(1))+(1)))=("P"),"false"),B2,P353),P353))</f>
        <v>#VALUE!</v>
      </c>
      <c r="Q353" t="e">
        <f ca="1">IF((A1)=(2),"",IF((350)=(Q3),IF(IF((INDEX(B1:XFD1,((A2)+(1))+(0)))=("store"),(INDEX(B1:XFD1,((A2)+(1))+(1)))=("Q"),"false"),B2,Q353),Q353))</f>
        <v>#VALUE!</v>
      </c>
      <c r="R353" t="e">
        <f ca="1">IF((A1)=(2),"",IF((350)=(R3),IF(IF((INDEX(B1:XFD1,((A2)+(1))+(0)))=("store"),(INDEX(B1:XFD1,((A2)+(1))+(1)))=("R"),"false"),B2,R353),R353))</f>
        <v>#VALUE!</v>
      </c>
      <c r="S353" t="e">
        <f ca="1">IF((A1)=(2),"",IF((350)=(S3),IF(IF((INDEX(B1:XFD1,((A2)+(1))+(0)))=("store"),(INDEX(B1:XFD1,((A2)+(1))+(1)))=("S"),"false"),B2,S353),S353))</f>
        <v>#VALUE!</v>
      </c>
      <c r="T353" t="e">
        <f ca="1">IF((A1)=(2),"",IF((350)=(T3),IF(IF((INDEX(B1:XFD1,((A2)+(1))+(0)))=("store"),(INDEX(B1:XFD1,((A2)+(1))+(1)))=("T"),"false"),B2,T353),T353))</f>
        <v>#VALUE!</v>
      </c>
      <c r="U353" t="e">
        <f ca="1">IF((A1)=(2),"",IF((350)=(U3),IF(IF((INDEX(B1:XFD1,((A2)+(1))+(0)))=("store"),(INDEX(B1:XFD1,((A2)+(1))+(1)))=("U"),"false"),B2,U353),U353))</f>
        <v>#VALUE!</v>
      </c>
      <c r="V353" t="e">
        <f ca="1">IF((A1)=(2),"",IF((350)=(V3),IF(IF((INDEX(B1:XFD1,((A2)+(1))+(0)))=("store"),(INDEX(B1:XFD1,((A2)+(1))+(1)))=("V"),"false"),B2,V353),V353))</f>
        <v>#VALUE!</v>
      </c>
      <c r="W353" t="e">
        <f ca="1">IF((A1)=(2),"",IF((350)=(W3),IF(IF((INDEX(B1:XFD1,((A2)+(1))+(0)))=("store"),(INDEX(B1:XFD1,((A2)+(1))+(1)))=("W"),"false"),B2,W353),W353))</f>
        <v>#VALUE!</v>
      </c>
      <c r="X353" t="e">
        <f ca="1">IF((A1)=(2),"",IF((350)=(X3),IF(IF((INDEX(B1:XFD1,((A2)+(1))+(0)))=("store"),(INDEX(B1:XFD1,((A2)+(1))+(1)))=("X"),"false"),B2,X353),X353))</f>
        <v>#VALUE!</v>
      </c>
      <c r="Y353" t="e">
        <f ca="1">IF((A1)=(2),"",IF((350)=(Y3),IF(IF((INDEX(B1:XFD1,((A2)+(1))+(0)))=("store"),(INDEX(B1:XFD1,((A2)+(1))+(1)))=("Y"),"false"),B2,Y353),Y353))</f>
        <v>#VALUE!</v>
      </c>
      <c r="Z353" t="e">
        <f ca="1">IF((A1)=(2),"",IF((350)=(Z3),IF(IF((INDEX(B1:XFD1,((A2)+(1))+(0)))=("store"),(INDEX(B1:XFD1,((A2)+(1))+(1)))=("Z"),"false"),B2,Z353),Z353))</f>
        <v>#VALUE!</v>
      </c>
      <c r="AA353" t="e">
        <f ca="1">IF((A1)=(2),"",IF((350)=(AA3),IF(IF((INDEX(B1:XFD1,((A2)+(1))+(0)))=("store"),(INDEX(B1:XFD1,((A2)+(1))+(1)))=("AA"),"false"),B2,AA353),AA353))</f>
        <v>#VALUE!</v>
      </c>
      <c r="AB353" t="e">
        <f ca="1">IF((A1)=(2),"",IF((350)=(AB3),IF(IF((INDEX(B1:XFD1,((A2)+(1))+(0)))=("store"),(INDEX(B1:XFD1,((A2)+(1))+(1)))=("AB"),"false"),B2,AB353),AB353))</f>
        <v>#VALUE!</v>
      </c>
      <c r="AC353" t="e">
        <f ca="1">IF((A1)=(2),"",IF((350)=(AC3),IF(IF((INDEX(B1:XFD1,((A2)+(1))+(0)))=("store"),(INDEX(B1:XFD1,((A2)+(1))+(1)))=("AC"),"false"),B2,AC353),AC353))</f>
        <v>#VALUE!</v>
      </c>
      <c r="AD353" t="e">
        <f ca="1">IF((A1)=(2),"",IF((350)=(AD3),IF(IF((INDEX(B1:XFD1,((A2)+(1))+(0)))=("store"),(INDEX(B1:XFD1,((A2)+(1))+(1)))=("AD"),"false"),B2,AD353),AD353))</f>
        <v>#VALUE!</v>
      </c>
    </row>
    <row r="354" spans="1:30" x14ac:dyDescent="0.25">
      <c r="A354" t="e">
        <f ca="1">IF((A1)=(2),"",IF((351)=(A3),IF(("call")=(INDEX(B1:XFD1,((A2)+(1))+(0))),(B2)*(2),IF(("goto")=(INDEX(B1:XFD1,((A2)+(1))+(0))),(INDEX(B1:XFD1,((A2)+(1))+(1)))*(2),IF(("gotoiftrue")=(INDEX(B1:XFD1,((A2)+(1))+(0))),IF(B2,(INDEX(B1:XFD1,((A2)+(1))+(1)))*(2),(A354)+(2)),(A354)+(2)))),A354))</f>
        <v>#VALUE!</v>
      </c>
      <c r="B354" t="e">
        <f ca="1">IF((A1)=(2),"",IF((351)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354)+(1)),IF(("add")=(INDEX(B1:XFD1,((A2)+(1))+(0))),(INDEX(B4:B404,(B3)+(1)))+(B354),IF(("equals")=(INDEX(B1:XFD1,((A2)+(1))+(0))),(INDEX(B4:B404,(B3)+(1)))=(B354),IF(("leq")=(INDEX(B1:XFD1,((A2)+(1))+(0))),(INDEX(B4:B404,(B3)+(1)))&lt;=(B354),IF(("greater")=(INDEX(B1:XFD1,((A2)+(1))+(0))),(INDEX(B4:B404,(B3)+(1)))&gt;(B354),IF(("mod")=(INDEX(B1:XFD1,((A2)+(1))+(0))),MOD(INDEX(B4:B404,(B3)+(1)),B354),B354))))))))),B354))</f>
        <v>#VALUE!</v>
      </c>
      <c r="C354" t="e">
        <f ca="1">IF((A1)=(2),1,IF(AND((INDEX(B1:XFD1,((A2)+(1))+(0)))=("writeheap"),(INDEX(B4:B404,(B3)+(1)))=(350)),INDEX(B4:B404,(B3)+(2)),IF((A1)=(2),"",IF((351)=(C3),C354,C354))))</f>
        <v>#VALUE!</v>
      </c>
      <c r="E354" t="e">
        <f ca="1">IF((A1)=(2),"",IF((351)=(E3),IF(("outputline")=(INDEX(B1:XFD1,((A2)+(1))+(0))),B2,E354),E354))</f>
        <v>#VALUE!</v>
      </c>
      <c r="F354" t="e">
        <f ca="1">IF((A1)=(2),"",IF((351)=(F3),IF(IF((INDEX(B1:XFD1,((A2)+(1))+(0)))=("store"),(INDEX(B1:XFD1,((A2)+(1))+(1)))=("F"),"false"),B2,F354),F354))</f>
        <v>#VALUE!</v>
      </c>
      <c r="G354" t="e">
        <f ca="1">IF((A1)=(2),"",IF((351)=(G3),IF(IF((INDEX(B1:XFD1,((A2)+(1))+(0)))=("store"),(INDEX(B1:XFD1,((A2)+(1))+(1)))=("G"),"false"),B2,G354),G354))</f>
        <v>#VALUE!</v>
      </c>
      <c r="H354" t="e">
        <f ca="1">IF((A1)=(2),"",IF((351)=(H3),IF(IF((INDEX(B1:XFD1,((A2)+(1))+(0)))=("store"),(INDEX(B1:XFD1,((A2)+(1))+(1)))=("H"),"false"),B2,H354),H354))</f>
        <v>#VALUE!</v>
      </c>
      <c r="I354" t="e">
        <f ca="1">IF((A1)=(2),"",IF((351)=(I3),IF(IF((INDEX(B1:XFD1,((A2)+(1))+(0)))=("store"),(INDEX(B1:XFD1,((A2)+(1))+(1)))=("I"),"false"),B2,I354),I354))</f>
        <v>#VALUE!</v>
      </c>
      <c r="J354" t="e">
        <f ca="1">IF((A1)=(2),"",IF((351)=(J3),IF(IF((INDEX(B1:XFD1,((A2)+(1))+(0)))=("store"),(INDEX(B1:XFD1,((A2)+(1))+(1)))=("J"),"false"),B2,J354),J354))</f>
        <v>#VALUE!</v>
      </c>
      <c r="K354" t="e">
        <f ca="1">IF((A1)=(2),"",IF((351)=(K3),IF(IF((INDEX(B1:XFD1,((A2)+(1))+(0)))=("store"),(INDEX(B1:XFD1,((A2)+(1))+(1)))=("K"),"false"),B2,K354),K354))</f>
        <v>#VALUE!</v>
      </c>
      <c r="L354" t="e">
        <f ca="1">IF((A1)=(2),"",IF((351)=(L3),IF(IF((INDEX(B1:XFD1,((A2)+(1))+(0)))=("store"),(INDEX(B1:XFD1,((A2)+(1))+(1)))=("L"),"false"),B2,L354),L354))</f>
        <v>#VALUE!</v>
      </c>
      <c r="M354" t="e">
        <f ca="1">IF((A1)=(2),"",IF((351)=(M3),IF(IF((INDEX(B1:XFD1,((A2)+(1))+(0)))=("store"),(INDEX(B1:XFD1,((A2)+(1))+(1)))=("M"),"false"),B2,M354),M354))</f>
        <v>#VALUE!</v>
      </c>
      <c r="N354" t="e">
        <f ca="1">IF((A1)=(2),"",IF((351)=(N3),IF(IF((INDEX(B1:XFD1,((A2)+(1))+(0)))=("store"),(INDEX(B1:XFD1,((A2)+(1))+(1)))=("N"),"false"),B2,N354),N354))</f>
        <v>#VALUE!</v>
      </c>
      <c r="O354" t="e">
        <f ca="1">IF((A1)=(2),"",IF((351)=(O3),IF(IF((INDEX(B1:XFD1,((A2)+(1))+(0)))=("store"),(INDEX(B1:XFD1,((A2)+(1))+(1)))=("O"),"false"),B2,O354),O354))</f>
        <v>#VALUE!</v>
      </c>
      <c r="P354" t="e">
        <f ca="1">IF((A1)=(2),"",IF((351)=(P3),IF(IF((INDEX(B1:XFD1,((A2)+(1))+(0)))=("store"),(INDEX(B1:XFD1,((A2)+(1))+(1)))=("P"),"false"),B2,P354),P354))</f>
        <v>#VALUE!</v>
      </c>
      <c r="Q354" t="e">
        <f ca="1">IF((A1)=(2),"",IF((351)=(Q3),IF(IF((INDEX(B1:XFD1,((A2)+(1))+(0)))=("store"),(INDEX(B1:XFD1,((A2)+(1))+(1)))=("Q"),"false"),B2,Q354),Q354))</f>
        <v>#VALUE!</v>
      </c>
      <c r="R354" t="e">
        <f ca="1">IF((A1)=(2),"",IF((351)=(R3),IF(IF((INDEX(B1:XFD1,((A2)+(1))+(0)))=("store"),(INDEX(B1:XFD1,((A2)+(1))+(1)))=("R"),"false"),B2,R354),R354))</f>
        <v>#VALUE!</v>
      </c>
      <c r="S354" t="e">
        <f ca="1">IF((A1)=(2),"",IF((351)=(S3),IF(IF((INDEX(B1:XFD1,((A2)+(1))+(0)))=("store"),(INDEX(B1:XFD1,((A2)+(1))+(1)))=("S"),"false"),B2,S354),S354))</f>
        <v>#VALUE!</v>
      </c>
      <c r="T354" t="e">
        <f ca="1">IF((A1)=(2),"",IF((351)=(T3),IF(IF((INDEX(B1:XFD1,((A2)+(1))+(0)))=("store"),(INDEX(B1:XFD1,((A2)+(1))+(1)))=("T"),"false"),B2,T354),T354))</f>
        <v>#VALUE!</v>
      </c>
      <c r="U354" t="e">
        <f ca="1">IF((A1)=(2),"",IF((351)=(U3),IF(IF((INDEX(B1:XFD1,((A2)+(1))+(0)))=("store"),(INDEX(B1:XFD1,((A2)+(1))+(1)))=("U"),"false"),B2,U354),U354))</f>
        <v>#VALUE!</v>
      </c>
      <c r="V354" t="e">
        <f ca="1">IF((A1)=(2),"",IF((351)=(V3),IF(IF((INDEX(B1:XFD1,((A2)+(1))+(0)))=("store"),(INDEX(B1:XFD1,((A2)+(1))+(1)))=("V"),"false"),B2,V354),V354))</f>
        <v>#VALUE!</v>
      </c>
      <c r="W354" t="e">
        <f ca="1">IF((A1)=(2),"",IF((351)=(W3),IF(IF((INDEX(B1:XFD1,((A2)+(1))+(0)))=("store"),(INDEX(B1:XFD1,((A2)+(1))+(1)))=("W"),"false"),B2,W354),W354))</f>
        <v>#VALUE!</v>
      </c>
      <c r="X354" t="e">
        <f ca="1">IF((A1)=(2),"",IF((351)=(X3),IF(IF((INDEX(B1:XFD1,((A2)+(1))+(0)))=("store"),(INDEX(B1:XFD1,((A2)+(1))+(1)))=("X"),"false"),B2,X354),X354))</f>
        <v>#VALUE!</v>
      </c>
      <c r="Y354" t="e">
        <f ca="1">IF((A1)=(2),"",IF((351)=(Y3),IF(IF((INDEX(B1:XFD1,((A2)+(1))+(0)))=("store"),(INDEX(B1:XFD1,((A2)+(1))+(1)))=("Y"),"false"),B2,Y354),Y354))</f>
        <v>#VALUE!</v>
      </c>
      <c r="Z354" t="e">
        <f ca="1">IF((A1)=(2),"",IF((351)=(Z3),IF(IF((INDEX(B1:XFD1,((A2)+(1))+(0)))=("store"),(INDEX(B1:XFD1,((A2)+(1))+(1)))=("Z"),"false"),B2,Z354),Z354))</f>
        <v>#VALUE!</v>
      </c>
      <c r="AA354" t="e">
        <f ca="1">IF((A1)=(2),"",IF((351)=(AA3),IF(IF((INDEX(B1:XFD1,((A2)+(1))+(0)))=("store"),(INDEX(B1:XFD1,((A2)+(1))+(1)))=("AA"),"false"),B2,AA354),AA354))</f>
        <v>#VALUE!</v>
      </c>
      <c r="AB354" t="e">
        <f ca="1">IF((A1)=(2),"",IF((351)=(AB3),IF(IF((INDEX(B1:XFD1,((A2)+(1))+(0)))=("store"),(INDEX(B1:XFD1,((A2)+(1))+(1)))=("AB"),"false"),B2,AB354),AB354))</f>
        <v>#VALUE!</v>
      </c>
      <c r="AC354" t="e">
        <f ca="1">IF((A1)=(2),"",IF((351)=(AC3),IF(IF((INDEX(B1:XFD1,((A2)+(1))+(0)))=("store"),(INDEX(B1:XFD1,((A2)+(1))+(1)))=("AC"),"false"),B2,AC354),AC354))</f>
        <v>#VALUE!</v>
      </c>
      <c r="AD354" t="e">
        <f ca="1">IF((A1)=(2),"",IF((351)=(AD3),IF(IF((INDEX(B1:XFD1,((A2)+(1))+(0)))=("store"),(INDEX(B1:XFD1,((A2)+(1))+(1)))=("AD"),"false"),B2,AD354),AD354))</f>
        <v>#VALUE!</v>
      </c>
    </row>
    <row r="355" spans="1:30" x14ac:dyDescent="0.25">
      <c r="A355" t="e">
        <f ca="1">IF((A1)=(2),"",IF((352)=(A3),IF(("call")=(INDEX(B1:XFD1,((A2)+(1))+(0))),(B2)*(2),IF(("goto")=(INDEX(B1:XFD1,((A2)+(1))+(0))),(INDEX(B1:XFD1,((A2)+(1))+(1)))*(2),IF(("gotoiftrue")=(INDEX(B1:XFD1,((A2)+(1))+(0))),IF(B2,(INDEX(B1:XFD1,((A2)+(1))+(1)))*(2),(A355)+(2)),(A355)+(2)))),A355))</f>
        <v>#VALUE!</v>
      </c>
      <c r="B355" t="e">
        <f ca="1">IF((A1)=(2),"",IF((352)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355)+(1)),IF(("add")=(INDEX(B1:XFD1,((A2)+(1))+(0))),(INDEX(B4:B404,(B3)+(1)))+(B355),IF(("equals")=(INDEX(B1:XFD1,((A2)+(1))+(0))),(INDEX(B4:B404,(B3)+(1)))=(B355),IF(("leq")=(INDEX(B1:XFD1,((A2)+(1))+(0))),(INDEX(B4:B404,(B3)+(1)))&lt;=(B355),IF(("greater")=(INDEX(B1:XFD1,((A2)+(1))+(0))),(INDEX(B4:B404,(B3)+(1)))&gt;(B355),IF(("mod")=(INDEX(B1:XFD1,((A2)+(1))+(0))),MOD(INDEX(B4:B404,(B3)+(1)),B355),B355))))))))),B355))</f>
        <v>#VALUE!</v>
      </c>
      <c r="C355" t="e">
        <f ca="1">IF((A1)=(2),1,IF(AND((INDEX(B1:XFD1,((A2)+(1))+(0)))=("writeheap"),(INDEX(B4:B404,(B3)+(1)))=(351)),INDEX(B4:B404,(B3)+(2)),IF((A1)=(2),"",IF((352)=(C3),C355,C355))))</f>
        <v>#VALUE!</v>
      </c>
      <c r="E355" t="e">
        <f ca="1">IF((A1)=(2),"",IF((352)=(E3),IF(("outputline")=(INDEX(B1:XFD1,((A2)+(1))+(0))),B2,E355),E355))</f>
        <v>#VALUE!</v>
      </c>
      <c r="F355" t="e">
        <f ca="1">IF((A1)=(2),"",IF((352)=(F3),IF(IF((INDEX(B1:XFD1,((A2)+(1))+(0)))=("store"),(INDEX(B1:XFD1,((A2)+(1))+(1)))=("F"),"false"),B2,F355),F355))</f>
        <v>#VALUE!</v>
      </c>
      <c r="G355" t="e">
        <f ca="1">IF((A1)=(2),"",IF((352)=(G3),IF(IF((INDEX(B1:XFD1,((A2)+(1))+(0)))=("store"),(INDEX(B1:XFD1,((A2)+(1))+(1)))=("G"),"false"),B2,G355),G355))</f>
        <v>#VALUE!</v>
      </c>
      <c r="H355" t="e">
        <f ca="1">IF((A1)=(2),"",IF((352)=(H3),IF(IF((INDEX(B1:XFD1,((A2)+(1))+(0)))=("store"),(INDEX(B1:XFD1,((A2)+(1))+(1)))=("H"),"false"),B2,H355),H355))</f>
        <v>#VALUE!</v>
      </c>
      <c r="I355" t="e">
        <f ca="1">IF((A1)=(2),"",IF((352)=(I3),IF(IF((INDEX(B1:XFD1,((A2)+(1))+(0)))=("store"),(INDEX(B1:XFD1,((A2)+(1))+(1)))=("I"),"false"),B2,I355),I355))</f>
        <v>#VALUE!</v>
      </c>
      <c r="J355" t="e">
        <f ca="1">IF((A1)=(2),"",IF((352)=(J3),IF(IF((INDEX(B1:XFD1,((A2)+(1))+(0)))=("store"),(INDEX(B1:XFD1,((A2)+(1))+(1)))=("J"),"false"),B2,J355),J355))</f>
        <v>#VALUE!</v>
      </c>
      <c r="K355" t="e">
        <f ca="1">IF((A1)=(2),"",IF((352)=(K3),IF(IF((INDEX(B1:XFD1,((A2)+(1))+(0)))=("store"),(INDEX(B1:XFD1,((A2)+(1))+(1)))=("K"),"false"),B2,K355),K355))</f>
        <v>#VALUE!</v>
      </c>
      <c r="L355" t="e">
        <f ca="1">IF((A1)=(2),"",IF((352)=(L3),IF(IF((INDEX(B1:XFD1,((A2)+(1))+(0)))=("store"),(INDEX(B1:XFD1,((A2)+(1))+(1)))=("L"),"false"),B2,L355),L355))</f>
        <v>#VALUE!</v>
      </c>
      <c r="M355" t="e">
        <f ca="1">IF((A1)=(2),"",IF((352)=(M3),IF(IF((INDEX(B1:XFD1,((A2)+(1))+(0)))=("store"),(INDEX(B1:XFD1,((A2)+(1))+(1)))=("M"),"false"),B2,M355),M355))</f>
        <v>#VALUE!</v>
      </c>
      <c r="N355" t="e">
        <f ca="1">IF((A1)=(2),"",IF((352)=(N3),IF(IF((INDEX(B1:XFD1,((A2)+(1))+(0)))=("store"),(INDEX(B1:XFD1,((A2)+(1))+(1)))=("N"),"false"),B2,N355),N355))</f>
        <v>#VALUE!</v>
      </c>
      <c r="O355" t="e">
        <f ca="1">IF((A1)=(2),"",IF((352)=(O3),IF(IF((INDEX(B1:XFD1,((A2)+(1))+(0)))=("store"),(INDEX(B1:XFD1,((A2)+(1))+(1)))=("O"),"false"),B2,O355),O355))</f>
        <v>#VALUE!</v>
      </c>
      <c r="P355" t="e">
        <f ca="1">IF((A1)=(2),"",IF((352)=(P3),IF(IF((INDEX(B1:XFD1,((A2)+(1))+(0)))=("store"),(INDEX(B1:XFD1,((A2)+(1))+(1)))=("P"),"false"),B2,P355),P355))</f>
        <v>#VALUE!</v>
      </c>
      <c r="Q355" t="e">
        <f ca="1">IF((A1)=(2),"",IF((352)=(Q3),IF(IF((INDEX(B1:XFD1,((A2)+(1))+(0)))=("store"),(INDEX(B1:XFD1,((A2)+(1))+(1)))=("Q"),"false"),B2,Q355),Q355))</f>
        <v>#VALUE!</v>
      </c>
      <c r="R355" t="e">
        <f ca="1">IF((A1)=(2),"",IF((352)=(R3),IF(IF((INDEX(B1:XFD1,((A2)+(1))+(0)))=("store"),(INDEX(B1:XFD1,((A2)+(1))+(1)))=("R"),"false"),B2,R355),R355))</f>
        <v>#VALUE!</v>
      </c>
      <c r="S355" t="e">
        <f ca="1">IF((A1)=(2),"",IF((352)=(S3),IF(IF((INDEX(B1:XFD1,((A2)+(1))+(0)))=("store"),(INDEX(B1:XFD1,((A2)+(1))+(1)))=("S"),"false"),B2,S355),S355))</f>
        <v>#VALUE!</v>
      </c>
      <c r="T355" t="e">
        <f ca="1">IF((A1)=(2),"",IF((352)=(T3),IF(IF((INDEX(B1:XFD1,((A2)+(1))+(0)))=("store"),(INDEX(B1:XFD1,((A2)+(1))+(1)))=("T"),"false"),B2,T355),T355))</f>
        <v>#VALUE!</v>
      </c>
      <c r="U355" t="e">
        <f ca="1">IF((A1)=(2),"",IF((352)=(U3),IF(IF((INDEX(B1:XFD1,((A2)+(1))+(0)))=("store"),(INDEX(B1:XFD1,((A2)+(1))+(1)))=("U"),"false"),B2,U355),U355))</f>
        <v>#VALUE!</v>
      </c>
      <c r="V355" t="e">
        <f ca="1">IF((A1)=(2),"",IF((352)=(V3),IF(IF((INDEX(B1:XFD1,((A2)+(1))+(0)))=("store"),(INDEX(B1:XFD1,((A2)+(1))+(1)))=("V"),"false"),B2,V355),V355))</f>
        <v>#VALUE!</v>
      </c>
      <c r="W355" t="e">
        <f ca="1">IF((A1)=(2),"",IF((352)=(W3),IF(IF((INDEX(B1:XFD1,((A2)+(1))+(0)))=("store"),(INDEX(B1:XFD1,((A2)+(1))+(1)))=("W"),"false"),B2,W355),W355))</f>
        <v>#VALUE!</v>
      </c>
      <c r="X355" t="e">
        <f ca="1">IF((A1)=(2),"",IF((352)=(X3),IF(IF((INDEX(B1:XFD1,((A2)+(1))+(0)))=("store"),(INDEX(B1:XFD1,((A2)+(1))+(1)))=("X"),"false"),B2,X355),X355))</f>
        <v>#VALUE!</v>
      </c>
      <c r="Y355" t="e">
        <f ca="1">IF((A1)=(2),"",IF((352)=(Y3),IF(IF((INDEX(B1:XFD1,((A2)+(1))+(0)))=("store"),(INDEX(B1:XFD1,((A2)+(1))+(1)))=("Y"),"false"),B2,Y355),Y355))</f>
        <v>#VALUE!</v>
      </c>
      <c r="Z355" t="e">
        <f ca="1">IF((A1)=(2),"",IF((352)=(Z3),IF(IF((INDEX(B1:XFD1,((A2)+(1))+(0)))=("store"),(INDEX(B1:XFD1,((A2)+(1))+(1)))=("Z"),"false"),B2,Z355),Z355))</f>
        <v>#VALUE!</v>
      </c>
      <c r="AA355" t="e">
        <f ca="1">IF((A1)=(2),"",IF((352)=(AA3),IF(IF((INDEX(B1:XFD1,((A2)+(1))+(0)))=("store"),(INDEX(B1:XFD1,((A2)+(1))+(1)))=("AA"),"false"),B2,AA355),AA355))</f>
        <v>#VALUE!</v>
      </c>
      <c r="AB355" t="e">
        <f ca="1">IF((A1)=(2),"",IF((352)=(AB3),IF(IF((INDEX(B1:XFD1,((A2)+(1))+(0)))=("store"),(INDEX(B1:XFD1,((A2)+(1))+(1)))=("AB"),"false"),B2,AB355),AB355))</f>
        <v>#VALUE!</v>
      </c>
      <c r="AC355" t="e">
        <f ca="1">IF((A1)=(2),"",IF((352)=(AC3),IF(IF((INDEX(B1:XFD1,((A2)+(1))+(0)))=("store"),(INDEX(B1:XFD1,((A2)+(1))+(1)))=("AC"),"false"),B2,AC355),AC355))</f>
        <v>#VALUE!</v>
      </c>
      <c r="AD355" t="e">
        <f ca="1">IF((A1)=(2),"",IF((352)=(AD3),IF(IF((INDEX(B1:XFD1,((A2)+(1))+(0)))=("store"),(INDEX(B1:XFD1,((A2)+(1))+(1)))=("AD"),"false"),B2,AD355),AD355))</f>
        <v>#VALUE!</v>
      </c>
    </row>
    <row r="356" spans="1:30" x14ac:dyDescent="0.25">
      <c r="A356" t="e">
        <f ca="1">IF((A1)=(2),"",IF((353)=(A3),IF(("call")=(INDEX(B1:XFD1,((A2)+(1))+(0))),(B2)*(2),IF(("goto")=(INDEX(B1:XFD1,((A2)+(1))+(0))),(INDEX(B1:XFD1,((A2)+(1))+(1)))*(2),IF(("gotoiftrue")=(INDEX(B1:XFD1,((A2)+(1))+(0))),IF(B2,(INDEX(B1:XFD1,((A2)+(1))+(1)))*(2),(A356)+(2)),(A356)+(2)))),A356))</f>
        <v>#VALUE!</v>
      </c>
      <c r="B356" t="e">
        <f ca="1">IF((A1)=(2),"",IF((353)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356)+(1)),IF(("add")=(INDEX(B1:XFD1,((A2)+(1))+(0))),(INDEX(B4:B404,(B3)+(1)))+(B356),IF(("equals")=(INDEX(B1:XFD1,((A2)+(1))+(0))),(INDEX(B4:B404,(B3)+(1)))=(B356),IF(("leq")=(INDEX(B1:XFD1,((A2)+(1))+(0))),(INDEX(B4:B404,(B3)+(1)))&lt;=(B356),IF(("greater")=(INDEX(B1:XFD1,((A2)+(1))+(0))),(INDEX(B4:B404,(B3)+(1)))&gt;(B356),IF(("mod")=(INDEX(B1:XFD1,((A2)+(1))+(0))),MOD(INDEX(B4:B404,(B3)+(1)),B356),B356))))))))),B356))</f>
        <v>#VALUE!</v>
      </c>
      <c r="C356" t="e">
        <f ca="1">IF((A1)=(2),1,IF(AND((INDEX(B1:XFD1,((A2)+(1))+(0)))=("writeheap"),(INDEX(B4:B404,(B3)+(1)))=(352)),INDEX(B4:B404,(B3)+(2)),IF((A1)=(2),"",IF((353)=(C3),C356,C356))))</f>
        <v>#VALUE!</v>
      </c>
      <c r="E356" t="e">
        <f ca="1">IF((A1)=(2),"",IF((353)=(E3),IF(("outputline")=(INDEX(B1:XFD1,((A2)+(1))+(0))),B2,E356),E356))</f>
        <v>#VALUE!</v>
      </c>
      <c r="F356" t="e">
        <f ca="1">IF((A1)=(2),"",IF((353)=(F3),IF(IF((INDEX(B1:XFD1,((A2)+(1))+(0)))=("store"),(INDEX(B1:XFD1,((A2)+(1))+(1)))=("F"),"false"),B2,F356),F356))</f>
        <v>#VALUE!</v>
      </c>
      <c r="G356" t="e">
        <f ca="1">IF((A1)=(2),"",IF((353)=(G3),IF(IF((INDEX(B1:XFD1,((A2)+(1))+(0)))=("store"),(INDEX(B1:XFD1,((A2)+(1))+(1)))=("G"),"false"),B2,G356),G356))</f>
        <v>#VALUE!</v>
      </c>
      <c r="H356" t="e">
        <f ca="1">IF((A1)=(2),"",IF((353)=(H3),IF(IF((INDEX(B1:XFD1,((A2)+(1))+(0)))=("store"),(INDEX(B1:XFD1,((A2)+(1))+(1)))=("H"),"false"),B2,H356),H356))</f>
        <v>#VALUE!</v>
      </c>
      <c r="I356" t="e">
        <f ca="1">IF((A1)=(2),"",IF((353)=(I3),IF(IF((INDEX(B1:XFD1,((A2)+(1))+(0)))=("store"),(INDEX(B1:XFD1,((A2)+(1))+(1)))=("I"),"false"),B2,I356),I356))</f>
        <v>#VALUE!</v>
      </c>
      <c r="J356" t="e">
        <f ca="1">IF((A1)=(2),"",IF((353)=(J3),IF(IF((INDEX(B1:XFD1,((A2)+(1))+(0)))=("store"),(INDEX(B1:XFD1,((A2)+(1))+(1)))=("J"),"false"),B2,J356),J356))</f>
        <v>#VALUE!</v>
      </c>
      <c r="K356" t="e">
        <f ca="1">IF((A1)=(2),"",IF((353)=(K3),IF(IF((INDEX(B1:XFD1,((A2)+(1))+(0)))=("store"),(INDEX(B1:XFD1,((A2)+(1))+(1)))=("K"),"false"),B2,K356),K356))</f>
        <v>#VALUE!</v>
      </c>
      <c r="L356" t="e">
        <f ca="1">IF((A1)=(2),"",IF((353)=(L3),IF(IF((INDEX(B1:XFD1,((A2)+(1))+(0)))=("store"),(INDEX(B1:XFD1,((A2)+(1))+(1)))=("L"),"false"),B2,L356),L356))</f>
        <v>#VALUE!</v>
      </c>
      <c r="M356" t="e">
        <f ca="1">IF((A1)=(2),"",IF((353)=(M3),IF(IF((INDEX(B1:XFD1,((A2)+(1))+(0)))=("store"),(INDEX(B1:XFD1,((A2)+(1))+(1)))=("M"),"false"),B2,M356),M356))</f>
        <v>#VALUE!</v>
      </c>
      <c r="N356" t="e">
        <f ca="1">IF((A1)=(2),"",IF((353)=(N3),IF(IF((INDEX(B1:XFD1,((A2)+(1))+(0)))=("store"),(INDEX(B1:XFD1,((A2)+(1))+(1)))=("N"),"false"),B2,N356),N356))</f>
        <v>#VALUE!</v>
      </c>
      <c r="O356" t="e">
        <f ca="1">IF((A1)=(2),"",IF((353)=(O3),IF(IF((INDEX(B1:XFD1,((A2)+(1))+(0)))=("store"),(INDEX(B1:XFD1,((A2)+(1))+(1)))=("O"),"false"),B2,O356),O356))</f>
        <v>#VALUE!</v>
      </c>
      <c r="P356" t="e">
        <f ca="1">IF((A1)=(2),"",IF((353)=(P3),IF(IF((INDEX(B1:XFD1,((A2)+(1))+(0)))=("store"),(INDEX(B1:XFD1,((A2)+(1))+(1)))=("P"),"false"),B2,P356),P356))</f>
        <v>#VALUE!</v>
      </c>
      <c r="Q356" t="e">
        <f ca="1">IF((A1)=(2),"",IF((353)=(Q3),IF(IF((INDEX(B1:XFD1,((A2)+(1))+(0)))=("store"),(INDEX(B1:XFD1,((A2)+(1))+(1)))=("Q"),"false"),B2,Q356),Q356))</f>
        <v>#VALUE!</v>
      </c>
      <c r="R356" t="e">
        <f ca="1">IF((A1)=(2),"",IF((353)=(R3),IF(IF((INDEX(B1:XFD1,((A2)+(1))+(0)))=("store"),(INDEX(B1:XFD1,((A2)+(1))+(1)))=("R"),"false"),B2,R356),R356))</f>
        <v>#VALUE!</v>
      </c>
      <c r="S356" t="e">
        <f ca="1">IF((A1)=(2),"",IF((353)=(S3),IF(IF((INDEX(B1:XFD1,((A2)+(1))+(0)))=("store"),(INDEX(B1:XFD1,((A2)+(1))+(1)))=("S"),"false"),B2,S356),S356))</f>
        <v>#VALUE!</v>
      </c>
      <c r="T356" t="e">
        <f ca="1">IF((A1)=(2),"",IF((353)=(T3),IF(IF((INDEX(B1:XFD1,((A2)+(1))+(0)))=("store"),(INDEX(B1:XFD1,((A2)+(1))+(1)))=("T"),"false"),B2,T356),T356))</f>
        <v>#VALUE!</v>
      </c>
      <c r="U356" t="e">
        <f ca="1">IF((A1)=(2),"",IF((353)=(U3),IF(IF((INDEX(B1:XFD1,((A2)+(1))+(0)))=("store"),(INDEX(B1:XFD1,((A2)+(1))+(1)))=("U"),"false"),B2,U356),U356))</f>
        <v>#VALUE!</v>
      </c>
      <c r="V356" t="e">
        <f ca="1">IF((A1)=(2),"",IF((353)=(V3),IF(IF((INDEX(B1:XFD1,((A2)+(1))+(0)))=("store"),(INDEX(B1:XFD1,((A2)+(1))+(1)))=("V"),"false"),B2,V356),V356))</f>
        <v>#VALUE!</v>
      </c>
      <c r="W356" t="e">
        <f ca="1">IF((A1)=(2),"",IF((353)=(W3),IF(IF((INDEX(B1:XFD1,((A2)+(1))+(0)))=("store"),(INDEX(B1:XFD1,((A2)+(1))+(1)))=("W"),"false"),B2,W356),W356))</f>
        <v>#VALUE!</v>
      </c>
      <c r="X356" t="e">
        <f ca="1">IF((A1)=(2),"",IF((353)=(X3),IF(IF((INDEX(B1:XFD1,((A2)+(1))+(0)))=("store"),(INDEX(B1:XFD1,((A2)+(1))+(1)))=("X"),"false"),B2,X356),X356))</f>
        <v>#VALUE!</v>
      </c>
      <c r="Y356" t="e">
        <f ca="1">IF((A1)=(2),"",IF((353)=(Y3),IF(IF((INDEX(B1:XFD1,((A2)+(1))+(0)))=("store"),(INDEX(B1:XFD1,((A2)+(1))+(1)))=("Y"),"false"),B2,Y356),Y356))</f>
        <v>#VALUE!</v>
      </c>
      <c r="Z356" t="e">
        <f ca="1">IF((A1)=(2),"",IF((353)=(Z3),IF(IF((INDEX(B1:XFD1,((A2)+(1))+(0)))=("store"),(INDEX(B1:XFD1,((A2)+(1))+(1)))=("Z"),"false"),B2,Z356),Z356))</f>
        <v>#VALUE!</v>
      </c>
      <c r="AA356" t="e">
        <f ca="1">IF((A1)=(2),"",IF((353)=(AA3),IF(IF((INDEX(B1:XFD1,((A2)+(1))+(0)))=("store"),(INDEX(B1:XFD1,((A2)+(1))+(1)))=("AA"),"false"),B2,AA356),AA356))</f>
        <v>#VALUE!</v>
      </c>
      <c r="AB356" t="e">
        <f ca="1">IF((A1)=(2),"",IF((353)=(AB3),IF(IF((INDEX(B1:XFD1,((A2)+(1))+(0)))=("store"),(INDEX(B1:XFD1,((A2)+(1))+(1)))=("AB"),"false"),B2,AB356),AB356))</f>
        <v>#VALUE!</v>
      </c>
      <c r="AC356" t="e">
        <f ca="1">IF((A1)=(2),"",IF((353)=(AC3),IF(IF((INDEX(B1:XFD1,((A2)+(1))+(0)))=("store"),(INDEX(B1:XFD1,((A2)+(1))+(1)))=("AC"),"false"),B2,AC356),AC356))</f>
        <v>#VALUE!</v>
      </c>
      <c r="AD356" t="e">
        <f ca="1">IF((A1)=(2),"",IF((353)=(AD3),IF(IF((INDEX(B1:XFD1,((A2)+(1))+(0)))=("store"),(INDEX(B1:XFD1,((A2)+(1))+(1)))=("AD"),"false"),B2,AD356),AD356))</f>
        <v>#VALUE!</v>
      </c>
    </row>
    <row r="357" spans="1:30" x14ac:dyDescent="0.25">
      <c r="A357" t="e">
        <f ca="1">IF((A1)=(2),"",IF((354)=(A3),IF(("call")=(INDEX(B1:XFD1,((A2)+(1))+(0))),(B2)*(2),IF(("goto")=(INDEX(B1:XFD1,((A2)+(1))+(0))),(INDEX(B1:XFD1,((A2)+(1))+(1)))*(2),IF(("gotoiftrue")=(INDEX(B1:XFD1,((A2)+(1))+(0))),IF(B2,(INDEX(B1:XFD1,((A2)+(1))+(1)))*(2),(A357)+(2)),(A357)+(2)))),A357))</f>
        <v>#VALUE!</v>
      </c>
      <c r="B357" t="e">
        <f ca="1">IF((A1)=(2),"",IF((354)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357)+(1)),IF(("add")=(INDEX(B1:XFD1,((A2)+(1))+(0))),(INDEX(B4:B404,(B3)+(1)))+(B357),IF(("equals")=(INDEX(B1:XFD1,((A2)+(1))+(0))),(INDEX(B4:B404,(B3)+(1)))=(B357),IF(("leq")=(INDEX(B1:XFD1,((A2)+(1))+(0))),(INDEX(B4:B404,(B3)+(1)))&lt;=(B357),IF(("greater")=(INDEX(B1:XFD1,((A2)+(1))+(0))),(INDEX(B4:B404,(B3)+(1)))&gt;(B357),IF(("mod")=(INDEX(B1:XFD1,((A2)+(1))+(0))),MOD(INDEX(B4:B404,(B3)+(1)),B357),B357))))))))),B357))</f>
        <v>#VALUE!</v>
      </c>
      <c r="C357" t="e">
        <f ca="1">IF((A1)=(2),1,IF(AND((INDEX(B1:XFD1,((A2)+(1))+(0)))=("writeheap"),(INDEX(B4:B404,(B3)+(1)))=(353)),INDEX(B4:B404,(B3)+(2)),IF((A1)=(2),"",IF((354)=(C3),C357,C357))))</f>
        <v>#VALUE!</v>
      </c>
      <c r="E357" t="e">
        <f ca="1">IF((A1)=(2),"",IF((354)=(E3),IF(("outputline")=(INDEX(B1:XFD1,((A2)+(1))+(0))),B2,E357),E357))</f>
        <v>#VALUE!</v>
      </c>
      <c r="F357" t="e">
        <f ca="1">IF((A1)=(2),"",IF((354)=(F3),IF(IF((INDEX(B1:XFD1,((A2)+(1))+(0)))=("store"),(INDEX(B1:XFD1,((A2)+(1))+(1)))=("F"),"false"),B2,F357),F357))</f>
        <v>#VALUE!</v>
      </c>
      <c r="G357" t="e">
        <f ca="1">IF((A1)=(2),"",IF((354)=(G3),IF(IF((INDEX(B1:XFD1,((A2)+(1))+(0)))=("store"),(INDEX(B1:XFD1,((A2)+(1))+(1)))=("G"),"false"),B2,G357),G357))</f>
        <v>#VALUE!</v>
      </c>
      <c r="H357" t="e">
        <f ca="1">IF((A1)=(2),"",IF((354)=(H3),IF(IF((INDEX(B1:XFD1,((A2)+(1))+(0)))=("store"),(INDEX(B1:XFD1,((A2)+(1))+(1)))=("H"),"false"),B2,H357),H357))</f>
        <v>#VALUE!</v>
      </c>
      <c r="I357" t="e">
        <f ca="1">IF((A1)=(2),"",IF((354)=(I3),IF(IF((INDEX(B1:XFD1,((A2)+(1))+(0)))=("store"),(INDEX(B1:XFD1,((A2)+(1))+(1)))=("I"),"false"),B2,I357),I357))</f>
        <v>#VALUE!</v>
      </c>
      <c r="J357" t="e">
        <f ca="1">IF((A1)=(2),"",IF((354)=(J3),IF(IF((INDEX(B1:XFD1,((A2)+(1))+(0)))=("store"),(INDEX(B1:XFD1,((A2)+(1))+(1)))=("J"),"false"),B2,J357),J357))</f>
        <v>#VALUE!</v>
      </c>
      <c r="K357" t="e">
        <f ca="1">IF((A1)=(2),"",IF((354)=(K3),IF(IF((INDEX(B1:XFD1,((A2)+(1))+(0)))=("store"),(INDEX(B1:XFD1,((A2)+(1))+(1)))=("K"),"false"),B2,K357),K357))</f>
        <v>#VALUE!</v>
      </c>
      <c r="L357" t="e">
        <f ca="1">IF((A1)=(2),"",IF((354)=(L3),IF(IF((INDEX(B1:XFD1,((A2)+(1))+(0)))=("store"),(INDEX(B1:XFD1,((A2)+(1))+(1)))=("L"),"false"),B2,L357),L357))</f>
        <v>#VALUE!</v>
      </c>
      <c r="M357" t="e">
        <f ca="1">IF((A1)=(2),"",IF((354)=(M3),IF(IF((INDEX(B1:XFD1,((A2)+(1))+(0)))=("store"),(INDEX(B1:XFD1,((A2)+(1))+(1)))=("M"),"false"),B2,M357),M357))</f>
        <v>#VALUE!</v>
      </c>
      <c r="N357" t="e">
        <f ca="1">IF((A1)=(2),"",IF((354)=(N3),IF(IF((INDEX(B1:XFD1,((A2)+(1))+(0)))=("store"),(INDEX(B1:XFD1,((A2)+(1))+(1)))=("N"),"false"),B2,N357),N357))</f>
        <v>#VALUE!</v>
      </c>
      <c r="O357" t="e">
        <f ca="1">IF((A1)=(2),"",IF((354)=(O3),IF(IF((INDEX(B1:XFD1,((A2)+(1))+(0)))=("store"),(INDEX(B1:XFD1,((A2)+(1))+(1)))=("O"),"false"),B2,O357),O357))</f>
        <v>#VALUE!</v>
      </c>
      <c r="P357" t="e">
        <f ca="1">IF((A1)=(2),"",IF((354)=(P3),IF(IF((INDEX(B1:XFD1,((A2)+(1))+(0)))=("store"),(INDEX(B1:XFD1,((A2)+(1))+(1)))=("P"),"false"),B2,P357),P357))</f>
        <v>#VALUE!</v>
      </c>
      <c r="Q357" t="e">
        <f ca="1">IF((A1)=(2),"",IF((354)=(Q3),IF(IF((INDEX(B1:XFD1,((A2)+(1))+(0)))=("store"),(INDEX(B1:XFD1,((A2)+(1))+(1)))=("Q"),"false"),B2,Q357),Q357))</f>
        <v>#VALUE!</v>
      </c>
      <c r="R357" t="e">
        <f ca="1">IF((A1)=(2),"",IF((354)=(R3),IF(IF((INDEX(B1:XFD1,((A2)+(1))+(0)))=("store"),(INDEX(B1:XFD1,((A2)+(1))+(1)))=("R"),"false"),B2,R357),R357))</f>
        <v>#VALUE!</v>
      </c>
      <c r="S357" t="e">
        <f ca="1">IF((A1)=(2),"",IF((354)=(S3),IF(IF((INDEX(B1:XFD1,((A2)+(1))+(0)))=("store"),(INDEX(B1:XFD1,((A2)+(1))+(1)))=("S"),"false"),B2,S357),S357))</f>
        <v>#VALUE!</v>
      </c>
      <c r="T357" t="e">
        <f ca="1">IF((A1)=(2),"",IF((354)=(T3),IF(IF((INDEX(B1:XFD1,((A2)+(1))+(0)))=("store"),(INDEX(B1:XFD1,((A2)+(1))+(1)))=("T"),"false"),B2,T357),T357))</f>
        <v>#VALUE!</v>
      </c>
      <c r="U357" t="e">
        <f ca="1">IF((A1)=(2),"",IF((354)=(U3),IF(IF((INDEX(B1:XFD1,((A2)+(1))+(0)))=("store"),(INDEX(B1:XFD1,((A2)+(1))+(1)))=("U"),"false"),B2,U357),U357))</f>
        <v>#VALUE!</v>
      </c>
      <c r="V357" t="e">
        <f ca="1">IF((A1)=(2),"",IF((354)=(V3),IF(IF((INDEX(B1:XFD1,((A2)+(1))+(0)))=("store"),(INDEX(B1:XFD1,((A2)+(1))+(1)))=("V"),"false"),B2,V357),V357))</f>
        <v>#VALUE!</v>
      </c>
      <c r="W357" t="e">
        <f ca="1">IF((A1)=(2),"",IF((354)=(W3),IF(IF((INDEX(B1:XFD1,((A2)+(1))+(0)))=("store"),(INDEX(B1:XFD1,((A2)+(1))+(1)))=("W"),"false"),B2,W357),W357))</f>
        <v>#VALUE!</v>
      </c>
      <c r="X357" t="e">
        <f ca="1">IF((A1)=(2),"",IF((354)=(X3),IF(IF((INDEX(B1:XFD1,((A2)+(1))+(0)))=("store"),(INDEX(B1:XFD1,((A2)+(1))+(1)))=("X"),"false"),B2,X357),X357))</f>
        <v>#VALUE!</v>
      </c>
      <c r="Y357" t="e">
        <f ca="1">IF((A1)=(2),"",IF((354)=(Y3),IF(IF((INDEX(B1:XFD1,((A2)+(1))+(0)))=("store"),(INDEX(B1:XFD1,((A2)+(1))+(1)))=("Y"),"false"),B2,Y357),Y357))</f>
        <v>#VALUE!</v>
      </c>
      <c r="Z357" t="e">
        <f ca="1">IF((A1)=(2),"",IF((354)=(Z3),IF(IF((INDEX(B1:XFD1,((A2)+(1))+(0)))=("store"),(INDEX(B1:XFD1,((A2)+(1))+(1)))=("Z"),"false"),B2,Z357),Z357))</f>
        <v>#VALUE!</v>
      </c>
      <c r="AA357" t="e">
        <f ca="1">IF((A1)=(2),"",IF((354)=(AA3),IF(IF((INDEX(B1:XFD1,((A2)+(1))+(0)))=("store"),(INDEX(B1:XFD1,((A2)+(1))+(1)))=("AA"),"false"),B2,AA357),AA357))</f>
        <v>#VALUE!</v>
      </c>
      <c r="AB357" t="e">
        <f ca="1">IF((A1)=(2),"",IF((354)=(AB3),IF(IF((INDEX(B1:XFD1,((A2)+(1))+(0)))=("store"),(INDEX(B1:XFD1,((A2)+(1))+(1)))=("AB"),"false"),B2,AB357),AB357))</f>
        <v>#VALUE!</v>
      </c>
      <c r="AC357" t="e">
        <f ca="1">IF((A1)=(2),"",IF((354)=(AC3),IF(IF((INDEX(B1:XFD1,((A2)+(1))+(0)))=("store"),(INDEX(B1:XFD1,((A2)+(1))+(1)))=("AC"),"false"),B2,AC357),AC357))</f>
        <v>#VALUE!</v>
      </c>
      <c r="AD357" t="e">
        <f ca="1">IF((A1)=(2),"",IF((354)=(AD3),IF(IF((INDEX(B1:XFD1,((A2)+(1))+(0)))=("store"),(INDEX(B1:XFD1,((A2)+(1))+(1)))=("AD"),"false"),B2,AD357),AD357))</f>
        <v>#VALUE!</v>
      </c>
    </row>
    <row r="358" spans="1:30" x14ac:dyDescent="0.25">
      <c r="A358" t="e">
        <f ca="1">IF((A1)=(2),"",IF((355)=(A3),IF(("call")=(INDEX(B1:XFD1,((A2)+(1))+(0))),(B2)*(2),IF(("goto")=(INDEX(B1:XFD1,((A2)+(1))+(0))),(INDEX(B1:XFD1,((A2)+(1))+(1)))*(2),IF(("gotoiftrue")=(INDEX(B1:XFD1,((A2)+(1))+(0))),IF(B2,(INDEX(B1:XFD1,((A2)+(1))+(1)))*(2),(A358)+(2)),(A358)+(2)))),A358))</f>
        <v>#VALUE!</v>
      </c>
      <c r="B358" t="e">
        <f ca="1">IF((A1)=(2),"",IF((355)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358)+(1)),IF(("add")=(INDEX(B1:XFD1,((A2)+(1))+(0))),(INDEX(B4:B404,(B3)+(1)))+(B358),IF(("equals")=(INDEX(B1:XFD1,((A2)+(1))+(0))),(INDEX(B4:B404,(B3)+(1)))=(B358),IF(("leq")=(INDEX(B1:XFD1,((A2)+(1))+(0))),(INDEX(B4:B404,(B3)+(1)))&lt;=(B358),IF(("greater")=(INDEX(B1:XFD1,((A2)+(1))+(0))),(INDEX(B4:B404,(B3)+(1)))&gt;(B358),IF(("mod")=(INDEX(B1:XFD1,((A2)+(1))+(0))),MOD(INDEX(B4:B404,(B3)+(1)),B358),B358))))))))),B358))</f>
        <v>#VALUE!</v>
      </c>
      <c r="C358" t="e">
        <f ca="1">IF((A1)=(2),1,IF(AND((INDEX(B1:XFD1,((A2)+(1))+(0)))=("writeheap"),(INDEX(B4:B404,(B3)+(1)))=(354)),INDEX(B4:B404,(B3)+(2)),IF((A1)=(2),"",IF((355)=(C3),C358,C358))))</f>
        <v>#VALUE!</v>
      </c>
      <c r="E358" t="e">
        <f ca="1">IF((A1)=(2),"",IF((355)=(E3),IF(("outputline")=(INDEX(B1:XFD1,((A2)+(1))+(0))),B2,E358),E358))</f>
        <v>#VALUE!</v>
      </c>
      <c r="F358" t="e">
        <f ca="1">IF((A1)=(2),"",IF((355)=(F3),IF(IF((INDEX(B1:XFD1,((A2)+(1))+(0)))=("store"),(INDEX(B1:XFD1,((A2)+(1))+(1)))=("F"),"false"),B2,F358),F358))</f>
        <v>#VALUE!</v>
      </c>
      <c r="G358" t="e">
        <f ca="1">IF((A1)=(2),"",IF((355)=(G3),IF(IF((INDEX(B1:XFD1,((A2)+(1))+(0)))=("store"),(INDEX(B1:XFD1,((A2)+(1))+(1)))=("G"),"false"),B2,G358),G358))</f>
        <v>#VALUE!</v>
      </c>
      <c r="H358" t="e">
        <f ca="1">IF((A1)=(2),"",IF((355)=(H3),IF(IF((INDEX(B1:XFD1,((A2)+(1))+(0)))=("store"),(INDEX(B1:XFD1,((A2)+(1))+(1)))=("H"),"false"),B2,H358),H358))</f>
        <v>#VALUE!</v>
      </c>
      <c r="I358" t="e">
        <f ca="1">IF((A1)=(2),"",IF((355)=(I3),IF(IF((INDEX(B1:XFD1,((A2)+(1))+(0)))=("store"),(INDEX(B1:XFD1,((A2)+(1))+(1)))=("I"),"false"),B2,I358),I358))</f>
        <v>#VALUE!</v>
      </c>
      <c r="J358" t="e">
        <f ca="1">IF((A1)=(2),"",IF((355)=(J3),IF(IF((INDEX(B1:XFD1,((A2)+(1))+(0)))=("store"),(INDEX(B1:XFD1,((A2)+(1))+(1)))=("J"),"false"),B2,J358),J358))</f>
        <v>#VALUE!</v>
      </c>
      <c r="K358" t="e">
        <f ca="1">IF((A1)=(2),"",IF((355)=(K3),IF(IF((INDEX(B1:XFD1,((A2)+(1))+(0)))=("store"),(INDEX(B1:XFD1,((A2)+(1))+(1)))=("K"),"false"),B2,K358),K358))</f>
        <v>#VALUE!</v>
      </c>
      <c r="L358" t="e">
        <f ca="1">IF((A1)=(2),"",IF((355)=(L3),IF(IF((INDEX(B1:XFD1,((A2)+(1))+(0)))=("store"),(INDEX(B1:XFD1,((A2)+(1))+(1)))=("L"),"false"),B2,L358),L358))</f>
        <v>#VALUE!</v>
      </c>
      <c r="M358" t="e">
        <f ca="1">IF((A1)=(2),"",IF((355)=(M3),IF(IF((INDEX(B1:XFD1,((A2)+(1))+(0)))=("store"),(INDEX(B1:XFD1,((A2)+(1))+(1)))=("M"),"false"),B2,M358),M358))</f>
        <v>#VALUE!</v>
      </c>
      <c r="N358" t="e">
        <f ca="1">IF((A1)=(2),"",IF((355)=(N3),IF(IF((INDEX(B1:XFD1,((A2)+(1))+(0)))=("store"),(INDEX(B1:XFD1,((A2)+(1))+(1)))=("N"),"false"),B2,N358),N358))</f>
        <v>#VALUE!</v>
      </c>
      <c r="O358" t="e">
        <f ca="1">IF((A1)=(2),"",IF((355)=(O3),IF(IF((INDEX(B1:XFD1,((A2)+(1))+(0)))=("store"),(INDEX(B1:XFD1,((A2)+(1))+(1)))=("O"),"false"),B2,O358),O358))</f>
        <v>#VALUE!</v>
      </c>
      <c r="P358" t="e">
        <f ca="1">IF((A1)=(2),"",IF((355)=(P3),IF(IF((INDEX(B1:XFD1,((A2)+(1))+(0)))=("store"),(INDEX(B1:XFD1,((A2)+(1))+(1)))=("P"),"false"),B2,P358),P358))</f>
        <v>#VALUE!</v>
      </c>
      <c r="Q358" t="e">
        <f ca="1">IF((A1)=(2),"",IF((355)=(Q3),IF(IF((INDEX(B1:XFD1,((A2)+(1))+(0)))=("store"),(INDEX(B1:XFD1,((A2)+(1))+(1)))=("Q"),"false"),B2,Q358),Q358))</f>
        <v>#VALUE!</v>
      </c>
      <c r="R358" t="e">
        <f ca="1">IF((A1)=(2),"",IF((355)=(R3),IF(IF((INDEX(B1:XFD1,((A2)+(1))+(0)))=("store"),(INDEX(B1:XFD1,((A2)+(1))+(1)))=("R"),"false"),B2,R358),R358))</f>
        <v>#VALUE!</v>
      </c>
      <c r="S358" t="e">
        <f ca="1">IF((A1)=(2),"",IF((355)=(S3),IF(IF((INDEX(B1:XFD1,((A2)+(1))+(0)))=("store"),(INDEX(B1:XFD1,((A2)+(1))+(1)))=("S"),"false"),B2,S358),S358))</f>
        <v>#VALUE!</v>
      </c>
      <c r="T358" t="e">
        <f ca="1">IF((A1)=(2),"",IF((355)=(T3),IF(IF((INDEX(B1:XFD1,((A2)+(1))+(0)))=("store"),(INDEX(B1:XFD1,((A2)+(1))+(1)))=("T"),"false"),B2,T358),T358))</f>
        <v>#VALUE!</v>
      </c>
      <c r="U358" t="e">
        <f ca="1">IF((A1)=(2),"",IF((355)=(U3),IF(IF((INDEX(B1:XFD1,((A2)+(1))+(0)))=("store"),(INDEX(B1:XFD1,((A2)+(1))+(1)))=("U"),"false"),B2,U358),U358))</f>
        <v>#VALUE!</v>
      </c>
      <c r="V358" t="e">
        <f ca="1">IF((A1)=(2),"",IF((355)=(V3),IF(IF((INDEX(B1:XFD1,((A2)+(1))+(0)))=("store"),(INDEX(B1:XFD1,((A2)+(1))+(1)))=("V"),"false"),B2,V358),V358))</f>
        <v>#VALUE!</v>
      </c>
      <c r="W358" t="e">
        <f ca="1">IF((A1)=(2),"",IF((355)=(W3),IF(IF((INDEX(B1:XFD1,((A2)+(1))+(0)))=("store"),(INDEX(B1:XFD1,((A2)+(1))+(1)))=("W"),"false"),B2,W358),W358))</f>
        <v>#VALUE!</v>
      </c>
      <c r="X358" t="e">
        <f ca="1">IF((A1)=(2),"",IF((355)=(X3),IF(IF((INDEX(B1:XFD1,((A2)+(1))+(0)))=("store"),(INDEX(B1:XFD1,((A2)+(1))+(1)))=("X"),"false"),B2,X358),X358))</f>
        <v>#VALUE!</v>
      </c>
      <c r="Y358" t="e">
        <f ca="1">IF((A1)=(2),"",IF((355)=(Y3),IF(IF((INDEX(B1:XFD1,((A2)+(1))+(0)))=("store"),(INDEX(B1:XFD1,((A2)+(1))+(1)))=("Y"),"false"),B2,Y358),Y358))</f>
        <v>#VALUE!</v>
      </c>
      <c r="Z358" t="e">
        <f ca="1">IF((A1)=(2),"",IF((355)=(Z3),IF(IF((INDEX(B1:XFD1,((A2)+(1))+(0)))=("store"),(INDEX(B1:XFD1,((A2)+(1))+(1)))=("Z"),"false"),B2,Z358),Z358))</f>
        <v>#VALUE!</v>
      </c>
      <c r="AA358" t="e">
        <f ca="1">IF((A1)=(2),"",IF((355)=(AA3),IF(IF((INDEX(B1:XFD1,((A2)+(1))+(0)))=("store"),(INDEX(B1:XFD1,((A2)+(1))+(1)))=("AA"),"false"),B2,AA358),AA358))</f>
        <v>#VALUE!</v>
      </c>
      <c r="AB358" t="e">
        <f ca="1">IF((A1)=(2),"",IF((355)=(AB3),IF(IF((INDEX(B1:XFD1,((A2)+(1))+(0)))=("store"),(INDEX(B1:XFD1,((A2)+(1))+(1)))=("AB"),"false"),B2,AB358),AB358))</f>
        <v>#VALUE!</v>
      </c>
      <c r="AC358" t="e">
        <f ca="1">IF((A1)=(2),"",IF((355)=(AC3),IF(IF((INDEX(B1:XFD1,((A2)+(1))+(0)))=("store"),(INDEX(B1:XFD1,((A2)+(1))+(1)))=("AC"),"false"),B2,AC358),AC358))</f>
        <v>#VALUE!</v>
      </c>
      <c r="AD358" t="e">
        <f ca="1">IF((A1)=(2),"",IF((355)=(AD3),IF(IF((INDEX(B1:XFD1,((A2)+(1))+(0)))=("store"),(INDEX(B1:XFD1,((A2)+(1))+(1)))=("AD"),"false"),B2,AD358),AD358))</f>
        <v>#VALUE!</v>
      </c>
    </row>
    <row r="359" spans="1:30" x14ac:dyDescent="0.25">
      <c r="A359" t="e">
        <f ca="1">IF((A1)=(2),"",IF((356)=(A3),IF(("call")=(INDEX(B1:XFD1,((A2)+(1))+(0))),(B2)*(2),IF(("goto")=(INDEX(B1:XFD1,((A2)+(1))+(0))),(INDEX(B1:XFD1,((A2)+(1))+(1)))*(2),IF(("gotoiftrue")=(INDEX(B1:XFD1,((A2)+(1))+(0))),IF(B2,(INDEX(B1:XFD1,((A2)+(1))+(1)))*(2),(A359)+(2)),(A359)+(2)))),A359))</f>
        <v>#VALUE!</v>
      </c>
      <c r="B359" t="e">
        <f ca="1">IF((A1)=(2),"",IF((356)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359)+(1)),IF(("add")=(INDEX(B1:XFD1,((A2)+(1))+(0))),(INDEX(B4:B404,(B3)+(1)))+(B359),IF(("equals")=(INDEX(B1:XFD1,((A2)+(1))+(0))),(INDEX(B4:B404,(B3)+(1)))=(B359),IF(("leq")=(INDEX(B1:XFD1,((A2)+(1))+(0))),(INDEX(B4:B404,(B3)+(1)))&lt;=(B359),IF(("greater")=(INDEX(B1:XFD1,((A2)+(1))+(0))),(INDEX(B4:B404,(B3)+(1)))&gt;(B359),IF(("mod")=(INDEX(B1:XFD1,((A2)+(1))+(0))),MOD(INDEX(B4:B404,(B3)+(1)),B359),B359))))))))),B359))</f>
        <v>#VALUE!</v>
      </c>
      <c r="C359" t="e">
        <f ca="1">IF((A1)=(2),1,IF(AND((INDEX(B1:XFD1,((A2)+(1))+(0)))=("writeheap"),(INDEX(B4:B404,(B3)+(1)))=(355)),INDEX(B4:B404,(B3)+(2)),IF((A1)=(2),"",IF((356)=(C3),C359,C359))))</f>
        <v>#VALUE!</v>
      </c>
      <c r="E359" t="e">
        <f ca="1">IF((A1)=(2),"",IF((356)=(E3),IF(("outputline")=(INDEX(B1:XFD1,((A2)+(1))+(0))),B2,E359),E359))</f>
        <v>#VALUE!</v>
      </c>
      <c r="F359" t="e">
        <f ca="1">IF((A1)=(2),"",IF((356)=(F3),IF(IF((INDEX(B1:XFD1,((A2)+(1))+(0)))=("store"),(INDEX(B1:XFD1,((A2)+(1))+(1)))=("F"),"false"),B2,F359),F359))</f>
        <v>#VALUE!</v>
      </c>
      <c r="G359" t="e">
        <f ca="1">IF((A1)=(2),"",IF((356)=(G3),IF(IF((INDEX(B1:XFD1,((A2)+(1))+(0)))=("store"),(INDEX(B1:XFD1,((A2)+(1))+(1)))=("G"),"false"),B2,G359),G359))</f>
        <v>#VALUE!</v>
      </c>
      <c r="H359" t="e">
        <f ca="1">IF((A1)=(2),"",IF((356)=(H3),IF(IF((INDEX(B1:XFD1,((A2)+(1))+(0)))=("store"),(INDEX(B1:XFD1,((A2)+(1))+(1)))=("H"),"false"),B2,H359),H359))</f>
        <v>#VALUE!</v>
      </c>
      <c r="I359" t="e">
        <f ca="1">IF((A1)=(2),"",IF((356)=(I3),IF(IF((INDEX(B1:XFD1,((A2)+(1))+(0)))=("store"),(INDEX(B1:XFD1,((A2)+(1))+(1)))=("I"),"false"),B2,I359),I359))</f>
        <v>#VALUE!</v>
      </c>
      <c r="J359" t="e">
        <f ca="1">IF((A1)=(2),"",IF((356)=(J3),IF(IF((INDEX(B1:XFD1,((A2)+(1))+(0)))=("store"),(INDEX(B1:XFD1,((A2)+(1))+(1)))=("J"),"false"),B2,J359),J359))</f>
        <v>#VALUE!</v>
      </c>
      <c r="K359" t="e">
        <f ca="1">IF((A1)=(2),"",IF((356)=(K3),IF(IF((INDEX(B1:XFD1,((A2)+(1))+(0)))=("store"),(INDEX(B1:XFD1,((A2)+(1))+(1)))=("K"),"false"),B2,K359),K359))</f>
        <v>#VALUE!</v>
      </c>
      <c r="L359" t="e">
        <f ca="1">IF((A1)=(2),"",IF((356)=(L3),IF(IF((INDEX(B1:XFD1,((A2)+(1))+(0)))=("store"),(INDEX(B1:XFD1,((A2)+(1))+(1)))=("L"),"false"),B2,L359),L359))</f>
        <v>#VALUE!</v>
      </c>
      <c r="M359" t="e">
        <f ca="1">IF((A1)=(2),"",IF((356)=(M3),IF(IF((INDEX(B1:XFD1,((A2)+(1))+(0)))=("store"),(INDEX(B1:XFD1,((A2)+(1))+(1)))=("M"),"false"),B2,M359),M359))</f>
        <v>#VALUE!</v>
      </c>
      <c r="N359" t="e">
        <f ca="1">IF((A1)=(2),"",IF((356)=(N3),IF(IF((INDEX(B1:XFD1,((A2)+(1))+(0)))=("store"),(INDEX(B1:XFD1,((A2)+(1))+(1)))=("N"),"false"),B2,N359),N359))</f>
        <v>#VALUE!</v>
      </c>
      <c r="O359" t="e">
        <f ca="1">IF((A1)=(2),"",IF((356)=(O3),IF(IF((INDEX(B1:XFD1,((A2)+(1))+(0)))=("store"),(INDEX(B1:XFD1,((A2)+(1))+(1)))=("O"),"false"),B2,O359),O359))</f>
        <v>#VALUE!</v>
      </c>
      <c r="P359" t="e">
        <f ca="1">IF((A1)=(2),"",IF((356)=(P3),IF(IF((INDEX(B1:XFD1,((A2)+(1))+(0)))=("store"),(INDEX(B1:XFD1,((A2)+(1))+(1)))=("P"),"false"),B2,P359),P359))</f>
        <v>#VALUE!</v>
      </c>
      <c r="Q359" t="e">
        <f ca="1">IF((A1)=(2),"",IF((356)=(Q3),IF(IF((INDEX(B1:XFD1,((A2)+(1))+(0)))=("store"),(INDEX(B1:XFD1,((A2)+(1))+(1)))=("Q"),"false"),B2,Q359),Q359))</f>
        <v>#VALUE!</v>
      </c>
      <c r="R359" t="e">
        <f ca="1">IF((A1)=(2),"",IF((356)=(R3),IF(IF((INDEX(B1:XFD1,((A2)+(1))+(0)))=("store"),(INDEX(B1:XFD1,((A2)+(1))+(1)))=("R"),"false"),B2,R359),R359))</f>
        <v>#VALUE!</v>
      </c>
      <c r="S359" t="e">
        <f ca="1">IF((A1)=(2),"",IF((356)=(S3),IF(IF((INDEX(B1:XFD1,((A2)+(1))+(0)))=("store"),(INDEX(B1:XFD1,((A2)+(1))+(1)))=("S"),"false"),B2,S359),S359))</f>
        <v>#VALUE!</v>
      </c>
      <c r="T359" t="e">
        <f ca="1">IF((A1)=(2),"",IF((356)=(T3),IF(IF((INDEX(B1:XFD1,((A2)+(1))+(0)))=("store"),(INDEX(B1:XFD1,((A2)+(1))+(1)))=("T"),"false"),B2,T359),T359))</f>
        <v>#VALUE!</v>
      </c>
      <c r="U359" t="e">
        <f ca="1">IF((A1)=(2),"",IF((356)=(U3),IF(IF((INDEX(B1:XFD1,((A2)+(1))+(0)))=("store"),(INDEX(B1:XFD1,((A2)+(1))+(1)))=("U"),"false"),B2,U359),U359))</f>
        <v>#VALUE!</v>
      </c>
      <c r="V359" t="e">
        <f ca="1">IF((A1)=(2),"",IF((356)=(V3),IF(IF((INDEX(B1:XFD1,((A2)+(1))+(0)))=("store"),(INDEX(B1:XFD1,((A2)+(1))+(1)))=("V"),"false"),B2,V359),V359))</f>
        <v>#VALUE!</v>
      </c>
      <c r="W359" t="e">
        <f ca="1">IF((A1)=(2),"",IF((356)=(W3),IF(IF((INDEX(B1:XFD1,((A2)+(1))+(0)))=("store"),(INDEX(B1:XFD1,((A2)+(1))+(1)))=("W"),"false"),B2,W359),W359))</f>
        <v>#VALUE!</v>
      </c>
      <c r="X359" t="e">
        <f ca="1">IF((A1)=(2),"",IF((356)=(X3),IF(IF((INDEX(B1:XFD1,((A2)+(1))+(0)))=("store"),(INDEX(B1:XFD1,((A2)+(1))+(1)))=("X"),"false"),B2,X359),X359))</f>
        <v>#VALUE!</v>
      </c>
      <c r="Y359" t="e">
        <f ca="1">IF((A1)=(2),"",IF((356)=(Y3),IF(IF((INDEX(B1:XFD1,((A2)+(1))+(0)))=("store"),(INDEX(B1:XFD1,((A2)+(1))+(1)))=("Y"),"false"),B2,Y359),Y359))</f>
        <v>#VALUE!</v>
      </c>
      <c r="Z359" t="e">
        <f ca="1">IF((A1)=(2),"",IF((356)=(Z3),IF(IF((INDEX(B1:XFD1,((A2)+(1))+(0)))=("store"),(INDEX(B1:XFD1,((A2)+(1))+(1)))=("Z"),"false"),B2,Z359),Z359))</f>
        <v>#VALUE!</v>
      </c>
      <c r="AA359" t="e">
        <f ca="1">IF((A1)=(2),"",IF((356)=(AA3),IF(IF((INDEX(B1:XFD1,((A2)+(1))+(0)))=("store"),(INDEX(B1:XFD1,((A2)+(1))+(1)))=("AA"),"false"),B2,AA359),AA359))</f>
        <v>#VALUE!</v>
      </c>
      <c r="AB359" t="e">
        <f ca="1">IF((A1)=(2),"",IF((356)=(AB3),IF(IF((INDEX(B1:XFD1,((A2)+(1))+(0)))=("store"),(INDEX(B1:XFD1,((A2)+(1))+(1)))=("AB"),"false"),B2,AB359),AB359))</f>
        <v>#VALUE!</v>
      </c>
      <c r="AC359" t="e">
        <f ca="1">IF((A1)=(2),"",IF((356)=(AC3),IF(IF((INDEX(B1:XFD1,((A2)+(1))+(0)))=("store"),(INDEX(B1:XFD1,((A2)+(1))+(1)))=("AC"),"false"),B2,AC359),AC359))</f>
        <v>#VALUE!</v>
      </c>
      <c r="AD359" t="e">
        <f ca="1">IF((A1)=(2),"",IF((356)=(AD3),IF(IF((INDEX(B1:XFD1,((A2)+(1))+(0)))=("store"),(INDEX(B1:XFD1,((A2)+(1))+(1)))=("AD"),"false"),B2,AD359),AD359))</f>
        <v>#VALUE!</v>
      </c>
    </row>
    <row r="360" spans="1:30" x14ac:dyDescent="0.25">
      <c r="A360" t="e">
        <f ca="1">IF((A1)=(2),"",IF((357)=(A3),IF(("call")=(INDEX(B1:XFD1,((A2)+(1))+(0))),(B2)*(2),IF(("goto")=(INDEX(B1:XFD1,((A2)+(1))+(0))),(INDEX(B1:XFD1,((A2)+(1))+(1)))*(2),IF(("gotoiftrue")=(INDEX(B1:XFD1,((A2)+(1))+(0))),IF(B2,(INDEX(B1:XFD1,((A2)+(1))+(1)))*(2),(A360)+(2)),(A360)+(2)))),A360))</f>
        <v>#VALUE!</v>
      </c>
      <c r="B360" t="e">
        <f ca="1">IF((A1)=(2),"",IF((357)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360)+(1)),IF(("add")=(INDEX(B1:XFD1,((A2)+(1))+(0))),(INDEX(B4:B404,(B3)+(1)))+(B360),IF(("equals")=(INDEX(B1:XFD1,((A2)+(1))+(0))),(INDEX(B4:B404,(B3)+(1)))=(B360),IF(("leq")=(INDEX(B1:XFD1,((A2)+(1))+(0))),(INDEX(B4:B404,(B3)+(1)))&lt;=(B360),IF(("greater")=(INDEX(B1:XFD1,((A2)+(1))+(0))),(INDEX(B4:B404,(B3)+(1)))&gt;(B360),IF(("mod")=(INDEX(B1:XFD1,((A2)+(1))+(0))),MOD(INDEX(B4:B404,(B3)+(1)),B360),B360))))))))),B360))</f>
        <v>#VALUE!</v>
      </c>
      <c r="C360" t="e">
        <f ca="1">IF((A1)=(2),1,IF(AND((INDEX(B1:XFD1,((A2)+(1))+(0)))=("writeheap"),(INDEX(B4:B404,(B3)+(1)))=(356)),INDEX(B4:B404,(B3)+(2)),IF((A1)=(2),"",IF((357)=(C3),C360,C360))))</f>
        <v>#VALUE!</v>
      </c>
      <c r="E360" t="e">
        <f ca="1">IF((A1)=(2),"",IF((357)=(E3),IF(("outputline")=(INDEX(B1:XFD1,((A2)+(1))+(0))),B2,E360),E360))</f>
        <v>#VALUE!</v>
      </c>
      <c r="F360" t="e">
        <f ca="1">IF((A1)=(2),"",IF((357)=(F3),IF(IF((INDEX(B1:XFD1,((A2)+(1))+(0)))=("store"),(INDEX(B1:XFD1,((A2)+(1))+(1)))=("F"),"false"),B2,F360),F360))</f>
        <v>#VALUE!</v>
      </c>
      <c r="G360" t="e">
        <f ca="1">IF((A1)=(2),"",IF((357)=(G3),IF(IF((INDEX(B1:XFD1,((A2)+(1))+(0)))=("store"),(INDEX(B1:XFD1,((A2)+(1))+(1)))=("G"),"false"),B2,G360),G360))</f>
        <v>#VALUE!</v>
      </c>
      <c r="H360" t="e">
        <f ca="1">IF((A1)=(2),"",IF((357)=(H3),IF(IF((INDEX(B1:XFD1,((A2)+(1))+(0)))=("store"),(INDEX(B1:XFD1,((A2)+(1))+(1)))=("H"),"false"),B2,H360),H360))</f>
        <v>#VALUE!</v>
      </c>
      <c r="I360" t="e">
        <f ca="1">IF((A1)=(2),"",IF((357)=(I3),IF(IF((INDEX(B1:XFD1,((A2)+(1))+(0)))=("store"),(INDEX(B1:XFD1,((A2)+(1))+(1)))=("I"),"false"),B2,I360),I360))</f>
        <v>#VALUE!</v>
      </c>
      <c r="J360" t="e">
        <f ca="1">IF((A1)=(2),"",IF((357)=(J3),IF(IF((INDEX(B1:XFD1,((A2)+(1))+(0)))=("store"),(INDEX(B1:XFD1,((A2)+(1))+(1)))=("J"),"false"),B2,J360),J360))</f>
        <v>#VALUE!</v>
      </c>
      <c r="K360" t="e">
        <f ca="1">IF((A1)=(2),"",IF((357)=(K3),IF(IF((INDEX(B1:XFD1,((A2)+(1))+(0)))=("store"),(INDEX(B1:XFD1,((A2)+(1))+(1)))=("K"),"false"),B2,K360),K360))</f>
        <v>#VALUE!</v>
      </c>
      <c r="L360" t="e">
        <f ca="1">IF((A1)=(2),"",IF((357)=(L3),IF(IF((INDEX(B1:XFD1,((A2)+(1))+(0)))=("store"),(INDEX(B1:XFD1,((A2)+(1))+(1)))=("L"),"false"),B2,L360),L360))</f>
        <v>#VALUE!</v>
      </c>
      <c r="M360" t="e">
        <f ca="1">IF((A1)=(2),"",IF((357)=(M3),IF(IF((INDEX(B1:XFD1,((A2)+(1))+(0)))=("store"),(INDEX(B1:XFD1,((A2)+(1))+(1)))=("M"),"false"),B2,M360),M360))</f>
        <v>#VALUE!</v>
      </c>
      <c r="N360" t="e">
        <f ca="1">IF((A1)=(2),"",IF((357)=(N3),IF(IF((INDEX(B1:XFD1,((A2)+(1))+(0)))=("store"),(INDEX(B1:XFD1,((A2)+(1))+(1)))=("N"),"false"),B2,N360),N360))</f>
        <v>#VALUE!</v>
      </c>
      <c r="O360" t="e">
        <f ca="1">IF((A1)=(2),"",IF((357)=(O3),IF(IF((INDEX(B1:XFD1,((A2)+(1))+(0)))=("store"),(INDEX(B1:XFD1,((A2)+(1))+(1)))=("O"),"false"),B2,O360),O360))</f>
        <v>#VALUE!</v>
      </c>
      <c r="P360" t="e">
        <f ca="1">IF((A1)=(2),"",IF((357)=(P3),IF(IF((INDEX(B1:XFD1,((A2)+(1))+(0)))=("store"),(INDEX(B1:XFD1,((A2)+(1))+(1)))=("P"),"false"),B2,P360),P360))</f>
        <v>#VALUE!</v>
      </c>
      <c r="Q360" t="e">
        <f ca="1">IF((A1)=(2),"",IF((357)=(Q3),IF(IF((INDEX(B1:XFD1,((A2)+(1))+(0)))=("store"),(INDEX(B1:XFD1,((A2)+(1))+(1)))=("Q"),"false"),B2,Q360),Q360))</f>
        <v>#VALUE!</v>
      </c>
      <c r="R360" t="e">
        <f ca="1">IF((A1)=(2),"",IF((357)=(R3),IF(IF((INDEX(B1:XFD1,((A2)+(1))+(0)))=("store"),(INDEX(B1:XFD1,((A2)+(1))+(1)))=("R"),"false"),B2,R360),R360))</f>
        <v>#VALUE!</v>
      </c>
      <c r="S360" t="e">
        <f ca="1">IF((A1)=(2),"",IF((357)=(S3),IF(IF((INDEX(B1:XFD1,((A2)+(1))+(0)))=("store"),(INDEX(B1:XFD1,((A2)+(1))+(1)))=("S"),"false"),B2,S360),S360))</f>
        <v>#VALUE!</v>
      </c>
      <c r="T360" t="e">
        <f ca="1">IF((A1)=(2),"",IF((357)=(T3),IF(IF((INDEX(B1:XFD1,((A2)+(1))+(0)))=("store"),(INDEX(B1:XFD1,((A2)+(1))+(1)))=("T"),"false"),B2,T360),T360))</f>
        <v>#VALUE!</v>
      </c>
      <c r="U360" t="e">
        <f ca="1">IF((A1)=(2),"",IF((357)=(U3),IF(IF((INDEX(B1:XFD1,((A2)+(1))+(0)))=("store"),(INDEX(B1:XFD1,((A2)+(1))+(1)))=("U"),"false"),B2,U360),U360))</f>
        <v>#VALUE!</v>
      </c>
      <c r="V360" t="e">
        <f ca="1">IF((A1)=(2),"",IF((357)=(V3),IF(IF((INDEX(B1:XFD1,((A2)+(1))+(0)))=("store"),(INDEX(B1:XFD1,((A2)+(1))+(1)))=("V"),"false"),B2,V360),V360))</f>
        <v>#VALUE!</v>
      </c>
      <c r="W360" t="e">
        <f ca="1">IF((A1)=(2),"",IF((357)=(W3),IF(IF((INDEX(B1:XFD1,((A2)+(1))+(0)))=("store"),(INDEX(B1:XFD1,((A2)+(1))+(1)))=("W"),"false"),B2,W360),W360))</f>
        <v>#VALUE!</v>
      </c>
      <c r="X360" t="e">
        <f ca="1">IF((A1)=(2),"",IF((357)=(X3),IF(IF((INDEX(B1:XFD1,((A2)+(1))+(0)))=("store"),(INDEX(B1:XFD1,((A2)+(1))+(1)))=("X"),"false"),B2,X360),X360))</f>
        <v>#VALUE!</v>
      </c>
      <c r="Y360" t="e">
        <f ca="1">IF((A1)=(2),"",IF((357)=(Y3),IF(IF((INDEX(B1:XFD1,((A2)+(1))+(0)))=("store"),(INDEX(B1:XFD1,((A2)+(1))+(1)))=("Y"),"false"),B2,Y360),Y360))</f>
        <v>#VALUE!</v>
      </c>
      <c r="Z360" t="e">
        <f ca="1">IF((A1)=(2),"",IF((357)=(Z3),IF(IF((INDEX(B1:XFD1,((A2)+(1))+(0)))=("store"),(INDEX(B1:XFD1,((A2)+(1))+(1)))=("Z"),"false"),B2,Z360),Z360))</f>
        <v>#VALUE!</v>
      </c>
      <c r="AA360" t="e">
        <f ca="1">IF((A1)=(2),"",IF((357)=(AA3),IF(IF((INDEX(B1:XFD1,((A2)+(1))+(0)))=("store"),(INDEX(B1:XFD1,((A2)+(1))+(1)))=("AA"),"false"),B2,AA360),AA360))</f>
        <v>#VALUE!</v>
      </c>
      <c r="AB360" t="e">
        <f ca="1">IF((A1)=(2),"",IF((357)=(AB3),IF(IF((INDEX(B1:XFD1,((A2)+(1))+(0)))=("store"),(INDEX(B1:XFD1,((A2)+(1))+(1)))=("AB"),"false"),B2,AB360),AB360))</f>
        <v>#VALUE!</v>
      </c>
      <c r="AC360" t="e">
        <f ca="1">IF((A1)=(2),"",IF((357)=(AC3),IF(IF((INDEX(B1:XFD1,((A2)+(1))+(0)))=("store"),(INDEX(B1:XFD1,((A2)+(1))+(1)))=("AC"),"false"),B2,AC360),AC360))</f>
        <v>#VALUE!</v>
      </c>
      <c r="AD360" t="e">
        <f ca="1">IF((A1)=(2),"",IF((357)=(AD3),IF(IF((INDEX(B1:XFD1,((A2)+(1))+(0)))=("store"),(INDEX(B1:XFD1,((A2)+(1))+(1)))=("AD"),"false"),B2,AD360),AD360))</f>
        <v>#VALUE!</v>
      </c>
    </row>
    <row r="361" spans="1:30" x14ac:dyDescent="0.25">
      <c r="A361" t="e">
        <f ca="1">IF((A1)=(2),"",IF((358)=(A3),IF(("call")=(INDEX(B1:XFD1,((A2)+(1))+(0))),(B2)*(2),IF(("goto")=(INDEX(B1:XFD1,((A2)+(1))+(0))),(INDEX(B1:XFD1,((A2)+(1))+(1)))*(2),IF(("gotoiftrue")=(INDEX(B1:XFD1,((A2)+(1))+(0))),IF(B2,(INDEX(B1:XFD1,((A2)+(1))+(1)))*(2),(A361)+(2)),(A361)+(2)))),A361))</f>
        <v>#VALUE!</v>
      </c>
      <c r="B361" t="e">
        <f ca="1">IF((A1)=(2),"",IF((358)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361)+(1)),IF(("add")=(INDEX(B1:XFD1,((A2)+(1))+(0))),(INDEX(B4:B404,(B3)+(1)))+(B361),IF(("equals")=(INDEX(B1:XFD1,((A2)+(1))+(0))),(INDEX(B4:B404,(B3)+(1)))=(B361),IF(("leq")=(INDEX(B1:XFD1,((A2)+(1))+(0))),(INDEX(B4:B404,(B3)+(1)))&lt;=(B361),IF(("greater")=(INDEX(B1:XFD1,((A2)+(1))+(0))),(INDEX(B4:B404,(B3)+(1)))&gt;(B361),IF(("mod")=(INDEX(B1:XFD1,((A2)+(1))+(0))),MOD(INDEX(B4:B404,(B3)+(1)),B361),B361))))))))),B361))</f>
        <v>#VALUE!</v>
      </c>
      <c r="C361" t="e">
        <f ca="1">IF((A1)=(2),1,IF(AND((INDEX(B1:XFD1,((A2)+(1))+(0)))=("writeheap"),(INDEX(B4:B404,(B3)+(1)))=(357)),INDEX(B4:B404,(B3)+(2)),IF((A1)=(2),"",IF((358)=(C3),C361,C361))))</f>
        <v>#VALUE!</v>
      </c>
      <c r="E361" t="e">
        <f ca="1">IF((A1)=(2),"",IF((358)=(E3),IF(("outputline")=(INDEX(B1:XFD1,((A2)+(1))+(0))),B2,E361),E361))</f>
        <v>#VALUE!</v>
      </c>
      <c r="F361" t="e">
        <f ca="1">IF((A1)=(2),"",IF((358)=(F3),IF(IF((INDEX(B1:XFD1,((A2)+(1))+(0)))=("store"),(INDEX(B1:XFD1,((A2)+(1))+(1)))=("F"),"false"),B2,F361),F361))</f>
        <v>#VALUE!</v>
      </c>
      <c r="G361" t="e">
        <f ca="1">IF((A1)=(2),"",IF((358)=(G3),IF(IF((INDEX(B1:XFD1,((A2)+(1))+(0)))=("store"),(INDEX(B1:XFD1,((A2)+(1))+(1)))=("G"),"false"),B2,G361),G361))</f>
        <v>#VALUE!</v>
      </c>
      <c r="H361" t="e">
        <f ca="1">IF((A1)=(2),"",IF((358)=(H3),IF(IF((INDEX(B1:XFD1,((A2)+(1))+(0)))=("store"),(INDEX(B1:XFD1,((A2)+(1))+(1)))=("H"),"false"),B2,H361),H361))</f>
        <v>#VALUE!</v>
      </c>
      <c r="I361" t="e">
        <f ca="1">IF((A1)=(2),"",IF((358)=(I3),IF(IF((INDEX(B1:XFD1,((A2)+(1))+(0)))=("store"),(INDEX(B1:XFD1,((A2)+(1))+(1)))=("I"),"false"),B2,I361),I361))</f>
        <v>#VALUE!</v>
      </c>
      <c r="J361" t="e">
        <f ca="1">IF((A1)=(2),"",IF((358)=(J3),IF(IF((INDEX(B1:XFD1,((A2)+(1))+(0)))=("store"),(INDEX(B1:XFD1,((A2)+(1))+(1)))=("J"),"false"),B2,J361),J361))</f>
        <v>#VALUE!</v>
      </c>
      <c r="K361" t="e">
        <f ca="1">IF((A1)=(2),"",IF((358)=(K3),IF(IF((INDEX(B1:XFD1,((A2)+(1))+(0)))=("store"),(INDEX(B1:XFD1,((A2)+(1))+(1)))=("K"),"false"),B2,K361),K361))</f>
        <v>#VALUE!</v>
      </c>
      <c r="L361" t="e">
        <f ca="1">IF((A1)=(2),"",IF((358)=(L3),IF(IF((INDEX(B1:XFD1,((A2)+(1))+(0)))=("store"),(INDEX(B1:XFD1,((A2)+(1))+(1)))=("L"),"false"),B2,L361),L361))</f>
        <v>#VALUE!</v>
      </c>
      <c r="M361" t="e">
        <f ca="1">IF((A1)=(2),"",IF((358)=(M3),IF(IF((INDEX(B1:XFD1,((A2)+(1))+(0)))=("store"),(INDEX(B1:XFD1,((A2)+(1))+(1)))=("M"),"false"),B2,M361),M361))</f>
        <v>#VALUE!</v>
      </c>
      <c r="N361" t="e">
        <f ca="1">IF((A1)=(2),"",IF((358)=(N3),IF(IF((INDEX(B1:XFD1,((A2)+(1))+(0)))=("store"),(INDEX(B1:XFD1,((A2)+(1))+(1)))=("N"),"false"),B2,N361),N361))</f>
        <v>#VALUE!</v>
      </c>
      <c r="O361" t="e">
        <f ca="1">IF((A1)=(2),"",IF((358)=(O3),IF(IF((INDEX(B1:XFD1,((A2)+(1))+(0)))=("store"),(INDEX(B1:XFD1,((A2)+(1))+(1)))=("O"),"false"),B2,O361),O361))</f>
        <v>#VALUE!</v>
      </c>
      <c r="P361" t="e">
        <f ca="1">IF((A1)=(2),"",IF((358)=(P3),IF(IF((INDEX(B1:XFD1,((A2)+(1))+(0)))=("store"),(INDEX(B1:XFD1,((A2)+(1))+(1)))=("P"),"false"),B2,P361),P361))</f>
        <v>#VALUE!</v>
      </c>
      <c r="Q361" t="e">
        <f ca="1">IF((A1)=(2),"",IF((358)=(Q3),IF(IF((INDEX(B1:XFD1,((A2)+(1))+(0)))=("store"),(INDEX(B1:XFD1,((A2)+(1))+(1)))=("Q"),"false"),B2,Q361),Q361))</f>
        <v>#VALUE!</v>
      </c>
      <c r="R361" t="e">
        <f ca="1">IF((A1)=(2),"",IF((358)=(R3),IF(IF((INDEX(B1:XFD1,((A2)+(1))+(0)))=("store"),(INDEX(B1:XFD1,((A2)+(1))+(1)))=("R"),"false"),B2,R361),R361))</f>
        <v>#VALUE!</v>
      </c>
      <c r="S361" t="e">
        <f ca="1">IF((A1)=(2),"",IF((358)=(S3),IF(IF((INDEX(B1:XFD1,((A2)+(1))+(0)))=("store"),(INDEX(B1:XFD1,((A2)+(1))+(1)))=("S"),"false"),B2,S361),S361))</f>
        <v>#VALUE!</v>
      </c>
      <c r="T361" t="e">
        <f ca="1">IF((A1)=(2),"",IF((358)=(T3),IF(IF((INDEX(B1:XFD1,((A2)+(1))+(0)))=("store"),(INDEX(B1:XFD1,((A2)+(1))+(1)))=("T"),"false"),B2,T361),T361))</f>
        <v>#VALUE!</v>
      </c>
      <c r="U361" t="e">
        <f ca="1">IF((A1)=(2),"",IF((358)=(U3),IF(IF((INDEX(B1:XFD1,((A2)+(1))+(0)))=("store"),(INDEX(B1:XFD1,((A2)+(1))+(1)))=("U"),"false"),B2,U361),U361))</f>
        <v>#VALUE!</v>
      </c>
      <c r="V361" t="e">
        <f ca="1">IF((A1)=(2),"",IF((358)=(V3),IF(IF((INDEX(B1:XFD1,((A2)+(1))+(0)))=("store"),(INDEX(B1:XFD1,((A2)+(1))+(1)))=("V"),"false"),B2,V361),V361))</f>
        <v>#VALUE!</v>
      </c>
      <c r="W361" t="e">
        <f ca="1">IF((A1)=(2),"",IF((358)=(W3),IF(IF((INDEX(B1:XFD1,((A2)+(1))+(0)))=("store"),(INDEX(B1:XFD1,((A2)+(1))+(1)))=("W"),"false"),B2,W361),W361))</f>
        <v>#VALUE!</v>
      </c>
      <c r="X361" t="e">
        <f ca="1">IF((A1)=(2),"",IF((358)=(X3),IF(IF((INDEX(B1:XFD1,((A2)+(1))+(0)))=("store"),(INDEX(B1:XFD1,((A2)+(1))+(1)))=("X"),"false"),B2,X361),X361))</f>
        <v>#VALUE!</v>
      </c>
      <c r="Y361" t="e">
        <f ca="1">IF((A1)=(2),"",IF((358)=(Y3),IF(IF((INDEX(B1:XFD1,((A2)+(1))+(0)))=("store"),(INDEX(B1:XFD1,((A2)+(1))+(1)))=("Y"),"false"),B2,Y361),Y361))</f>
        <v>#VALUE!</v>
      </c>
      <c r="Z361" t="e">
        <f ca="1">IF((A1)=(2),"",IF((358)=(Z3),IF(IF((INDEX(B1:XFD1,((A2)+(1))+(0)))=("store"),(INDEX(B1:XFD1,((A2)+(1))+(1)))=("Z"),"false"),B2,Z361),Z361))</f>
        <v>#VALUE!</v>
      </c>
      <c r="AA361" t="e">
        <f ca="1">IF((A1)=(2),"",IF((358)=(AA3),IF(IF((INDEX(B1:XFD1,((A2)+(1))+(0)))=("store"),(INDEX(B1:XFD1,((A2)+(1))+(1)))=("AA"),"false"),B2,AA361),AA361))</f>
        <v>#VALUE!</v>
      </c>
      <c r="AB361" t="e">
        <f ca="1">IF((A1)=(2),"",IF((358)=(AB3),IF(IF((INDEX(B1:XFD1,((A2)+(1))+(0)))=("store"),(INDEX(B1:XFD1,((A2)+(1))+(1)))=("AB"),"false"),B2,AB361),AB361))</f>
        <v>#VALUE!</v>
      </c>
      <c r="AC361" t="e">
        <f ca="1">IF((A1)=(2),"",IF((358)=(AC3),IF(IF((INDEX(B1:XFD1,((A2)+(1))+(0)))=("store"),(INDEX(B1:XFD1,((A2)+(1))+(1)))=("AC"),"false"),B2,AC361),AC361))</f>
        <v>#VALUE!</v>
      </c>
      <c r="AD361" t="e">
        <f ca="1">IF((A1)=(2),"",IF((358)=(AD3),IF(IF((INDEX(B1:XFD1,((A2)+(1))+(0)))=("store"),(INDEX(B1:XFD1,((A2)+(1))+(1)))=("AD"),"false"),B2,AD361),AD361))</f>
        <v>#VALUE!</v>
      </c>
    </row>
    <row r="362" spans="1:30" x14ac:dyDescent="0.25">
      <c r="A362" t="e">
        <f ca="1">IF((A1)=(2),"",IF((359)=(A3),IF(("call")=(INDEX(B1:XFD1,((A2)+(1))+(0))),(B2)*(2),IF(("goto")=(INDEX(B1:XFD1,((A2)+(1))+(0))),(INDEX(B1:XFD1,((A2)+(1))+(1)))*(2),IF(("gotoiftrue")=(INDEX(B1:XFD1,((A2)+(1))+(0))),IF(B2,(INDEX(B1:XFD1,((A2)+(1))+(1)))*(2),(A362)+(2)),(A362)+(2)))),A362))</f>
        <v>#VALUE!</v>
      </c>
      <c r="B362" t="e">
        <f ca="1">IF((A1)=(2),"",IF((359)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362)+(1)),IF(("add")=(INDEX(B1:XFD1,((A2)+(1))+(0))),(INDEX(B4:B404,(B3)+(1)))+(B362),IF(("equals")=(INDEX(B1:XFD1,((A2)+(1))+(0))),(INDEX(B4:B404,(B3)+(1)))=(B362),IF(("leq")=(INDEX(B1:XFD1,((A2)+(1))+(0))),(INDEX(B4:B404,(B3)+(1)))&lt;=(B362),IF(("greater")=(INDEX(B1:XFD1,((A2)+(1))+(0))),(INDEX(B4:B404,(B3)+(1)))&gt;(B362),IF(("mod")=(INDEX(B1:XFD1,((A2)+(1))+(0))),MOD(INDEX(B4:B404,(B3)+(1)),B362),B362))))))))),B362))</f>
        <v>#VALUE!</v>
      </c>
      <c r="C362" t="e">
        <f ca="1">IF((A1)=(2),1,IF(AND((INDEX(B1:XFD1,((A2)+(1))+(0)))=("writeheap"),(INDEX(B4:B404,(B3)+(1)))=(358)),INDEX(B4:B404,(B3)+(2)),IF((A1)=(2),"",IF((359)=(C3),C362,C362))))</f>
        <v>#VALUE!</v>
      </c>
      <c r="E362" t="e">
        <f ca="1">IF((A1)=(2),"",IF((359)=(E3),IF(("outputline")=(INDEX(B1:XFD1,((A2)+(1))+(0))),B2,E362),E362))</f>
        <v>#VALUE!</v>
      </c>
      <c r="F362" t="e">
        <f ca="1">IF((A1)=(2),"",IF((359)=(F3),IF(IF((INDEX(B1:XFD1,((A2)+(1))+(0)))=("store"),(INDEX(B1:XFD1,((A2)+(1))+(1)))=("F"),"false"),B2,F362),F362))</f>
        <v>#VALUE!</v>
      </c>
      <c r="G362" t="e">
        <f ca="1">IF((A1)=(2),"",IF((359)=(G3),IF(IF((INDEX(B1:XFD1,((A2)+(1))+(0)))=("store"),(INDEX(B1:XFD1,((A2)+(1))+(1)))=("G"),"false"),B2,G362),G362))</f>
        <v>#VALUE!</v>
      </c>
      <c r="H362" t="e">
        <f ca="1">IF((A1)=(2),"",IF((359)=(H3),IF(IF((INDEX(B1:XFD1,((A2)+(1))+(0)))=("store"),(INDEX(B1:XFD1,((A2)+(1))+(1)))=("H"),"false"),B2,H362),H362))</f>
        <v>#VALUE!</v>
      </c>
      <c r="I362" t="e">
        <f ca="1">IF((A1)=(2),"",IF((359)=(I3),IF(IF((INDEX(B1:XFD1,((A2)+(1))+(0)))=("store"),(INDEX(B1:XFD1,((A2)+(1))+(1)))=("I"),"false"),B2,I362),I362))</f>
        <v>#VALUE!</v>
      </c>
      <c r="J362" t="e">
        <f ca="1">IF((A1)=(2),"",IF((359)=(J3),IF(IF((INDEX(B1:XFD1,((A2)+(1))+(0)))=("store"),(INDEX(B1:XFD1,((A2)+(1))+(1)))=("J"),"false"),B2,J362),J362))</f>
        <v>#VALUE!</v>
      </c>
      <c r="K362" t="e">
        <f ca="1">IF((A1)=(2),"",IF((359)=(K3),IF(IF((INDEX(B1:XFD1,((A2)+(1))+(0)))=("store"),(INDEX(B1:XFD1,((A2)+(1))+(1)))=("K"),"false"),B2,K362),K362))</f>
        <v>#VALUE!</v>
      </c>
      <c r="L362" t="e">
        <f ca="1">IF((A1)=(2),"",IF((359)=(L3),IF(IF((INDEX(B1:XFD1,((A2)+(1))+(0)))=("store"),(INDEX(B1:XFD1,((A2)+(1))+(1)))=("L"),"false"),B2,L362),L362))</f>
        <v>#VALUE!</v>
      </c>
      <c r="M362" t="e">
        <f ca="1">IF((A1)=(2),"",IF((359)=(M3),IF(IF((INDEX(B1:XFD1,((A2)+(1))+(0)))=("store"),(INDEX(B1:XFD1,((A2)+(1))+(1)))=("M"),"false"),B2,M362),M362))</f>
        <v>#VALUE!</v>
      </c>
      <c r="N362" t="e">
        <f ca="1">IF((A1)=(2),"",IF((359)=(N3),IF(IF((INDEX(B1:XFD1,((A2)+(1))+(0)))=("store"),(INDEX(B1:XFD1,((A2)+(1))+(1)))=("N"),"false"),B2,N362),N362))</f>
        <v>#VALUE!</v>
      </c>
      <c r="O362" t="e">
        <f ca="1">IF((A1)=(2),"",IF((359)=(O3),IF(IF((INDEX(B1:XFD1,((A2)+(1))+(0)))=("store"),(INDEX(B1:XFD1,((A2)+(1))+(1)))=("O"),"false"),B2,O362),O362))</f>
        <v>#VALUE!</v>
      </c>
      <c r="P362" t="e">
        <f ca="1">IF((A1)=(2),"",IF((359)=(P3),IF(IF((INDEX(B1:XFD1,((A2)+(1))+(0)))=("store"),(INDEX(B1:XFD1,((A2)+(1))+(1)))=("P"),"false"),B2,P362),P362))</f>
        <v>#VALUE!</v>
      </c>
      <c r="Q362" t="e">
        <f ca="1">IF((A1)=(2),"",IF((359)=(Q3),IF(IF((INDEX(B1:XFD1,((A2)+(1))+(0)))=("store"),(INDEX(B1:XFD1,((A2)+(1))+(1)))=("Q"),"false"),B2,Q362),Q362))</f>
        <v>#VALUE!</v>
      </c>
      <c r="R362" t="e">
        <f ca="1">IF((A1)=(2),"",IF((359)=(R3),IF(IF((INDEX(B1:XFD1,((A2)+(1))+(0)))=("store"),(INDEX(B1:XFD1,((A2)+(1))+(1)))=("R"),"false"),B2,R362),R362))</f>
        <v>#VALUE!</v>
      </c>
      <c r="S362" t="e">
        <f ca="1">IF((A1)=(2),"",IF((359)=(S3),IF(IF((INDEX(B1:XFD1,((A2)+(1))+(0)))=("store"),(INDEX(B1:XFD1,((A2)+(1))+(1)))=("S"),"false"),B2,S362),S362))</f>
        <v>#VALUE!</v>
      </c>
      <c r="T362" t="e">
        <f ca="1">IF((A1)=(2),"",IF((359)=(T3),IF(IF((INDEX(B1:XFD1,((A2)+(1))+(0)))=("store"),(INDEX(B1:XFD1,((A2)+(1))+(1)))=("T"),"false"),B2,T362),T362))</f>
        <v>#VALUE!</v>
      </c>
      <c r="U362" t="e">
        <f ca="1">IF((A1)=(2),"",IF((359)=(U3),IF(IF((INDEX(B1:XFD1,((A2)+(1))+(0)))=("store"),(INDEX(B1:XFD1,((A2)+(1))+(1)))=("U"),"false"),B2,U362),U362))</f>
        <v>#VALUE!</v>
      </c>
      <c r="V362" t="e">
        <f ca="1">IF((A1)=(2),"",IF((359)=(V3),IF(IF((INDEX(B1:XFD1,((A2)+(1))+(0)))=("store"),(INDEX(B1:XFD1,((A2)+(1))+(1)))=("V"),"false"),B2,V362),V362))</f>
        <v>#VALUE!</v>
      </c>
      <c r="W362" t="e">
        <f ca="1">IF((A1)=(2),"",IF((359)=(W3),IF(IF((INDEX(B1:XFD1,((A2)+(1))+(0)))=("store"),(INDEX(B1:XFD1,((A2)+(1))+(1)))=("W"),"false"),B2,W362),W362))</f>
        <v>#VALUE!</v>
      </c>
      <c r="X362" t="e">
        <f ca="1">IF((A1)=(2),"",IF((359)=(X3),IF(IF((INDEX(B1:XFD1,((A2)+(1))+(0)))=("store"),(INDEX(B1:XFD1,((A2)+(1))+(1)))=("X"),"false"),B2,X362),X362))</f>
        <v>#VALUE!</v>
      </c>
      <c r="Y362" t="e">
        <f ca="1">IF((A1)=(2),"",IF((359)=(Y3),IF(IF((INDEX(B1:XFD1,((A2)+(1))+(0)))=("store"),(INDEX(B1:XFD1,((A2)+(1))+(1)))=("Y"),"false"),B2,Y362),Y362))</f>
        <v>#VALUE!</v>
      </c>
      <c r="Z362" t="e">
        <f ca="1">IF((A1)=(2),"",IF((359)=(Z3),IF(IF((INDEX(B1:XFD1,((A2)+(1))+(0)))=("store"),(INDEX(B1:XFD1,((A2)+(1))+(1)))=("Z"),"false"),B2,Z362),Z362))</f>
        <v>#VALUE!</v>
      </c>
      <c r="AA362" t="e">
        <f ca="1">IF((A1)=(2),"",IF((359)=(AA3),IF(IF((INDEX(B1:XFD1,((A2)+(1))+(0)))=("store"),(INDEX(B1:XFD1,((A2)+(1))+(1)))=("AA"),"false"),B2,AA362),AA362))</f>
        <v>#VALUE!</v>
      </c>
      <c r="AB362" t="e">
        <f ca="1">IF((A1)=(2),"",IF((359)=(AB3),IF(IF((INDEX(B1:XFD1,((A2)+(1))+(0)))=("store"),(INDEX(B1:XFD1,((A2)+(1))+(1)))=("AB"),"false"),B2,AB362),AB362))</f>
        <v>#VALUE!</v>
      </c>
      <c r="AC362" t="e">
        <f ca="1">IF((A1)=(2),"",IF((359)=(AC3),IF(IF((INDEX(B1:XFD1,((A2)+(1))+(0)))=("store"),(INDEX(B1:XFD1,((A2)+(1))+(1)))=("AC"),"false"),B2,AC362),AC362))</f>
        <v>#VALUE!</v>
      </c>
      <c r="AD362" t="e">
        <f ca="1">IF((A1)=(2),"",IF((359)=(AD3),IF(IF((INDEX(B1:XFD1,((A2)+(1))+(0)))=("store"),(INDEX(B1:XFD1,((A2)+(1))+(1)))=("AD"),"false"),B2,AD362),AD362))</f>
        <v>#VALUE!</v>
      </c>
    </row>
    <row r="363" spans="1:30" x14ac:dyDescent="0.25">
      <c r="A363" t="e">
        <f ca="1">IF((A1)=(2),"",IF((360)=(A3),IF(("call")=(INDEX(B1:XFD1,((A2)+(1))+(0))),(B2)*(2),IF(("goto")=(INDEX(B1:XFD1,((A2)+(1))+(0))),(INDEX(B1:XFD1,((A2)+(1))+(1)))*(2),IF(("gotoiftrue")=(INDEX(B1:XFD1,((A2)+(1))+(0))),IF(B2,(INDEX(B1:XFD1,((A2)+(1))+(1)))*(2),(A363)+(2)),(A363)+(2)))),A363))</f>
        <v>#VALUE!</v>
      </c>
      <c r="B363" t="e">
        <f ca="1">IF((A1)=(2),"",IF((360)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363)+(1)),IF(("add")=(INDEX(B1:XFD1,((A2)+(1))+(0))),(INDEX(B4:B404,(B3)+(1)))+(B363),IF(("equals")=(INDEX(B1:XFD1,((A2)+(1))+(0))),(INDEX(B4:B404,(B3)+(1)))=(B363),IF(("leq")=(INDEX(B1:XFD1,((A2)+(1))+(0))),(INDEX(B4:B404,(B3)+(1)))&lt;=(B363),IF(("greater")=(INDEX(B1:XFD1,((A2)+(1))+(0))),(INDEX(B4:B404,(B3)+(1)))&gt;(B363),IF(("mod")=(INDEX(B1:XFD1,((A2)+(1))+(0))),MOD(INDEX(B4:B404,(B3)+(1)),B363),B363))))))))),B363))</f>
        <v>#VALUE!</v>
      </c>
      <c r="C363" t="e">
        <f ca="1">IF((A1)=(2),1,IF(AND((INDEX(B1:XFD1,((A2)+(1))+(0)))=("writeheap"),(INDEX(B4:B404,(B3)+(1)))=(359)),INDEX(B4:B404,(B3)+(2)),IF((A1)=(2),"",IF((360)=(C3),C363,C363))))</f>
        <v>#VALUE!</v>
      </c>
      <c r="E363" t="e">
        <f ca="1">IF((A1)=(2),"",IF((360)=(E3),IF(("outputline")=(INDEX(B1:XFD1,((A2)+(1))+(0))),B2,E363),E363))</f>
        <v>#VALUE!</v>
      </c>
      <c r="F363" t="e">
        <f ca="1">IF((A1)=(2),"",IF((360)=(F3),IF(IF((INDEX(B1:XFD1,((A2)+(1))+(0)))=("store"),(INDEX(B1:XFD1,((A2)+(1))+(1)))=("F"),"false"),B2,F363),F363))</f>
        <v>#VALUE!</v>
      </c>
      <c r="G363" t="e">
        <f ca="1">IF((A1)=(2),"",IF((360)=(G3),IF(IF((INDEX(B1:XFD1,((A2)+(1))+(0)))=("store"),(INDEX(B1:XFD1,((A2)+(1))+(1)))=("G"),"false"),B2,G363),G363))</f>
        <v>#VALUE!</v>
      </c>
      <c r="H363" t="e">
        <f ca="1">IF((A1)=(2),"",IF((360)=(H3),IF(IF((INDEX(B1:XFD1,((A2)+(1))+(0)))=("store"),(INDEX(B1:XFD1,((A2)+(1))+(1)))=("H"),"false"),B2,H363),H363))</f>
        <v>#VALUE!</v>
      </c>
      <c r="I363" t="e">
        <f ca="1">IF((A1)=(2),"",IF((360)=(I3),IF(IF((INDEX(B1:XFD1,((A2)+(1))+(0)))=("store"),(INDEX(B1:XFD1,((A2)+(1))+(1)))=("I"),"false"),B2,I363),I363))</f>
        <v>#VALUE!</v>
      </c>
      <c r="J363" t="e">
        <f ca="1">IF((A1)=(2),"",IF((360)=(J3),IF(IF((INDEX(B1:XFD1,((A2)+(1))+(0)))=("store"),(INDEX(B1:XFD1,((A2)+(1))+(1)))=("J"),"false"),B2,J363),J363))</f>
        <v>#VALUE!</v>
      </c>
      <c r="K363" t="e">
        <f ca="1">IF((A1)=(2),"",IF((360)=(K3),IF(IF((INDEX(B1:XFD1,((A2)+(1))+(0)))=("store"),(INDEX(B1:XFD1,((A2)+(1))+(1)))=("K"),"false"),B2,K363),K363))</f>
        <v>#VALUE!</v>
      </c>
      <c r="L363" t="e">
        <f ca="1">IF((A1)=(2),"",IF((360)=(L3),IF(IF((INDEX(B1:XFD1,((A2)+(1))+(0)))=("store"),(INDEX(B1:XFD1,((A2)+(1))+(1)))=("L"),"false"),B2,L363),L363))</f>
        <v>#VALUE!</v>
      </c>
      <c r="M363" t="e">
        <f ca="1">IF((A1)=(2),"",IF((360)=(M3),IF(IF((INDEX(B1:XFD1,((A2)+(1))+(0)))=("store"),(INDEX(B1:XFD1,((A2)+(1))+(1)))=("M"),"false"),B2,M363),M363))</f>
        <v>#VALUE!</v>
      </c>
      <c r="N363" t="e">
        <f ca="1">IF((A1)=(2),"",IF((360)=(N3),IF(IF((INDEX(B1:XFD1,((A2)+(1))+(0)))=("store"),(INDEX(B1:XFD1,((A2)+(1))+(1)))=("N"),"false"),B2,N363),N363))</f>
        <v>#VALUE!</v>
      </c>
      <c r="O363" t="e">
        <f ca="1">IF((A1)=(2),"",IF((360)=(O3),IF(IF((INDEX(B1:XFD1,((A2)+(1))+(0)))=("store"),(INDEX(B1:XFD1,((A2)+(1))+(1)))=("O"),"false"),B2,O363),O363))</f>
        <v>#VALUE!</v>
      </c>
      <c r="P363" t="e">
        <f ca="1">IF((A1)=(2),"",IF((360)=(P3),IF(IF((INDEX(B1:XFD1,((A2)+(1))+(0)))=("store"),(INDEX(B1:XFD1,((A2)+(1))+(1)))=("P"),"false"),B2,P363),P363))</f>
        <v>#VALUE!</v>
      </c>
      <c r="Q363" t="e">
        <f ca="1">IF((A1)=(2),"",IF((360)=(Q3),IF(IF((INDEX(B1:XFD1,((A2)+(1))+(0)))=("store"),(INDEX(B1:XFD1,((A2)+(1))+(1)))=("Q"),"false"),B2,Q363),Q363))</f>
        <v>#VALUE!</v>
      </c>
      <c r="R363" t="e">
        <f ca="1">IF((A1)=(2),"",IF((360)=(R3),IF(IF((INDEX(B1:XFD1,((A2)+(1))+(0)))=("store"),(INDEX(B1:XFD1,((A2)+(1))+(1)))=("R"),"false"),B2,R363),R363))</f>
        <v>#VALUE!</v>
      </c>
      <c r="S363" t="e">
        <f ca="1">IF((A1)=(2),"",IF((360)=(S3),IF(IF((INDEX(B1:XFD1,((A2)+(1))+(0)))=("store"),(INDEX(B1:XFD1,((A2)+(1))+(1)))=("S"),"false"),B2,S363),S363))</f>
        <v>#VALUE!</v>
      </c>
      <c r="T363" t="e">
        <f ca="1">IF((A1)=(2),"",IF((360)=(T3),IF(IF((INDEX(B1:XFD1,((A2)+(1))+(0)))=("store"),(INDEX(B1:XFD1,((A2)+(1))+(1)))=("T"),"false"),B2,T363),T363))</f>
        <v>#VALUE!</v>
      </c>
      <c r="U363" t="e">
        <f ca="1">IF((A1)=(2),"",IF((360)=(U3),IF(IF((INDEX(B1:XFD1,((A2)+(1))+(0)))=("store"),(INDEX(B1:XFD1,((A2)+(1))+(1)))=("U"),"false"),B2,U363),U363))</f>
        <v>#VALUE!</v>
      </c>
      <c r="V363" t="e">
        <f ca="1">IF((A1)=(2),"",IF((360)=(V3),IF(IF((INDEX(B1:XFD1,((A2)+(1))+(0)))=("store"),(INDEX(B1:XFD1,((A2)+(1))+(1)))=("V"),"false"),B2,V363),V363))</f>
        <v>#VALUE!</v>
      </c>
      <c r="W363" t="e">
        <f ca="1">IF((A1)=(2),"",IF((360)=(W3),IF(IF((INDEX(B1:XFD1,((A2)+(1))+(0)))=("store"),(INDEX(B1:XFD1,((A2)+(1))+(1)))=("W"),"false"),B2,W363),W363))</f>
        <v>#VALUE!</v>
      </c>
      <c r="X363" t="e">
        <f ca="1">IF((A1)=(2),"",IF((360)=(X3),IF(IF((INDEX(B1:XFD1,((A2)+(1))+(0)))=("store"),(INDEX(B1:XFD1,((A2)+(1))+(1)))=("X"),"false"),B2,X363),X363))</f>
        <v>#VALUE!</v>
      </c>
      <c r="Y363" t="e">
        <f ca="1">IF((A1)=(2),"",IF((360)=(Y3),IF(IF((INDEX(B1:XFD1,((A2)+(1))+(0)))=("store"),(INDEX(B1:XFD1,((A2)+(1))+(1)))=("Y"),"false"),B2,Y363),Y363))</f>
        <v>#VALUE!</v>
      </c>
      <c r="Z363" t="e">
        <f ca="1">IF((A1)=(2),"",IF((360)=(Z3),IF(IF((INDEX(B1:XFD1,((A2)+(1))+(0)))=("store"),(INDEX(B1:XFD1,((A2)+(1))+(1)))=("Z"),"false"),B2,Z363),Z363))</f>
        <v>#VALUE!</v>
      </c>
      <c r="AA363" t="e">
        <f ca="1">IF((A1)=(2),"",IF((360)=(AA3),IF(IF((INDEX(B1:XFD1,((A2)+(1))+(0)))=("store"),(INDEX(B1:XFD1,((A2)+(1))+(1)))=("AA"),"false"),B2,AA363),AA363))</f>
        <v>#VALUE!</v>
      </c>
      <c r="AB363" t="e">
        <f ca="1">IF((A1)=(2),"",IF((360)=(AB3),IF(IF((INDEX(B1:XFD1,((A2)+(1))+(0)))=("store"),(INDEX(B1:XFD1,((A2)+(1))+(1)))=("AB"),"false"),B2,AB363),AB363))</f>
        <v>#VALUE!</v>
      </c>
      <c r="AC363" t="e">
        <f ca="1">IF((A1)=(2),"",IF((360)=(AC3),IF(IF((INDEX(B1:XFD1,((A2)+(1))+(0)))=("store"),(INDEX(B1:XFD1,((A2)+(1))+(1)))=("AC"),"false"),B2,AC363),AC363))</f>
        <v>#VALUE!</v>
      </c>
      <c r="AD363" t="e">
        <f ca="1">IF((A1)=(2),"",IF((360)=(AD3),IF(IF((INDEX(B1:XFD1,((A2)+(1))+(0)))=("store"),(INDEX(B1:XFD1,((A2)+(1))+(1)))=("AD"),"false"),B2,AD363),AD363))</f>
        <v>#VALUE!</v>
      </c>
    </row>
    <row r="364" spans="1:30" x14ac:dyDescent="0.25">
      <c r="A364" t="e">
        <f ca="1">IF((A1)=(2),"",IF((361)=(A3),IF(("call")=(INDEX(B1:XFD1,((A2)+(1))+(0))),(B2)*(2),IF(("goto")=(INDEX(B1:XFD1,((A2)+(1))+(0))),(INDEX(B1:XFD1,((A2)+(1))+(1)))*(2),IF(("gotoiftrue")=(INDEX(B1:XFD1,((A2)+(1))+(0))),IF(B2,(INDEX(B1:XFD1,((A2)+(1))+(1)))*(2),(A364)+(2)),(A364)+(2)))),A364))</f>
        <v>#VALUE!</v>
      </c>
      <c r="B364" t="e">
        <f ca="1">IF((A1)=(2),"",IF((361)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364)+(1)),IF(("add")=(INDEX(B1:XFD1,((A2)+(1))+(0))),(INDEX(B4:B404,(B3)+(1)))+(B364),IF(("equals")=(INDEX(B1:XFD1,((A2)+(1))+(0))),(INDEX(B4:B404,(B3)+(1)))=(B364),IF(("leq")=(INDEX(B1:XFD1,((A2)+(1))+(0))),(INDEX(B4:B404,(B3)+(1)))&lt;=(B364),IF(("greater")=(INDEX(B1:XFD1,((A2)+(1))+(0))),(INDEX(B4:B404,(B3)+(1)))&gt;(B364),IF(("mod")=(INDEX(B1:XFD1,((A2)+(1))+(0))),MOD(INDEX(B4:B404,(B3)+(1)),B364),B364))))))))),B364))</f>
        <v>#VALUE!</v>
      </c>
      <c r="C364" t="e">
        <f ca="1">IF((A1)=(2),1,IF(AND((INDEX(B1:XFD1,((A2)+(1))+(0)))=("writeheap"),(INDEX(B4:B404,(B3)+(1)))=(360)),INDEX(B4:B404,(B3)+(2)),IF((A1)=(2),"",IF((361)=(C3),C364,C364))))</f>
        <v>#VALUE!</v>
      </c>
      <c r="E364" t="e">
        <f ca="1">IF((A1)=(2),"",IF((361)=(E3),IF(("outputline")=(INDEX(B1:XFD1,((A2)+(1))+(0))),B2,E364),E364))</f>
        <v>#VALUE!</v>
      </c>
      <c r="F364" t="e">
        <f ca="1">IF((A1)=(2),"",IF((361)=(F3),IF(IF((INDEX(B1:XFD1,((A2)+(1))+(0)))=("store"),(INDEX(B1:XFD1,((A2)+(1))+(1)))=("F"),"false"),B2,F364),F364))</f>
        <v>#VALUE!</v>
      </c>
      <c r="G364" t="e">
        <f ca="1">IF((A1)=(2),"",IF((361)=(G3),IF(IF((INDEX(B1:XFD1,((A2)+(1))+(0)))=("store"),(INDEX(B1:XFD1,((A2)+(1))+(1)))=("G"),"false"),B2,G364),G364))</f>
        <v>#VALUE!</v>
      </c>
      <c r="H364" t="e">
        <f ca="1">IF((A1)=(2),"",IF((361)=(H3),IF(IF((INDEX(B1:XFD1,((A2)+(1))+(0)))=("store"),(INDEX(B1:XFD1,((A2)+(1))+(1)))=("H"),"false"),B2,H364),H364))</f>
        <v>#VALUE!</v>
      </c>
      <c r="I364" t="e">
        <f ca="1">IF((A1)=(2),"",IF((361)=(I3),IF(IF((INDEX(B1:XFD1,((A2)+(1))+(0)))=("store"),(INDEX(B1:XFD1,((A2)+(1))+(1)))=("I"),"false"),B2,I364),I364))</f>
        <v>#VALUE!</v>
      </c>
      <c r="J364" t="e">
        <f ca="1">IF((A1)=(2),"",IF((361)=(J3),IF(IF((INDEX(B1:XFD1,((A2)+(1))+(0)))=("store"),(INDEX(B1:XFD1,((A2)+(1))+(1)))=("J"),"false"),B2,J364),J364))</f>
        <v>#VALUE!</v>
      </c>
      <c r="K364" t="e">
        <f ca="1">IF((A1)=(2),"",IF((361)=(K3),IF(IF((INDEX(B1:XFD1,((A2)+(1))+(0)))=("store"),(INDEX(B1:XFD1,((A2)+(1))+(1)))=("K"),"false"),B2,K364),K364))</f>
        <v>#VALUE!</v>
      </c>
      <c r="L364" t="e">
        <f ca="1">IF((A1)=(2),"",IF((361)=(L3),IF(IF((INDEX(B1:XFD1,((A2)+(1))+(0)))=("store"),(INDEX(B1:XFD1,((A2)+(1))+(1)))=("L"),"false"),B2,L364),L364))</f>
        <v>#VALUE!</v>
      </c>
      <c r="M364" t="e">
        <f ca="1">IF((A1)=(2),"",IF((361)=(M3),IF(IF((INDEX(B1:XFD1,((A2)+(1))+(0)))=("store"),(INDEX(B1:XFD1,((A2)+(1))+(1)))=("M"),"false"),B2,M364),M364))</f>
        <v>#VALUE!</v>
      </c>
      <c r="N364" t="e">
        <f ca="1">IF((A1)=(2),"",IF((361)=(N3),IF(IF((INDEX(B1:XFD1,((A2)+(1))+(0)))=("store"),(INDEX(B1:XFD1,((A2)+(1))+(1)))=("N"),"false"),B2,N364),N364))</f>
        <v>#VALUE!</v>
      </c>
      <c r="O364" t="e">
        <f ca="1">IF((A1)=(2),"",IF((361)=(O3),IF(IF((INDEX(B1:XFD1,((A2)+(1))+(0)))=("store"),(INDEX(B1:XFD1,((A2)+(1))+(1)))=("O"),"false"),B2,O364),O364))</f>
        <v>#VALUE!</v>
      </c>
      <c r="P364" t="e">
        <f ca="1">IF((A1)=(2),"",IF((361)=(P3),IF(IF((INDEX(B1:XFD1,((A2)+(1))+(0)))=("store"),(INDEX(B1:XFD1,((A2)+(1))+(1)))=("P"),"false"),B2,P364),P364))</f>
        <v>#VALUE!</v>
      </c>
      <c r="Q364" t="e">
        <f ca="1">IF((A1)=(2),"",IF((361)=(Q3),IF(IF((INDEX(B1:XFD1,((A2)+(1))+(0)))=("store"),(INDEX(B1:XFD1,((A2)+(1))+(1)))=("Q"),"false"),B2,Q364),Q364))</f>
        <v>#VALUE!</v>
      </c>
      <c r="R364" t="e">
        <f ca="1">IF((A1)=(2),"",IF((361)=(R3),IF(IF((INDEX(B1:XFD1,((A2)+(1))+(0)))=("store"),(INDEX(B1:XFD1,((A2)+(1))+(1)))=("R"),"false"),B2,R364),R364))</f>
        <v>#VALUE!</v>
      </c>
      <c r="S364" t="e">
        <f ca="1">IF((A1)=(2),"",IF((361)=(S3),IF(IF((INDEX(B1:XFD1,((A2)+(1))+(0)))=("store"),(INDEX(B1:XFD1,((A2)+(1))+(1)))=("S"),"false"),B2,S364),S364))</f>
        <v>#VALUE!</v>
      </c>
      <c r="T364" t="e">
        <f ca="1">IF((A1)=(2),"",IF((361)=(T3),IF(IF((INDEX(B1:XFD1,((A2)+(1))+(0)))=("store"),(INDEX(B1:XFD1,((A2)+(1))+(1)))=("T"),"false"),B2,T364),T364))</f>
        <v>#VALUE!</v>
      </c>
      <c r="U364" t="e">
        <f ca="1">IF((A1)=(2),"",IF((361)=(U3),IF(IF((INDEX(B1:XFD1,((A2)+(1))+(0)))=("store"),(INDEX(B1:XFD1,((A2)+(1))+(1)))=("U"),"false"),B2,U364),U364))</f>
        <v>#VALUE!</v>
      </c>
      <c r="V364" t="e">
        <f ca="1">IF((A1)=(2),"",IF((361)=(V3),IF(IF((INDEX(B1:XFD1,((A2)+(1))+(0)))=("store"),(INDEX(B1:XFD1,((A2)+(1))+(1)))=("V"),"false"),B2,V364),V364))</f>
        <v>#VALUE!</v>
      </c>
      <c r="W364" t="e">
        <f ca="1">IF((A1)=(2),"",IF((361)=(W3),IF(IF((INDEX(B1:XFD1,((A2)+(1))+(0)))=("store"),(INDEX(B1:XFD1,((A2)+(1))+(1)))=("W"),"false"),B2,W364),W364))</f>
        <v>#VALUE!</v>
      </c>
      <c r="X364" t="e">
        <f ca="1">IF((A1)=(2),"",IF((361)=(X3),IF(IF((INDEX(B1:XFD1,((A2)+(1))+(0)))=("store"),(INDEX(B1:XFD1,((A2)+(1))+(1)))=("X"),"false"),B2,X364),X364))</f>
        <v>#VALUE!</v>
      </c>
      <c r="Y364" t="e">
        <f ca="1">IF((A1)=(2),"",IF((361)=(Y3),IF(IF((INDEX(B1:XFD1,((A2)+(1))+(0)))=("store"),(INDEX(B1:XFD1,((A2)+(1))+(1)))=("Y"),"false"),B2,Y364),Y364))</f>
        <v>#VALUE!</v>
      </c>
      <c r="Z364" t="e">
        <f ca="1">IF((A1)=(2),"",IF((361)=(Z3),IF(IF((INDEX(B1:XFD1,((A2)+(1))+(0)))=("store"),(INDEX(B1:XFD1,((A2)+(1))+(1)))=("Z"),"false"),B2,Z364),Z364))</f>
        <v>#VALUE!</v>
      </c>
      <c r="AA364" t="e">
        <f ca="1">IF((A1)=(2),"",IF((361)=(AA3),IF(IF((INDEX(B1:XFD1,((A2)+(1))+(0)))=("store"),(INDEX(B1:XFD1,((A2)+(1))+(1)))=("AA"),"false"),B2,AA364),AA364))</f>
        <v>#VALUE!</v>
      </c>
      <c r="AB364" t="e">
        <f ca="1">IF((A1)=(2),"",IF((361)=(AB3),IF(IF((INDEX(B1:XFD1,((A2)+(1))+(0)))=("store"),(INDEX(B1:XFD1,((A2)+(1))+(1)))=("AB"),"false"),B2,AB364),AB364))</f>
        <v>#VALUE!</v>
      </c>
      <c r="AC364" t="e">
        <f ca="1">IF((A1)=(2),"",IF((361)=(AC3),IF(IF((INDEX(B1:XFD1,((A2)+(1))+(0)))=("store"),(INDEX(B1:XFD1,((A2)+(1))+(1)))=("AC"),"false"),B2,AC364),AC364))</f>
        <v>#VALUE!</v>
      </c>
      <c r="AD364" t="e">
        <f ca="1">IF((A1)=(2),"",IF((361)=(AD3),IF(IF((INDEX(B1:XFD1,((A2)+(1))+(0)))=("store"),(INDEX(B1:XFD1,((A2)+(1))+(1)))=("AD"),"false"),B2,AD364),AD364))</f>
        <v>#VALUE!</v>
      </c>
    </row>
    <row r="365" spans="1:30" x14ac:dyDescent="0.25">
      <c r="A365" t="e">
        <f ca="1">IF((A1)=(2),"",IF((362)=(A3),IF(("call")=(INDEX(B1:XFD1,((A2)+(1))+(0))),(B2)*(2),IF(("goto")=(INDEX(B1:XFD1,((A2)+(1))+(0))),(INDEX(B1:XFD1,((A2)+(1))+(1)))*(2),IF(("gotoiftrue")=(INDEX(B1:XFD1,((A2)+(1))+(0))),IF(B2,(INDEX(B1:XFD1,((A2)+(1))+(1)))*(2),(A365)+(2)),(A365)+(2)))),A365))</f>
        <v>#VALUE!</v>
      </c>
      <c r="B365" t="e">
        <f ca="1">IF((A1)=(2),"",IF((362)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365)+(1)),IF(("add")=(INDEX(B1:XFD1,((A2)+(1))+(0))),(INDEX(B4:B404,(B3)+(1)))+(B365),IF(("equals")=(INDEX(B1:XFD1,((A2)+(1))+(0))),(INDEX(B4:B404,(B3)+(1)))=(B365),IF(("leq")=(INDEX(B1:XFD1,((A2)+(1))+(0))),(INDEX(B4:B404,(B3)+(1)))&lt;=(B365),IF(("greater")=(INDEX(B1:XFD1,((A2)+(1))+(0))),(INDEX(B4:B404,(B3)+(1)))&gt;(B365),IF(("mod")=(INDEX(B1:XFD1,((A2)+(1))+(0))),MOD(INDEX(B4:B404,(B3)+(1)),B365),B365))))))))),B365))</f>
        <v>#VALUE!</v>
      </c>
      <c r="C365" t="e">
        <f ca="1">IF((A1)=(2),1,IF(AND((INDEX(B1:XFD1,((A2)+(1))+(0)))=("writeheap"),(INDEX(B4:B404,(B3)+(1)))=(361)),INDEX(B4:B404,(B3)+(2)),IF((A1)=(2),"",IF((362)=(C3),C365,C365))))</f>
        <v>#VALUE!</v>
      </c>
      <c r="E365" t="e">
        <f ca="1">IF((A1)=(2),"",IF((362)=(E3),IF(("outputline")=(INDEX(B1:XFD1,((A2)+(1))+(0))),B2,E365),E365))</f>
        <v>#VALUE!</v>
      </c>
      <c r="F365" t="e">
        <f ca="1">IF((A1)=(2),"",IF((362)=(F3),IF(IF((INDEX(B1:XFD1,((A2)+(1))+(0)))=("store"),(INDEX(B1:XFD1,((A2)+(1))+(1)))=("F"),"false"),B2,F365),F365))</f>
        <v>#VALUE!</v>
      </c>
      <c r="G365" t="e">
        <f ca="1">IF((A1)=(2),"",IF((362)=(G3),IF(IF((INDEX(B1:XFD1,((A2)+(1))+(0)))=("store"),(INDEX(B1:XFD1,((A2)+(1))+(1)))=("G"),"false"),B2,G365),G365))</f>
        <v>#VALUE!</v>
      </c>
      <c r="H365" t="e">
        <f ca="1">IF((A1)=(2),"",IF((362)=(H3),IF(IF((INDEX(B1:XFD1,((A2)+(1))+(0)))=("store"),(INDEX(B1:XFD1,((A2)+(1))+(1)))=("H"),"false"),B2,H365),H365))</f>
        <v>#VALUE!</v>
      </c>
      <c r="I365" t="e">
        <f ca="1">IF((A1)=(2),"",IF((362)=(I3),IF(IF((INDEX(B1:XFD1,((A2)+(1))+(0)))=("store"),(INDEX(B1:XFD1,((A2)+(1))+(1)))=("I"),"false"),B2,I365),I365))</f>
        <v>#VALUE!</v>
      </c>
      <c r="J365" t="e">
        <f ca="1">IF((A1)=(2),"",IF((362)=(J3),IF(IF((INDEX(B1:XFD1,((A2)+(1))+(0)))=("store"),(INDEX(B1:XFD1,((A2)+(1))+(1)))=("J"),"false"),B2,J365),J365))</f>
        <v>#VALUE!</v>
      </c>
      <c r="K365" t="e">
        <f ca="1">IF((A1)=(2),"",IF((362)=(K3),IF(IF((INDEX(B1:XFD1,((A2)+(1))+(0)))=("store"),(INDEX(B1:XFD1,((A2)+(1))+(1)))=("K"),"false"),B2,K365),K365))</f>
        <v>#VALUE!</v>
      </c>
      <c r="L365" t="e">
        <f ca="1">IF((A1)=(2),"",IF((362)=(L3),IF(IF((INDEX(B1:XFD1,((A2)+(1))+(0)))=("store"),(INDEX(B1:XFD1,((A2)+(1))+(1)))=("L"),"false"),B2,L365),L365))</f>
        <v>#VALUE!</v>
      </c>
      <c r="M365" t="e">
        <f ca="1">IF((A1)=(2),"",IF((362)=(M3),IF(IF((INDEX(B1:XFD1,((A2)+(1))+(0)))=("store"),(INDEX(B1:XFD1,((A2)+(1))+(1)))=("M"),"false"),B2,M365),M365))</f>
        <v>#VALUE!</v>
      </c>
      <c r="N365" t="e">
        <f ca="1">IF((A1)=(2),"",IF((362)=(N3),IF(IF((INDEX(B1:XFD1,((A2)+(1))+(0)))=("store"),(INDEX(B1:XFD1,((A2)+(1))+(1)))=("N"),"false"),B2,N365),N365))</f>
        <v>#VALUE!</v>
      </c>
      <c r="O365" t="e">
        <f ca="1">IF((A1)=(2),"",IF((362)=(O3),IF(IF((INDEX(B1:XFD1,((A2)+(1))+(0)))=("store"),(INDEX(B1:XFD1,((A2)+(1))+(1)))=("O"),"false"),B2,O365),O365))</f>
        <v>#VALUE!</v>
      </c>
      <c r="P365" t="e">
        <f ca="1">IF((A1)=(2),"",IF((362)=(P3),IF(IF((INDEX(B1:XFD1,((A2)+(1))+(0)))=("store"),(INDEX(B1:XFD1,((A2)+(1))+(1)))=("P"),"false"),B2,P365),P365))</f>
        <v>#VALUE!</v>
      </c>
      <c r="Q365" t="e">
        <f ca="1">IF((A1)=(2),"",IF((362)=(Q3),IF(IF((INDEX(B1:XFD1,((A2)+(1))+(0)))=("store"),(INDEX(B1:XFD1,((A2)+(1))+(1)))=("Q"),"false"),B2,Q365),Q365))</f>
        <v>#VALUE!</v>
      </c>
      <c r="R365" t="e">
        <f ca="1">IF((A1)=(2),"",IF((362)=(R3),IF(IF((INDEX(B1:XFD1,((A2)+(1))+(0)))=("store"),(INDEX(B1:XFD1,((A2)+(1))+(1)))=("R"),"false"),B2,R365),R365))</f>
        <v>#VALUE!</v>
      </c>
      <c r="S365" t="e">
        <f ca="1">IF((A1)=(2),"",IF((362)=(S3),IF(IF((INDEX(B1:XFD1,((A2)+(1))+(0)))=("store"),(INDEX(B1:XFD1,((A2)+(1))+(1)))=("S"),"false"),B2,S365),S365))</f>
        <v>#VALUE!</v>
      </c>
      <c r="T365" t="e">
        <f ca="1">IF((A1)=(2),"",IF((362)=(T3),IF(IF((INDEX(B1:XFD1,((A2)+(1))+(0)))=("store"),(INDEX(B1:XFD1,((A2)+(1))+(1)))=("T"),"false"),B2,T365),T365))</f>
        <v>#VALUE!</v>
      </c>
      <c r="U365" t="e">
        <f ca="1">IF((A1)=(2),"",IF((362)=(U3),IF(IF((INDEX(B1:XFD1,((A2)+(1))+(0)))=("store"),(INDEX(B1:XFD1,((A2)+(1))+(1)))=("U"),"false"),B2,U365),U365))</f>
        <v>#VALUE!</v>
      </c>
      <c r="V365" t="e">
        <f ca="1">IF((A1)=(2),"",IF((362)=(V3),IF(IF((INDEX(B1:XFD1,((A2)+(1))+(0)))=("store"),(INDEX(B1:XFD1,((A2)+(1))+(1)))=("V"),"false"),B2,V365),V365))</f>
        <v>#VALUE!</v>
      </c>
      <c r="W365" t="e">
        <f ca="1">IF((A1)=(2),"",IF((362)=(W3),IF(IF((INDEX(B1:XFD1,((A2)+(1))+(0)))=("store"),(INDEX(B1:XFD1,((A2)+(1))+(1)))=("W"),"false"),B2,W365),W365))</f>
        <v>#VALUE!</v>
      </c>
      <c r="X365" t="e">
        <f ca="1">IF((A1)=(2),"",IF((362)=(X3),IF(IF((INDEX(B1:XFD1,((A2)+(1))+(0)))=("store"),(INDEX(B1:XFD1,((A2)+(1))+(1)))=("X"),"false"),B2,X365),X365))</f>
        <v>#VALUE!</v>
      </c>
      <c r="Y365" t="e">
        <f ca="1">IF((A1)=(2),"",IF((362)=(Y3),IF(IF((INDEX(B1:XFD1,((A2)+(1))+(0)))=("store"),(INDEX(B1:XFD1,((A2)+(1))+(1)))=("Y"),"false"),B2,Y365),Y365))</f>
        <v>#VALUE!</v>
      </c>
      <c r="Z365" t="e">
        <f ca="1">IF((A1)=(2),"",IF((362)=(Z3),IF(IF((INDEX(B1:XFD1,((A2)+(1))+(0)))=("store"),(INDEX(B1:XFD1,((A2)+(1))+(1)))=("Z"),"false"),B2,Z365),Z365))</f>
        <v>#VALUE!</v>
      </c>
      <c r="AA365" t="e">
        <f ca="1">IF((A1)=(2),"",IF((362)=(AA3),IF(IF((INDEX(B1:XFD1,((A2)+(1))+(0)))=("store"),(INDEX(B1:XFD1,((A2)+(1))+(1)))=("AA"),"false"),B2,AA365),AA365))</f>
        <v>#VALUE!</v>
      </c>
      <c r="AB365" t="e">
        <f ca="1">IF((A1)=(2),"",IF((362)=(AB3),IF(IF((INDEX(B1:XFD1,((A2)+(1))+(0)))=("store"),(INDEX(B1:XFD1,((A2)+(1))+(1)))=("AB"),"false"),B2,AB365),AB365))</f>
        <v>#VALUE!</v>
      </c>
      <c r="AC365" t="e">
        <f ca="1">IF((A1)=(2),"",IF((362)=(AC3),IF(IF((INDEX(B1:XFD1,((A2)+(1))+(0)))=("store"),(INDEX(B1:XFD1,((A2)+(1))+(1)))=("AC"),"false"),B2,AC365),AC365))</f>
        <v>#VALUE!</v>
      </c>
      <c r="AD365" t="e">
        <f ca="1">IF((A1)=(2),"",IF((362)=(AD3),IF(IF((INDEX(B1:XFD1,((A2)+(1))+(0)))=("store"),(INDEX(B1:XFD1,((A2)+(1))+(1)))=("AD"),"false"),B2,AD365),AD365))</f>
        <v>#VALUE!</v>
      </c>
    </row>
    <row r="366" spans="1:30" x14ac:dyDescent="0.25">
      <c r="A366" t="e">
        <f ca="1">IF((A1)=(2),"",IF((363)=(A3),IF(("call")=(INDEX(B1:XFD1,((A2)+(1))+(0))),(B2)*(2),IF(("goto")=(INDEX(B1:XFD1,((A2)+(1))+(0))),(INDEX(B1:XFD1,((A2)+(1))+(1)))*(2),IF(("gotoiftrue")=(INDEX(B1:XFD1,((A2)+(1))+(0))),IF(B2,(INDEX(B1:XFD1,((A2)+(1))+(1)))*(2),(A366)+(2)),(A366)+(2)))),A366))</f>
        <v>#VALUE!</v>
      </c>
      <c r="B366" t="e">
        <f ca="1">IF((A1)=(2),"",IF((363)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366)+(1)),IF(("add")=(INDEX(B1:XFD1,((A2)+(1))+(0))),(INDEX(B4:B404,(B3)+(1)))+(B366),IF(("equals")=(INDEX(B1:XFD1,((A2)+(1))+(0))),(INDEX(B4:B404,(B3)+(1)))=(B366),IF(("leq")=(INDEX(B1:XFD1,((A2)+(1))+(0))),(INDEX(B4:B404,(B3)+(1)))&lt;=(B366),IF(("greater")=(INDEX(B1:XFD1,((A2)+(1))+(0))),(INDEX(B4:B404,(B3)+(1)))&gt;(B366),IF(("mod")=(INDEX(B1:XFD1,((A2)+(1))+(0))),MOD(INDEX(B4:B404,(B3)+(1)),B366),B366))))))))),B366))</f>
        <v>#VALUE!</v>
      </c>
      <c r="C366" t="e">
        <f ca="1">IF((A1)=(2),1,IF(AND((INDEX(B1:XFD1,((A2)+(1))+(0)))=("writeheap"),(INDEX(B4:B404,(B3)+(1)))=(362)),INDEX(B4:B404,(B3)+(2)),IF((A1)=(2),"",IF((363)=(C3),C366,C366))))</f>
        <v>#VALUE!</v>
      </c>
      <c r="E366" t="e">
        <f ca="1">IF((A1)=(2),"",IF((363)=(E3),IF(("outputline")=(INDEX(B1:XFD1,((A2)+(1))+(0))),B2,E366),E366))</f>
        <v>#VALUE!</v>
      </c>
      <c r="F366" t="e">
        <f ca="1">IF((A1)=(2),"",IF((363)=(F3),IF(IF((INDEX(B1:XFD1,((A2)+(1))+(0)))=("store"),(INDEX(B1:XFD1,((A2)+(1))+(1)))=("F"),"false"),B2,F366),F366))</f>
        <v>#VALUE!</v>
      </c>
      <c r="G366" t="e">
        <f ca="1">IF((A1)=(2),"",IF((363)=(G3),IF(IF((INDEX(B1:XFD1,((A2)+(1))+(0)))=("store"),(INDEX(B1:XFD1,((A2)+(1))+(1)))=("G"),"false"),B2,G366),G366))</f>
        <v>#VALUE!</v>
      </c>
      <c r="H366" t="e">
        <f ca="1">IF((A1)=(2),"",IF((363)=(H3),IF(IF((INDEX(B1:XFD1,((A2)+(1))+(0)))=("store"),(INDEX(B1:XFD1,((A2)+(1))+(1)))=("H"),"false"),B2,H366),H366))</f>
        <v>#VALUE!</v>
      </c>
      <c r="I366" t="e">
        <f ca="1">IF((A1)=(2),"",IF((363)=(I3),IF(IF((INDEX(B1:XFD1,((A2)+(1))+(0)))=("store"),(INDEX(B1:XFD1,((A2)+(1))+(1)))=("I"),"false"),B2,I366),I366))</f>
        <v>#VALUE!</v>
      </c>
      <c r="J366" t="e">
        <f ca="1">IF((A1)=(2),"",IF((363)=(J3),IF(IF((INDEX(B1:XFD1,((A2)+(1))+(0)))=("store"),(INDEX(B1:XFD1,((A2)+(1))+(1)))=("J"),"false"),B2,J366),J366))</f>
        <v>#VALUE!</v>
      </c>
      <c r="K366" t="e">
        <f ca="1">IF((A1)=(2),"",IF((363)=(K3),IF(IF((INDEX(B1:XFD1,((A2)+(1))+(0)))=("store"),(INDEX(B1:XFD1,((A2)+(1))+(1)))=("K"),"false"),B2,K366),K366))</f>
        <v>#VALUE!</v>
      </c>
      <c r="L366" t="e">
        <f ca="1">IF((A1)=(2),"",IF((363)=(L3),IF(IF((INDEX(B1:XFD1,((A2)+(1))+(0)))=("store"),(INDEX(B1:XFD1,((A2)+(1))+(1)))=("L"),"false"),B2,L366),L366))</f>
        <v>#VALUE!</v>
      </c>
      <c r="M366" t="e">
        <f ca="1">IF((A1)=(2),"",IF((363)=(M3),IF(IF((INDEX(B1:XFD1,((A2)+(1))+(0)))=("store"),(INDEX(B1:XFD1,((A2)+(1))+(1)))=("M"),"false"),B2,M366),M366))</f>
        <v>#VALUE!</v>
      </c>
      <c r="N366" t="e">
        <f ca="1">IF((A1)=(2),"",IF((363)=(N3),IF(IF((INDEX(B1:XFD1,((A2)+(1))+(0)))=("store"),(INDEX(B1:XFD1,((A2)+(1))+(1)))=("N"),"false"),B2,N366),N366))</f>
        <v>#VALUE!</v>
      </c>
      <c r="O366" t="e">
        <f ca="1">IF((A1)=(2),"",IF((363)=(O3),IF(IF((INDEX(B1:XFD1,((A2)+(1))+(0)))=("store"),(INDEX(B1:XFD1,((A2)+(1))+(1)))=("O"),"false"),B2,O366),O366))</f>
        <v>#VALUE!</v>
      </c>
      <c r="P366" t="e">
        <f ca="1">IF((A1)=(2),"",IF((363)=(P3),IF(IF((INDEX(B1:XFD1,((A2)+(1))+(0)))=("store"),(INDEX(B1:XFD1,((A2)+(1))+(1)))=("P"),"false"),B2,P366),P366))</f>
        <v>#VALUE!</v>
      </c>
      <c r="Q366" t="e">
        <f ca="1">IF((A1)=(2),"",IF((363)=(Q3),IF(IF((INDEX(B1:XFD1,((A2)+(1))+(0)))=("store"),(INDEX(B1:XFD1,((A2)+(1))+(1)))=("Q"),"false"),B2,Q366),Q366))</f>
        <v>#VALUE!</v>
      </c>
      <c r="R366" t="e">
        <f ca="1">IF((A1)=(2),"",IF((363)=(R3),IF(IF((INDEX(B1:XFD1,((A2)+(1))+(0)))=("store"),(INDEX(B1:XFD1,((A2)+(1))+(1)))=("R"),"false"),B2,R366),R366))</f>
        <v>#VALUE!</v>
      </c>
      <c r="S366" t="e">
        <f ca="1">IF((A1)=(2),"",IF((363)=(S3),IF(IF((INDEX(B1:XFD1,((A2)+(1))+(0)))=("store"),(INDEX(B1:XFD1,((A2)+(1))+(1)))=("S"),"false"),B2,S366),S366))</f>
        <v>#VALUE!</v>
      </c>
      <c r="T366" t="e">
        <f ca="1">IF((A1)=(2),"",IF((363)=(T3),IF(IF((INDEX(B1:XFD1,((A2)+(1))+(0)))=("store"),(INDEX(B1:XFD1,((A2)+(1))+(1)))=("T"),"false"),B2,T366),T366))</f>
        <v>#VALUE!</v>
      </c>
      <c r="U366" t="e">
        <f ca="1">IF((A1)=(2),"",IF((363)=(U3),IF(IF((INDEX(B1:XFD1,((A2)+(1))+(0)))=("store"),(INDEX(B1:XFD1,((A2)+(1))+(1)))=("U"),"false"),B2,U366),U366))</f>
        <v>#VALUE!</v>
      </c>
      <c r="V366" t="e">
        <f ca="1">IF((A1)=(2),"",IF((363)=(V3),IF(IF((INDEX(B1:XFD1,((A2)+(1))+(0)))=("store"),(INDEX(B1:XFD1,((A2)+(1))+(1)))=("V"),"false"),B2,V366),V366))</f>
        <v>#VALUE!</v>
      </c>
      <c r="W366" t="e">
        <f ca="1">IF((A1)=(2),"",IF((363)=(W3),IF(IF((INDEX(B1:XFD1,((A2)+(1))+(0)))=("store"),(INDEX(B1:XFD1,((A2)+(1))+(1)))=("W"),"false"),B2,W366),W366))</f>
        <v>#VALUE!</v>
      </c>
      <c r="X366" t="e">
        <f ca="1">IF((A1)=(2),"",IF((363)=(X3),IF(IF((INDEX(B1:XFD1,((A2)+(1))+(0)))=("store"),(INDEX(B1:XFD1,((A2)+(1))+(1)))=("X"),"false"),B2,X366),X366))</f>
        <v>#VALUE!</v>
      </c>
      <c r="Y366" t="e">
        <f ca="1">IF((A1)=(2),"",IF((363)=(Y3),IF(IF((INDEX(B1:XFD1,((A2)+(1))+(0)))=("store"),(INDEX(B1:XFD1,((A2)+(1))+(1)))=("Y"),"false"),B2,Y366),Y366))</f>
        <v>#VALUE!</v>
      </c>
      <c r="Z366" t="e">
        <f ca="1">IF((A1)=(2),"",IF((363)=(Z3),IF(IF((INDEX(B1:XFD1,((A2)+(1))+(0)))=("store"),(INDEX(B1:XFD1,((A2)+(1))+(1)))=("Z"),"false"),B2,Z366),Z366))</f>
        <v>#VALUE!</v>
      </c>
      <c r="AA366" t="e">
        <f ca="1">IF((A1)=(2),"",IF((363)=(AA3),IF(IF((INDEX(B1:XFD1,((A2)+(1))+(0)))=("store"),(INDEX(B1:XFD1,((A2)+(1))+(1)))=("AA"),"false"),B2,AA366),AA366))</f>
        <v>#VALUE!</v>
      </c>
      <c r="AB366" t="e">
        <f ca="1">IF((A1)=(2),"",IF((363)=(AB3),IF(IF((INDEX(B1:XFD1,((A2)+(1))+(0)))=("store"),(INDEX(B1:XFD1,((A2)+(1))+(1)))=("AB"),"false"),B2,AB366),AB366))</f>
        <v>#VALUE!</v>
      </c>
      <c r="AC366" t="e">
        <f ca="1">IF((A1)=(2),"",IF((363)=(AC3),IF(IF((INDEX(B1:XFD1,((A2)+(1))+(0)))=("store"),(INDEX(B1:XFD1,((A2)+(1))+(1)))=("AC"),"false"),B2,AC366),AC366))</f>
        <v>#VALUE!</v>
      </c>
      <c r="AD366" t="e">
        <f ca="1">IF((A1)=(2),"",IF((363)=(AD3),IF(IF((INDEX(B1:XFD1,((A2)+(1))+(0)))=("store"),(INDEX(B1:XFD1,((A2)+(1))+(1)))=("AD"),"false"),B2,AD366),AD366))</f>
        <v>#VALUE!</v>
      </c>
    </row>
    <row r="367" spans="1:30" x14ac:dyDescent="0.25">
      <c r="A367" t="e">
        <f ca="1">IF((A1)=(2),"",IF((364)=(A3),IF(("call")=(INDEX(B1:XFD1,((A2)+(1))+(0))),(B2)*(2),IF(("goto")=(INDEX(B1:XFD1,((A2)+(1))+(0))),(INDEX(B1:XFD1,((A2)+(1))+(1)))*(2),IF(("gotoiftrue")=(INDEX(B1:XFD1,((A2)+(1))+(0))),IF(B2,(INDEX(B1:XFD1,((A2)+(1))+(1)))*(2),(A367)+(2)),(A367)+(2)))),A367))</f>
        <v>#VALUE!</v>
      </c>
      <c r="B367" t="e">
        <f ca="1">IF((A1)=(2),"",IF((364)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367)+(1)),IF(("add")=(INDEX(B1:XFD1,((A2)+(1))+(0))),(INDEX(B4:B404,(B3)+(1)))+(B367),IF(("equals")=(INDEX(B1:XFD1,((A2)+(1))+(0))),(INDEX(B4:B404,(B3)+(1)))=(B367),IF(("leq")=(INDEX(B1:XFD1,((A2)+(1))+(0))),(INDEX(B4:B404,(B3)+(1)))&lt;=(B367),IF(("greater")=(INDEX(B1:XFD1,((A2)+(1))+(0))),(INDEX(B4:B404,(B3)+(1)))&gt;(B367),IF(("mod")=(INDEX(B1:XFD1,((A2)+(1))+(0))),MOD(INDEX(B4:B404,(B3)+(1)),B367),B367))))))))),B367))</f>
        <v>#VALUE!</v>
      </c>
      <c r="C367" t="e">
        <f ca="1">IF((A1)=(2),1,IF(AND((INDEX(B1:XFD1,((A2)+(1))+(0)))=("writeheap"),(INDEX(B4:B404,(B3)+(1)))=(363)),INDEX(B4:B404,(B3)+(2)),IF((A1)=(2),"",IF((364)=(C3),C367,C367))))</f>
        <v>#VALUE!</v>
      </c>
      <c r="E367" t="e">
        <f ca="1">IF((A1)=(2),"",IF((364)=(E3),IF(("outputline")=(INDEX(B1:XFD1,((A2)+(1))+(0))),B2,E367),E367))</f>
        <v>#VALUE!</v>
      </c>
      <c r="F367" t="e">
        <f ca="1">IF((A1)=(2),"",IF((364)=(F3),IF(IF((INDEX(B1:XFD1,((A2)+(1))+(0)))=("store"),(INDEX(B1:XFD1,((A2)+(1))+(1)))=("F"),"false"),B2,F367),F367))</f>
        <v>#VALUE!</v>
      </c>
      <c r="G367" t="e">
        <f ca="1">IF((A1)=(2),"",IF((364)=(G3),IF(IF((INDEX(B1:XFD1,((A2)+(1))+(0)))=("store"),(INDEX(B1:XFD1,((A2)+(1))+(1)))=("G"),"false"),B2,G367),G367))</f>
        <v>#VALUE!</v>
      </c>
      <c r="H367" t="e">
        <f ca="1">IF((A1)=(2),"",IF((364)=(H3),IF(IF((INDEX(B1:XFD1,((A2)+(1))+(0)))=("store"),(INDEX(B1:XFD1,((A2)+(1))+(1)))=("H"),"false"),B2,H367),H367))</f>
        <v>#VALUE!</v>
      </c>
      <c r="I367" t="e">
        <f ca="1">IF((A1)=(2),"",IF((364)=(I3),IF(IF((INDEX(B1:XFD1,((A2)+(1))+(0)))=("store"),(INDEX(B1:XFD1,((A2)+(1))+(1)))=("I"),"false"),B2,I367),I367))</f>
        <v>#VALUE!</v>
      </c>
      <c r="J367" t="e">
        <f ca="1">IF((A1)=(2),"",IF((364)=(J3),IF(IF((INDEX(B1:XFD1,((A2)+(1))+(0)))=("store"),(INDEX(B1:XFD1,((A2)+(1))+(1)))=("J"),"false"),B2,J367),J367))</f>
        <v>#VALUE!</v>
      </c>
      <c r="K367" t="e">
        <f ca="1">IF((A1)=(2),"",IF((364)=(K3),IF(IF((INDEX(B1:XFD1,((A2)+(1))+(0)))=("store"),(INDEX(B1:XFD1,((A2)+(1))+(1)))=("K"),"false"),B2,K367),K367))</f>
        <v>#VALUE!</v>
      </c>
      <c r="L367" t="e">
        <f ca="1">IF((A1)=(2),"",IF((364)=(L3),IF(IF((INDEX(B1:XFD1,((A2)+(1))+(0)))=("store"),(INDEX(B1:XFD1,((A2)+(1))+(1)))=("L"),"false"),B2,L367),L367))</f>
        <v>#VALUE!</v>
      </c>
      <c r="M367" t="e">
        <f ca="1">IF((A1)=(2),"",IF((364)=(M3),IF(IF((INDEX(B1:XFD1,((A2)+(1))+(0)))=("store"),(INDEX(B1:XFD1,((A2)+(1))+(1)))=("M"),"false"),B2,M367),M367))</f>
        <v>#VALUE!</v>
      </c>
      <c r="N367" t="e">
        <f ca="1">IF((A1)=(2),"",IF((364)=(N3),IF(IF((INDEX(B1:XFD1,((A2)+(1))+(0)))=("store"),(INDEX(B1:XFD1,((A2)+(1))+(1)))=("N"),"false"),B2,N367),N367))</f>
        <v>#VALUE!</v>
      </c>
      <c r="O367" t="e">
        <f ca="1">IF((A1)=(2),"",IF((364)=(O3),IF(IF((INDEX(B1:XFD1,((A2)+(1))+(0)))=("store"),(INDEX(B1:XFD1,((A2)+(1))+(1)))=("O"),"false"),B2,O367),O367))</f>
        <v>#VALUE!</v>
      </c>
      <c r="P367" t="e">
        <f ca="1">IF((A1)=(2),"",IF((364)=(P3),IF(IF((INDEX(B1:XFD1,((A2)+(1))+(0)))=("store"),(INDEX(B1:XFD1,((A2)+(1))+(1)))=("P"),"false"),B2,P367),P367))</f>
        <v>#VALUE!</v>
      </c>
      <c r="Q367" t="e">
        <f ca="1">IF((A1)=(2),"",IF((364)=(Q3),IF(IF((INDEX(B1:XFD1,((A2)+(1))+(0)))=("store"),(INDEX(B1:XFD1,((A2)+(1))+(1)))=("Q"),"false"),B2,Q367),Q367))</f>
        <v>#VALUE!</v>
      </c>
      <c r="R367" t="e">
        <f ca="1">IF((A1)=(2),"",IF((364)=(R3),IF(IF((INDEX(B1:XFD1,((A2)+(1))+(0)))=("store"),(INDEX(B1:XFD1,((A2)+(1))+(1)))=("R"),"false"),B2,R367),R367))</f>
        <v>#VALUE!</v>
      </c>
      <c r="S367" t="e">
        <f ca="1">IF((A1)=(2),"",IF((364)=(S3),IF(IF((INDEX(B1:XFD1,((A2)+(1))+(0)))=("store"),(INDEX(B1:XFD1,((A2)+(1))+(1)))=("S"),"false"),B2,S367),S367))</f>
        <v>#VALUE!</v>
      </c>
      <c r="T367" t="e">
        <f ca="1">IF((A1)=(2),"",IF((364)=(T3),IF(IF((INDEX(B1:XFD1,((A2)+(1))+(0)))=("store"),(INDEX(B1:XFD1,((A2)+(1))+(1)))=("T"),"false"),B2,T367),T367))</f>
        <v>#VALUE!</v>
      </c>
      <c r="U367" t="e">
        <f ca="1">IF((A1)=(2),"",IF((364)=(U3),IF(IF((INDEX(B1:XFD1,((A2)+(1))+(0)))=("store"),(INDEX(B1:XFD1,((A2)+(1))+(1)))=("U"),"false"),B2,U367),U367))</f>
        <v>#VALUE!</v>
      </c>
      <c r="V367" t="e">
        <f ca="1">IF((A1)=(2),"",IF((364)=(V3),IF(IF((INDEX(B1:XFD1,((A2)+(1))+(0)))=("store"),(INDEX(B1:XFD1,((A2)+(1))+(1)))=("V"),"false"),B2,V367),V367))</f>
        <v>#VALUE!</v>
      </c>
      <c r="W367" t="e">
        <f ca="1">IF((A1)=(2),"",IF((364)=(W3),IF(IF((INDEX(B1:XFD1,((A2)+(1))+(0)))=("store"),(INDEX(B1:XFD1,((A2)+(1))+(1)))=("W"),"false"),B2,W367),W367))</f>
        <v>#VALUE!</v>
      </c>
      <c r="X367" t="e">
        <f ca="1">IF((A1)=(2),"",IF((364)=(X3),IF(IF((INDEX(B1:XFD1,((A2)+(1))+(0)))=("store"),(INDEX(B1:XFD1,((A2)+(1))+(1)))=("X"),"false"),B2,X367),X367))</f>
        <v>#VALUE!</v>
      </c>
      <c r="Y367" t="e">
        <f ca="1">IF((A1)=(2),"",IF((364)=(Y3),IF(IF((INDEX(B1:XFD1,((A2)+(1))+(0)))=("store"),(INDEX(B1:XFD1,((A2)+(1))+(1)))=("Y"),"false"),B2,Y367),Y367))</f>
        <v>#VALUE!</v>
      </c>
      <c r="Z367" t="e">
        <f ca="1">IF((A1)=(2),"",IF((364)=(Z3),IF(IF((INDEX(B1:XFD1,((A2)+(1))+(0)))=("store"),(INDEX(B1:XFD1,((A2)+(1))+(1)))=("Z"),"false"),B2,Z367),Z367))</f>
        <v>#VALUE!</v>
      </c>
      <c r="AA367" t="e">
        <f ca="1">IF((A1)=(2),"",IF((364)=(AA3),IF(IF((INDEX(B1:XFD1,((A2)+(1))+(0)))=("store"),(INDEX(B1:XFD1,((A2)+(1))+(1)))=("AA"),"false"),B2,AA367),AA367))</f>
        <v>#VALUE!</v>
      </c>
      <c r="AB367" t="e">
        <f ca="1">IF((A1)=(2),"",IF((364)=(AB3),IF(IF((INDEX(B1:XFD1,((A2)+(1))+(0)))=("store"),(INDEX(B1:XFD1,((A2)+(1))+(1)))=("AB"),"false"),B2,AB367),AB367))</f>
        <v>#VALUE!</v>
      </c>
      <c r="AC367" t="e">
        <f ca="1">IF((A1)=(2),"",IF((364)=(AC3),IF(IF((INDEX(B1:XFD1,((A2)+(1))+(0)))=("store"),(INDEX(B1:XFD1,((A2)+(1))+(1)))=("AC"),"false"),B2,AC367),AC367))</f>
        <v>#VALUE!</v>
      </c>
      <c r="AD367" t="e">
        <f ca="1">IF((A1)=(2),"",IF((364)=(AD3),IF(IF((INDEX(B1:XFD1,((A2)+(1))+(0)))=("store"),(INDEX(B1:XFD1,((A2)+(1))+(1)))=("AD"),"false"),B2,AD367),AD367))</f>
        <v>#VALUE!</v>
      </c>
    </row>
    <row r="368" spans="1:30" x14ac:dyDescent="0.25">
      <c r="A368" t="e">
        <f ca="1">IF((A1)=(2),"",IF((365)=(A3),IF(("call")=(INDEX(B1:XFD1,((A2)+(1))+(0))),(B2)*(2),IF(("goto")=(INDEX(B1:XFD1,((A2)+(1))+(0))),(INDEX(B1:XFD1,((A2)+(1))+(1)))*(2),IF(("gotoiftrue")=(INDEX(B1:XFD1,((A2)+(1))+(0))),IF(B2,(INDEX(B1:XFD1,((A2)+(1))+(1)))*(2),(A368)+(2)),(A368)+(2)))),A368))</f>
        <v>#VALUE!</v>
      </c>
      <c r="B368" t="e">
        <f ca="1">IF((A1)=(2),"",IF((365)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368)+(1)),IF(("add")=(INDEX(B1:XFD1,((A2)+(1))+(0))),(INDEX(B4:B404,(B3)+(1)))+(B368),IF(("equals")=(INDEX(B1:XFD1,((A2)+(1))+(0))),(INDEX(B4:B404,(B3)+(1)))=(B368),IF(("leq")=(INDEX(B1:XFD1,((A2)+(1))+(0))),(INDEX(B4:B404,(B3)+(1)))&lt;=(B368),IF(("greater")=(INDEX(B1:XFD1,((A2)+(1))+(0))),(INDEX(B4:B404,(B3)+(1)))&gt;(B368),IF(("mod")=(INDEX(B1:XFD1,((A2)+(1))+(0))),MOD(INDEX(B4:B404,(B3)+(1)),B368),B368))))))))),B368))</f>
        <v>#VALUE!</v>
      </c>
      <c r="C368" t="e">
        <f ca="1">IF((A1)=(2),1,IF(AND((INDEX(B1:XFD1,((A2)+(1))+(0)))=("writeheap"),(INDEX(B4:B404,(B3)+(1)))=(364)),INDEX(B4:B404,(B3)+(2)),IF((A1)=(2),"",IF((365)=(C3),C368,C368))))</f>
        <v>#VALUE!</v>
      </c>
      <c r="E368" t="e">
        <f ca="1">IF((A1)=(2),"",IF((365)=(E3),IF(("outputline")=(INDEX(B1:XFD1,((A2)+(1))+(0))),B2,E368),E368))</f>
        <v>#VALUE!</v>
      </c>
      <c r="F368" t="e">
        <f ca="1">IF((A1)=(2),"",IF((365)=(F3),IF(IF((INDEX(B1:XFD1,((A2)+(1))+(0)))=("store"),(INDEX(B1:XFD1,((A2)+(1))+(1)))=("F"),"false"),B2,F368),F368))</f>
        <v>#VALUE!</v>
      </c>
      <c r="G368" t="e">
        <f ca="1">IF((A1)=(2),"",IF((365)=(G3),IF(IF((INDEX(B1:XFD1,((A2)+(1))+(0)))=("store"),(INDEX(B1:XFD1,((A2)+(1))+(1)))=("G"),"false"),B2,G368),G368))</f>
        <v>#VALUE!</v>
      </c>
      <c r="H368" t="e">
        <f ca="1">IF((A1)=(2),"",IF((365)=(H3),IF(IF((INDEX(B1:XFD1,((A2)+(1))+(0)))=("store"),(INDEX(B1:XFD1,((A2)+(1))+(1)))=("H"),"false"),B2,H368),H368))</f>
        <v>#VALUE!</v>
      </c>
      <c r="I368" t="e">
        <f ca="1">IF((A1)=(2),"",IF((365)=(I3),IF(IF((INDEX(B1:XFD1,((A2)+(1))+(0)))=("store"),(INDEX(B1:XFD1,((A2)+(1))+(1)))=("I"),"false"),B2,I368),I368))</f>
        <v>#VALUE!</v>
      </c>
      <c r="J368" t="e">
        <f ca="1">IF((A1)=(2),"",IF((365)=(J3),IF(IF((INDEX(B1:XFD1,((A2)+(1))+(0)))=("store"),(INDEX(B1:XFD1,((A2)+(1))+(1)))=("J"),"false"),B2,J368),J368))</f>
        <v>#VALUE!</v>
      </c>
      <c r="K368" t="e">
        <f ca="1">IF((A1)=(2),"",IF((365)=(K3),IF(IF((INDEX(B1:XFD1,((A2)+(1))+(0)))=("store"),(INDEX(B1:XFD1,((A2)+(1))+(1)))=("K"),"false"),B2,K368),K368))</f>
        <v>#VALUE!</v>
      </c>
      <c r="L368" t="e">
        <f ca="1">IF((A1)=(2),"",IF((365)=(L3),IF(IF((INDEX(B1:XFD1,((A2)+(1))+(0)))=("store"),(INDEX(B1:XFD1,((A2)+(1))+(1)))=("L"),"false"),B2,L368),L368))</f>
        <v>#VALUE!</v>
      </c>
      <c r="M368" t="e">
        <f ca="1">IF((A1)=(2),"",IF((365)=(M3),IF(IF((INDEX(B1:XFD1,((A2)+(1))+(0)))=("store"),(INDEX(B1:XFD1,((A2)+(1))+(1)))=("M"),"false"),B2,M368),M368))</f>
        <v>#VALUE!</v>
      </c>
      <c r="N368" t="e">
        <f ca="1">IF((A1)=(2),"",IF((365)=(N3),IF(IF((INDEX(B1:XFD1,((A2)+(1))+(0)))=("store"),(INDEX(B1:XFD1,((A2)+(1))+(1)))=("N"),"false"),B2,N368),N368))</f>
        <v>#VALUE!</v>
      </c>
      <c r="O368" t="e">
        <f ca="1">IF((A1)=(2),"",IF((365)=(O3),IF(IF((INDEX(B1:XFD1,((A2)+(1))+(0)))=("store"),(INDEX(B1:XFD1,((A2)+(1))+(1)))=("O"),"false"),B2,O368),O368))</f>
        <v>#VALUE!</v>
      </c>
      <c r="P368" t="e">
        <f ca="1">IF((A1)=(2),"",IF((365)=(P3),IF(IF((INDEX(B1:XFD1,((A2)+(1))+(0)))=("store"),(INDEX(B1:XFD1,((A2)+(1))+(1)))=("P"),"false"),B2,P368),P368))</f>
        <v>#VALUE!</v>
      </c>
      <c r="Q368" t="e">
        <f ca="1">IF((A1)=(2),"",IF((365)=(Q3),IF(IF((INDEX(B1:XFD1,((A2)+(1))+(0)))=("store"),(INDEX(B1:XFD1,((A2)+(1))+(1)))=("Q"),"false"),B2,Q368),Q368))</f>
        <v>#VALUE!</v>
      </c>
      <c r="R368" t="e">
        <f ca="1">IF((A1)=(2),"",IF((365)=(R3),IF(IF((INDEX(B1:XFD1,((A2)+(1))+(0)))=("store"),(INDEX(B1:XFD1,((A2)+(1))+(1)))=("R"),"false"),B2,R368),R368))</f>
        <v>#VALUE!</v>
      </c>
      <c r="S368" t="e">
        <f ca="1">IF((A1)=(2),"",IF((365)=(S3),IF(IF((INDEX(B1:XFD1,((A2)+(1))+(0)))=("store"),(INDEX(B1:XFD1,((A2)+(1))+(1)))=("S"),"false"),B2,S368),S368))</f>
        <v>#VALUE!</v>
      </c>
      <c r="T368" t="e">
        <f ca="1">IF((A1)=(2),"",IF((365)=(T3),IF(IF((INDEX(B1:XFD1,((A2)+(1))+(0)))=("store"),(INDEX(B1:XFD1,((A2)+(1))+(1)))=("T"),"false"),B2,T368),T368))</f>
        <v>#VALUE!</v>
      </c>
      <c r="U368" t="e">
        <f ca="1">IF((A1)=(2),"",IF((365)=(U3),IF(IF((INDEX(B1:XFD1,((A2)+(1))+(0)))=("store"),(INDEX(B1:XFD1,((A2)+(1))+(1)))=("U"),"false"),B2,U368),U368))</f>
        <v>#VALUE!</v>
      </c>
      <c r="V368" t="e">
        <f ca="1">IF((A1)=(2),"",IF((365)=(V3),IF(IF((INDEX(B1:XFD1,((A2)+(1))+(0)))=("store"),(INDEX(B1:XFD1,((A2)+(1))+(1)))=("V"),"false"),B2,V368),V368))</f>
        <v>#VALUE!</v>
      </c>
      <c r="W368" t="e">
        <f ca="1">IF((A1)=(2),"",IF((365)=(W3),IF(IF((INDEX(B1:XFD1,((A2)+(1))+(0)))=("store"),(INDEX(B1:XFD1,((A2)+(1))+(1)))=("W"),"false"),B2,W368),W368))</f>
        <v>#VALUE!</v>
      </c>
      <c r="X368" t="e">
        <f ca="1">IF((A1)=(2),"",IF((365)=(X3),IF(IF((INDEX(B1:XFD1,((A2)+(1))+(0)))=("store"),(INDEX(B1:XFD1,((A2)+(1))+(1)))=("X"),"false"),B2,X368),X368))</f>
        <v>#VALUE!</v>
      </c>
      <c r="Y368" t="e">
        <f ca="1">IF((A1)=(2),"",IF((365)=(Y3),IF(IF((INDEX(B1:XFD1,((A2)+(1))+(0)))=("store"),(INDEX(B1:XFD1,((A2)+(1))+(1)))=("Y"),"false"),B2,Y368),Y368))</f>
        <v>#VALUE!</v>
      </c>
      <c r="Z368" t="e">
        <f ca="1">IF((A1)=(2),"",IF((365)=(Z3),IF(IF((INDEX(B1:XFD1,((A2)+(1))+(0)))=("store"),(INDEX(B1:XFD1,((A2)+(1))+(1)))=("Z"),"false"),B2,Z368),Z368))</f>
        <v>#VALUE!</v>
      </c>
      <c r="AA368" t="e">
        <f ca="1">IF((A1)=(2),"",IF((365)=(AA3),IF(IF((INDEX(B1:XFD1,((A2)+(1))+(0)))=("store"),(INDEX(B1:XFD1,((A2)+(1))+(1)))=("AA"),"false"),B2,AA368),AA368))</f>
        <v>#VALUE!</v>
      </c>
      <c r="AB368" t="e">
        <f ca="1">IF((A1)=(2),"",IF((365)=(AB3),IF(IF((INDEX(B1:XFD1,((A2)+(1))+(0)))=("store"),(INDEX(B1:XFD1,((A2)+(1))+(1)))=("AB"),"false"),B2,AB368),AB368))</f>
        <v>#VALUE!</v>
      </c>
      <c r="AC368" t="e">
        <f ca="1">IF((A1)=(2),"",IF((365)=(AC3),IF(IF((INDEX(B1:XFD1,((A2)+(1))+(0)))=("store"),(INDEX(B1:XFD1,((A2)+(1))+(1)))=("AC"),"false"),B2,AC368),AC368))</f>
        <v>#VALUE!</v>
      </c>
      <c r="AD368" t="e">
        <f ca="1">IF((A1)=(2),"",IF((365)=(AD3),IF(IF((INDEX(B1:XFD1,((A2)+(1))+(0)))=("store"),(INDEX(B1:XFD1,((A2)+(1))+(1)))=("AD"),"false"),B2,AD368),AD368))</f>
        <v>#VALUE!</v>
      </c>
    </row>
    <row r="369" spans="1:30" x14ac:dyDescent="0.25">
      <c r="A369" t="e">
        <f ca="1">IF((A1)=(2),"",IF((366)=(A3),IF(("call")=(INDEX(B1:XFD1,((A2)+(1))+(0))),(B2)*(2),IF(("goto")=(INDEX(B1:XFD1,((A2)+(1))+(0))),(INDEX(B1:XFD1,((A2)+(1))+(1)))*(2),IF(("gotoiftrue")=(INDEX(B1:XFD1,((A2)+(1))+(0))),IF(B2,(INDEX(B1:XFD1,((A2)+(1))+(1)))*(2),(A369)+(2)),(A369)+(2)))),A369))</f>
        <v>#VALUE!</v>
      </c>
      <c r="B369" t="e">
        <f ca="1">IF((A1)=(2),"",IF((366)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369)+(1)),IF(("add")=(INDEX(B1:XFD1,((A2)+(1))+(0))),(INDEX(B4:B404,(B3)+(1)))+(B369),IF(("equals")=(INDEX(B1:XFD1,((A2)+(1))+(0))),(INDEX(B4:B404,(B3)+(1)))=(B369),IF(("leq")=(INDEX(B1:XFD1,((A2)+(1))+(0))),(INDEX(B4:B404,(B3)+(1)))&lt;=(B369),IF(("greater")=(INDEX(B1:XFD1,((A2)+(1))+(0))),(INDEX(B4:B404,(B3)+(1)))&gt;(B369),IF(("mod")=(INDEX(B1:XFD1,((A2)+(1))+(0))),MOD(INDEX(B4:B404,(B3)+(1)),B369),B369))))))))),B369))</f>
        <v>#VALUE!</v>
      </c>
      <c r="C369" t="e">
        <f ca="1">IF((A1)=(2),1,IF(AND((INDEX(B1:XFD1,((A2)+(1))+(0)))=("writeheap"),(INDEX(B4:B404,(B3)+(1)))=(365)),INDEX(B4:B404,(B3)+(2)),IF((A1)=(2),"",IF((366)=(C3),C369,C369))))</f>
        <v>#VALUE!</v>
      </c>
      <c r="E369" t="e">
        <f ca="1">IF((A1)=(2),"",IF((366)=(E3),IF(("outputline")=(INDEX(B1:XFD1,((A2)+(1))+(0))),B2,E369),E369))</f>
        <v>#VALUE!</v>
      </c>
      <c r="F369" t="e">
        <f ca="1">IF((A1)=(2),"",IF((366)=(F3),IF(IF((INDEX(B1:XFD1,((A2)+(1))+(0)))=("store"),(INDEX(B1:XFD1,((A2)+(1))+(1)))=("F"),"false"),B2,F369),F369))</f>
        <v>#VALUE!</v>
      </c>
      <c r="G369" t="e">
        <f ca="1">IF((A1)=(2),"",IF((366)=(G3),IF(IF((INDEX(B1:XFD1,((A2)+(1))+(0)))=("store"),(INDEX(B1:XFD1,((A2)+(1))+(1)))=("G"),"false"),B2,G369),G369))</f>
        <v>#VALUE!</v>
      </c>
      <c r="H369" t="e">
        <f ca="1">IF((A1)=(2),"",IF((366)=(H3),IF(IF((INDEX(B1:XFD1,((A2)+(1))+(0)))=("store"),(INDEX(B1:XFD1,((A2)+(1))+(1)))=("H"),"false"),B2,H369),H369))</f>
        <v>#VALUE!</v>
      </c>
      <c r="I369" t="e">
        <f ca="1">IF((A1)=(2),"",IF((366)=(I3),IF(IF((INDEX(B1:XFD1,((A2)+(1))+(0)))=("store"),(INDEX(B1:XFD1,((A2)+(1))+(1)))=("I"),"false"),B2,I369),I369))</f>
        <v>#VALUE!</v>
      </c>
      <c r="J369" t="e">
        <f ca="1">IF((A1)=(2),"",IF((366)=(J3),IF(IF((INDEX(B1:XFD1,((A2)+(1))+(0)))=("store"),(INDEX(B1:XFD1,((A2)+(1))+(1)))=("J"),"false"),B2,J369),J369))</f>
        <v>#VALUE!</v>
      </c>
      <c r="K369" t="e">
        <f ca="1">IF((A1)=(2),"",IF((366)=(K3),IF(IF((INDEX(B1:XFD1,((A2)+(1))+(0)))=("store"),(INDEX(B1:XFD1,((A2)+(1))+(1)))=("K"),"false"),B2,K369),K369))</f>
        <v>#VALUE!</v>
      </c>
      <c r="L369" t="e">
        <f ca="1">IF((A1)=(2),"",IF((366)=(L3),IF(IF((INDEX(B1:XFD1,((A2)+(1))+(0)))=("store"),(INDEX(B1:XFD1,((A2)+(1))+(1)))=("L"),"false"),B2,L369),L369))</f>
        <v>#VALUE!</v>
      </c>
      <c r="M369" t="e">
        <f ca="1">IF((A1)=(2),"",IF((366)=(M3),IF(IF((INDEX(B1:XFD1,((A2)+(1))+(0)))=("store"),(INDEX(B1:XFD1,((A2)+(1))+(1)))=("M"),"false"),B2,M369),M369))</f>
        <v>#VALUE!</v>
      </c>
      <c r="N369" t="e">
        <f ca="1">IF((A1)=(2),"",IF((366)=(N3),IF(IF((INDEX(B1:XFD1,((A2)+(1))+(0)))=("store"),(INDEX(B1:XFD1,((A2)+(1))+(1)))=("N"),"false"),B2,N369),N369))</f>
        <v>#VALUE!</v>
      </c>
      <c r="O369" t="e">
        <f ca="1">IF((A1)=(2),"",IF((366)=(O3),IF(IF((INDEX(B1:XFD1,((A2)+(1))+(0)))=("store"),(INDEX(B1:XFD1,((A2)+(1))+(1)))=("O"),"false"),B2,O369),O369))</f>
        <v>#VALUE!</v>
      </c>
      <c r="P369" t="e">
        <f ca="1">IF((A1)=(2),"",IF((366)=(P3),IF(IF((INDEX(B1:XFD1,((A2)+(1))+(0)))=("store"),(INDEX(B1:XFD1,((A2)+(1))+(1)))=("P"),"false"),B2,P369),P369))</f>
        <v>#VALUE!</v>
      </c>
      <c r="Q369" t="e">
        <f ca="1">IF((A1)=(2),"",IF((366)=(Q3),IF(IF((INDEX(B1:XFD1,((A2)+(1))+(0)))=("store"),(INDEX(B1:XFD1,((A2)+(1))+(1)))=("Q"),"false"),B2,Q369),Q369))</f>
        <v>#VALUE!</v>
      </c>
      <c r="R369" t="e">
        <f ca="1">IF((A1)=(2),"",IF((366)=(R3),IF(IF((INDEX(B1:XFD1,((A2)+(1))+(0)))=("store"),(INDEX(B1:XFD1,((A2)+(1))+(1)))=("R"),"false"),B2,R369),R369))</f>
        <v>#VALUE!</v>
      </c>
      <c r="S369" t="e">
        <f ca="1">IF((A1)=(2),"",IF((366)=(S3),IF(IF((INDEX(B1:XFD1,((A2)+(1))+(0)))=("store"),(INDEX(B1:XFD1,((A2)+(1))+(1)))=("S"),"false"),B2,S369),S369))</f>
        <v>#VALUE!</v>
      </c>
      <c r="T369" t="e">
        <f ca="1">IF((A1)=(2),"",IF((366)=(T3),IF(IF((INDEX(B1:XFD1,((A2)+(1))+(0)))=("store"),(INDEX(B1:XFD1,((A2)+(1))+(1)))=("T"),"false"),B2,T369),T369))</f>
        <v>#VALUE!</v>
      </c>
      <c r="U369" t="e">
        <f ca="1">IF((A1)=(2),"",IF((366)=(U3),IF(IF((INDEX(B1:XFD1,((A2)+(1))+(0)))=("store"),(INDEX(B1:XFD1,((A2)+(1))+(1)))=("U"),"false"),B2,U369),U369))</f>
        <v>#VALUE!</v>
      </c>
      <c r="V369" t="e">
        <f ca="1">IF((A1)=(2),"",IF((366)=(V3),IF(IF((INDEX(B1:XFD1,((A2)+(1))+(0)))=("store"),(INDEX(B1:XFD1,((A2)+(1))+(1)))=("V"),"false"),B2,V369),V369))</f>
        <v>#VALUE!</v>
      </c>
      <c r="W369" t="e">
        <f ca="1">IF((A1)=(2),"",IF((366)=(W3),IF(IF((INDEX(B1:XFD1,((A2)+(1))+(0)))=("store"),(INDEX(B1:XFD1,((A2)+(1))+(1)))=("W"),"false"),B2,W369),W369))</f>
        <v>#VALUE!</v>
      </c>
      <c r="X369" t="e">
        <f ca="1">IF((A1)=(2),"",IF((366)=(X3),IF(IF((INDEX(B1:XFD1,((A2)+(1))+(0)))=("store"),(INDEX(B1:XFD1,((A2)+(1))+(1)))=("X"),"false"),B2,X369),X369))</f>
        <v>#VALUE!</v>
      </c>
      <c r="Y369" t="e">
        <f ca="1">IF((A1)=(2),"",IF((366)=(Y3),IF(IF((INDEX(B1:XFD1,((A2)+(1))+(0)))=("store"),(INDEX(B1:XFD1,((A2)+(1))+(1)))=("Y"),"false"),B2,Y369),Y369))</f>
        <v>#VALUE!</v>
      </c>
      <c r="Z369" t="e">
        <f ca="1">IF((A1)=(2),"",IF((366)=(Z3),IF(IF((INDEX(B1:XFD1,((A2)+(1))+(0)))=("store"),(INDEX(B1:XFD1,((A2)+(1))+(1)))=("Z"),"false"),B2,Z369),Z369))</f>
        <v>#VALUE!</v>
      </c>
      <c r="AA369" t="e">
        <f ca="1">IF((A1)=(2),"",IF((366)=(AA3),IF(IF((INDEX(B1:XFD1,((A2)+(1))+(0)))=("store"),(INDEX(B1:XFD1,((A2)+(1))+(1)))=("AA"),"false"),B2,AA369),AA369))</f>
        <v>#VALUE!</v>
      </c>
      <c r="AB369" t="e">
        <f ca="1">IF((A1)=(2),"",IF((366)=(AB3),IF(IF((INDEX(B1:XFD1,((A2)+(1))+(0)))=("store"),(INDEX(B1:XFD1,((A2)+(1))+(1)))=("AB"),"false"),B2,AB369),AB369))</f>
        <v>#VALUE!</v>
      </c>
      <c r="AC369" t="e">
        <f ca="1">IF((A1)=(2),"",IF((366)=(AC3),IF(IF((INDEX(B1:XFD1,((A2)+(1))+(0)))=("store"),(INDEX(B1:XFD1,((A2)+(1))+(1)))=("AC"),"false"),B2,AC369),AC369))</f>
        <v>#VALUE!</v>
      </c>
      <c r="AD369" t="e">
        <f ca="1">IF((A1)=(2),"",IF((366)=(AD3),IF(IF((INDEX(B1:XFD1,((A2)+(1))+(0)))=("store"),(INDEX(B1:XFD1,((A2)+(1))+(1)))=("AD"),"false"),B2,AD369),AD369))</f>
        <v>#VALUE!</v>
      </c>
    </row>
    <row r="370" spans="1:30" x14ac:dyDescent="0.25">
      <c r="A370" t="e">
        <f ca="1">IF((A1)=(2),"",IF((367)=(A3),IF(("call")=(INDEX(B1:XFD1,((A2)+(1))+(0))),(B2)*(2),IF(("goto")=(INDEX(B1:XFD1,((A2)+(1))+(0))),(INDEX(B1:XFD1,((A2)+(1))+(1)))*(2),IF(("gotoiftrue")=(INDEX(B1:XFD1,((A2)+(1))+(0))),IF(B2,(INDEX(B1:XFD1,((A2)+(1))+(1)))*(2),(A370)+(2)),(A370)+(2)))),A370))</f>
        <v>#VALUE!</v>
      </c>
      <c r="B370" t="e">
        <f ca="1">IF((A1)=(2),"",IF((367)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370)+(1)),IF(("add")=(INDEX(B1:XFD1,((A2)+(1))+(0))),(INDEX(B4:B404,(B3)+(1)))+(B370),IF(("equals")=(INDEX(B1:XFD1,((A2)+(1))+(0))),(INDEX(B4:B404,(B3)+(1)))=(B370),IF(("leq")=(INDEX(B1:XFD1,((A2)+(1))+(0))),(INDEX(B4:B404,(B3)+(1)))&lt;=(B370),IF(("greater")=(INDEX(B1:XFD1,((A2)+(1))+(0))),(INDEX(B4:B404,(B3)+(1)))&gt;(B370),IF(("mod")=(INDEX(B1:XFD1,((A2)+(1))+(0))),MOD(INDEX(B4:B404,(B3)+(1)),B370),B370))))))))),B370))</f>
        <v>#VALUE!</v>
      </c>
      <c r="C370" t="e">
        <f ca="1">IF((A1)=(2),1,IF(AND((INDEX(B1:XFD1,((A2)+(1))+(0)))=("writeheap"),(INDEX(B4:B404,(B3)+(1)))=(366)),INDEX(B4:B404,(B3)+(2)),IF((A1)=(2),"",IF((367)=(C3),C370,C370))))</f>
        <v>#VALUE!</v>
      </c>
      <c r="E370" t="e">
        <f ca="1">IF((A1)=(2),"",IF((367)=(E3),IF(("outputline")=(INDEX(B1:XFD1,((A2)+(1))+(0))),B2,E370),E370))</f>
        <v>#VALUE!</v>
      </c>
      <c r="F370" t="e">
        <f ca="1">IF((A1)=(2),"",IF((367)=(F3),IF(IF((INDEX(B1:XFD1,((A2)+(1))+(0)))=("store"),(INDEX(B1:XFD1,((A2)+(1))+(1)))=("F"),"false"),B2,F370),F370))</f>
        <v>#VALUE!</v>
      </c>
      <c r="G370" t="e">
        <f ca="1">IF((A1)=(2),"",IF((367)=(G3),IF(IF((INDEX(B1:XFD1,((A2)+(1))+(0)))=("store"),(INDEX(B1:XFD1,((A2)+(1))+(1)))=("G"),"false"),B2,G370),G370))</f>
        <v>#VALUE!</v>
      </c>
      <c r="H370" t="e">
        <f ca="1">IF((A1)=(2),"",IF((367)=(H3),IF(IF((INDEX(B1:XFD1,((A2)+(1))+(0)))=("store"),(INDEX(B1:XFD1,((A2)+(1))+(1)))=("H"),"false"),B2,H370),H370))</f>
        <v>#VALUE!</v>
      </c>
      <c r="I370" t="e">
        <f ca="1">IF((A1)=(2),"",IF((367)=(I3),IF(IF((INDEX(B1:XFD1,((A2)+(1))+(0)))=("store"),(INDEX(B1:XFD1,((A2)+(1))+(1)))=("I"),"false"),B2,I370),I370))</f>
        <v>#VALUE!</v>
      </c>
      <c r="J370" t="e">
        <f ca="1">IF((A1)=(2),"",IF((367)=(J3),IF(IF((INDEX(B1:XFD1,((A2)+(1))+(0)))=("store"),(INDEX(B1:XFD1,((A2)+(1))+(1)))=("J"),"false"),B2,J370),J370))</f>
        <v>#VALUE!</v>
      </c>
      <c r="K370" t="e">
        <f ca="1">IF((A1)=(2),"",IF((367)=(K3),IF(IF((INDEX(B1:XFD1,((A2)+(1))+(0)))=("store"),(INDEX(B1:XFD1,((A2)+(1))+(1)))=("K"),"false"),B2,K370),K370))</f>
        <v>#VALUE!</v>
      </c>
      <c r="L370" t="e">
        <f ca="1">IF((A1)=(2),"",IF((367)=(L3),IF(IF((INDEX(B1:XFD1,((A2)+(1))+(0)))=("store"),(INDEX(B1:XFD1,((A2)+(1))+(1)))=("L"),"false"),B2,L370),L370))</f>
        <v>#VALUE!</v>
      </c>
      <c r="M370" t="e">
        <f ca="1">IF((A1)=(2),"",IF((367)=(M3),IF(IF((INDEX(B1:XFD1,((A2)+(1))+(0)))=("store"),(INDEX(B1:XFD1,((A2)+(1))+(1)))=("M"),"false"),B2,M370),M370))</f>
        <v>#VALUE!</v>
      </c>
      <c r="N370" t="e">
        <f ca="1">IF((A1)=(2),"",IF((367)=(N3),IF(IF((INDEX(B1:XFD1,((A2)+(1))+(0)))=("store"),(INDEX(B1:XFD1,((A2)+(1))+(1)))=("N"),"false"),B2,N370),N370))</f>
        <v>#VALUE!</v>
      </c>
      <c r="O370" t="e">
        <f ca="1">IF((A1)=(2),"",IF((367)=(O3),IF(IF((INDEX(B1:XFD1,((A2)+(1))+(0)))=("store"),(INDEX(B1:XFD1,((A2)+(1))+(1)))=("O"),"false"),B2,O370),O370))</f>
        <v>#VALUE!</v>
      </c>
      <c r="P370" t="e">
        <f ca="1">IF((A1)=(2),"",IF((367)=(P3),IF(IF((INDEX(B1:XFD1,((A2)+(1))+(0)))=("store"),(INDEX(B1:XFD1,((A2)+(1))+(1)))=("P"),"false"),B2,P370),P370))</f>
        <v>#VALUE!</v>
      </c>
      <c r="Q370" t="e">
        <f ca="1">IF((A1)=(2),"",IF((367)=(Q3),IF(IF((INDEX(B1:XFD1,((A2)+(1))+(0)))=("store"),(INDEX(B1:XFD1,((A2)+(1))+(1)))=("Q"),"false"),B2,Q370),Q370))</f>
        <v>#VALUE!</v>
      </c>
      <c r="R370" t="e">
        <f ca="1">IF((A1)=(2),"",IF((367)=(R3),IF(IF((INDEX(B1:XFD1,((A2)+(1))+(0)))=("store"),(INDEX(B1:XFD1,((A2)+(1))+(1)))=("R"),"false"),B2,R370),R370))</f>
        <v>#VALUE!</v>
      </c>
      <c r="S370" t="e">
        <f ca="1">IF((A1)=(2),"",IF((367)=(S3),IF(IF((INDEX(B1:XFD1,((A2)+(1))+(0)))=("store"),(INDEX(B1:XFD1,((A2)+(1))+(1)))=("S"),"false"),B2,S370),S370))</f>
        <v>#VALUE!</v>
      </c>
      <c r="T370" t="e">
        <f ca="1">IF((A1)=(2),"",IF((367)=(T3),IF(IF((INDEX(B1:XFD1,((A2)+(1))+(0)))=("store"),(INDEX(B1:XFD1,((A2)+(1))+(1)))=("T"),"false"),B2,T370),T370))</f>
        <v>#VALUE!</v>
      </c>
      <c r="U370" t="e">
        <f ca="1">IF((A1)=(2),"",IF((367)=(U3),IF(IF((INDEX(B1:XFD1,((A2)+(1))+(0)))=("store"),(INDEX(B1:XFD1,((A2)+(1))+(1)))=("U"),"false"),B2,U370),U370))</f>
        <v>#VALUE!</v>
      </c>
      <c r="V370" t="e">
        <f ca="1">IF((A1)=(2),"",IF((367)=(V3),IF(IF((INDEX(B1:XFD1,((A2)+(1))+(0)))=("store"),(INDEX(B1:XFD1,((A2)+(1))+(1)))=("V"),"false"),B2,V370),V370))</f>
        <v>#VALUE!</v>
      </c>
      <c r="W370" t="e">
        <f ca="1">IF((A1)=(2),"",IF((367)=(W3),IF(IF((INDEX(B1:XFD1,((A2)+(1))+(0)))=("store"),(INDEX(B1:XFD1,((A2)+(1))+(1)))=("W"),"false"),B2,W370),W370))</f>
        <v>#VALUE!</v>
      </c>
      <c r="X370" t="e">
        <f ca="1">IF((A1)=(2),"",IF((367)=(X3),IF(IF((INDEX(B1:XFD1,((A2)+(1))+(0)))=("store"),(INDEX(B1:XFD1,((A2)+(1))+(1)))=("X"),"false"),B2,X370),X370))</f>
        <v>#VALUE!</v>
      </c>
      <c r="Y370" t="e">
        <f ca="1">IF((A1)=(2),"",IF((367)=(Y3),IF(IF((INDEX(B1:XFD1,((A2)+(1))+(0)))=("store"),(INDEX(B1:XFD1,((A2)+(1))+(1)))=("Y"),"false"),B2,Y370),Y370))</f>
        <v>#VALUE!</v>
      </c>
      <c r="Z370" t="e">
        <f ca="1">IF((A1)=(2),"",IF((367)=(Z3),IF(IF((INDEX(B1:XFD1,((A2)+(1))+(0)))=("store"),(INDEX(B1:XFD1,((A2)+(1))+(1)))=("Z"),"false"),B2,Z370),Z370))</f>
        <v>#VALUE!</v>
      </c>
      <c r="AA370" t="e">
        <f ca="1">IF((A1)=(2),"",IF((367)=(AA3),IF(IF((INDEX(B1:XFD1,((A2)+(1))+(0)))=("store"),(INDEX(B1:XFD1,((A2)+(1))+(1)))=("AA"),"false"),B2,AA370),AA370))</f>
        <v>#VALUE!</v>
      </c>
      <c r="AB370" t="e">
        <f ca="1">IF((A1)=(2),"",IF((367)=(AB3),IF(IF((INDEX(B1:XFD1,((A2)+(1))+(0)))=("store"),(INDEX(B1:XFD1,((A2)+(1))+(1)))=("AB"),"false"),B2,AB370),AB370))</f>
        <v>#VALUE!</v>
      </c>
      <c r="AC370" t="e">
        <f ca="1">IF((A1)=(2),"",IF((367)=(AC3),IF(IF((INDEX(B1:XFD1,((A2)+(1))+(0)))=("store"),(INDEX(B1:XFD1,((A2)+(1))+(1)))=("AC"),"false"),B2,AC370),AC370))</f>
        <v>#VALUE!</v>
      </c>
      <c r="AD370" t="e">
        <f ca="1">IF((A1)=(2),"",IF((367)=(AD3),IF(IF((INDEX(B1:XFD1,((A2)+(1))+(0)))=("store"),(INDEX(B1:XFD1,((A2)+(1))+(1)))=("AD"),"false"),B2,AD370),AD370))</f>
        <v>#VALUE!</v>
      </c>
    </row>
    <row r="371" spans="1:30" x14ac:dyDescent="0.25">
      <c r="A371" t="e">
        <f ca="1">IF((A1)=(2),"",IF((368)=(A3),IF(("call")=(INDEX(B1:XFD1,((A2)+(1))+(0))),(B2)*(2),IF(("goto")=(INDEX(B1:XFD1,((A2)+(1))+(0))),(INDEX(B1:XFD1,((A2)+(1))+(1)))*(2),IF(("gotoiftrue")=(INDEX(B1:XFD1,((A2)+(1))+(0))),IF(B2,(INDEX(B1:XFD1,((A2)+(1))+(1)))*(2),(A371)+(2)),(A371)+(2)))),A371))</f>
        <v>#VALUE!</v>
      </c>
      <c r="B371" t="e">
        <f ca="1">IF((A1)=(2),"",IF((368)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371)+(1)),IF(("add")=(INDEX(B1:XFD1,((A2)+(1))+(0))),(INDEX(B4:B404,(B3)+(1)))+(B371),IF(("equals")=(INDEX(B1:XFD1,((A2)+(1))+(0))),(INDEX(B4:B404,(B3)+(1)))=(B371),IF(("leq")=(INDEX(B1:XFD1,((A2)+(1))+(0))),(INDEX(B4:B404,(B3)+(1)))&lt;=(B371),IF(("greater")=(INDEX(B1:XFD1,((A2)+(1))+(0))),(INDEX(B4:B404,(B3)+(1)))&gt;(B371),IF(("mod")=(INDEX(B1:XFD1,((A2)+(1))+(0))),MOD(INDEX(B4:B404,(B3)+(1)),B371),B371))))))))),B371))</f>
        <v>#VALUE!</v>
      </c>
      <c r="C371" t="e">
        <f ca="1">IF((A1)=(2),1,IF(AND((INDEX(B1:XFD1,((A2)+(1))+(0)))=("writeheap"),(INDEX(B4:B404,(B3)+(1)))=(367)),INDEX(B4:B404,(B3)+(2)),IF((A1)=(2),"",IF((368)=(C3),C371,C371))))</f>
        <v>#VALUE!</v>
      </c>
      <c r="E371" t="e">
        <f ca="1">IF((A1)=(2),"",IF((368)=(E3),IF(("outputline")=(INDEX(B1:XFD1,((A2)+(1))+(0))),B2,E371),E371))</f>
        <v>#VALUE!</v>
      </c>
      <c r="F371" t="e">
        <f ca="1">IF((A1)=(2),"",IF((368)=(F3),IF(IF((INDEX(B1:XFD1,((A2)+(1))+(0)))=("store"),(INDEX(B1:XFD1,((A2)+(1))+(1)))=("F"),"false"),B2,F371),F371))</f>
        <v>#VALUE!</v>
      </c>
      <c r="G371" t="e">
        <f ca="1">IF((A1)=(2),"",IF((368)=(G3),IF(IF((INDEX(B1:XFD1,((A2)+(1))+(0)))=("store"),(INDEX(B1:XFD1,((A2)+(1))+(1)))=("G"),"false"),B2,G371),G371))</f>
        <v>#VALUE!</v>
      </c>
      <c r="H371" t="e">
        <f ca="1">IF((A1)=(2),"",IF((368)=(H3),IF(IF((INDEX(B1:XFD1,((A2)+(1))+(0)))=("store"),(INDEX(B1:XFD1,((A2)+(1))+(1)))=("H"),"false"),B2,H371),H371))</f>
        <v>#VALUE!</v>
      </c>
      <c r="I371" t="e">
        <f ca="1">IF((A1)=(2),"",IF((368)=(I3),IF(IF((INDEX(B1:XFD1,((A2)+(1))+(0)))=("store"),(INDEX(B1:XFD1,((A2)+(1))+(1)))=("I"),"false"),B2,I371),I371))</f>
        <v>#VALUE!</v>
      </c>
      <c r="J371" t="e">
        <f ca="1">IF((A1)=(2),"",IF((368)=(J3),IF(IF((INDEX(B1:XFD1,((A2)+(1))+(0)))=("store"),(INDEX(B1:XFD1,((A2)+(1))+(1)))=("J"),"false"),B2,J371),J371))</f>
        <v>#VALUE!</v>
      </c>
      <c r="K371" t="e">
        <f ca="1">IF((A1)=(2),"",IF((368)=(K3),IF(IF((INDEX(B1:XFD1,((A2)+(1))+(0)))=("store"),(INDEX(B1:XFD1,((A2)+(1))+(1)))=("K"),"false"),B2,K371),K371))</f>
        <v>#VALUE!</v>
      </c>
      <c r="L371" t="e">
        <f ca="1">IF((A1)=(2),"",IF((368)=(L3),IF(IF((INDEX(B1:XFD1,((A2)+(1))+(0)))=("store"),(INDEX(B1:XFD1,((A2)+(1))+(1)))=("L"),"false"),B2,L371),L371))</f>
        <v>#VALUE!</v>
      </c>
      <c r="M371" t="e">
        <f ca="1">IF((A1)=(2),"",IF((368)=(M3),IF(IF((INDEX(B1:XFD1,((A2)+(1))+(0)))=("store"),(INDEX(B1:XFD1,((A2)+(1))+(1)))=("M"),"false"),B2,M371),M371))</f>
        <v>#VALUE!</v>
      </c>
      <c r="N371" t="e">
        <f ca="1">IF((A1)=(2),"",IF((368)=(N3),IF(IF((INDEX(B1:XFD1,((A2)+(1))+(0)))=("store"),(INDEX(B1:XFD1,((A2)+(1))+(1)))=("N"),"false"),B2,N371),N371))</f>
        <v>#VALUE!</v>
      </c>
      <c r="O371" t="e">
        <f ca="1">IF((A1)=(2),"",IF((368)=(O3),IF(IF((INDEX(B1:XFD1,((A2)+(1))+(0)))=("store"),(INDEX(B1:XFD1,((A2)+(1))+(1)))=("O"),"false"),B2,O371),O371))</f>
        <v>#VALUE!</v>
      </c>
      <c r="P371" t="e">
        <f ca="1">IF((A1)=(2),"",IF((368)=(P3),IF(IF((INDEX(B1:XFD1,((A2)+(1))+(0)))=("store"),(INDEX(B1:XFD1,((A2)+(1))+(1)))=("P"),"false"),B2,P371),P371))</f>
        <v>#VALUE!</v>
      </c>
      <c r="Q371" t="e">
        <f ca="1">IF((A1)=(2),"",IF((368)=(Q3),IF(IF((INDEX(B1:XFD1,((A2)+(1))+(0)))=("store"),(INDEX(B1:XFD1,((A2)+(1))+(1)))=("Q"),"false"),B2,Q371),Q371))</f>
        <v>#VALUE!</v>
      </c>
      <c r="R371" t="e">
        <f ca="1">IF((A1)=(2),"",IF((368)=(R3),IF(IF((INDEX(B1:XFD1,((A2)+(1))+(0)))=("store"),(INDEX(B1:XFD1,((A2)+(1))+(1)))=("R"),"false"),B2,R371),R371))</f>
        <v>#VALUE!</v>
      </c>
      <c r="S371" t="e">
        <f ca="1">IF((A1)=(2),"",IF((368)=(S3),IF(IF((INDEX(B1:XFD1,((A2)+(1))+(0)))=("store"),(INDEX(B1:XFD1,((A2)+(1))+(1)))=("S"),"false"),B2,S371),S371))</f>
        <v>#VALUE!</v>
      </c>
      <c r="T371" t="e">
        <f ca="1">IF((A1)=(2),"",IF((368)=(T3),IF(IF((INDEX(B1:XFD1,((A2)+(1))+(0)))=("store"),(INDEX(B1:XFD1,((A2)+(1))+(1)))=("T"),"false"),B2,T371),T371))</f>
        <v>#VALUE!</v>
      </c>
      <c r="U371" t="e">
        <f ca="1">IF((A1)=(2),"",IF((368)=(U3),IF(IF((INDEX(B1:XFD1,((A2)+(1))+(0)))=("store"),(INDEX(B1:XFD1,((A2)+(1))+(1)))=("U"),"false"),B2,U371),U371))</f>
        <v>#VALUE!</v>
      </c>
      <c r="V371" t="e">
        <f ca="1">IF((A1)=(2),"",IF((368)=(V3),IF(IF((INDEX(B1:XFD1,((A2)+(1))+(0)))=("store"),(INDEX(B1:XFD1,((A2)+(1))+(1)))=("V"),"false"),B2,V371),V371))</f>
        <v>#VALUE!</v>
      </c>
      <c r="W371" t="e">
        <f ca="1">IF((A1)=(2),"",IF((368)=(W3),IF(IF((INDEX(B1:XFD1,((A2)+(1))+(0)))=("store"),(INDEX(B1:XFD1,((A2)+(1))+(1)))=("W"),"false"),B2,W371),W371))</f>
        <v>#VALUE!</v>
      </c>
      <c r="X371" t="e">
        <f ca="1">IF((A1)=(2),"",IF((368)=(X3),IF(IF((INDEX(B1:XFD1,((A2)+(1))+(0)))=("store"),(INDEX(B1:XFD1,((A2)+(1))+(1)))=("X"),"false"),B2,X371),X371))</f>
        <v>#VALUE!</v>
      </c>
      <c r="Y371" t="e">
        <f ca="1">IF((A1)=(2),"",IF((368)=(Y3),IF(IF((INDEX(B1:XFD1,((A2)+(1))+(0)))=("store"),(INDEX(B1:XFD1,((A2)+(1))+(1)))=("Y"),"false"),B2,Y371),Y371))</f>
        <v>#VALUE!</v>
      </c>
      <c r="Z371" t="e">
        <f ca="1">IF((A1)=(2),"",IF((368)=(Z3),IF(IF((INDEX(B1:XFD1,((A2)+(1))+(0)))=("store"),(INDEX(B1:XFD1,((A2)+(1))+(1)))=("Z"),"false"),B2,Z371),Z371))</f>
        <v>#VALUE!</v>
      </c>
      <c r="AA371" t="e">
        <f ca="1">IF((A1)=(2),"",IF((368)=(AA3),IF(IF((INDEX(B1:XFD1,((A2)+(1))+(0)))=("store"),(INDEX(B1:XFD1,((A2)+(1))+(1)))=("AA"),"false"),B2,AA371),AA371))</f>
        <v>#VALUE!</v>
      </c>
      <c r="AB371" t="e">
        <f ca="1">IF((A1)=(2),"",IF((368)=(AB3),IF(IF((INDEX(B1:XFD1,((A2)+(1))+(0)))=("store"),(INDEX(B1:XFD1,((A2)+(1))+(1)))=("AB"),"false"),B2,AB371),AB371))</f>
        <v>#VALUE!</v>
      </c>
      <c r="AC371" t="e">
        <f ca="1">IF((A1)=(2),"",IF((368)=(AC3),IF(IF((INDEX(B1:XFD1,((A2)+(1))+(0)))=("store"),(INDEX(B1:XFD1,((A2)+(1))+(1)))=("AC"),"false"),B2,AC371),AC371))</f>
        <v>#VALUE!</v>
      </c>
      <c r="AD371" t="e">
        <f ca="1">IF((A1)=(2),"",IF((368)=(AD3),IF(IF((INDEX(B1:XFD1,((A2)+(1))+(0)))=("store"),(INDEX(B1:XFD1,((A2)+(1))+(1)))=("AD"),"false"),B2,AD371),AD371))</f>
        <v>#VALUE!</v>
      </c>
    </row>
    <row r="372" spans="1:30" x14ac:dyDescent="0.25">
      <c r="A372" t="e">
        <f ca="1">IF((A1)=(2),"",IF((369)=(A3),IF(("call")=(INDEX(B1:XFD1,((A2)+(1))+(0))),(B2)*(2),IF(("goto")=(INDEX(B1:XFD1,((A2)+(1))+(0))),(INDEX(B1:XFD1,((A2)+(1))+(1)))*(2),IF(("gotoiftrue")=(INDEX(B1:XFD1,((A2)+(1))+(0))),IF(B2,(INDEX(B1:XFD1,((A2)+(1))+(1)))*(2),(A372)+(2)),(A372)+(2)))),A372))</f>
        <v>#VALUE!</v>
      </c>
      <c r="B372" t="e">
        <f ca="1">IF((A1)=(2),"",IF((369)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372)+(1)),IF(("add")=(INDEX(B1:XFD1,((A2)+(1))+(0))),(INDEX(B4:B404,(B3)+(1)))+(B372),IF(("equals")=(INDEX(B1:XFD1,((A2)+(1))+(0))),(INDEX(B4:B404,(B3)+(1)))=(B372),IF(("leq")=(INDEX(B1:XFD1,((A2)+(1))+(0))),(INDEX(B4:B404,(B3)+(1)))&lt;=(B372),IF(("greater")=(INDEX(B1:XFD1,((A2)+(1))+(0))),(INDEX(B4:B404,(B3)+(1)))&gt;(B372),IF(("mod")=(INDEX(B1:XFD1,((A2)+(1))+(0))),MOD(INDEX(B4:B404,(B3)+(1)),B372),B372))))))))),B372))</f>
        <v>#VALUE!</v>
      </c>
      <c r="C372" t="e">
        <f ca="1">IF((A1)=(2),1,IF(AND((INDEX(B1:XFD1,((A2)+(1))+(0)))=("writeheap"),(INDEX(B4:B404,(B3)+(1)))=(368)),INDEX(B4:B404,(B3)+(2)),IF((A1)=(2),"",IF((369)=(C3),C372,C372))))</f>
        <v>#VALUE!</v>
      </c>
      <c r="E372" t="e">
        <f ca="1">IF((A1)=(2),"",IF((369)=(E3),IF(("outputline")=(INDEX(B1:XFD1,((A2)+(1))+(0))),B2,E372),E372))</f>
        <v>#VALUE!</v>
      </c>
      <c r="F372" t="e">
        <f ca="1">IF((A1)=(2),"",IF((369)=(F3),IF(IF((INDEX(B1:XFD1,((A2)+(1))+(0)))=("store"),(INDEX(B1:XFD1,((A2)+(1))+(1)))=("F"),"false"),B2,F372),F372))</f>
        <v>#VALUE!</v>
      </c>
      <c r="G372" t="e">
        <f ca="1">IF((A1)=(2),"",IF((369)=(G3),IF(IF((INDEX(B1:XFD1,((A2)+(1))+(0)))=("store"),(INDEX(B1:XFD1,((A2)+(1))+(1)))=("G"),"false"),B2,G372),G372))</f>
        <v>#VALUE!</v>
      </c>
      <c r="H372" t="e">
        <f ca="1">IF((A1)=(2),"",IF((369)=(H3),IF(IF((INDEX(B1:XFD1,((A2)+(1))+(0)))=("store"),(INDEX(B1:XFD1,((A2)+(1))+(1)))=("H"),"false"),B2,H372),H372))</f>
        <v>#VALUE!</v>
      </c>
      <c r="I372" t="e">
        <f ca="1">IF((A1)=(2),"",IF((369)=(I3),IF(IF((INDEX(B1:XFD1,((A2)+(1))+(0)))=("store"),(INDEX(B1:XFD1,((A2)+(1))+(1)))=("I"),"false"),B2,I372),I372))</f>
        <v>#VALUE!</v>
      </c>
      <c r="J372" t="e">
        <f ca="1">IF((A1)=(2),"",IF((369)=(J3),IF(IF((INDEX(B1:XFD1,((A2)+(1))+(0)))=("store"),(INDEX(B1:XFD1,((A2)+(1))+(1)))=("J"),"false"),B2,J372),J372))</f>
        <v>#VALUE!</v>
      </c>
      <c r="K372" t="e">
        <f ca="1">IF((A1)=(2),"",IF((369)=(K3),IF(IF((INDEX(B1:XFD1,((A2)+(1))+(0)))=("store"),(INDEX(B1:XFD1,((A2)+(1))+(1)))=("K"),"false"),B2,K372),K372))</f>
        <v>#VALUE!</v>
      </c>
      <c r="L372" t="e">
        <f ca="1">IF((A1)=(2),"",IF((369)=(L3),IF(IF((INDEX(B1:XFD1,((A2)+(1))+(0)))=("store"),(INDEX(B1:XFD1,((A2)+(1))+(1)))=("L"),"false"),B2,L372),L372))</f>
        <v>#VALUE!</v>
      </c>
      <c r="M372" t="e">
        <f ca="1">IF((A1)=(2),"",IF((369)=(M3),IF(IF((INDEX(B1:XFD1,((A2)+(1))+(0)))=("store"),(INDEX(B1:XFD1,((A2)+(1))+(1)))=("M"),"false"),B2,M372),M372))</f>
        <v>#VALUE!</v>
      </c>
      <c r="N372" t="e">
        <f ca="1">IF((A1)=(2),"",IF((369)=(N3),IF(IF((INDEX(B1:XFD1,((A2)+(1))+(0)))=("store"),(INDEX(B1:XFD1,((A2)+(1))+(1)))=("N"),"false"),B2,N372),N372))</f>
        <v>#VALUE!</v>
      </c>
      <c r="O372" t="e">
        <f ca="1">IF((A1)=(2),"",IF((369)=(O3),IF(IF((INDEX(B1:XFD1,((A2)+(1))+(0)))=("store"),(INDEX(B1:XFD1,((A2)+(1))+(1)))=("O"),"false"),B2,O372),O372))</f>
        <v>#VALUE!</v>
      </c>
      <c r="P372" t="e">
        <f ca="1">IF((A1)=(2),"",IF((369)=(P3),IF(IF((INDEX(B1:XFD1,((A2)+(1))+(0)))=("store"),(INDEX(B1:XFD1,((A2)+(1))+(1)))=("P"),"false"),B2,P372),P372))</f>
        <v>#VALUE!</v>
      </c>
      <c r="Q372" t="e">
        <f ca="1">IF((A1)=(2),"",IF((369)=(Q3),IF(IF((INDEX(B1:XFD1,((A2)+(1))+(0)))=("store"),(INDEX(B1:XFD1,((A2)+(1))+(1)))=("Q"),"false"),B2,Q372),Q372))</f>
        <v>#VALUE!</v>
      </c>
      <c r="R372" t="e">
        <f ca="1">IF((A1)=(2),"",IF((369)=(R3),IF(IF((INDEX(B1:XFD1,((A2)+(1))+(0)))=("store"),(INDEX(B1:XFD1,((A2)+(1))+(1)))=("R"),"false"),B2,R372),R372))</f>
        <v>#VALUE!</v>
      </c>
      <c r="S372" t="e">
        <f ca="1">IF((A1)=(2),"",IF((369)=(S3),IF(IF((INDEX(B1:XFD1,((A2)+(1))+(0)))=("store"),(INDEX(B1:XFD1,((A2)+(1))+(1)))=("S"),"false"),B2,S372),S372))</f>
        <v>#VALUE!</v>
      </c>
      <c r="T372" t="e">
        <f ca="1">IF((A1)=(2),"",IF((369)=(T3),IF(IF((INDEX(B1:XFD1,((A2)+(1))+(0)))=("store"),(INDEX(B1:XFD1,((A2)+(1))+(1)))=("T"),"false"),B2,T372),T372))</f>
        <v>#VALUE!</v>
      </c>
      <c r="U372" t="e">
        <f ca="1">IF((A1)=(2),"",IF((369)=(U3),IF(IF((INDEX(B1:XFD1,((A2)+(1))+(0)))=("store"),(INDEX(B1:XFD1,((A2)+(1))+(1)))=("U"),"false"),B2,U372),U372))</f>
        <v>#VALUE!</v>
      </c>
      <c r="V372" t="e">
        <f ca="1">IF((A1)=(2),"",IF((369)=(V3),IF(IF((INDEX(B1:XFD1,((A2)+(1))+(0)))=("store"),(INDEX(B1:XFD1,((A2)+(1))+(1)))=("V"),"false"),B2,V372),V372))</f>
        <v>#VALUE!</v>
      </c>
      <c r="W372" t="e">
        <f ca="1">IF((A1)=(2),"",IF((369)=(W3),IF(IF((INDEX(B1:XFD1,((A2)+(1))+(0)))=("store"),(INDEX(B1:XFD1,((A2)+(1))+(1)))=("W"),"false"),B2,W372),W372))</f>
        <v>#VALUE!</v>
      </c>
      <c r="X372" t="e">
        <f ca="1">IF((A1)=(2),"",IF((369)=(X3),IF(IF((INDEX(B1:XFD1,((A2)+(1))+(0)))=("store"),(INDEX(B1:XFD1,((A2)+(1))+(1)))=("X"),"false"),B2,X372),X372))</f>
        <v>#VALUE!</v>
      </c>
      <c r="Y372" t="e">
        <f ca="1">IF((A1)=(2),"",IF((369)=(Y3),IF(IF((INDEX(B1:XFD1,((A2)+(1))+(0)))=("store"),(INDEX(B1:XFD1,((A2)+(1))+(1)))=("Y"),"false"),B2,Y372),Y372))</f>
        <v>#VALUE!</v>
      </c>
      <c r="Z372" t="e">
        <f ca="1">IF((A1)=(2),"",IF((369)=(Z3),IF(IF((INDEX(B1:XFD1,((A2)+(1))+(0)))=("store"),(INDEX(B1:XFD1,((A2)+(1))+(1)))=("Z"),"false"),B2,Z372),Z372))</f>
        <v>#VALUE!</v>
      </c>
      <c r="AA372" t="e">
        <f ca="1">IF((A1)=(2),"",IF((369)=(AA3),IF(IF((INDEX(B1:XFD1,((A2)+(1))+(0)))=("store"),(INDEX(B1:XFD1,((A2)+(1))+(1)))=("AA"),"false"),B2,AA372),AA372))</f>
        <v>#VALUE!</v>
      </c>
      <c r="AB372" t="e">
        <f ca="1">IF((A1)=(2),"",IF((369)=(AB3),IF(IF((INDEX(B1:XFD1,((A2)+(1))+(0)))=("store"),(INDEX(B1:XFD1,((A2)+(1))+(1)))=("AB"),"false"),B2,AB372),AB372))</f>
        <v>#VALUE!</v>
      </c>
      <c r="AC372" t="e">
        <f ca="1">IF((A1)=(2),"",IF((369)=(AC3),IF(IF((INDEX(B1:XFD1,((A2)+(1))+(0)))=("store"),(INDEX(B1:XFD1,((A2)+(1))+(1)))=("AC"),"false"),B2,AC372),AC372))</f>
        <v>#VALUE!</v>
      </c>
      <c r="AD372" t="e">
        <f ca="1">IF((A1)=(2),"",IF((369)=(AD3),IF(IF((INDEX(B1:XFD1,((A2)+(1))+(0)))=("store"),(INDEX(B1:XFD1,((A2)+(1))+(1)))=("AD"),"false"),B2,AD372),AD372))</f>
        <v>#VALUE!</v>
      </c>
    </row>
    <row r="373" spans="1:30" x14ac:dyDescent="0.25">
      <c r="A373" t="e">
        <f ca="1">IF((A1)=(2),"",IF((370)=(A3),IF(("call")=(INDEX(B1:XFD1,((A2)+(1))+(0))),(B2)*(2),IF(("goto")=(INDEX(B1:XFD1,((A2)+(1))+(0))),(INDEX(B1:XFD1,((A2)+(1))+(1)))*(2),IF(("gotoiftrue")=(INDEX(B1:XFD1,((A2)+(1))+(0))),IF(B2,(INDEX(B1:XFD1,((A2)+(1))+(1)))*(2),(A373)+(2)),(A373)+(2)))),A373))</f>
        <v>#VALUE!</v>
      </c>
      <c r="B373" t="e">
        <f ca="1">IF((A1)=(2),"",IF((370)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373)+(1)),IF(("add")=(INDEX(B1:XFD1,((A2)+(1))+(0))),(INDEX(B4:B404,(B3)+(1)))+(B373),IF(("equals")=(INDEX(B1:XFD1,((A2)+(1))+(0))),(INDEX(B4:B404,(B3)+(1)))=(B373),IF(("leq")=(INDEX(B1:XFD1,((A2)+(1))+(0))),(INDEX(B4:B404,(B3)+(1)))&lt;=(B373),IF(("greater")=(INDEX(B1:XFD1,((A2)+(1))+(0))),(INDEX(B4:B404,(B3)+(1)))&gt;(B373),IF(("mod")=(INDEX(B1:XFD1,((A2)+(1))+(0))),MOD(INDEX(B4:B404,(B3)+(1)),B373),B373))))))))),B373))</f>
        <v>#VALUE!</v>
      </c>
      <c r="C373" t="e">
        <f ca="1">IF((A1)=(2),1,IF(AND((INDEX(B1:XFD1,((A2)+(1))+(0)))=("writeheap"),(INDEX(B4:B404,(B3)+(1)))=(369)),INDEX(B4:B404,(B3)+(2)),IF((A1)=(2),"",IF((370)=(C3),C373,C373))))</f>
        <v>#VALUE!</v>
      </c>
      <c r="E373" t="e">
        <f ca="1">IF((A1)=(2),"",IF((370)=(E3),IF(("outputline")=(INDEX(B1:XFD1,((A2)+(1))+(0))),B2,E373),E373))</f>
        <v>#VALUE!</v>
      </c>
      <c r="F373" t="e">
        <f ca="1">IF((A1)=(2),"",IF((370)=(F3),IF(IF((INDEX(B1:XFD1,((A2)+(1))+(0)))=("store"),(INDEX(B1:XFD1,((A2)+(1))+(1)))=("F"),"false"),B2,F373),F373))</f>
        <v>#VALUE!</v>
      </c>
      <c r="G373" t="e">
        <f ca="1">IF((A1)=(2),"",IF((370)=(G3),IF(IF((INDEX(B1:XFD1,((A2)+(1))+(0)))=("store"),(INDEX(B1:XFD1,((A2)+(1))+(1)))=("G"),"false"),B2,G373),G373))</f>
        <v>#VALUE!</v>
      </c>
      <c r="H373" t="e">
        <f ca="1">IF((A1)=(2),"",IF((370)=(H3),IF(IF((INDEX(B1:XFD1,((A2)+(1))+(0)))=("store"),(INDEX(B1:XFD1,((A2)+(1))+(1)))=("H"),"false"),B2,H373),H373))</f>
        <v>#VALUE!</v>
      </c>
      <c r="I373" t="e">
        <f ca="1">IF((A1)=(2),"",IF((370)=(I3),IF(IF((INDEX(B1:XFD1,((A2)+(1))+(0)))=("store"),(INDEX(B1:XFD1,((A2)+(1))+(1)))=("I"),"false"),B2,I373),I373))</f>
        <v>#VALUE!</v>
      </c>
      <c r="J373" t="e">
        <f ca="1">IF((A1)=(2),"",IF((370)=(J3),IF(IF((INDEX(B1:XFD1,((A2)+(1))+(0)))=("store"),(INDEX(B1:XFD1,((A2)+(1))+(1)))=("J"),"false"),B2,J373),J373))</f>
        <v>#VALUE!</v>
      </c>
      <c r="K373" t="e">
        <f ca="1">IF((A1)=(2),"",IF((370)=(K3),IF(IF((INDEX(B1:XFD1,((A2)+(1))+(0)))=("store"),(INDEX(B1:XFD1,((A2)+(1))+(1)))=("K"),"false"),B2,K373),K373))</f>
        <v>#VALUE!</v>
      </c>
      <c r="L373" t="e">
        <f ca="1">IF((A1)=(2),"",IF((370)=(L3),IF(IF((INDEX(B1:XFD1,((A2)+(1))+(0)))=("store"),(INDEX(B1:XFD1,((A2)+(1))+(1)))=("L"),"false"),B2,L373),L373))</f>
        <v>#VALUE!</v>
      </c>
      <c r="M373" t="e">
        <f ca="1">IF((A1)=(2),"",IF((370)=(M3),IF(IF((INDEX(B1:XFD1,((A2)+(1))+(0)))=("store"),(INDEX(B1:XFD1,((A2)+(1))+(1)))=("M"),"false"),B2,M373),M373))</f>
        <v>#VALUE!</v>
      </c>
      <c r="N373" t="e">
        <f ca="1">IF((A1)=(2),"",IF((370)=(N3),IF(IF((INDEX(B1:XFD1,((A2)+(1))+(0)))=("store"),(INDEX(B1:XFD1,((A2)+(1))+(1)))=("N"),"false"),B2,N373),N373))</f>
        <v>#VALUE!</v>
      </c>
      <c r="O373" t="e">
        <f ca="1">IF((A1)=(2),"",IF((370)=(O3),IF(IF((INDEX(B1:XFD1,((A2)+(1))+(0)))=("store"),(INDEX(B1:XFD1,((A2)+(1))+(1)))=("O"),"false"),B2,O373),O373))</f>
        <v>#VALUE!</v>
      </c>
      <c r="P373" t="e">
        <f ca="1">IF((A1)=(2),"",IF((370)=(P3),IF(IF((INDEX(B1:XFD1,((A2)+(1))+(0)))=("store"),(INDEX(B1:XFD1,((A2)+(1))+(1)))=("P"),"false"),B2,P373),P373))</f>
        <v>#VALUE!</v>
      </c>
      <c r="Q373" t="e">
        <f ca="1">IF((A1)=(2),"",IF((370)=(Q3),IF(IF((INDEX(B1:XFD1,((A2)+(1))+(0)))=("store"),(INDEX(B1:XFD1,((A2)+(1))+(1)))=("Q"),"false"),B2,Q373),Q373))</f>
        <v>#VALUE!</v>
      </c>
      <c r="R373" t="e">
        <f ca="1">IF((A1)=(2),"",IF((370)=(R3),IF(IF((INDEX(B1:XFD1,((A2)+(1))+(0)))=("store"),(INDEX(B1:XFD1,((A2)+(1))+(1)))=("R"),"false"),B2,R373),R373))</f>
        <v>#VALUE!</v>
      </c>
      <c r="S373" t="e">
        <f ca="1">IF((A1)=(2),"",IF((370)=(S3),IF(IF((INDEX(B1:XFD1,((A2)+(1))+(0)))=("store"),(INDEX(B1:XFD1,((A2)+(1))+(1)))=("S"),"false"),B2,S373),S373))</f>
        <v>#VALUE!</v>
      </c>
      <c r="T373" t="e">
        <f ca="1">IF((A1)=(2),"",IF((370)=(T3),IF(IF((INDEX(B1:XFD1,((A2)+(1))+(0)))=("store"),(INDEX(B1:XFD1,((A2)+(1))+(1)))=("T"),"false"),B2,T373),T373))</f>
        <v>#VALUE!</v>
      </c>
      <c r="U373" t="e">
        <f ca="1">IF((A1)=(2),"",IF((370)=(U3),IF(IF((INDEX(B1:XFD1,((A2)+(1))+(0)))=("store"),(INDEX(B1:XFD1,((A2)+(1))+(1)))=("U"),"false"),B2,U373),U373))</f>
        <v>#VALUE!</v>
      </c>
      <c r="V373" t="e">
        <f ca="1">IF((A1)=(2),"",IF((370)=(V3),IF(IF((INDEX(B1:XFD1,((A2)+(1))+(0)))=("store"),(INDEX(B1:XFD1,((A2)+(1))+(1)))=("V"),"false"),B2,V373),V373))</f>
        <v>#VALUE!</v>
      </c>
      <c r="W373" t="e">
        <f ca="1">IF((A1)=(2),"",IF((370)=(W3),IF(IF((INDEX(B1:XFD1,((A2)+(1))+(0)))=("store"),(INDEX(B1:XFD1,((A2)+(1))+(1)))=("W"),"false"),B2,W373),W373))</f>
        <v>#VALUE!</v>
      </c>
      <c r="X373" t="e">
        <f ca="1">IF((A1)=(2),"",IF((370)=(X3),IF(IF((INDEX(B1:XFD1,((A2)+(1))+(0)))=("store"),(INDEX(B1:XFD1,((A2)+(1))+(1)))=("X"),"false"),B2,X373),X373))</f>
        <v>#VALUE!</v>
      </c>
      <c r="Y373" t="e">
        <f ca="1">IF((A1)=(2),"",IF((370)=(Y3),IF(IF((INDEX(B1:XFD1,((A2)+(1))+(0)))=("store"),(INDEX(B1:XFD1,((A2)+(1))+(1)))=("Y"),"false"),B2,Y373),Y373))</f>
        <v>#VALUE!</v>
      </c>
      <c r="Z373" t="e">
        <f ca="1">IF((A1)=(2),"",IF((370)=(Z3),IF(IF((INDEX(B1:XFD1,((A2)+(1))+(0)))=("store"),(INDEX(B1:XFD1,((A2)+(1))+(1)))=("Z"),"false"),B2,Z373),Z373))</f>
        <v>#VALUE!</v>
      </c>
      <c r="AA373" t="e">
        <f ca="1">IF((A1)=(2),"",IF((370)=(AA3),IF(IF((INDEX(B1:XFD1,((A2)+(1))+(0)))=("store"),(INDEX(B1:XFD1,((A2)+(1))+(1)))=("AA"),"false"),B2,AA373),AA373))</f>
        <v>#VALUE!</v>
      </c>
      <c r="AB373" t="e">
        <f ca="1">IF((A1)=(2),"",IF((370)=(AB3),IF(IF((INDEX(B1:XFD1,((A2)+(1))+(0)))=("store"),(INDEX(B1:XFD1,((A2)+(1))+(1)))=("AB"),"false"),B2,AB373),AB373))</f>
        <v>#VALUE!</v>
      </c>
      <c r="AC373" t="e">
        <f ca="1">IF((A1)=(2),"",IF((370)=(AC3),IF(IF((INDEX(B1:XFD1,((A2)+(1))+(0)))=("store"),(INDEX(B1:XFD1,((A2)+(1))+(1)))=("AC"),"false"),B2,AC373),AC373))</f>
        <v>#VALUE!</v>
      </c>
      <c r="AD373" t="e">
        <f ca="1">IF((A1)=(2),"",IF((370)=(AD3),IF(IF((INDEX(B1:XFD1,((A2)+(1))+(0)))=("store"),(INDEX(B1:XFD1,((A2)+(1))+(1)))=("AD"),"false"),B2,AD373),AD373))</f>
        <v>#VALUE!</v>
      </c>
    </row>
    <row r="374" spans="1:30" x14ac:dyDescent="0.25">
      <c r="A374" t="e">
        <f ca="1">IF((A1)=(2),"",IF((371)=(A3),IF(("call")=(INDEX(B1:XFD1,((A2)+(1))+(0))),(B2)*(2),IF(("goto")=(INDEX(B1:XFD1,((A2)+(1))+(0))),(INDEX(B1:XFD1,((A2)+(1))+(1)))*(2),IF(("gotoiftrue")=(INDEX(B1:XFD1,((A2)+(1))+(0))),IF(B2,(INDEX(B1:XFD1,((A2)+(1))+(1)))*(2),(A374)+(2)),(A374)+(2)))),A374))</f>
        <v>#VALUE!</v>
      </c>
      <c r="B374" t="e">
        <f ca="1">IF((A1)=(2),"",IF((371)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374)+(1)),IF(("add")=(INDEX(B1:XFD1,((A2)+(1))+(0))),(INDEX(B4:B404,(B3)+(1)))+(B374),IF(("equals")=(INDEX(B1:XFD1,((A2)+(1))+(0))),(INDEX(B4:B404,(B3)+(1)))=(B374),IF(("leq")=(INDEX(B1:XFD1,((A2)+(1))+(0))),(INDEX(B4:B404,(B3)+(1)))&lt;=(B374),IF(("greater")=(INDEX(B1:XFD1,((A2)+(1))+(0))),(INDEX(B4:B404,(B3)+(1)))&gt;(B374),IF(("mod")=(INDEX(B1:XFD1,((A2)+(1))+(0))),MOD(INDEX(B4:B404,(B3)+(1)),B374),B374))))))))),B374))</f>
        <v>#VALUE!</v>
      </c>
      <c r="C374" t="e">
        <f ca="1">IF((A1)=(2),1,IF(AND((INDEX(B1:XFD1,((A2)+(1))+(0)))=("writeheap"),(INDEX(B4:B404,(B3)+(1)))=(370)),INDEX(B4:B404,(B3)+(2)),IF((A1)=(2),"",IF((371)=(C3),C374,C374))))</f>
        <v>#VALUE!</v>
      </c>
      <c r="E374" t="e">
        <f ca="1">IF((A1)=(2),"",IF((371)=(E3),IF(("outputline")=(INDEX(B1:XFD1,((A2)+(1))+(0))),B2,E374),E374))</f>
        <v>#VALUE!</v>
      </c>
      <c r="F374" t="e">
        <f ca="1">IF((A1)=(2),"",IF((371)=(F3),IF(IF((INDEX(B1:XFD1,((A2)+(1))+(0)))=("store"),(INDEX(B1:XFD1,((A2)+(1))+(1)))=("F"),"false"),B2,F374),F374))</f>
        <v>#VALUE!</v>
      </c>
      <c r="G374" t="e">
        <f ca="1">IF((A1)=(2),"",IF((371)=(G3),IF(IF((INDEX(B1:XFD1,((A2)+(1))+(0)))=("store"),(INDEX(B1:XFD1,((A2)+(1))+(1)))=("G"),"false"),B2,G374),G374))</f>
        <v>#VALUE!</v>
      </c>
      <c r="H374" t="e">
        <f ca="1">IF((A1)=(2),"",IF((371)=(H3),IF(IF((INDEX(B1:XFD1,((A2)+(1))+(0)))=("store"),(INDEX(B1:XFD1,((A2)+(1))+(1)))=("H"),"false"),B2,H374),H374))</f>
        <v>#VALUE!</v>
      </c>
      <c r="I374" t="e">
        <f ca="1">IF((A1)=(2),"",IF((371)=(I3),IF(IF((INDEX(B1:XFD1,((A2)+(1))+(0)))=("store"),(INDEX(B1:XFD1,((A2)+(1))+(1)))=("I"),"false"),B2,I374),I374))</f>
        <v>#VALUE!</v>
      </c>
      <c r="J374" t="e">
        <f ca="1">IF((A1)=(2),"",IF((371)=(J3),IF(IF((INDEX(B1:XFD1,((A2)+(1))+(0)))=("store"),(INDEX(B1:XFD1,((A2)+(1))+(1)))=("J"),"false"),B2,J374),J374))</f>
        <v>#VALUE!</v>
      </c>
      <c r="K374" t="e">
        <f ca="1">IF((A1)=(2),"",IF((371)=(K3),IF(IF((INDEX(B1:XFD1,((A2)+(1))+(0)))=("store"),(INDEX(B1:XFD1,((A2)+(1))+(1)))=("K"),"false"),B2,K374),K374))</f>
        <v>#VALUE!</v>
      </c>
      <c r="L374" t="e">
        <f ca="1">IF((A1)=(2),"",IF((371)=(L3),IF(IF((INDEX(B1:XFD1,((A2)+(1))+(0)))=("store"),(INDEX(B1:XFD1,((A2)+(1))+(1)))=("L"),"false"),B2,L374),L374))</f>
        <v>#VALUE!</v>
      </c>
      <c r="M374" t="e">
        <f ca="1">IF((A1)=(2),"",IF((371)=(M3),IF(IF((INDEX(B1:XFD1,((A2)+(1))+(0)))=("store"),(INDEX(B1:XFD1,((A2)+(1))+(1)))=("M"),"false"),B2,M374),M374))</f>
        <v>#VALUE!</v>
      </c>
      <c r="N374" t="e">
        <f ca="1">IF((A1)=(2),"",IF((371)=(N3),IF(IF((INDEX(B1:XFD1,((A2)+(1))+(0)))=("store"),(INDEX(B1:XFD1,((A2)+(1))+(1)))=("N"),"false"),B2,N374),N374))</f>
        <v>#VALUE!</v>
      </c>
      <c r="O374" t="e">
        <f ca="1">IF((A1)=(2),"",IF((371)=(O3),IF(IF((INDEX(B1:XFD1,((A2)+(1))+(0)))=("store"),(INDEX(B1:XFD1,((A2)+(1))+(1)))=("O"),"false"),B2,O374),O374))</f>
        <v>#VALUE!</v>
      </c>
      <c r="P374" t="e">
        <f ca="1">IF((A1)=(2),"",IF((371)=(P3),IF(IF((INDEX(B1:XFD1,((A2)+(1))+(0)))=("store"),(INDEX(B1:XFD1,((A2)+(1))+(1)))=("P"),"false"),B2,P374),P374))</f>
        <v>#VALUE!</v>
      </c>
      <c r="Q374" t="e">
        <f ca="1">IF((A1)=(2),"",IF((371)=(Q3),IF(IF((INDEX(B1:XFD1,((A2)+(1))+(0)))=("store"),(INDEX(B1:XFD1,((A2)+(1))+(1)))=("Q"),"false"),B2,Q374),Q374))</f>
        <v>#VALUE!</v>
      </c>
      <c r="R374" t="e">
        <f ca="1">IF((A1)=(2),"",IF((371)=(R3),IF(IF((INDEX(B1:XFD1,((A2)+(1))+(0)))=("store"),(INDEX(B1:XFD1,((A2)+(1))+(1)))=("R"),"false"),B2,R374),R374))</f>
        <v>#VALUE!</v>
      </c>
      <c r="S374" t="e">
        <f ca="1">IF((A1)=(2),"",IF((371)=(S3),IF(IF((INDEX(B1:XFD1,((A2)+(1))+(0)))=("store"),(INDEX(B1:XFD1,((A2)+(1))+(1)))=("S"),"false"),B2,S374),S374))</f>
        <v>#VALUE!</v>
      </c>
      <c r="T374" t="e">
        <f ca="1">IF((A1)=(2),"",IF((371)=(T3),IF(IF((INDEX(B1:XFD1,((A2)+(1))+(0)))=("store"),(INDEX(B1:XFD1,((A2)+(1))+(1)))=("T"),"false"),B2,T374),T374))</f>
        <v>#VALUE!</v>
      </c>
      <c r="U374" t="e">
        <f ca="1">IF((A1)=(2),"",IF((371)=(U3),IF(IF((INDEX(B1:XFD1,((A2)+(1))+(0)))=("store"),(INDEX(B1:XFD1,((A2)+(1))+(1)))=("U"),"false"),B2,U374),U374))</f>
        <v>#VALUE!</v>
      </c>
      <c r="V374" t="e">
        <f ca="1">IF((A1)=(2),"",IF((371)=(V3),IF(IF((INDEX(B1:XFD1,((A2)+(1))+(0)))=("store"),(INDEX(B1:XFD1,((A2)+(1))+(1)))=("V"),"false"),B2,V374),V374))</f>
        <v>#VALUE!</v>
      </c>
      <c r="W374" t="e">
        <f ca="1">IF((A1)=(2),"",IF((371)=(W3),IF(IF((INDEX(B1:XFD1,((A2)+(1))+(0)))=("store"),(INDEX(B1:XFD1,((A2)+(1))+(1)))=("W"),"false"),B2,W374),W374))</f>
        <v>#VALUE!</v>
      </c>
      <c r="X374" t="e">
        <f ca="1">IF((A1)=(2),"",IF((371)=(X3),IF(IF((INDEX(B1:XFD1,((A2)+(1))+(0)))=("store"),(INDEX(B1:XFD1,((A2)+(1))+(1)))=("X"),"false"),B2,X374),X374))</f>
        <v>#VALUE!</v>
      </c>
      <c r="Y374" t="e">
        <f ca="1">IF((A1)=(2),"",IF((371)=(Y3),IF(IF((INDEX(B1:XFD1,((A2)+(1))+(0)))=("store"),(INDEX(B1:XFD1,((A2)+(1))+(1)))=("Y"),"false"),B2,Y374),Y374))</f>
        <v>#VALUE!</v>
      </c>
      <c r="Z374" t="e">
        <f ca="1">IF((A1)=(2),"",IF((371)=(Z3),IF(IF((INDEX(B1:XFD1,((A2)+(1))+(0)))=("store"),(INDEX(B1:XFD1,((A2)+(1))+(1)))=("Z"),"false"),B2,Z374),Z374))</f>
        <v>#VALUE!</v>
      </c>
      <c r="AA374" t="e">
        <f ca="1">IF((A1)=(2),"",IF((371)=(AA3),IF(IF((INDEX(B1:XFD1,((A2)+(1))+(0)))=("store"),(INDEX(B1:XFD1,((A2)+(1))+(1)))=("AA"),"false"),B2,AA374),AA374))</f>
        <v>#VALUE!</v>
      </c>
      <c r="AB374" t="e">
        <f ca="1">IF((A1)=(2),"",IF((371)=(AB3),IF(IF((INDEX(B1:XFD1,((A2)+(1))+(0)))=("store"),(INDEX(B1:XFD1,((A2)+(1))+(1)))=("AB"),"false"),B2,AB374),AB374))</f>
        <v>#VALUE!</v>
      </c>
      <c r="AC374" t="e">
        <f ca="1">IF((A1)=(2),"",IF((371)=(AC3),IF(IF((INDEX(B1:XFD1,((A2)+(1))+(0)))=("store"),(INDEX(B1:XFD1,((A2)+(1))+(1)))=("AC"),"false"),B2,AC374),AC374))</f>
        <v>#VALUE!</v>
      </c>
      <c r="AD374" t="e">
        <f ca="1">IF((A1)=(2),"",IF((371)=(AD3),IF(IF((INDEX(B1:XFD1,((A2)+(1))+(0)))=("store"),(INDEX(B1:XFD1,((A2)+(1))+(1)))=("AD"),"false"),B2,AD374),AD374))</f>
        <v>#VALUE!</v>
      </c>
    </row>
    <row r="375" spans="1:30" x14ac:dyDescent="0.25">
      <c r="A375" t="e">
        <f ca="1">IF((A1)=(2),"",IF((372)=(A3),IF(("call")=(INDEX(B1:XFD1,((A2)+(1))+(0))),(B2)*(2),IF(("goto")=(INDEX(B1:XFD1,((A2)+(1))+(0))),(INDEX(B1:XFD1,((A2)+(1))+(1)))*(2),IF(("gotoiftrue")=(INDEX(B1:XFD1,((A2)+(1))+(0))),IF(B2,(INDEX(B1:XFD1,((A2)+(1))+(1)))*(2),(A375)+(2)),(A375)+(2)))),A375))</f>
        <v>#VALUE!</v>
      </c>
      <c r="B375" t="e">
        <f ca="1">IF((A1)=(2),"",IF((372)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375)+(1)),IF(("add")=(INDEX(B1:XFD1,((A2)+(1))+(0))),(INDEX(B4:B404,(B3)+(1)))+(B375),IF(("equals")=(INDEX(B1:XFD1,((A2)+(1))+(0))),(INDEX(B4:B404,(B3)+(1)))=(B375),IF(("leq")=(INDEX(B1:XFD1,((A2)+(1))+(0))),(INDEX(B4:B404,(B3)+(1)))&lt;=(B375),IF(("greater")=(INDEX(B1:XFD1,((A2)+(1))+(0))),(INDEX(B4:B404,(B3)+(1)))&gt;(B375),IF(("mod")=(INDEX(B1:XFD1,((A2)+(1))+(0))),MOD(INDEX(B4:B404,(B3)+(1)),B375),B375))))))))),B375))</f>
        <v>#VALUE!</v>
      </c>
      <c r="C375" t="e">
        <f ca="1">IF((A1)=(2),1,IF(AND((INDEX(B1:XFD1,((A2)+(1))+(0)))=("writeheap"),(INDEX(B4:B404,(B3)+(1)))=(371)),INDEX(B4:B404,(B3)+(2)),IF((A1)=(2),"",IF((372)=(C3),C375,C375))))</f>
        <v>#VALUE!</v>
      </c>
      <c r="E375" t="e">
        <f ca="1">IF((A1)=(2),"",IF((372)=(E3),IF(("outputline")=(INDEX(B1:XFD1,((A2)+(1))+(0))),B2,E375),E375))</f>
        <v>#VALUE!</v>
      </c>
      <c r="F375" t="e">
        <f ca="1">IF((A1)=(2),"",IF((372)=(F3),IF(IF((INDEX(B1:XFD1,((A2)+(1))+(0)))=("store"),(INDEX(B1:XFD1,((A2)+(1))+(1)))=("F"),"false"),B2,F375),F375))</f>
        <v>#VALUE!</v>
      </c>
      <c r="G375" t="e">
        <f ca="1">IF((A1)=(2),"",IF((372)=(G3),IF(IF((INDEX(B1:XFD1,((A2)+(1))+(0)))=("store"),(INDEX(B1:XFD1,((A2)+(1))+(1)))=("G"),"false"),B2,G375),G375))</f>
        <v>#VALUE!</v>
      </c>
      <c r="H375" t="e">
        <f ca="1">IF((A1)=(2),"",IF((372)=(H3),IF(IF((INDEX(B1:XFD1,((A2)+(1))+(0)))=("store"),(INDEX(B1:XFD1,((A2)+(1))+(1)))=("H"),"false"),B2,H375),H375))</f>
        <v>#VALUE!</v>
      </c>
      <c r="I375" t="e">
        <f ca="1">IF((A1)=(2),"",IF((372)=(I3),IF(IF((INDEX(B1:XFD1,((A2)+(1))+(0)))=("store"),(INDEX(B1:XFD1,((A2)+(1))+(1)))=("I"),"false"),B2,I375),I375))</f>
        <v>#VALUE!</v>
      </c>
      <c r="J375" t="e">
        <f ca="1">IF((A1)=(2),"",IF((372)=(J3),IF(IF((INDEX(B1:XFD1,((A2)+(1))+(0)))=("store"),(INDEX(B1:XFD1,((A2)+(1))+(1)))=("J"),"false"),B2,J375),J375))</f>
        <v>#VALUE!</v>
      </c>
      <c r="K375" t="e">
        <f ca="1">IF((A1)=(2),"",IF((372)=(K3),IF(IF((INDEX(B1:XFD1,((A2)+(1))+(0)))=("store"),(INDEX(B1:XFD1,((A2)+(1))+(1)))=("K"),"false"),B2,K375),K375))</f>
        <v>#VALUE!</v>
      </c>
      <c r="L375" t="e">
        <f ca="1">IF((A1)=(2),"",IF((372)=(L3),IF(IF((INDEX(B1:XFD1,((A2)+(1))+(0)))=("store"),(INDEX(B1:XFD1,((A2)+(1))+(1)))=("L"),"false"),B2,L375),L375))</f>
        <v>#VALUE!</v>
      </c>
      <c r="M375" t="e">
        <f ca="1">IF((A1)=(2),"",IF((372)=(M3),IF(IF((INDEX(B1:XFD1,((A2)+(1))+(0)))=("store"),(INDEX(B1:XFD1,((A2)+(1))+(1)))=("M"),"false"),B2,M375),M375))</f>
        <v>#VALUE!</v>
      </c>
      <c r="N375" t="e">
        <f ca="1">IF((A1)=(2),"",IF((372)=(N3),IF(IF((INDEX(B1:XFD1,((A2)+(1))+(0)))=("store"),(INDEX(B1:XFD1,((A2)+(1))+(1)))=("N"),"false"),B2,N375),N375))</f>
        <v>#VALUE!</v>
      </c>
      <c r="O375" t="e">
        <f ca="1">IF((A1)=(2),"",IF((372)=(O3),IF(IF((INDEX(B1:XFD1,((A2)+(1))+(0)))=("store"),(INDEX(B1:XFD1,((A2)+(1))+(1)))=("O"),"false"),B2,O375),O375))</f>
        <v>#VALUE!</v>
      </c>
      <c r="P375" t="e">
        <f ca="1">IF((A1)=(2),"",IF((372)=(P3),IF(IF((INDEX(B1:XFD1,((A2)+(1))+(0)))=("store"),(INDEX(B1:XFD1,((A2)+(1))+(1)))=("P"),"false"),B2,P375),P375))</f>
        <v>#VALUE!</v>
      </c>
      <c r="Q375" t="e">
        <f ca="1">IF((A1)=(2),"",IF((372)=(Q3),IF(IF((INDEX(B1:XFD1,((A2)+(1))+(0)))=("store"),(INDEX(B1:XFD1,((A2)+(1))+(1)))=("Q"),"false"),B2,Q375),Q375))</f>
        <v>#VALUE!</v>
      </c>
      <c r="R375" t="e">
        <f ca="1">IF((A1)=(2),"",IF((372)=(R3),IF(IF((INDEX(B1:XFD1,((A2)+(1))+(0)))=("store"),(INDEX(B1:XFD1,((A2)+(1))+(1)))=("R"),"false"),B2,R375),R375))</f>
        <v>#VALUE!</v>
      </c>
      <c r="S375" t="e">
        <f ca="1">IF((A1)=(2),"",IF((372)=(S3),IF(IF((INDEX(B1:XFD1,((A2)+(1))+(0)))=("store"),(INDEX(B1:XFD1,((A2)+(1))+(1)))=("S"),"false"),B2,S375),S375))</f>
        <v>#VALUE!</v>
      </c>
      <c r="T375" t="e">
        <f ca="1">IF((A1)=(2),"",IF((372)=(T3),IF(IF((INDEX(B1:XFD1,((A2)+(1))+(0)))=("store"),(INDEX(B1:XFD1,((A2)+(1))+(1)))=("T"),"false"),B2,T375),T375))</f>
        <v>#VALUE!</v>
      </c>
      <c r="U375" t="e">
        <f ca="1">IF((A1)=(2),"",IF((372)=(U3),IF(IF((INDEX(B1:XFD1,((A2)+(1))+(0)))=("store"),(INDEX(B1:XFD1,((A2)+(1))+(1)))=("U"),"false"),B2,U375),U375))</f>
        <v>#VALUE!</v>
      </c>
      <c r="V375" t="e">
        <f ca="1">IF((A1)=(2),"",IF((372)=(V3),IF(IF((INDEX(B1:XFD1,((A2)+(1))+(0)))=("store"),(INDEX(B1:XFD1,((A2)+(1))+(1)))=("V"),"false"),B2,V375),V375))</f>
        <v>#VALUE!</v>
      </c>
      <c r="W375" t="e">
        <f ca="1">IF((A1)=(2),"",IF((372)=(W3),IF(IF((INDEX(B1:XFD1,((A2)+(1))+(0)))=("store"),(INDEX(B1:XFD1,((A2)+(1))+(1)))=("W"),"false"),B2,W375),W375))</f>
        <v>#VALUE!</v>
      </c>
      <c r="X375" t="e">
        <f ca="1">IF((A1)=(2),"",IF((372)=(X3),IF(IF((INDEX(B1:XFD1,((A2)+(1))+(0)))=("store"),(INDEX(B1:XFD1,((A2)+(1))+(1)))=("X"),"false"),B2,X375),X375))</f>
        <v>#VALUE!</v>
      </c>
      <c r="Y375" t="e">
        <f ca="1">IF((A1)=(2),"",IF((372)=(Y3),IF(IF((INDEX(B1:XFD1,((A2)+(1))+(0)))=("store"),(INDEX(B1:XFD1,((A2)+(1))+(1)))=("Y"),"false"),B2,Y375),Y375))</f>
        <v>#VALUE!</v>
      </c>
      <c r="Z375" t="e">
        <f ca="1">IF((A1)=(2),"",IF((372)=(Z3),IF(IF((INDEX(B1:XFD1,((A2)+(1))+(0)))=("store"),(INDEX(B1:XFD1,((A2)+(1))+(1)))=("Z"),"false"),B2,Z375),Z375))</f>
        <v>#VALUE!</v>
      </c>
      <c r="AA375" t="e">
        <f ca="1">IF((A1)=(2),"",IF((372)=(AA3),IF(IF((INDEX(B1:XFD1,((A2)+(1))+(0)))=("store"),(INDEX(B1:XFD1,((A2)+(1))+(1)))=("AA"),"false"),B2,AA375),AA375))</f>
        <v>#VALUE!</v>
      </c>
      <c r="AB375" t="e">
        <f ca="1">IF((A1)=(2),"",IF((372)=(AB3),IF(IF((INDEX(B1:XFD1,((A2)+(1))+(0)))=("store"),(INDEX(B1:XFD1,((A2)+(1))+(1)))=("AB"),"false"),B2,AB375),AB375))</f>
        <v>#VALUE!</v>
      </c>
      <c r="AC375" t="e">
        <f ca="1">IF((A1)=(2),"",IF((372)=(AC3),IF(IF((INDEX(B1:XFD1,((A2)+(1))+(0)))=("store"),(INDEX(B1:XFD1,((A2)+(1))+(1)))=("AC"),"false"),B2,AC375),AC375))</f>
        <v>#VALUE!</v>
      </c>
      <c r="AD375" t="e">
        <f ca="1">IF((A1)=(2),"",IF((372)=(AD3),IF(IF((INDEX(B1:XFD1,((A2)+(1))+(0)))=("store"),(INDEX(B1:XFD1,((A2)+(1))+(1)))=("AD"),"false"),B2,AD375),AD375))</f>
        <v>#VALUE!</v>
      </c>
    </row>
    <row r="376" spans="1:30" x14ac:dyDescent="0.25">
      <c r="A376" t="e">
        <f ca="1">IF((A1)=(2),"",IF((373)=(A3),IF(("call")=(INDEX(B1:XFD1,((A2)+(1))+(0))),(B2)*(2),IF(("goto")=(INDEX(B1:XFD1,((A2)+(1))+(0))),(INDEX(B1:XFD1,((A2)+(1))+(1)))*(2),IF(("gotoiftrue")=(INDEX(B1:XFD1,((A2)+(1))+(0))),IF(B2,(INDEX(B1:XFD1,((A2)+(1))+(1)))*(2),(A376)+(2)),(A376)+(2)))),A376))</f>
        <v>#VALUE!</v>
      </c>
      <c r="B376" t="e">
        <f ca="1">IF((A1)=(2),"",IF((373)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376)+(1)),IF(("add")=(INDEX(B1:XFD1,((A2)+(1))+(0))),(INDEX(B4:B404,(B3)+(1)))+(B376),IF(("equals")=(INDEX(B1:XFD1,((A2)+(1))+(0))),(INDEX(B4:B404,(B3)+(1)))=(B376),IF(("leq")=(INDEX(B1:XFD1,((A2)+(1))+(0))),(INDEX(B4:B404,(B3)+(1)))&lt;=(B376),IF(("greater")=(INDEX(B1:XFD1,((A2)+(1))+(0))),(INDEX(B4:B404,(B3)+(1)))&gt;(B376),IF(("mod")=(INDEX(B1:XFD1,((A2)+(1))+(0))),MOD(INDEX(B4:B404,(B3)+(1)),B376),B376))))))))),B376))</f>
        <v>#VALUE!</v>
      </c>
      <c r="C376" t="e">
        <f ca="1">IF((A1)=(2),1,IF(AND((INDEX(B1:XFD1,((A2)+(1))+(0)))=("writeheap"),(INDEX(B4:B404,(B3)+(1)))=(372)),INDEX(B4:B404,(B3)+(2)),IF((A1)=(2),"",IF((373)=(C3),C376,C376))))</f>
        <v>#VALUE!</v>
      </c>
      <c r="E376" t="e">
        <f ca="1">IF((A1)=(2),"",IF((373)=(E3),IF(("outputline")=(INDEX(B1:XFD1,((A2)+(1))+(0))),B2,E376),E376))</f>
        <v>#VALUE!</v>
      </c>
      <c r="F376" t="e">
        <f ca="1">IF((A1)=(2),"",IF((373)=(F3),IF(IF((INDEX(B1:XFD1,((A2)+(1))+(0)))=("store"),(INDEX(B1:XFD1,((A2)+(1))+(1)))=("F"),"false"),B2,F376),F376))</f>
        <v>#VALUE!</v>
      </c>
      <c r="G376" t="e">
        <f ca="1">IF((A1)=(2),"",IF((373)=(G3),IF(IF((INDEX(B1:XFD1,((A2)+(1))+(0)))=("store"),(INDEX(B1:XFD1,((A2)+(1))+(1)))=("G"),"false"),B2,G376),G376))</f>
        <v>#VALUE!</v>
      </c>
      <c r="H376" t="e">
        <f ca="1">IF((A1)=(2),"",IF((373)=(H3),IF(IF((INDEX(B1:XFD1,((A2)+(1))+(0)))=("store"),(INDEX(B1:XFD1,((A2)+(1))+(1)))=("H"),"false"),B2,H376),H376))</f>
        <v>#VALUE!</v>
      </c>
      <c r="I376" t="e">
        <f ca="1">IF((A1)=(2),"",IF((373)=(I3),IF(IF((INDEX(B1:XFD1,((A2)+(1))+(0)))=("store"),(INDEX(B1:XFD1,((A2)+(1))+(1)))=("I"),"false"),B2,I376),I376))</f>
        <v>#VALUE!</v>
      </c>
      <c r="J376" t="e">
        <f ca="1">IF((A1)=(2),"",IF((373)=(J3),IF(IF((INDEX(B1:XFD1,((A2)+(1))+(0)))=("store"),(INDEX(B1:XFD1,((A2)+(1))+(1)))=("J"),"false"),B2,J376),J376))</f>
        <v>#VALUE!</v>
      </c>
      <c r="K376" t="e">
        <f ca="1">IF((A1)=(2),"",IF((373)=(K3),IF(IF((INDEX(B1:XFD1,((A2)+(1))+(0)))=("store"),(INDEX(B1:XFD1,((A2)+(1))+(1)))=("K"),"false"),B2,K376),K376))</f>
        <v>#VALUE!</v>
      </c>
      <c r="L376" t="e">
        <f ca="1">IF((A1)=(2),"",IF((373)=(L3),IF(IF((INDEX(B1:XFD1,((A2)+(1))+(0)))=("store"),(INDEX(B1:XFD1,((A2)+(1))+(1)))=("L"),"false"),B2,L376),L376))</f>
        <v>#VALUE!</v>
      </c>
      <c r="M376" t="e">
        <f ca="1">IF((A1)=(2),"",IF((373)=(M3),IF(IF((INDEX(B1:XFD1,((A2)+(1))+(0)))=("store"),(INDEX(B1:XFD1,((A2)+(1))+(1)))=("M"),"false"),B2,M376),M376))</f>
        <v>#VALUE!</v>
      </c>
      <c r="N376" t="e">
        <f ca="1">IF((A1)=(2),"",IF((373)=(N3),IF(IF((INDEX(B1:XFD1,((A2)+(1))+(0)))=("store"),(INDEX(B1:XFD1,((A2)+(1))+(1)))=("N"),"false"),B2,N376),N376))</f>
        <v>#VALUE!</v>
      </c>
      <c r="O376" t="e">
        <f ca="1">IF((A1)=(2),"",IF((373)=(O3),IF(IF((INDEX(B1:XFD1,((A2)+(1))+(0)))=("store"),(INDEX(B1:XFD1,((A2)+(1))+(1)))=("O"),"false"),B2,O376),O376))</f>
        <v>#VALUE!</v>
      </c>
      <c r="P376" t="e">
        <f ca="1">IF((A1)=(2),"",IF((373)=(P3),IF(IF((INDEX(B1:XFD1,((A2)+(1))+(0)))=("store"),(INDEX(B1:XFD1,((A2)+(1))+(1)))=("P"),"false"),B2,P376),P376))</f>
        <v>#VALUE!</v>
      </c>
      <c r="Q376" t="e">
        <f ca="1">IF((A1)=(2),"",IF((373)=(Q3),IF(IF((INDEX(B1:XFD1,((A2)+(1))+(0)))=("store"),(INDEX(B1:XFD1,((A2)+(1))+(1)))=("Q"),"false"),B2,Q376),Q376))</f>
        <v>#VALUE!</v>
      </c>
      <c r="R376" t="e">
        <f ca="1">IF((A1)=(2),"",IF((373)=(R3),IF(IF((INDEX(B1:XFD1,((A2)+(1))+(0)))=("store"),(INDEX(B1:XFD1,((A2)+(1))+(1)))=("R"),"false"),B2,R376),R376))</f>
        <v>#VALUE!</v>
      </c>
      <c r="S376" t="e">
        <f ca="1">IF((A1)=(2),"",IF((373)=(S3),IF(IF((INDEX(B1:XFD1,((A2)+(1))+(0)))=("store"),(INDEX(B1:XFD1,((A2)+(1))+(1)))=("S"),"false"),B2,S376),S376))</f>
        <v>#VALUE!</v>
      </c>
      <c r="T376" t="e">
        <f ca="1">IF((A1)=(2),"",IF((373)=(T3),IF(IF((INDEX(B1:XFD1,((A2)+(1))+(0)))=("store"),(INDEX(B1:XFD1,((A2)+(1))+(1)))=("T"),"false"),B2,T376),T376))</f>
        <v>#VALUE!</v>
      </c>
      <c r="U376" t="e">
        <f ca="1">IF((A1)=(2),"",IF((373)=(U3),IF(IF((INDEX(B1:XFD1,((A2)+(1))+(0)))=("store"),(INDEX(B1:XFD1,((A2)+(1))+(1)))=("U"),"false"),B2,U376),U376))</f>
        <v>#VALUE!</v>
      </c>
      <c r="V376" t="e">
        <f ca="1">IF((A1)=(2),"",IF((373)=(V3),IF(IF((INDEX(B1:XFD1,((A2)+(1))+(0)))=("store"),(INDEX(B1:XFD1,((A2)+(1))+(1)))=("V"),"false"),B2,V376),V376))</f>
        <v>#VALUE!</v>
      </c>
      <c r="W376" t="e">
        <f ca="1">IF((A1)=(2),"",IF((373)=(W3),IF(IF((INDEX(B1:XFD1,((A2)+(1))+(0)))=("store"),(INDEX(B1:XFD1,((A2)+(1))+(1)))=("W"),"false"),B2,W376),W376))</f>
        <v>#VALUE!</v>
      </c>
      <c r="X376" t="e">
        <f ca="1">IF((A1)=(2),"",IF((373)=(X3),IF(IF((INDEX(B1:XFD1,((A2)+(1))+(0)))=("store"),(INDEX(B1:XFD1,((A2)+(1))+(1)))=("X"),"false"),B2,X376),X376))</f>
        <v>#VALUE!</v>
      </c>
      <c r="Y376" t="e">
        <f ca="1">IF((A1)=(2),"",IF((373)=(Y3),IF(IF((INDEX(B1:XFD1,((A2)+(1))+(0)))=("store"),(INDEX(B1:XFD1,((A2)+(1))+(1)))=("Y"),"false"),B2,Y376),Y376))</f>
        <v>#VALUE!</v>
      </c>
      <c r="Z376" t="e">
        <f ca="1">IF((A1)=(2),"",IF((373)=(Z3),IF(IF((INDEX(B1:XFD1,((A2)+(1))+(0)))=("store"),(INDEX(B1:XFD1,((A2)+(1))+(1)))=("Z"),"false"),B2,Z376),Z376))</f>
        <v>#VALUE!</v>
      </c>
      <c r="AA376" t="e">
        <f ca="1">IF((A1)=(2),"",IF((373)=(AA3),IF(IF((INDEX(B1:XFD1,((A2)+(1))+(0)))=("store"),(INDEX(B1:XFD1,((A2)+(1))+(1)))=("AA"),"false"),B2,AA376),AA376))</f>
        <v>#VALUE!</v>
      </c>
      <c r="AB376" t="e">
        <f ca="1">IF((A1)=(2),"",IF((373)=(AB3),IF(IF((INDEX(B1:XFD1,((A2)+(1))+(0)))=("store"),(INDEX(B1:XFD1,((A2)+(1))+(1)))=("AB"),"false"),B2,AB376),AB376))</f>
        <v>#VALUE!</v>
      </c>
      <c r="AC376" t="e">
        <f ca="1">IF((A1)=(2),"",IF((373)=(AC3),IF(IF((INDEX(B1:XFD1,((A2)+(1))+(0)))=("store"),(INDEX(B1:XFD1,((A2)+(1))+(1)))=("AC"),"false"),B2,AC376),AC376))</f>
        <v>#VALUE!</v>
      </c>
      <c r="AD376" t="e">
        <f ca="1">IF((A1)=(2),"",IF((373)=(AD3),IF(IF((INDEX(B1:XFD1,((A2)+(1))+(0)))=("store"),(INDEX(B1:XFD1,((A2)+(1))+(1)))=("AD"),"false"),B2,AD376),AD376))</f>
        <v>#VALUE!</v>
      </c>
    </row>
    <row r="377" spans="1:30" x14ac:dyDescent="0.25">
      <c r="A377" t="e">
        <f ca="1">IF((A1)=(2),"",IF((374)=(A3),IF(("call")=(INDEX(B1:XFD1,((A2)+(1))+(0))),(B2)*(2),IF(("goto")=(INDEX(B1:XFD1,((A2)+(1))+(0))),(INDEX(B1:XFD1,((A2)+(1))+(1)))*(2),IF(("gotoiftrue")=(INDEX(B1:XFD1,((A2)+(1))+(0))),IF(B2,(INDEX(B1:XFD1,((A2)+(1))+(1)))*(2),(A377)+(2)),(A377)+(2)))),A377))</f>
        <v>#VALUE!</v>
      </c>
      <c r="B377" t="e">
        <f ca="1">IF((A1)=(2),"",IF((374)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377)+(1)),IF(("add")=(INDEX(B1:XFD1,((A2)+(1))+(0))),(INDEX(B4:B404,(B3)+(1)))+(B377),IF(("equals")=(INDEX(B1:XFD1,((A2)+(1))+(0))),(INDEX(B4:B404,(B3)+(1)))=(B377),IF(("leq")=(INDEX(B1:XFD1,((A2)+(1))+(0))),(INDEX(B4:B404,(B3)+(1)))&lt;=(B377),IF(("greater")=(INDEX(B1:XFD1,((A2)+(1))+(0))),(INDEX(B4:B404,(B3)+(1)))&gt;(B377),IF(("mod")=(INDEX(B1:XFD1,((A2)+(1))+(0))),MOD(INDEX(B4:B404,(B3)+(1)),B377),B377))))))))),B377))</f>
        <v>#VALUE!</v>
      </c>
      <c r="C377" t="e">
        <f ca="1">IF((A1)=(2),1,IF(AND((INDEX(B1:XFD1,((A2)+(1))+(0)))=("writeheap"),(INDEX(B4:B404,(B3)+(1)))=(373)),INDEX(B4:B404,(B3)+(2)),IF((A1)=(2),"",IF((374)=(C3),C377,C377))))</f>
        <v>#VALUE!</v>
      </c>
      <c r="E377" t="e">
        <f ca="1">IF((A1)=(2),"",IF((374)=(E3),IF(("outputline")=(INDEX(B1:XFD1,((A2)+(1))+(0))),B2,E377),E377))</f>
        <v>#VALUE!</v>
      </c>
      <c r="F377" t="e">
        <f ca="1">IF((A1)=(2),"",IF((374)=(F3),IF(IF((INDEX(B1:XFD1,((A2)+(1))+(0)))=("store"),(INDEX(B1:XFD1,((A2)+(1))+(1)))=("F"),"false"),B2,F377),F377))</f>
        <v>#VALUE!</v>
      </c>
      <c r="G377" t="e">
        <f ca="1">IF((A1)=(2),"",IF((374)=(G3),IF(IF((INDEX(B1:XFD1,((A2)+(1))+(0)))=("store"),(INDEX(B1:XFD1,((A2)+(1))+(1)))=("G"),"false"),B2,G377),G377))</f>
        <v>#VALUE!</v>
      </c>
      <c r="H377" t="e">
        <f ca="1">IF((A1)=(2),"",IF((374)=(H3),IF(IF((INDEX(B1:XFD1,((A2)+(1))+(0)))=("store"),(INDEX(B1:XFD1,((A2)+(1))+(1)))=("H"),"false"),B2,H377),H377))</f>
        <v>#VALUE!</v>
      </c>
      <c r="I377" t="e">
        <f ca="1">IF((A1)=(2),"",IF((374)=(I3),IF(IF((INDEX(B1:XFD1,((A2)+(1))+(0)))=("store"),(INDEX(B1:XFD1,((A2)+(1))+(1)))=("I"),"false"),B2,I377),I377))</f>
        <v>#VALUE!</v>
      </c>
      <c r="J377" t="e">
        <f ca="1">IF((A1)=(2),"",IF((374)=(J3),IF(IF((INDEX(B1:XFD1,((A2)+(1))+(0)))=("store"),(INDEX(B1:XFD1,((A2)+(1))+(1)))=("J"),"false"),B2,J377),J377))</f>
        <v>#VALUE!</v>
      </c>
      <c r="K377" t="e">
        <f ca="1">IF((A1)=(2),"",IF((374)=(K3),IF(IF((INDEX(B1:XFD1,((A2)+(1))+(0)))=("store"),(INDEX(B1:XFD1,((A2)+(1))+(1)))=("K"),"false"),B2,K377),K377))</f>
        <v>#VALUE!</v>
      </c>
      <c r="L377" t="e">
        <f ca="1">IF((A1)=(2),"",IF((374)=(L3),IF(IF((INDEX(B1:XFD1,((A2)+(1))+(0)))=("store"),(INDEX(B1:XFD1,((A2)+(1))+(1)))=("L"),"false"),B2,L377),L377))</f>
        <v>#VALUE!</v>
      </c>
      <c r="M377" t="e">
        <f ca="1">IF((A1)=(2),"",IF((374)=(M3),IF(IF((INDEX(B1:XFD1,((A2)+(1))+(0)))=("store"),(INDEX(B1:XFD1,((A2)+(1))+(1)))=("M"),"false"),B2,M377),M377))</f>
        <v>#VALUE!</v>
      </c>
      <c r="N377" t="e">
        <f ca="1">IF((A1)=(2),"",IF((374)=(N3),IF(IF((INDEX(B1:XFD1,((A2)+(1))+(0)))=("store"),(INDEX(B1:XFD1,((A2)+(1))+(1)))=("N"),"false"),B2,N377),N377))</f>
        <v>#VALUE!</v>
      </c>
      <c r="O377" t="e">
        <f ca="1">IF((A1)=(2),"",IF((374)=(O3),IF(IF((INDEX(B1:XFD1,((A2)+(1))+(0)))=("store"),(INDEX(B1:XFD1,((A2)+(1))+(1)))=("O"),"false"),B2,O377),O377))</f>
        <v>#VALUE!</v>
      </c>
      <c r="P377" t="e">
        <f ca="1">IF((A1)=(2),"",IF((374)=(P3),IF(IF((INDEX(B1:XFD1,((A2)+(1))+(0)))=("store"),(INDEX(B1:XFD1,((A2)+(1))+(1)))=("P"),"false"),B2,P377),P377))</f>
        <v>#VALUE!</v>
      </c>
      <c r="Q377" t="e">
        <f ca="1">IF((A1)=(2),"",IF((374)=(Q3),IF(IF((INDEX(B1:XFD1,((A2)+(1))+(0)))=("store"),(INDEX(B1:XFD1,((A2)+(1))+(1)))=("Q"),"false"),B2,Q377),Q377))</f>
        <v>#VALUE!</v>
      </c>
      <c r="R377" t="e">
        <f ca="1">IF((A1)=(2),"",IF((374)=(R3),IF(IF((INDEX(B1:XFD1,((A2)+(1))+(0)))=("store"),(INDEX(B1:XFD1,((A2)+(1))+(1)))=("R"),"false"),B2,R377),R377))</f>
        <v>#VALUE!</v>
      </c>
      <c r="S377" t="e">
        <f ca="1">IF((A1)=(2),"",IF((374)=(S3),IF(IF((INDEX(B1:XFD1,((A2)+(1))+(0)))=("store"),(INDEX(B1:XFD1,((A2)+(1))+(1)))=("S"),"false"),B2,S377),S377))</f>
        <v>#VALUE!</v>
      </c>
      <c r="T377" t="e">
        <f ca="1">IF((A1)=(2),"",IF((374)=(T3),IF(IF((INDEX(B1:XFD1,((A2)+(1))+(0)))=("store"),(INDEX(B1:XFD1,((A2)+(1))+(1)))=("T"),"false"),B2,T377),T377))</f>
        <v>#VALUE!</v>
      </c>
      <c r="U377" t="e">
        <f ca="1">IF((A1)=(2),"",IF((374)=(U3),IF(IF((INDEX(B1:XFD1,((A2)+(1))+(0)))=("store"),(INDEX(B1:XFD1,((A2)+(1))+(1)))=("U"),"false"),B2,U377),U377))</f>
        <v>#VALUE!</v>
      </c>
      <c r="V377" t="e">
        <f ca="1">IF((A1)=(2),"",IF((374)=(V3),IF(IF((INDEX(B1:XFD1,((A2)+(1))+(0)))=("store"),(INDEX(B1:XFD1,((A2)+(1))+(1)))=("V"),"false"),B2,V377),V377))</f>
        <v>#VALUE!</v>
      </c>
      <c r="W377" t="e">
        <f ca="1">IF((A1)=(2),"",IF((374)=(W3),IF(IF((INDEX(B1:XFD1,((A2)+(1))+(0)))=("store"),(INDEX(B1:XFD1,((A2)+(1))+(1)))=("W"),"false"),B2,W377),W377))</f>
        <v>#VALUE!</v>
      </c>
      <c r="X377" t="e">
        <f ca="1">IF((A1)=(2),"",IF((374)=(X3),IF(IF((INDEX(B1:XFD1,((A2)+(1))+(0)))=("store"),(INDEX(B1:XFD1,((A2)+(1))+(1)))=("X"),"false"),B2,X377),X377))</f>
        <v>#VALUE!</v>
      </c>
      <c r="Y377" t="e">
        <f ca="1">IF((A1)=(2),"",IF((374)=(Y3),IF(IF((INDEX(B1:XFD1,((A2)+(1))+(0)))=("store"),(INDEX(B1:XFD1,((A2)+(1))+(1)))=("Y"),"false"),B2,Y377),Y377))</f>
        <v>#VALUE!</v>
      </c>
      <c r="Z377" t="e">
        <f ca="1">IF((A1)=(2),"",IF((374)=(Z3),IF(IF((INDEX(B1:XFD1,((A2)+(1))+(0)))=("store"),(INDEX(B1:XFD1,((A2)+(1))+(1)))=("Z"),"false"),B2,Z377),Z377))</f>
        <v>#VALUE!</v>
      </c>
      <c r="AA377" t="e">
        <f ca="1">IF((A1)=(2),"",IF((374)=(AA3),IF(IF((INDEX(B1:XFD1,((A2)+(1))+(0)))=("store"),(INDEX(B1:XFD1,((A2)+(1))+(1)))=("AA"),"false"),B2,AA377),AA377))</f>
        <v>#VALUE!</v>
      </c>
      <c r="AB377" t="e">
        <f ca="1">IF((A1)=(2),"",IF((374)=(AB3),IF(IF((INDEX(B1:XFD1,((A2)+(1))+(0)))=("store"),(INDEX(B1:XFD1,((A2)+(1))+(1)))=("AB"),"false"),B2,AB377),AB377))</f>
        <v>#VALUE!</v>
      </c>
      <c r="AC377" t="e">
        <f ca="1">IF((A1)=(2),"",IF((374)=(AC3),IF(IF((INDEX(B1:XFD1,((A2)+(1))+(0)))=("store"),(INDEX(B1:XFD1,((A2)+(1))+(1)))=("AC"),"false"),B2,AC377),AC377))</f>
        <v>#VALUE!</v>
      </c>
      <c r="AD377" t="e">
        <f ca="1">IF((A1)=(2),"",IF((374)=(AD3),IF(IF((INDEX(B1:XFD1,((A2)+(1))+(0)))=("store"),(INDEX(B1:XFD1,((A2)+(1))+(1)))=("AD"),"false"),B2,AD377),AD377))</f>
        <v>#VALUE!</v>
      </c>
    </row>
    <row r="378" spans="1:30" x14ac:dyDescent="0.25">
      <c r="A378" t="e">
        <f ca="1">IF((A1)=(2),"",IF((375)=(A3),IF(("call")=(INDEX(B1:XFD1,((A2)+(1))+(0))),(B2)*(2),IF(("goto")=(INDEX(B1:XFD1,((A2)+(1))+(0))),(INDEX(B1:XFD1,((A2)+(1))+(1)))*(2),IF(("gotoiftrue")=(INDEX(B1:XFD1,((A2)+(1))+(0))),IF(B2,(INDEX(B1:XFD1,((A2)+(1))+(1)))*(2),(A378)+(2)),(A378)+(2)))),A378))</f>
        <v>#VALUE!</v>
      </c>
      <c r="B378" t="e">
        <f ca="1">IF((A1)=(2),"",IF((375)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378)+(1)),IF(("add")=(INDEX(B1:XFD1,((A2)+(1))+(0))),(INDEX(B4:B404,(B3)+(1)))+(B378),IF(("equals")=(INDEX(B1:XFD1,((A2)+(1))+(0))),(INDEX(B4:B404,(B3)+(1)))=(B378),IF(("leq")=(INDEX(B1:XFD1,((A2)+(1))+(0))),(INDEX(B4:B404,(B3)+(1)))&lt;=(B378),IF(("greater")=(INDEX(B1:XFD1,((A2)+(1))+(0))),(INDEX(B4:B404,(B3)+(1)))&gt;(B378),IF(("mod")=(INDEX(B1:XFD1,((A2)+(1))+(0))),MOD(INDEX(B4:B404,(B3)+(1)),B378),B378))))))))),B378))</f>
        <v>#VALUE!</v>
      </c>
      <c r="C378" t="e">
        <f ca="1">IF((A1)=(2),1,IF(AND((INDEX(B1:XFD1,((A2)+(1))+(0)))=("writeheap"),(INDEX(B4:B404,(B3)+(1)))=(374)),INDEX(B4:B404,(B3)+(2)),IF((A1)=(2),"",IF((375)=(C3),C378,C378))))</f>
        <v>#VALUE!</v>
      </c>
      <c r="E378" t="e">
        <f ca="1">IF((A1)=(2),"",IF((375)=(E3),IF(("outputline")=(INDEX(B1:XFD1,((A2)+(1))+(0))),B2,E378),E378))</f>
        <v>#VALUE!</v>
      </c>
      <c r="F378" t="e">
        <f ca="1">IF((A1)=(2),"",IF((375)=(F3),IF(IF((INDEX(B1:XFD1,((A2)+(1))+(0)))=("store"),(INDEX(B1:XFD1,((A2)+(1))+(1)))=("F"),"false"),B2,F378),F378))</f>
        <v>#VALUE!</v>
      </c>
      <c r="G378" t="e">
        <f ca="1">IF((A1)=(2),"",IF((375)=(G3),IF(IF((INDEX(B1:XFD1,((A2)+(1))+(0)))=("store"),(INDEX(B1:XFD1,((A2)+(1))+(1)))=("G"),"false"),B2,G378),G378))</f>
        <v>#VALUE!</v>
      </c>
      <c r="H378" t="e">
        <f ca="1">IF((A1)=(2),"",IF((375)=(H3),IF(IF((INDEX(B1:XFD1,((A2)+(1))+(0)))=("store"),(INDEX(B1:XFD1,((A2)+(1))+(1)))=("H"),"false"),B2,H378),H378))</f>
        <v>#VALUE!</v>
      </c>
      <c r="I378" t="e">
        <f ca="1">IF((A1)=(2),"",IF((375)=(I3),IF(IF((INDEX(B1:XFD1,((A2)+(1))+(0)))=("store"),(INDEX(B1:XFD1,((A2)+(1))+(1)))=("I"),"false"),B2,I378),I378))</f>
        <v>#VALUE!</v>
      </c>
      <c r="J378" t="e">
        <f ca="1">IF((A1)=(2),"",IF((375)=(J3),IF(IF((INDEX(B1:XFD1,((A2)+(1))+(0)))=("store"),(INDEX(B1:XFD1,((A2)+(1))+(1)))=("J"),"false"),B2,J378),J378))</f>
        <v>#VALUE!</v>
      </c>
      <c r="K378" t="e">
        <f ca="1">IF((A1)=(2),"",IF((375)=(K3),IF(IF((INDEX(B1:XFD1,((A2)+(1))+(0)))=("store"),(INDEX(B1:XFD1,((A2)+(1))+(1)))=("K"),"false"),B2,K378),K378))</f>
        <v>#VALUE!</v>
      </c>
      <c r="L378" t="e">
        <f ca="1">IF((A1)=(2),"",IF((375)=(L3),IF(IF((INDEX(B1:XFD1,((A2)+(1))+(0)))=("store"),(INDEX(B1:XFD1,((A2)+(1))+(1)))=("L"),"false"),B2,L378),L378))</f>
        <v>#VALUE!</v>
      </c>
      <c r="M378" t="e">
        <f ca="1">IF((A1)=(2),"",IF((375)=(M3),IF(IF((INDEX(B1:XFD1,((A2)+(1))+(0)))=("store"),(INDEX(B1:XFD1,((A2)+(1))+(1)))=("M"),"false"),B2,M378),M378))</f>
        <v>#VALUE!</v>
      </c>
      <c r="N378" t="e">
        <f ca="1">IF((A1)=(2),"",IF((375)=(N3),IF(IF((INDEX(B1:XFD1,((A2)+(1))+(0)))=("store"),(INDEX(B1:XFD1,((A2)+(1))+(1)))=("N"),"false"),B2,N378),N378))</f>
        <v>#VALUE!</v>
      </c>
      <c r="O378" t="e">
        <f ca="1">IF((A1)=(2),"",IF((375)=(O3),IF(IF((INDEX(B1:XFD1,((A2)+(1))+(0)))=("store"),(INDEX(B1:XFD1,((A2)+(1))+(1)))=("O"),"false"),B2,O378),O378))</f>
        <v>#VALUE!</v>
      </c>
      <c r="P378" t="e">
        <f ca="1">IF((A1)=(2),"",IF((375)=(P3),IF(IF((INDEX(B1:XFD1,((A2)+(1))+(0)))=("store"),(INDEX(B1:XFD1,((A2)+(1))+(1)))=("P"),"false"),B2,P378),P378))</f>
        <v>#VALUE!</v>
      </c>
      <c r="Q378" t="e">
        <f ca="1">IF((A1)=(2),"",IF((375)=(Q3),IF(IF((INDEX(B1:XFD1,((A2)+(1))+(0)))=("store"),(INDEX(B1:XFD1,((A2)+(1))+(1)))=("Q"),"false"),B2,Q378),Q378))</f>
        <v>#VALUE!</v>
      </c>
      <c r="R378" t="e">
        <f ca="1">IF((A1)=(2),"",IF((375)=(R3),IF(IF((INDEX(B1:XFD1,((A2)+(1))+(0)))=("store"),(INDEX(B1:XFD1,((A2)+(1))+(1)))=("R"),"false"),B2,R378),R378))</f>
        <v>#VALUE!</v>
      </c>
      <c r="S378" t="e">
        <f ca="1">IF((A1)=(2),"",IF((375)=(S3),IF(IF((INDEX(B1:XFD1,((A2)+(1))+(0)))=("store"),(INDEX(B1:XFD1,((A2)+(1))+(1)))=("S"),"false"),B2,S378),S378))</f>
        <v>#VALUE!</v>
      </c>
      <c r="T378" t="e">
        <f ca="1">IF((A1)=(2),"",IF((375)=(T3),IF(IF((INDEX(B1:XFD1,((A2)+(1))+(0)))=("store"),(INDEX(B1:XFD1,((A2)+(1))+(1)))=("T"),"false"),B2,T378),T378))</f>
        <v>#VALUE!</v>
      </c>
      <c r="U378" t="e">
        <f ca="1">IF((A1)=(2),"",IF((375)=(U3),IF(IF((INDEX(B1:XFD1,((A2)+(1))+(0)))=("store"),(INDEX(B1:XFD1,((A2)+(1))+(1)))=("U"),"false"),B2,U378),U378))</f>
        <v>#VALUE!</v>
      </c>
      <c r="V378" t="e">
        <f ca="1">IF((A1)=(2),"",IF((375)=(V3),IF(IF((INDEX(B1:XFD1,((A2)+(1))+(0)))=("store"),(INDEX(B1:XFD1,((A2)+(1))+(1)))=("V"),"false"),B2,V378),V378))</f>
        <v>#VALUE!</v>
      </c>
      <c r="W378" t="e">
        <f ca="1">IF((A1)=(2),"",IF((375)=(W3),IF(IF((INDEX(B1:XFD1,((A2)+(1))+(0)))=("store"),(INDEX(B1:XFD1,((A2)+(1))+(1)))=("W"),"false"),B2,W378),W378))</f>
        <v>#VALUE!</v>
      </c>
      <c r="X378" t="e">
        <f ca="1">IF((A1)=(2),"",IF((375)=(X3),IF(IF((INDEX(B1:XFD1,((A2)+(1))+(0)))=("store"),(INDEX(B1:XFD1,((A2)+(1))+(1)))=("X"),"false"),B2,X378),X378))</f>
        <v>#VALUE!</v>
      </c>
      <c r="Y378" t="e">
        <f ca="1">IF((A1)=(2),"",IF((375)=(Y3),IF(IF((INDEX(B1:XFD1,((A2)+(1))+(0)))=("store"),(INDEX(B1:XFD1,((A2)+(1))+(1)))=("Y"),"false"),B2,Y378),Y378))</f>
        <v>#VALUE!</v>
      </c>
      <c r="Z378" t="e">
        <f ca="1">IF((A1)=(2),"",IF((375)=(Z3),IF(IF((INDEX(B1:XFD1,((A2)+(1))+(0)))=("store"),(INDEX(B1:XFD1,((A2)+(1))+(1)))=("Z"),"false"),B2,Z378),Z378))</f>
        <v>#VALUE!</v>
      </c>
      <c r="AA378" t="e">
        <f ca="1">IF((A1)=(2),"",IF((375)=(AA3),IF(IF((INDEX(B1:XFD1,((A2)+(1))+(0)))=("store"),(INDEX(B1:XFD1,((A2)+(1))+(1)))=("AA"),"false"),B2,AA378),AA378))</f>
        <v>#VALUE!</v>
      </c>
      <c r="AB378" t="e">
        <f ca="1">IF((A1)=(2),"",IF((375)=(AB3),IF(IF((INDEX(B1:XFD1,((A2)+(1))+(0)))=("store"),(INDEX(B1:XFD1,((A2)+(1))+(1)))=("AB"),"false"),B2,AB378),AB378))</f>
        <v>#VALUE!</v>
      </c>
      <c r="AC378" t="e">
        <f ca="1">IF((A1)=(2),"",IF((375)=(AC3),IF(IF((INDEX(B1:XFD1,((A2)+(1))+(0)))=("store"),(INDEX(B1:XFD1,((A2)+(1))+(1)))=("AC"),"false"),B2,AC378),AC378))</f>
        <v>#VALUE!</v>
      </c>
      <c r="AD378" t="e">
        <f ca="1">IF((A1)=(2),"",IF((375)=(AD3),IF(IF((INDEX(B1:XFD1,((A2)+(1))+(0)))=("store"),(INDEX(B1:XFD1,((A2)+(1))+(1)))=("AD"),"false"),B2,AD378),AD378))</f>
        <v>#VALUE!</v>
      </c>
    </row>
    <row r="379" spans="1:30" x14ac:dyDescent="0.25">
      <c r="A379" t="e">
        <f ca="1">IF((A1)=(2),"",IF((376)=(A3),IF(("call")=(INDEX(B1:XFD1,((A2)+(1))+(0))),(B2)*(2),IF(("goto")=(INDEX(B1:XFD1,((A2)+(1))+(0))),(INDEX(B1:XFD1,((A2)+(1))+(1)))*(2),IF(("gotoiftrue")=(INDEX(B1:XFD1,((A2)+(1))+(0))),IF(B2,(INDEX(B1:XFD1,((A2)+(1))+(1)))*(2),(A379)+(2)),(A379)+(2)))),A379))</f>
        <v>#VALUE!</v>
      </c>
      <c r="B379" t="e">
        <f ca="1">IF((A1)=(2),"",IF((376)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379)+(1)),IF(("add")=(INDEX(B1:XFD1,((A2)+(1))+(0))),(INDEX(B4:B404,(B3)+(1)))+(B379),IF(("equals")=(INDEX(B1:XFD1,((A2)+(1))+(0))),(INDEX(B4:B404,(B3)+(1)))=(B379),IF(("leq")=(INDEX(B1:XFD1,((A2)+(1))+(0))),(INDEX(B4:B404,(B3)+(1)))&lt;=(B379),IF(("greater")=(INDEX(B1:XFD1,((A2)+(1))+(0))),(INDEX(B4:B404,(B3)+(1)))&gt;(B379),IF(("mod")=(INDEX(B1:XFD1,((A2)+(1))+(0))),MOD(INDEX(B4:B404,(B3)+(1)),B379),B379))))))))),B379))</f>
        <v>#VALUE!</v>
      </c>
      <c r="C379" t="e">
        <f ca="1">IF((A1)=(2),1,IF(AND((INDEX(B1:XFD1,((A2)+(1))+(0)))=("writeheap"),(INDEX(B4:B404,(B3)+(1)))=(375)),INDEX(B4:B404,(B3)+(2)),IF((A1)=(2),"",IF((376)=(C3),C379,C379))))</f>
        <v>#VALUE!</v>
      </c>
      <c r="E379" t="e">
        <f ca="1">IF((A1)=(2),"",IF((376)=(E3),IF(("outputline")=(INDEX(B1:XFD1,((A2)+(1))+(0))),B2,E379),E379))</f>
        <v>#VALUE!</v>
      </c>
      <c r="F379" t="e">
        <f ca="1">IF((A1)=(2),"",IF((376)=(F3),IF(IF((INDEX(B1:XFD1,((A2)+(1))+(0)))=("store"),(INDEX(B1:XFD1,((A2)+(1))+(1)))=("F"),"false"),B2,F379),F379))</f>
        <v>#VALUE!</v>
      </c>
      <c r="G379" t="e">
        <f ca="1">IF((A1)=(2),"",IF((376)=(G3),IF(IF((INDEX(B1:XFD1,((A2)+(1))+(0)))=("store"),(INDEX(B1:XFD1,((A2)+(1))+(1)))=("G"),"false"),B2,G379),G379))</f>
        <v>#VALUE!</v>
      </c>
      <c r="H379" t="e">
        <f ca="1">IF((A1)=(2),"",IF((376)=(H3),IF(IF((INDEX(B1:XFD1,((A2)+(1))+(0)))=("store"),(INDEX(B1:XFD1,((A2)+(1))+(1)))=("H"),"false"),B2,H379),H379))</f>
        <v>#VALUE!</v>
      </c>
      <c r="I379" t="e">
        <f ca="1">IF((A1)=(2),"",IF((376)=(I3),IF(IF((INDEX(B1:XFD1,((A2)+(1))+(0)))=("store"),(INDEX(B1:XFD1,((A2)+(1))+(1)))=("I"),"false"),B2,I379),I379))</f>
        <v>#VALUE!</v>
      </c>
      <c r="J379" t="e">
        <f ca="1">IF((A1)=(2),"",IF((376)=(J3),IF(IF((INDEX(B1:XFD1,((A2)+(1))+(0)))=("store"),(INDEX(B1:XFD1,((A2)+(1))+(1)))=("J"),"false"),B2,J379),J379))</f>
        <v>#VALUE!</v>
      </c>
      <c r="K379" t="e">
        <f ca="1">IF((A1)=(2),"",IF((376)=(K3),IF(IF((INDEX(B1:XFD1,((A2)+(1))+(0)))=("store"),(INDEX(B1:XFD1,((A2)+(1))+(1)))=("K"),"false"),B2,K379),K379))</f>
        <v>#VALUE!</v>
      </c>
      <c r="L379" t="e">
        <f ca="1">IF((A1)=(2),"",IF((376)=(L3),IF(IF((INDEX(B1:XFD1,((A2)+(1))+(0)))=("store"),(INDEX(B1:XFD1,((A2)+(1))+(1)))=("L"),"false"),B2,L379),L379))</f>
        <v>#VALUE!</v>
      </c>
      <c r="M379" t="e">
        <f ca="1">IF((A1)=(2),"",IF((376)=(M3),IF(IF((INDEX(B1:XFD1,((A2)+(1))+(0)))=("store"),(INDEX(B1:XFD1,((A2)+(1))+(1)))=("M"),"false"),B2,M379),M379))</f>
        <v>#VALUE!</v>
      </c>
      <c r="N379" t="e">
        <f ca="1">IF((A1)=(2),"",IF((376)=(N3),IF(IF((INDEX(B1:XFD1,((A2)+(1))+(0)))=("store"),(INDEX(B1:XFD1,((A2)+(1))+(1)))=("N"),"false"),B2,N379),N379))</f>
        <v>#VALUE!</v>
      </c>
      <c r="O379" t="e">
        <f ca="1">IF((A1)=(2),"",IF((376)=(O3),IF(IF((INDEX(B1:XFD1,((A2)+(1))+(0)))=("store"),(INDEX(B1:XFD1,((A2)+(1))+(1)))=("O"),"false"),B2,O379),O379))</f>
        <v>#VALUE!</v>
      </c>
      <c r="P379" t="e">
        <f ca="1">IF((A1)=(2),"",IF((376)=(P3),IF(IF((INDEX(B1:XFD1,((A2)+(1))+(0)))=("store"),(INDEX(B1:XFD1,((A2)+(1))+(1)))=("P"),"false"),B2,P379),P379))</f>
        <v>#VALUE!</v>
      </c>
      <c r="Q379" t="e">
        <f ca="1">IF((A1)=(2),"",IF((376)=(Q3),IF(IF((INDEX(B1:XFD1,((A2)+(1))+(0)))=("store"),(INDEX(B1:XFD1,((A2)+(1))+(1)))=("Q"),"false"),B2,Q379),Q379))</f>
        <v>#VALUE!</v>
      </c>
      <c r="R379" t="e">
        <f ca="1">IF((A1)=(2),"",IF((376)=(R3),IF(IF((INDEX(B1:XFD1,((A2)+(1))+(0)))=("store"),(INDEX(B1:XFD1,((A2)+(1))+(1)))=("R"),"false"),B2,R379),R379))</f>
        <v>#VALUE!</v>
      </c>
      <c r="S379" t="e">
        <f ca="1">IF((A1)=(2),"",IF((376)=(S3),IF(IF((INDEX(B1:XFD1,((A2)+(1))+(0)))=("store"),(INDEX(B1:XFD1,((A2)+(1))+(1)))=("S"),"false"),B2,S379),S379))</f>
        <v>#VALUE!</v>
      </c>
      <c r="T379" t="e">
        <f ca="1">IF((A1)=(2),"",IF((376)=(T3),IF(IF((INDEX(B1:XFD1,((A2)+(1))+(0)))=("store"),(INDEX(B1:XFD1,((A2)+(1))+(1)))=("T"),"false"),B2,T379),T379))</f>
        <v>#VALUE!</v>
      </c>
      <c r="U379" t="e">
        <f ca="1">IF((A1)=(2),"",IF((376)=(U3),IF(IF((INDEX(B1:XFD1,((A2)+(1))+(0)))=("store"),(INDEX(B1:XFD1,((A2)+(1))+(1)))=("U"),"false"),B2,U379),U379))</f>
        <v>#VALUE!</v>
      </c>
      <c r="V379" t="e">
        <f ca="1">IF((A1)=(2),"",IF((376)=(V3),IF(IF((INDEX(B1:XFD1,((A2)+(1))+(0)))=("store"),(INDEX(B1:XFD1,((A2)+(1))+(1)))=("V"),"false"),B2,V379),V379))</f>
        <v>#VALUE!</v>
      </c>
      <c r="W379" t="e">
        <f ca="1">IF((A1)=(2),"",IF((376)=(W3),IF(IF((INDEX(B1:XFD1,((A2)+(1))+(0)))=("store"),(INDEX(B1:XFD1,((A2)+(1))+(1)))=("W"),"false"),B2,W379),W379))</f>
        <v>#VALUE!</v>
      </c>
      <c r="X379" t="e">
        <f ca="1">IF((A1)=(2),"",IF((376)=(X3),IF(IF((INDEX(B1:XFD1,((A2)+(1))+(0)))=("store"),(INDEX(B1:XFD1,((A2)+(1))+(1)))=("X"),"false"),B2,X379),X379))</f>
        <v>#VALUE!</v>
      </c>
      <c r="Y379" t="e">
        <f ca="1">IF((A1)=(2),"",IF((376)=(Y3),IF(IF((INDEX(B1:XFD1,((A2)+(1))+(0)))=("store"),(INDEX(B1:XFD1,((A2)+(1))+(1)))=("Y"),"false"),B2,Y379),Y379))</f>
        <v>#VALUE!</v>
      </c>
      <c r="Z379" t="e">
        <f ca="1">IF((A1)=(2),"",IF((376)=(Z3),IF(IF((INDEX(B1:XFD1,((A2)+(1))+(0)))=("store"),(INDEX(B1:XFD1,((A2)+(1))+(1)))=("Z"),"false"),B2,Z379),Z379))</f>
        <v>#VALUE!</v>
      </c>
      <c r="AA379" t="e">
        <f ca="1">IF((A1)=(2),"",IF((376)=(AA3),IF(IF((INDEX(B1:XFD1,((A2)+(1))+(0)))=("store"),(INDEX(B1:XFD1,((A2)+(1))+(1)))=("AA"),"false"),B2,AA379),AA379))</f>
        <v>#VALUE!</v>
      </c>
      <c r="AB379" t="e">
        <f ca="1">IF((A1)=(2),"",IF((376)=(AB3),IF(IF((INDEX(B1:XFD1,((A2)+(1))+(0)))=("store"),(INDEX(B1:XFD1,((A2)+(1))+(1)))=("AB"),"false"),B2,AB379),AB379))</f>
        <v>#VALUE!</v>
      </c>
      <c r="AC379" t="e">
        <f ca="1">IF((A1)=(2),"",IF((376)=(AC3),IF(IF((INDEX(B1:XFD1,((A2)+(1))+(0)))=("store"),(INDEX(B1:XFD1,((A2)+(1))+(1)))=("AC"),"false"),B2,AC379),AC379))</f>
        <v>#VALUE!</v>
      </c>
      <c r="AD379" t="e">
        <f ca="1">IF((A1)=(2),"",IF((376)=(AD3),IF(IF((INDEX(B1:XFD1,((A2)+(1))+(0)))=("store"),(INDEX(B1:XFD1,((A2)+(1))+(1)))=("AD"),"false"),B2,AD379),AD379))</f>
        <v>#VALUE!</v>
      </c>
    </row>
    <row r="380" spans="1:30" x14ac:dyDescent="0.25">
      <c r="A380" t="e">
        <f ca="1">IF((A1)=(2),"",IF((377)=(A3),IF(("call")=(INDEX(B1:XFD1,((A2)+(1))+(0))),(B2)*(2),IF(("goto")=(INDEX(B1:XFD1,((A2)+(1))+(0))),(INDEX(B1:XFD1,((A2)+(1))+(1)))*(2),IF(("gotoiftrue")=(INDEX(B1:XFD1,((A2)+(1))+(0))),IF(B2,(INDEX(B1:XFD1,((A2)+(1))+(1)))*(2),(A380)+(2)),(A380)+(2)))),A380))</f>
        <v>#VALUE!</v>
      </c>
      <c r="B380" t="e">
        <f ca="1">IF((A1)=(2),"",IF((377)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380)+(1)),IF(("add")=(INDEX(B1:XFD1,((A2)+(1))+(0))),(INDEX(B4:B404,(B3)+(1)))+(B380),IF(("equals")=(INDEX(B1:XFD1,((A2)+(1))+(0))),(INDEX(B4:B404,(B3)+(1)))=(B380),IF(("leq")=(INDEX(B1:XFD1,((A2)+(1))+(0))),(INDEX(B4:B404,(B3)+(1)))&lt;=(B380),IF(("greater")=(INDEX(B1:XFD1,((A2)+(1))+(0))),(INDEX(B4:B404,(B3)+(1)))&gt;(B380),IF(("mod")=(INDEX(B1:XFD1,((A2)+(1))+(0))),MOD(INDEX(B4:B404,(B3)+(1)),B380),B380))))))))),B380))</f>
        <v>#VALUE!</v>
      </c>
      <c r="C380" t="e">
        <f ca="1">IF((A1)=(2),1,IF(AND((INDEX(B1:XFD1,((A2)+(1))+(0)))=("writeheap"),(INDEX(B4:B404,(B3)+(1)))=(376)),INDEX(B4:B404,(B3)+(2)),IF((A1)=(2),"",IF((377)=(C3),C380,C380))))</f>
        <v>#VALUE!</v>
      </c>
      <c r="E380" t="e">
        <f ca="1">IF((A1)=(2),"",IF((377)=(E3),IF(("outputline")=(INDEX(B1:XFD1,((A2)+(1))+(0))),B2,E380),E380))</f>
        <v>#VALUE!</v>
      </c>
      <c r="F380" t="e">
        <f ca="1">IF((A1)=(2),"",IF((377)=(F3),IF(IF((INDEX(B1:XFD1,((A2)+(1))+(0)))=("store"),(INDEX(B1:XFD1,((A2)+(1))+(1)))=("F"),"false"),B2,F380),F380))</f>
        <v>#VALUE!</v>
      </c>
      <c r="G380" t="e">
        <f ca="1">IF((A1)=(2),"",IF((377)=(G3),IF(IF((INDEX(B1:XFD1,((A2)+(1))+(0)))=("store"),(INDEX(B1:XFD1,((A2)+(1))+(1)))=("G"),"false"),B2,G380),G380))</f>
        <v>#VALUE!</v>
      </c>
      <c r="H380" t="e">
        <f ca="1">IF((A1)=(2),"",IF((377)=(H3),IF(IF((INDEX(B1:XFD1,((A2)+(1))+(0)))=("store"),(INDEX(B1:XFD1,((A2)+(1))+(1)))=("H"),"false"),B2,H380),H380))</f>
        <v>#VALUE!</v>
      </c>
      <c r="I380" t="e">
        <f ca="1">IF((A1)=(2),"",IF((377)=(I3),IF(IF((INDEX(B1:XFD1,((A2)+(1))+(0)))=("store"),(INDEX(B1:XFD1,((A2)+(1))+(1)))=("I"),"false"),B2,I380),I380))</f>
        <v>#VALUE!</v>
      </c>
      <c r="J380" t="e">
        <f ca="1">IF((A1)=(2),"",IF((377)=(J3),IF(IF((INDEX(B1:XFD1,((A2)+(1))+(0)))=("store"),(INDEX(B1:XFD1,((A2)+(1))+(1)))=("J"),"false"),B2,J380),J380))</f>
        <v>#VALUE!</v>
      </c>
      <c r="K380" t="e">
        <f ca="1">IF((A1)=(2),"",IF((377)=(K3),IF(IF((INDEX(B1:XFD1,((A2)+(1))+(0)))=("store"),(INDEX(B1:XFD1,((A2)+(1))+(1)))=("K"),"false"),B2,K380),K380))</f>
        <v>#VALUE!</v>
      </c>
      <c r="L380" t="e">
        <f ca="1">IF((A1)=(2),"",IF((377)=(L3),IF(IF((INDEX(B1:XFD1,((A2)+(1))+(0)))=("store"),(INDEX(B1:XFD1,((A2)+(1))+(1)))=("L"),"false"),B2,L380),L380))</f>
        <v>#VALUE!</v>
      </c>
      <c r="M380" t="e">
        <f ca="1">IF((A1)=(2),"",IF((377)=(M3),IF(IF((INDEX(B1:XFD1,((A2)+(1))+(0)))=("store"),(INDEX(B1:XFD1,((A2)+(1))+(1)))=("M"),"false"),B2,M380),M380))</f>
        <v>#VALUE!</v>
      </c>
      <c r="N380" t="e">
        <f ca="1">IF((A1)=(2),"",IF((377)=(N3),IF(IF((INDEX(B1:XFD1,((A2)+(1))+(0)))=("store"),(INDEX(B1:XFD1,((A2)+(1))+(1)))=("N"),"false"),B2,N380),N380))</f>
        <v>#VALUE!</v>
      </c>
      <c r="O380" t="e">
        <f ca="1">IF((A1)=(2),"",IF((377)=(O3),IF(IF((INDEX(B1:XFD1,((A2)+(1))+(0)))=("store"),(INDEX(B1:XFD1,((A2)+(1))+(1)))=("O"),"false"),B2,O380),O380))</f>
        <v>#VALUE!</v>
      </c>
      <c r="P380" t="e">
        <f ca="1">IF((A1)=(2),"",IF((377)=(P3),IF(IF((INDEX(B1:XFD1,((A2)+(1))+(0)))=("store"),(INDEX(B1:XFD1,((A2)+(1))+(1)))=("P"),"false"),B2,P380),P380))</f>
        <v>#VALUE!</v>
      </c>
      <c r="Q380" t="e">
        <f ca="1">IF((A1)=(2),"",IF((377)=(Q3),IF(IF((INDEX(B1:XFD1,((A2)+(1))+(0)))=("store"),(INDEX(B1:XFD1,((A2)+(1))+(1)))=("Q"),"false"),B2,Q380),Q380))</f>
        <v>#VALUE!</v>
      </c>
      <c r="R380" t="e">
        <f ca="1">IF((A1)=(2),"",IF((377)=(R3),IF(IF((INDEX(B1:XFD1,((A2)+(1))+(0)))=("store"),(INDEX(B1:XFD1,((A2)+(1))+(1)))=("R"),"false"),B2,R380),R380))</f>
        <v>#VALUE!</v>
      </c>
      <c r="S380" t="e">
        <f ca="1">IF((A1)=(2),"",IF((377)=(S3),IF(IF((INDEX(B1:XFD1,((A2)+(1))+(0)))=("store"),(INDEX(B1:XFD1,((A2)+(1))+(1)))=("S"),"false"),B2,S380),S380))</f>
        <v>#VALUE!</v>
      </c>
      <c r="T380" t="e">
        <f ca="1">IF((A1)=(2),"",IF((377)=(T3),IF(IF((INDEX(B1:XFD1,((A2)+(1))+(0)))=("store"),(INDEX(B1:XFD1,((A2)+(1))+(1)))=("T"),"false"),B2,T380),T380))</f>
        <v>#VALUE!</v>
      </c>
      <c r="U380" t="e">
        <f ca="1">IF((A1)=(2),"",IF((377)=(U3),IF(IF((INDEX(B1:XFD1,((A2)+(1))+(0)))=("store"),(INDEX(B1:XFD1,((A2)+(1))+(1)))=("U"),"false"),B2,U380),U380))</f>
        <v>#VALUE!</v>
      </c>
      <c r="V380" t="e">
        <f ca="1">IF((A1)=(2),"",IF((377)=(V3),IF(IF((INDEX(B1:XFD1,((A2)+(1))+(0)))=("store"),(INDEX(B1:XFD1,((A2)+(1))+(1)))=("V"),"false"),B2,V380),V380))</f>
        <v>#VALUE!</v>
      </c>
      <c r="W380" t="e">
        <f ca="1">IF((A1)=(2),"",IF((377)=(W3),IF(IF((INDEX(B1:XFD1,((A2)+(1))+(0)))=("store"),(INDEX(B1:XFD1,((A2)+(1))+(1)))=("W"),"false"),B2,W380),W380))</f>
        <v>#VALUE!</v>
      </c>
      <c r="X380" t="e">
        <f ca="1">IF((A1)=(2),"",IF((377)=(X3),IF(IF((INDEX(B1:XFD1,((A2)+(1))+(0)))=("store"),(INDEX(B1:XFD1,((A2)+(1))+(1)))=("X"),"false"),B2,X380),X380))</f>
        <v>#VALUE!</v>
      </c>
      <c r="Y380" t="e">
        <f ca="1">IF((A1)=(2),"",IF((377)=(Y3),IF(IF((INDEX(B1:XFD1,((A2)+(1))+(0)))=("store"),(INDEX(B1:XFD1,((A2)+(1))+(1)))=("Y"),"false"),B2,Y380),Y380))</f>
        <v>#VALUE!</v>
      </c>
      <c r="Z380" t="e">
        <f ca="1">IF((A1)=(2),"",IF((377)=(Z3),IF(IF((INDEX(B1:XFD1,((A2)+(1))+(0)))=("store"),(INDEX(B1:XFD1,((A2)+(1))+(1)))=("Z"),"false"),B2,Z380),Z380))</f>
        <v>#VALUE!</v>
      </c>
      <c r="AA380" t="e">
        <f ca="1">IF((A1)=(2),"",IF((377)=(AA3),IF(IF((INDEX(B1:XFD1,((A2)+(1))+(0)))=("store"),(INDEX(B1:XFD1,((A2)+(1))+(1)))=("AA"),"false"),B2,AA380),AA380))</f>
        <v>#VALUE!</v>
      </c>
      <c r="AB380" t="e">
        <f ca="1">IF((A1)=(2),"",IF((377)=(AB3),IF(IF((INDEX(B1:XFD1,((A2)+(1))+(0)))=("store"),(INDEX(B1:XFD1,((A2)+(1))+(1)))=("AB"),"false"),B2,AB380),AB380))</f>
        <v>#VALUE!</v>
      </c>
      <c r="AC380" t="e">
        <f ca="1">IF((A1)=(2),"",IF((377)=(AC3),IF(IF((INDEX(B1:XFD1,((A2)+(1))+(0)))=("store"),(INDEX(B1:XFD1,((A2)+(1))+(1)))=("AC"),"false"),B2,AC380),AC380))</f>
        <v>#VALUE!</v>
      </c>
      <c r="AD380" t="e">
        <f ca="1">IF((A1)=(2),"",IF((377)=(AD3),IF(IF((INDEX(B1:XFD1,((A2)+(1))+(0)))=("store"),(INDEX(B1:XFD1,((A2)+(1))+(1)))=("AD"),"false"),B2,AD380),AD380))</f>
        <v>#VALUE!</v>
      </c>
    </row>
    <row r="381" spans="1:30" x14ac:dyDescent="0.25">
      <c r="A381" t="e">
        <f ca="1">IF((A1)=(2),"",IF((378)=(A3),IF(("call")=(INDEX(B1:XFD1,((A2)+(1))+(0))),(B2)*(2),IF(("goto")=(INDEX(B1:XFD1,((A2)+(1))+(0))),(INDEX(B1:XFD1,((A2)+(1))+(1)))*(2),IF(("gotoiftrue")=(INDEX(B1:XFD1,((A2)+(1))+(0))),IF(B2,(INDEX(B1:XFD1,((A2)+(1))+(1)))*(2),(A381)+(2)),(A381)+(2)))),A381))</f>
        <v>#VALUE!</v>
      </c>
      <c r="B381" t="e">
        <f ca="1">IF((A1)=(2),"",IF((378)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381)+(1)),IF(("add")=(INDEX(B1:XFD1,((A2)+(1))+(0))),(INDEX(B4:B404,(B3)+(1)))+(B381),IF(("equals")=(INDEX(B1:XFD1,((A2)+(1))+(0))),(INDEX(B4:B404,(B3)+(1)))=(B381),IF(("leq")=(INDEX(B1:XFD1,((A2)+(1))+(0))),(INDEX(B4:B404,(B3)+(1)))&lt;=(B381),IF(("greater")=(INDEX(B1:XFD1,((A2)+(1))+(0))),(INDEX(B4:B404,(B3)+(1)))&gt;(B381),IF(("mod")=(INDEX(B1:XFD1,((A2)+(1))+(0))),MOD(INDEX(B4:B404,(B3)+(1)),B381),B381))))))))),B381))</f>
        <v>#VALUE!</v>
      </c>
      <c r="C381" t="e">
        <f ca="1">IF((A1)=(2),1,IF(AND((INDEX(B1:XFD1,((A2)+(1))+(0)))=("writeheap"),(INDEX(B4:B404,(B3)+(1)))=(377)),INDEX(B4:B404,(B3)+(2)),IF((A1)=(2),"",IF((378)=(C3),C381,C381))))</f>
        <v>#VALUE!</v>
      </c>
      <c r="E381" t="e">
        <f ca="1">IF((A1)=(2),"",IF((378)=(E3),IF(("outputline")=(INDEX(B1:XFD1,((A2)+(1))+(0))),B2,E381),E381))</f>
        <v>#VALUE!</v>
      </c>
      <c r="F381" t="e">
        <f ca="1">IF((A1)=(2),"",IF((378)=(F3),IF(IF((INDEX(B1:XFD1,((A2)+(1))+(0)))=("store"),(INDEX(B1:XFD1,((A2)+(1))+(1)))=("F"),"false"),B2,F381),F381))</f>
        <v>#VALUE!</v>
      </c>
      <c r="G381" t="e">
        <f ca="1">IF((A1)=(2),"",IF((378)=(G3),IF(IF((INDEX(B1:XFD1,((A2)+(1))+(0)))=("store"),(INDEX(B1:XFD1,((A2)+(1))+(1)))=("G"),"false"),B2,G381),G381))</f>
        <v>#VALUE!</v>
      </c>
      <c r="H381" t="e">
        <f ca="1">IF((A1)=(2),"",IF((378)=(H3),IF(IF((INDEX(B1:XFD1,((A2)+(1))+(0)))=("store"),(INDEX(B1:XFD1,((A2)+(1))+(1)))=("H"),"false"),B2,H381),H381))</f>
        <v>#VALUE!</v>
      </c>
      <c r="I381" t="e">
        <f ca="1">IF((A1)=(2),"",IF((378)=(I3),IF(IF((INDEX(B1:XFD1,((A2)+(1))+(0)))=("store"),(INDEX(B1:XFD1,((A2)+(1))+(1)))=("I"),"false"),B2,I381),I381))</f>
        <v>#VALUE!</v>
      </c>
      <c r="J381" t="e">
        <f ca="1">IF((A1)=(2),"",IF((378)=(J3),IF(IF((INDEX(B1:XFD1,((A2)+(1))+(0)))=("store"),(INDEX(B1:XFD1,((A2)+(1))+(1)))=("J"),"false"),B2,J381),J381))</f>
        <v>#VALUE!</v>
      </c>
      <c r="K381" t="e">
        <f ca="1">IF((A1)=(2),"",IF((378)=(K3),IF(IF((INDEX(B1:XFD1,((A2)+(1))+(0)))=("store"),(INDEX(B1:XFD1,((A2)+(1))+(1)))=("K"),"false"),B2,K381),K381))</f>
        <v>#VALUE!</v>
      </c>
      <c r="L381" t="e">
        <f ca="1">IF((A1)=(2),"",IF((378)=(L3),IF(IF((INDEX(B1:XFD1,((A2)+(1))+(0)))=("store"),(INDEX(B1:XFD1,((A2)+(1))+(1)))=("L"),"false"),B2,L381),L381))</f>
        <v>#VALUE!</v>
      </c>
      <c r="M381" t="e">
        <f ca="1">IF((A1)=(2),"",IF((378)=(M3),IF(IF((INDEX(B1:XFD1,((A2)+(1))+(0)))=("store"),(INDEX(B1:XFD1,((A2)+(1))+(1)))=("M"),"false"),B2,M381),M381))</f>
        <v>#VALUE!</v>
      </c>
      <c r="N381" t="e">
        <f ca="1">IF((A1)=(2),"",IF((378)=(N3),IF(IF((INDEX(B1:XFD1,((A2)+(1))+(0)))=("store"),(INDEX(B1:XFD1,((A2)+(1))+(1)))=("N"),"false"),B2,N381),N381))</f>
        <v>#VALUE!</v>
      </c>
      <c r="O381" t="e">
        <f ca="1">IF((A1)=(2),"",IF((378)=(O3),IF(IF((INDEX(B1:XFD1,((A2)+(1))+(0)))=("store"),(INDEX(B1:XFD1,((A2)+(1))+(1)))=("O"),"false"),B2,O381),O381))</f>
        <v>#VALUE!</v>
      </c>
      <c r="P381" t="e">
        <f ca="1">IF((A1)=(2),"",IF((378)=(P3),IF(IF((INDEX(B1:XFD1,((A2)+(1))+(0)))=("store"),(INDEX(B1:XFD1,((A2)+(1))+(1)))=("P"),"false"),B2,P381),P381))</f>
        <v>#VALUE!</v>
      </c>
      <c r="Q381" t="e">
        <f ca="1">IF((A1)=(2),"",IF((378)=(Q3),IF(IF((INDEX(B1:XFD1,((A2)+(1))+(0)))=("store"),(INDEX(B1:XFD1,((A2)+(1))+(1)))=("Q"),"false"),B2,Q381),Q381))</f>
        <v>#VALUE!</v>
      </c>
      <c r="R381" t="e">
        <f ca="1">IF((A1)=(2),"",IF((378)=(R3),IF(IF((INDEX(B1:XFD1,((A2)+(1))+(0)))=("store"),(INDEX(B1:XFD1,((A2)+(1))+(1)))=("R"),"false"),B2,R381),R381))</f>
        <v>#VALUE!</v>
      </c>
      <c r="S381" t="e">
        <f ca="1">IF((A1)=(2),"",IF((378)=(S3),IF(IF((INDEX(B1:XFD1,((A2)+(1))+(0)))=("store"),(INDEX(B1:XFD1,((A2)+(1))+(1)))=("S"),"false"),B2,S381),S381))</f>
        <v>#VALUE!</v>
      </c>
      <c r="T381" t="e">
        <f ca="1">IF((A1)=(2),"",IF((378)=(T3),IF(IF((INDEX(B1:XFD1,((A2)+(1))+(0)))=("store"),(INDEX(B1:XFD1,((A2)+(1))+(1)))=("T"),"false"),B2,T381),T381))</f>
        <v>#VALUE!</v>
      </c>
      <c r="U381" t="e">
        <f ca="1">IF((A1)=(2),"",IF((378)=(U3),IF(IF((INDEX(B1:XFD1,((A2)+(1))+(0)))=("store"),(INDEX(B1:XFD1,((A2)+(1))+(1)))=("U"),"false"),B2,U381),U381))</f>
        <v>#VALUE!</v>
      </c>
      <c r="V381" t="e">
        <f ca="1">IF((A1)=(2),"",IF((378)=(V3),IF(IF((INDEX(B1:XFD1,((A2)+(1))+(0)))=("store"),(INDEX(B1:XFD1,((A2)+(1))+(1)))=("V"),"false"),B2,V381),V381))</f>
        <v>#VALUE!</v>
      </c>
      <c r="W381" t="e">
        <f ca="1">IF((A1)=(2),"",IF((378)=(W3),IF(IF((INDEX(B1:XFD1,((A2)+(1))+(0)))=("store"),(INDEX(B1:XFD1,((A2)+(1))+(1)))=("W"),"false"),B2,W381),W381))</f>
        <v>#VALUE!</v>
      </c>
      <c r="X381" t="e">
        <f ca="1">IF((A1)=(2),"",IF((378)=(X3),IF(IF((INDEX(B1:XFD1,((A2)+(1))+(0)))=("store"),(INDEX(B1:XFD1,((A2)+(1))+(1)))=("X"),"false"),B2,X381),X381))</f>
        <v>#VALUE!</v>
      </c>
      <c r="Y381" t="e">
        <f ca="1">IF((A1)=(2),"",IF((378)=(Y3),IF(IF((INDEX(B1:XFD1,((A2)+(1))+(0)))=("store"),(INDEX(B1:XFD1,((A2)+(1))+(1)))=("Y"),"false"),B2,Y381),Y381))</f>
        <v>#VALUE!</v>
      </c>
      <c r="Z381" t="e">
        <f ca="1">IF((A1)=(2),"",IF((378)=(Z3),IF(IF((INDEX(B1:XFD1,((A2)+(1))+(0)))=("store"),(INDEX(B1:XFD1,((A2)+(1))+(1)))=("Z"),"false"),B2,Z381),Z381))</f>
        <v>#VALUE!</v>
      </c>
      <c r="AA381" t="e">
        <f ca="1">IF((A1)=(2),"",IF((378)=(AA3),IF(IF((INDEX(B1:XFD1,((A2)+(1))+(0)))=("store"),(INDEX(B1:XFD1,((A2)+(1))+(1)))=("AA"),"false"),B2,AA381),AA381))</f>
        <v>#VALUE!</v>
      </c>
      <c r="AB381" t="e">
        <f ca="1">IF((A1)=(2),"",IF((378)=(AB3),IF(IF((INDEX(B1:XFD1,((A2)+(1))+(0)))=("store"),(INDEX(B1:XFD1,((A2)+(1))+(1)))=("AB"),"false"),B2,AB381),AB381))</f>
        <v>#VALUE!</v>
      </c>
      <c r="AC381" t="e">
        <f ca="1">IF((A1)=(2),"",IF((378)=(AC3),IF(IF((INDEX(B1:XFD1,((A2)+(1))+(0)))=("store"),(INDEX(B1:XFD1,((A2)+(1))+(1)))=("AC"),"false"),B2,AC381),AC381))</f>
        <v>#VALUE!</v>
      </c>
      <c r="AD381" t="e">
        <f ca="1">IF((A1)=(2),"",IF((378)=(AD3),IF(IF((INDEX(B1:XFD1,((A2)+(1))+(0)))=("store"),(INDEX(B1:XFD1,((A2)+(1))+(1)))=("AD"),"false"),B2,AD381),AD381))</f>
        <v>#VALUE!</v>
      </c>
    </row>
    <row r="382" spans="1:30" x14ac:dyDescent="0.25">
      <c r="A382" t="e">
        <f ca="1">IF((A1)=(2),"",IF((379)=(A3),IF(("call")=(INDEX(B1:XFD1,((A2)+(1))+(0))),(B2)*(2),IF(("goto")=(INDEX(B1:XFD1,((A2)+(1))+(0))),(INDEX(B1:XFD1,((A2)+(1))+(1)))*(2),IF(("gotoiftrue")=(INDEX(B1:XFD1,((A2)+(1))+(0))),IF(B2,(INDEX(B1:XFD1,((A2)+(1))+(1)))*(2),(A382)+(2)),(A382)+(2)))),A382))</f>
        <v>#VALUE!</v>
      </c>
      <c r="B382" t="e">
        <f ca="1">IF((A1)=(2),"",IF((379)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382)+(1)),IF(("add")=(INDEX(B1:XFD1,((A2)+(1))+(0))),(INDEX(B4:B404,(B3)+(1)))+(B382),IF(("equals")=(INDEX(B1:XFD1,((A2)+(1))+(0))),(INDEX(B4:B404,(B3)+(1)))=(B382),IF(("leq")=(INDEX(B1:XFD1,((A2)+(1))+(0))),(INDEX(B4:B404,(B3)+(1)))&lt;=(B382),IF(("greater")=(INDEX(B1:XFD1,((A2)+(1))+(0))),(INDEX(B4:B404,(B3)+(1)))&gt;(B382),IF(("mod")=(INDEX(B1:XFD1,((A2)+(1))+(0))),MOD(INDEX(B4:B404,(B3)+(1)),B382),B382))))))))),B382))</f>
        <v>#VALUE!</v>
      </c>
      <c r="C382" t="e">
        <f ca="1">IF((A1)=(2),1,IF(AND((INDEX(B1:XFD1,((A2)+(1))+(0)))=("writeheap"),(INDEX(B4:B404,(B3)+(1)))=(378)),INDEX(B4:B404,(B3)+(2)),IF((A1)=(2),"",IF((379)=(C3),C382,C382))))</f>
        <v>#VALUE!</v>
      </c>
      <c r="E382" t="e">
        <f ca="1">IF((A1)=(2),"",IF((379)=(E3),IF(("outputline")=(INDEX(B1:XFD1,((A2)+(1))+(0))),B2,E382),E382))</f>
        <v>#VALUE!</v>
      </c>
      <c r="F382" t="e">
        <f ca="1">IF((A1)=(2),"",IF((379)=(F3),IF(IF((INDEX(B1:XFD1,((A2)+(1))+(0)))=("store"),(INDEX(B1:XFD1,((A2)+(1))+(1)))=("F"),"false"),B2,F382),F382))</f>
        <v>#VALUE!</v>
      </c>
      <c r="G382" t="e">
        <f ca="1">IF((A1)=(2),"",IF((379)=(G3),IF(IF((INDEX(B1:XFD1,((A2)+(1))+(0)))=("store"),(INDEX(B1:XFD1,((A2)+(1))+(1)))=("G"),"false"),B2,G382),G382))</f>
        <v>#VALUE!</v>
      </c>
      <c r="H382" t="e">
        <f ca="1">IF((A1)=(2),"",IF((379)=(H3),IF(IF((INDEX(B1:XFD1,((A2)+(1))+(0)))=("store"),(INDEX(B1:XFD1,((A2)+(1))+(1)))=("H"),"false"),B2,H382),H382))</f>
        <v>#VALUE!</v>
      </c>
      <c r="I382" t="e">
        <f ca="1">IF((A1)=(2),"",IF((379)=(I3),IF(IF((INDEX(B1:XFD1,((A2)+(1))+(0)))=("store"),(INDEX(B1:XFD1,((A2)+(1))+(1)))=("I"),"false"),B2,I382),I382))</f>
        <v>#VALUE!</v>
      </c>
      <c r="J382" t="e">
        <f ca="1">IF((A1)=(2),"",IF((379)=(J3),IF(IF((INDEX(B1:XFD1,((A2)+(1))+(0)))=("store"),(INDEX(B1:XFD1,((A2)+(1))+(1)))=("J"),"false"),B2,J382),J382))</f>
        <v>#VALUE!</v>
      </c>
      <c r="K382" t="e">
        <f ca="1">IF((A1)=(2),"",IF((379)=(K3),IF(IF((INDEX(B1:XFD1,((A2)+(1))+(0)))=("store"),(INDEX(B1:XFD1,((A2)+(1))+(1)))=("K"),"false"),B2,K382),K382))</f>
        <v>#VALUE!</v>
      </c>
      <c r="L382" t="e">
        <f ca="1">IF((A1)=(2),"",IF((379)=(L3),IF(IF((INDEX(B1:XFD1,((A2)+(1))+(0)))=("store"),(INDEX(B1:XFD1,((A2)+(1))+(1)))=("L"),"false"),B2,L382),L382))</f>
        <v>#VALUE!</v>
      </c>
      <c r="M382" t="e">
        <f ca="1">IF((A1)=(2),"",IF((379)=(M3),IF(IF((INDEX(B1:XFD1,((A2)+(1))+(0)))=("store"),(INDEX(B1:XFD1,((A2)+(1))+(1)))=("M"),"false"),B2,M382),M382))</f>
        <v>#VALUE!</v>
      </c>
      <c r="N382" t="e">
        <f ca="1">IF((A1)=(2),"",IF((379)=(N3),IF(IF((INDEX(B1:XFD1,((A2)+(1))+(0)))=("store"),(INDEX(B1:XFD1,((A2)+(1))+(1)))=("N"),"false"),B2,N382),N382))</f>
        <v>#VALUE!</v>
      </c>
      <c r="O382" t="e">
        <f ca="1">IF((A1)=(2),"",IF((379)=(O3),IF(IF((INDEX(B1:XFD1,((A2)+(1))+(0)))=("store"),(INDEX(B1:XFD1,((A2)+(1))+(1)))=("O"),"false"),B2,O382),O382))</f>
        <v>#VALUE!</v>
      </c>
      <c r="P382" t="e">
        <f ca="1">IF((A1)=(2),"",IF((379)=(P3),IF(IF((INDEX(B1:XFD1,((A2)+(1))+(0)))=("store"),(INDEX(B1:XFD1,((A2)+(1))+(1)))=("P"),"false"),B2,P382),P382))</f>
        <v>#VALUE!</v>
      </c>
      <c r="Q382" t="e">
        <f ca="1">IF((A1)=(2),"",IF((379)=(Q3),IF(IF((INDEX(B1:XFD1,((A2)+(1))+(0)))=("store"),(INDEX(B1:XFD1,((A2)+(1))+(1)))=("Q"),"false"),B2,Q382),Q382))</f>
        <v>#VALUE!</v>
      </c>
      <c r="R382" t="e">
        <f ca="1">IF((A1)=(2),"",IF((379)=(R3),IF(IF((INDEX(B1:XFD1,((A2)+(1))+(0)))=("store"),(INDEX(B1:XFD1,((A2)+(1))+(1)))=("R"),"false"),B2,R382),R382))</f>
        <v>#VALUE!</v>
      </c>
      <c r="S382" t="e">
        <f ca="1">IF((A1)=(2),"",IF((379)=(S3),IF(IF((INDEX(B1:XFD1,((A2)+(1))+(0)))=("store"),(INDEX(B1:XFD1,((A2)+(1))+(1)))=("S"),"false"),B2,S382),S382))</f>
        <v>#VALUE!</v>
      </c>
      <c r="T382" t="e">
        <f ca="1">IF((A1)=(2),"",IF((379)=(T3),IF(IF((INDEX(B1:XFD1,((A2)+(1))+(0)))=("store"),(INDEX(B1:XFD1,((A2)+(1))+(1)))=("T"),"false"),B2,T382),T382))</f>
        <v>#VALUE!</v>
      </c>
      <c r="U382" t="e">
        <f ca="1">IF((A1)=(2),"",IF((379)=(U3),IF(IF((INDEX(B1:XFD1,((A2)+(1))+(0)))=("store"),(INDEX(B1:XFD1,((A2)+(1))+(1)))=("U"),"false"),B2,U382),U382))</f>
        <v>#VALUE!</v>
      </c>
      <c r="V382" t="e">
        <f ca="1">IF((A1)=(2),"",IF((379)=(V3),IF(IF((INDEX(B1:XFD1,((A2)+(1))+(0)))=("store"),(INDEX(B1:XFD1,((A2)+(1))+(1)))=("V"),"false"),B2,V382),V382))</f>
        <v>#VALUE!</v>
      </c>
      <c r="W382" t="e">
        <f ca="1">IF((A1)=(2),"",IF((379)=(W3),IF(IF((INDEX(B1:XFD1,((A2)+(1))+(0)))=("store"),(INDEX(B1:XFD1,((A2)+(1))+(1)))=("W"),"false"),B2,W382),W382))</f>
        <v>#VALUE!</v>
      </c>
      <c r="X382" t="e">
        <f ca="1">IF((A1)=(2),"",IF((379)=(X3),IF(IF((INDEX(B1:XFD1,((A2)+(1))+(0)))=("store"),(INDEX(B1:XFD1,((A2)+(1))+(1)))=("X"),"false"),B2,X382),X382))</f>
        <v>#VALUE!</v>
      </c>
      <c r="Y382" t="e">
        <f ca="1">IF((A1)=(2),"",IF((379)=(Y3),IF(IF((INDEX(B1:XFD1,((A2)+(1))+(0)))=("store"),(INDEX(B1:XFD1,((A2)+(1))+(1)))=("Y"),"false"),B2,Y382),Y382))</f>
        <v>#VALUE!</v>
      </c>
      <c r="Z382" t="e">
        <f ca="1">IF((A1)=(2),"",IF((379)=(Z3),IF(IF((INDEX(B1:XFD1,((A2)+(1))+(0)))=("store"),(INDEX(B1:XFD1,((A2)+(1))+(1)))=("Z"),"false"),B2,Z382),Z382))</f>
        <v>#VALUE!</v>
      </c>
      <c r="AA382" t="e">
        <f ca="1">IF((A1)=(2),"",IF((379)=(AA3),IF(IF((INDEX(B1:XFD1,((A2)+(1))+(0)))=("store"),(INDEX(B1:XFD1,((A2)+(1))+(1)))=("AA"),"false"),B2,AA382),AA382))</f>
        <v>#VALUE!</v>
      </c>
      <c r="AB382" t="e">
        <f ca="1">IF((A1)=(2),"",IF((379)=(AB3),IF(IF((INDEX(B1:XFD1,((A2)+(1))+(0)))=("store"),(INDEX(B1:XFD1,((A2)+(1))+(1)))=("AB"),"false"),B2,AB382),AB382))</f>
        <v>#VALUE!</v>
      </c>
      <c r="AC382" t="e">
        <f ca="1">IF((A1)=(2),"",IF((379)=(AC3),IF(IF((INDEX(B1:XFD1,((A2)+(1))+(0)))=("store"),(INDEX(B1:XFD1,((A2)+(1))+(1)))=("AC"),"false"),B2,AC382),AC382))</f>
        <v>#VALUE!</v>
      </c>
      <c r="AD382" t="e">
        <f ca="1">IF((A1)=(2),"",IF((379)=(AD3),IF(IF((INDEX(B1:XFD1,((A2)+(1))+(0)))=("store"),(INDEX(B1:XFD1,((A2)+(1))+(1)))=("AD"),"false"),B2,AD382),AD382))</f>
        <v>#VALUE!</v>
      </c>
    </row>
    <row r="383" spans="1:30" x14ac:dyDescent="0.25">
      <c r="A383" t="e">
        <f ca="1">IF((A1)=(2),"",IF((380)=(A3),IF(("call")=(INDEX(B1:XFD1,((A2)+(1))+(0))),(B2)*(2),IF(("goto")=(INDEX(B1:XFD1,((A2)+(1))+(0))),(INDEX(B1:XFD1,((A2)+(1))+(1)))*(2),IF(("gotoiftrue")=(INDEX(B1:XFD1,((A2)+(1))+(0))),IF(B2,(INDEX(B1:XFD1,((A2)+(1))+(1)))*(2),(A383)+(2)),(A383)+(2)))),A383))</f>
        <v>#VALUE!</v>
      </c>
      <c r="B383" t="e">
        <f ca="1">IF((A1)=(2),"",IF((380)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383)+(1)),IF(("add")=(INDEX(B1:XFD1,((A2)+(1))+(0))),(INDEX(B4:B404,(B3)+(1)))+(B383),IF(("equals")=(INDEX(B1:XFD1,((A2)+(1))+(0))),(INDEX(B4:B404,(B3)+(1)))=(B383),IF(("leq")=(INDEX(B1:XFD1,((A2)+(1))+(0))),(INDEX(B4:B404,(B3)+(1)))&lt;=(B383),IF(("greater")=(INDEX(B1:XFD1,((A2)+(1))+(0))),(INDEX(B4:B404,(B3)+(1)))&gt;(B383),IF(("mod")=(INDEX(B1:XFD1,((A2)+(1))+(0))),MOD(INDEX(B4:B404,(B3)+(1)),B383),B383))))))))),B383))</f>
        <v>#VALUE!</v>
      </c>
      <c r="C383" t="e">
        <f ca="1">IF((A1)=(2),1,IF(AND((INDEX(B1:XFD1,((A2)+(1))+(0)))=("writeheap"),(INDEX(B4:B404,(B3)+(1)))=(379)),INDEX(B4:B404,(B3)+(2)),IF((A1)=(2),"",IF((380)=(C3),C383,C383))))</f>
        <v>#VALUE!</v>
      </c>
      <c r="E383" t="e">
        <f ca="1">IF((A1)=(2),"",IF((380)=(E3),IF(("outputline")=(INDEX(B1:XFD1,((A2)+(1))+(0))),B2,E383),E383))</f>
        <v>#VALUE!</v>
      </c>
      <c r="F383" t="e">
        <f ca="1">IF((A1)=(2),"",IF((380)=(F3),IF(IF((INDEX(B1:XFD1,((A2)+(1))+(0)))=("store"),(INDEX(B1:XFD1,((A2)+(1))+(1)))=("F"),"false"),B2,F383),F383))</f>
        <v>#VALUE!</v>
      </c>
      <c r="G383" t="e">
        <f ca="1">IF((A1)=(2),"",IF((380)=(G3),IF(IF((INDEX(B1:XFD1,((A2)+(1))+(0)))=("store"),(INDEX(B1:XFD1,((A2)+(1))+(1)))=("G"),"false"),B2,G383),G383))</f>
        <v>#VALUE!</v>
      </c>
      <c r="H383" t="e">
        <f ca="1">IF((A1)=(2),"",IF((380)=(H3),IF(IF((INDEX(B1:XFD1,((A2)+(1))+(0)))=("store"),(INDEX(B1:XFD1,((A2)+(1))+(1)))=("H"),"false"),B2,H383),H383))</f>
        <v>#VALUE!</v>
      </c>
      <c r="I383" t="e">
        <f ca="1">IF((A1)=(2),"",IF((380)=(I3),IF(IF((INDEX(B1:XFD1,((A2)+(1))+(0)))=("store"),(INDEX(B1:XFD1,((A2)+(1))+(1)))=("I"),"false"),B2,I383),I383))</f>
        <v>#VALUE!</v>
      </c>
      <c r="J383" t="e">
        <f ca="1">IF((A1)=(2),"",IF((380)=(J3),IF(IF((INDEX(B1:XFD1,((A2)+(1))+(0)))=("store"),(INDEX(B1:XFD1,((A2)+(1))+(1)))=("J"),"false"),B2,J383),J383))</f>
        <v>#VALUE!</v>
      </c>
      <c r="K383" t="e">
        <f ca="1">IF((A1)=(2),"",IF((380)=(K3),IF(IF((INDEX(B1:XFD1,((A2)+(1))+(0)))=("store"),(INDEX(B1:XFD1,((A2)+(1))+(1)))=("K"),"false"),B2,K383),K383))</f>
        <v>#VALUE!</v>
      </c>
      <c r="L383" t="e">
        <f ca="1">IF((A1)=(2),"",IF((380)=(L3),IF(IF((INDEX(B1:XFD1,((A2)+(1))+(0)))=("store"),(INDEX(B1:XFD1,((A2)+(1))+(1)))=("L"),"false"),B2,L383),L383))</f>
        <v>#VALUE!</v>
      </c>
      <c r="M383" t="e">
        <f ca="1">IF((A1)=(2),"",IF((380)=(M3),IF(IF((INDEX(B1:XFD1,((A2)+(1))+(0)))=("store"),(INDEX(B1:XFD1,((A2)+(1))+(1)))=("M"),"false"),B2,M383),M383))</f>
        <v>#VALUE!</v>
      </c>
      <c r="N383" t="e">
        <f ca="1">IF((A1)=(2),"",IF((380)=(N3),IF(IF((INDEX(B1:XFD1,((A2)+(1))+(0)))=("store"),(INDEX(B1:XFD1,((A2)+(1))+(1)))=("N"),"false"),B2,N383),N383))</f>
        <v>#VALUE!</v>
      </c>
      <c r="O383" t="e">
        <f ca="1">IF((A1)=(2),"",IF((380)=(O3),IF(IF((INDEX(B1:XFD1,((A2)+(1))+(0)))=("store"),(INDEX(B1:XFD1,((A2)+(1))+(1)))=("O"),"false"),B2,O383),O383))</f>
        <v>#VALUE!</v>
      </c>
      <c r="P383" t="e">
        <f ca="1">IF((A1)=(2),"",IF((380)=(P3),IF(IF((INDEX(B1:XFD1,((A2)+(1))+(0)))=("store"),(INDEX(B1:XFD1,((A2)+(1))+(1)))=("P"),"false"),B2,P383),P383))</f>
        <v>#VALUE!</v>
      </c>
      <c r="Q383" t="e">
        <f ca="1">IF((A1)=(2),"",IF((380)=(Q3),IF(IF((INDEX(B1:XFD1,((A2)+(1))+(0)))=("store"),(INDEX(B1:XFD1,((A2)+(1))+(1)))=("Q"),"false"),B2,Q383),Q383))</f>
        <v>#VALUE!</v>
      </c>
      <c r="R383" t="e">
        <f ca="1">IF((A1)=(2),"",IF((380)=(R3),IF(IF((INDEX(B1:XFD1,((A2)+(1))+(0)))=("store"),(INDEX(B1:XFD1,((A2)+(1))+(1)))=("R"),"false"),B2,R383),R383))</f>
        <v>#VALUE!</v>
      </c>
      <c r="S383" t="e">
        <f ca="1">IF((A1)=(2),"",IF((380)=(S3),IF(IF((INDEX(B1:XFD1,((A2)+(1))+(0)))=("store"),(INDEX(B1:XFD1,((A2)+(1))+(1)))=("S"),"false"),B2,S383),S383))</f>
        <v>#VALUE!</v>
      </c>
      <c r="T383" t="e">
        <f ca="1">IF((A1)=(2),"",IF((380)=(T3),IF(IF((INDEX(B1:XFD1,((A2)+(1))+(0)))=("store"),(INDEX(B1:XFD1,((A2)+(1))+(1)))=("T"),"false"),B2,T383),T383))</f>
        <v>#VALUE!</v>
      </c>
      <c r="U383" t="e">
        <f ca="1">IF((A1)=(2),"",IF((380)=(U3),IF(IF((INDEX(B1:XFD1,((A2)+(1))+(0)))=("store"),(INDEX(B1:XFD1,((A2)+(1))+(1)))=("U"),"false"),B2,U383),U383))</f>
        <v>#VALUE!</v>
      </c>
      <c r="V383" t="e">
        <f ca="1">IF((A1)=(2),"",IF((380)=(V3),IF(IF((INDEX(B1:XFD1,((A2)+(1))+(0)))=("store"),(INDEX(B1:XFD1,((A2)+(1))+(1)))=("V"),"false"),B2,V383),V383))</f>
        <v>#VALUE!</v>
      </c>
      <c r="W383" t="e">
        <f ca="1">IF((A1)=(2),"",IF((380)=(W3),IF(IF((INDEX(B1:XFD1,((A2)+(1))+(0)))=("store"),(INDEX(B1:XFD1,((A2)+(1))+(1)))=("W"),"false"),B2,W383),W383))</f>
        <v>#VALUE!</v>
      </c>
      <c r="X383" t="e">
        <f ca="1">IF((A1)=(2),"",IF((380)=(X3),IF(IF((INDEX(B1:XFD1,((A2)+(1))+(0)))=("store"),(INDEX(B1:XFD1,((A2)+(1))+(1)))=("X"),"false"),B2,X383),X383))</f>
        <v>#VALUE!</v>
      </c>
      <c r="Y383" t="e">
        <f ca="1">IF((A1)=(2),"",IF((380)=(Y3),IF(IF((INDEX(B1:XFD1,((A2)+(1))+(0)))=("store"),(INDEX(B1:XFD1,((A2)+(1))+(1)))=("Y"),"false"),B2,Y383),Y383))</f>
        <v>#VALUE!</v>
      </c>
      <c r="Z383" t="e">
        <f ca="1">IF((A1)=(2),"",IF((380)=(Z3),IF(IF((INDEX(B1:XFD1,((A2)+(1))+(0)))=("store"),(INDEX(B1:XFD1,((A2)+(1))+(1)))=("Z"),"false"),B2,Z383),Z383))</f>
        <v>#VALUE!</v>
      </c>
      <c r="AA383" t="e">
        <f ca="1">IF((A1)=(2),"",IF((380)=(AA3),IF(IF((INDEX(B1:XFD1,((A2)+(1))+(0)))=("store"),(INDEX(B1:XFD1,((A2)+(1))+(1)))=("AA"),"false"),B2,AA383),AA383))</f>
        <v>#VALUE!</v>
      </c>
      <c r="AB383" t="e">
        <f ca="1">IF((A1)=(2),"",IF((380)=(AB3),IF(IF((INDEX(B1:XFD1,((A2)+(1))+(0)))=("store"),(INDEX(B1:XFD1,((A2)+(1))+(1)))=("AB"),"false"),B2,AB383),AB383))</f>
        <v>#VALUE!</v>
      </c>
      <c r="AC383" t="e">
        <f ca="1">IF((A1)=(2),"",IF((380)=(AC3),IF(IF((INDEX(B1:XFD1,((A2)+(1))+(0)))=("store"),(INDEX(B1:XFD1,((A2)+(1))+(1)))=("AC"),"false"),B2,AC383),AC383))</f>
        <v>#VALUE!</v>
      </c>
      <c r="AD383" t="e">
        <f ca="1">IF((A1)=(2),"",IF((380)=(AD3),IF(IF((INDEX(B1:XFD1,((A2)+(1))+(0)))=("store"),(INDEX(B1:XFD1,((A2)+(1))+(1)))=("AD"),"false"),B2,AD383),AD383))</f>
        <v>#VALUE!</v>
      </c>
    </row>
    <row r="384" spans="1:30" x14ac:dyDescent="0.25">
      <c r="A384" t="e">
        <f ca="1">IF((A1)=(2),"",IF((381)=(A3),IF(("call")=(INDEX(B1:XFD1,((A2)+(1))+(0))),(B2)*(2),IF(("goto")=(INDEX(B1:XFD1,((A2)+(1))+(0))),(INDEX(B1:XFD1,((A2)+(1))+(1)))*(2),IF(("gotoiftrue")=(INDEX(B1:XFD1,((A2)+(1))+(0))),IF(B2,(INDEX(B1:XFD1,((A2)+(1))+(1)))*(2),(A384)+(2)),(A384)+(2)))),A384))</f>
        <v>#VALUE!</v>
      </c>
      <c r="B384" t="e">
        <f ca="1">IF((A1)=(2),"",IF((381)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384)+(1)),IF(("add")=(INDEX(B1:XFD1,((A2)+(1))+(0))),(INDEX(B4:B404,(B3)+(1)))+(B384),IF(("equals")=(INDEX(B1:XFD1,((A2)+(1))+(0))),(INDEX(B4:B404,(B3)+(1)))=(B384),IF(("leq")=(INDEX(B1:XFD1,((A2)+(1))+(0))),(INDEX(B4:B404,(B3)+(1)))&lt;=(B384),IF(("greater")=(INDEX(B1:XFD1,((A2)+(1))+(0))),(INDEX(B4:B404,(B3)+(1)))&gt;(B384),IF(("mod")=(INDEX(B1:XFD1,((A2)+(1))+(0))),MOD(INDEX(B4:B404,(B3)+(1)),B384),B384))))))))),B384))</f>
        <v>#VALUE!</v>
      </c>
      <c r="C384" t="e">
        <f ca="1">IF((A1)=(2),1,IF(AND((INDEX(B1:XFD1,((A2)+(1))+(0)))=("writeheap"),(INDEX(B4:B404,(B3)+(1)))=(380)),INDEX(B4:B404,(B3)+(2)),IF((A1)=(2),"",IF((381)=(C3),C384,C384))))</f>
        <v>#VALUE!</v>
      </c>
      <c r="E384" t="e">
        <f ca="1">IF((A1)=(2),"",IF((381)=(E3),IF(("outputline")=(INDEX(B1:XFD1,((A2)+(1))+(0))),B2,E384),E384))</f>
        <v>#VALUE!</v>
      </c>
      <c r="F384" t="e">
        <f ca="1">IF((A1)=(2),"",IF((381)=(F3),IF(IF((INDEX(B1:XFD1,((A2)+(1))+(0)))=("store"),(INDEX(B1:XFD1,((A2)+(1))+(1)))=("F"),"false"),B2,F384),F384))</f>
        <v>#VALUE!</v>
      </c>
      <c r="G384" t="e">
        <f ca="1">IF((A1)=(2),"",IF((381)=(G3),IF(IF((INDEX(B1:XFD1,((A2)+(1))+(0)))=("store"),(INDEX(B1:XFD1,((A2)+(1))+(1)))=("G"),"false"),B2,G384),G384))</f>
        <v>#VALUE!</v>
      </c>
      <c r="H384" t="e">
        <f ca="1">IF((A1)=(2),"",IF((381)=(H3),IF(IF((INDEX(B1:XFD1,((A2)+(1))+(0)))=("store"),(INDEX(B1:XFD1,((A2)+(1))+(1)))=("H"),"false"),B2,H384),H384))</f>
        <v>#VALUE!</v>
      </c>
      <c r="I384" t="e">
        <f ca="1">IF((A1)=(2),"",IF((381)=(I3),IF(IF((INDEX(B1:XFD1,((A2)+(1))+(0)))=("store"),(INDEX(B1:XFD1,((A2)+(1))+(1)))=("I"),"false"),B2,I384),I384))</f>
        <v>#VALUE!</v>
      </c>
      <c r="J384" t="e">
        <f ca="1">IF((A1)=(2),"",IF((381)=(J3),IF(IF((INDEX(B1:XFD1,((A2)+(1))+(0)))=("store"),(INDEX(B1:XFD1,((A2)+(1))+(1)))=("J"),"false"),B2,J384),J384))</f>
        <v>#VALUE!</v>
      </c>
      <c r="K384" t="e">
        <f ca="1">IF((A1)=(2),"",IF((381)=(K3),IF(IF((INDEX(B1:XFD1,((A2)+(1))+(0)))=("store"),(INDEX(B1:XFD1,((A2)+(1))+(1)))=("K"),"false"),B2,K384),K384))</f>
        <v>#VALUE!</v>
      </c>
      <c r="L384" t="e">
        <f ca="1">IF((A1)=(2),"",IF((381)=(L3),IF(IF((INDEX(B1:XFD1,((A2)+(1))+(0)))=("store"),(INDEX(B1:XFD1,((A2)+(1))+(1)))=("L"),"false"),B2,L384),L384))</f>
        <v>#VALUE!</v>
      </c>
      <c r="M384" t="e">
        <f ca="1">IF((A1)=(2),"",IF((381)=(M3),IF(IF((INDEX(B1:XFD1,((A2)+(1))+(0)))=("store"),(INDEX(B1:XFD1,((A2)+(1))+(1)))=("M"),"false"),B2,M384),M384))</f>
        <v>#VALUE!</v>
      </c>
      <c r="N384" t="e">
        <f ca="1">IF((A1)=(2),"",IF((381)=(N3),IF(IF((INDEX(B1:XFD1,((A2)+(1))+(0)))=("store"),(INDEX(B1:XFD1,((A2)+(1))+(1)))=("N"),"false"),B2,N384),N384))</f>
        <v>#VALUE!</v>
      </c>
      <c r="O384" t="e">
        <f ca="1">IF((A1)=(2),"",IF((381)=(O3),IF(IF((INDEX(B1:XFD1,((A2)+(1))+(0)))=("store"),(INDEX(B1:XFD1,((A2)+(1))+(1)))=("O"),"false"),B2,O384),O384))</f>
        <v>#VALUE!</v>
      </c>
      <c r="P384" t="e">
        <f ca="1">IF((A1)=(2),"",IF((381)=(P3),IF(IF((INDEX(B1:XFD1,((A2)+(1))+(0)))=("store"),(INDEX(B1:XFD1,((A2)+(1))+(1)))=("P"),"false"),B2,P384),P384))</f>
        <v>#VALUE!</v>
      </c>
      <c r="Q384" t="e">
        <f ca="1">IF((A1)=(2),"",IF((381)=(Q3),IF(IF((INDEX(B1:XFD1,((A2)+(1))+(0)))=("store"),(INDEX(B1:XFD1,((A2)+(1))+(1)))=("Q"),"false"),B2,Q384),Q384))</f>
        <v>#VALUE!</v>
      </c>
      <c r="R384" t="e">
        <f ca="1">IF((A1)=(2),"",IF((381)=(R3),IF(IF((INDEX(B1:XFD1,((A2)+(1))+(0)))=("store"),(INDEX(B1:XFD1,((A2)+(1))+(1)))=("R"),"false"),B2,R384),R384))</f>
        <v>#VALUE!</v>
      </c>
      <c r="S384" t="e">
        <f ca="1">IF((A1)=(2),"",IF((381)=(S3),IF(IF((INDEX(B1:XFD1,((A2)+(1))+(0)))=("store"),(INDEX(B1:XFD1,((A2)+(1))+(1)))=("S"),"false"),B2,S384),S384))</f>
        <v>#VALUE!</v>
      </c>
      <c r="T384" t="e">
        <f ca="1">IF((A1)=(2),"",IF((381)=(T3),IF(IF((INDEX(B1:XFD1,((A2)+(1))+(0)))=("store"),(INDEX(B1:XFD1,((A2)+(1))+(1)))=("T"),"false"),B2,T384),T384))</f>
        <v>#VALUE!</v>
      </c>
      <c r="U384" t="e">
        <f ca="1">IF((A1)=(2),"",IF((381)=(U3),IF(IF((INDEX(B1:XFD1,((A2)+(1))+(0)))=("store"),(INDEX(B1:XFD1,((A2)+(1))+(1)))=("U"),"false"),B2,U384),U384))</f>
        <v>#VALUE!</v>
      </c>
      <c r="V384" t="e">
        <f ca="1">IF((A1)=(2),"",IF((381)=(V3),IF(IF((INDEX(B1:XFD1,((A2)+(1))+(0)))=("store"),(INDEX(B1:XFD1,((A2)+(1))+(1)))=("V"),"false"),B2,V384),V384))</f>
        <v>#VALUE!</v>
      </c>
      <c r="W384" t="e">
        <f ca="1">IF((A1)=(2),"",IF((381)=(W3),IF(IF((INDEX(B1:XFD1,((A2)+(1))+(0)))=("store"),(INDEX(B1:XFD1,((A2)+(1))+(1)))=("W"),"false"),B2,W384),W384))</f>
        <v>#VALUE!</v>
      </c>
      <c r="X384" t="e">
        <f ca="1">IF((A1)=(2),"",IF((381)=(X3),IF(IF((INDEX(B1:XFD1,((A2)+(1))+(0)))=("store"),(INDEX(B1:XFD1,((A2)+(1))+(1)))=("X"),"false"),B2,X384),X384))</f>
        <v>#VALUE!</v>
      </c>
      <c r="Y384" t="e">
        <f ca="1">IF((A1)=(2),"",IF((381)=(Y3),IF(IF((INDEX(B1:XFD1,((A2)+(1))+(0)))=("store"),(INDEX(B1:XFD1,((A2)+(1))+(1)))=("Y"),"false"),B2,Y384),Y384))</f>
        <v>#VALUE!</v>
      </c>
      <c r="Z384" t="e">
        <f ca="1">IF((A1)=(2),"",IF((381)=(Z3),IF(IF((INDEX(B1:XFD1,((A2)+(1))+(0)))=("store"),(INDEX(B1:XFD1,((A2)+(1))+(1)))=("Z"),"false"),B2,Z384),Z384))</f>
        <v>#VALUE!</v>
      </c>
      <c r="AA384" t="e">
        <f ca="1">IF((A1)=(2),"",IF((381)=(AA3),IF(IF((INDEX(B1:XFD1,((A2)+(1))+(0)))=("store"),(INDEX(B1:XFD1,((A2)+(1))+(1)))=("AA"),"false"),B2,AA384),AA384))</f>
        <v>#VALUE!</v>
      </c>
      <c r="AB384" t="e">
        <f ca="1">IF((A1)=(2),"",IF((381)=(AB3),IF(IF((INDEX(B1:XFD1,((A2)+(1))+(0)))=("store"),(INDEX(B1:XFD1,((A2)+(1))+(1)))=("AB"),"false"),B2,AB384),AB384))</f>
        <v>#VALUE!</v>
      </c>
      <c r="AC384" t="e">
        <f ca="1">IF((A1)=(2),"",IF((381)=(AC3),IF(IF((INDEX(B1:XFD1,((A2)+(1))+(0)))=("store"),(INDEX(B1:XFD1,((A2)+(1))+(1)))=("AC"),"false"),B2,AC384),AC384))</f>
        <v>#VALUE!</v>
      </c>
      <c r="AD384" t="e">
        <f ca="1">IF((A1)=(2),"",IF((381)=(AD3),IF(IF((INDEX(B1:XFD1,((A2)+(1))+(0)))=("store"),(INDEX(B1:XFD1,((A2)+(1))+(1)))=("AD"),"false"),B2,AD384),AD384))</f>
        <v>#VALUE!</v>
      </c>
    </row>
    <row r="385" spans="1:30" x14ac:dyDescent="0.25">
      <c r="A385" t="e">
        <f ca="1">IF((A1)=(2),"",IF((382)=(A3),IF(("call")=(INDEX(B1:XFD1,((A2)+(1))+(0))),(B2)*(2),IF(("goto")=(INDEX(B1:XFD1,((A2)+(1))+(0))),(INDEX(B1:XFD1,((A2)+(1))+(1)))*(2),IF(("gotoiftrue")=(INDEX(B1:XFD1,((A2)+(1))+(0))),IF(B2,(INDEX(B1:XFD1,((A2)+(1))+(1)))*(2),(A385)+(2)),(A385)+(2)))),A385))</f>
        <v>#VALUE!</v>
      </c>
      <c r="B385" t="e">
        <f ca="1">IF((A1)=(2),"",IF((382)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385)+(1)),IF(("add")=(INDEX(B1:XFD1,((A2)+(1))+(0))),(INDEX(B4:B404,(B3)+(1)))+(B385),IF(("equals")=(INDEX(B1:XFD1,((A2)+(1))+(0))),(INDEX(B4:B404,(B3)+(1)))=(B385),IF(("leq")=(INDEX(B1:XFD1,((A2)+(1))+(0))),(INDEX(B4:B404,(B3)+(1)))&lt;=(B385),IF(("greater")=(INDEX(B1:XFD1,((A2)+(1))+(0))),(INDEX(B4:B404,(B3)+(1)))&gt;(B385),IF(("mod")=(INDEX(B1:XFD1,((A2)+(1))+(0))),MOD(INDEX(B4:B404,(B3)+(1)),B385),B385))))))))),B385))</f>
        <v>#VALUE!</v>
      </c>
      <c r="C385" t="e">
        <f ca="1">IF((A1)=(2),1,IF(AND((INDEX(B1:XFD1,((A2)+(1))+(0)))=("writeheap"),(INDEX(B4:B404,(B3)+(1)))=(381)),INDEX(B4:B404,(B3)+(2)),IF((A1)=(2),"",IF((382)=(C3),C385,C385))))</f>
        <v>#VALUE!</v>
      </c>
      <c r="E385" t="e">
        <f ca="1">IF((A1)=(2),"",IF((382)=(E3),IF(("outputline")=(INDEX(B1:XFD1,((A2)+(1))+(0))),B2,E385),E385))</f>
        <v>#VALUE!</v>
      </c>
      <c r="F385" t="e">
        <f ca="1">IF((A1)=(2),"",IF((382)=(F3),IF(IF((INDEX(B1:XFD1,((A2)+(1))+(0)))=("store"),(INDEX(B1:XFD1,((A2)+(1))+(1)))=("F"),"false"),B2,F385),F385))</f>
        <v>#VALUE!</v>
      </c>
      <c r="G385" t="e">
        <f ca="1">IF((A1)=(2),"",IF((382)=(G3),IF(IF((INDEX(B1:XFD1,((A2)+(1))+(0)))=("store"),(INDEX(B1:XFD1,((A2)+(1))+(1)))=("G"),"false"),B2,G385),G385))</f>
        <v>#VALUE!</v>
      </c>
      <c r="H385" t="e">
        <f ca="1">IF((A1)=(2),"",IF((382)=(H3),IF(IF((INDEX(B1:XFD1,((A2)+(1))+(0)))=("store"),(INDEX(B1:XFD1,((A2)+(1))+(1)))=("H"),"false"),B2,H385),H385))</f>
        <v>#VALUE!</v>
      </c>
      <c r="I385" t="e">
        <f ca="1">IF((A1)=(2),"",IF((382)=(I3),IF(IF((INDEX(B1:XFD1,((A2)+(1))+(0)))=("store"),(INDEX(B1:XFD1,((A2)+(1))+(1)))=("I"),"false"),B2,I385),I385))</f>
        <v>#VALUE!</v>
      </c>
      <c r="J385" t="e">
        <f ca="1">IF((A1)=(2),"",IF((382)=(J3),IF(IF((INDEX(B1:XFD1,((A2)+(1))+(0)))=("store"),(INDEX(B1:XFD1,((A2)+(1))+(1)))=("J"),"false"),B2,J385),J385))</f>
        <v>#VALUE!</v>
      </c>
      <c r="K385" t="e">
        <f ca="1">IF((A1)=(2),"",IF((382)=(K3),IF(IF((INDEX(B1:XFD1,((A2)+(1))+(0)))=("store"),(INDEX(B1:XFD1,((A2)+(1))+(1)))=("K"),"false"),B2,K385),K385))</f>
        <v>#VALUE!</v>
      </c>
      <c r="L385" t="e">
        <f ca="1">IF((A1)=(2),"",IF((382)=(L3),IF(IF((INDEX(B1:XFD1,((A2)+(1))+(0)))=("store"),(INDEX(B1:XFD1,((A2)+(1))+(1)))=("L"),"false"),B2,L385),L385))</f>
        <v>#VALUE!</v>
      </c>
      <c r="M385" t="e">
        <f ca="1">IF((A1)=(2),"",IF((382)=(M3),IF(IF((INDEX(B1:XFD1,((A2)+(1))+(0)))=("store"),(INDEX(B1:XFD1,((A2)+(1))+(1)))=("M"),"false"),B2,M385),M385))</f>
        <v>#VALUE!</v>
      </c>
      <c r="N385" t="e">
        <f ca="1">IF((A1)=(2),"",IF((382)=(N3),IF(IF((INDEX(B1:XFD1,((A2)+(1))+(0)))=("store"),(INDEX(B1:XFD1,((A2)+(1))+(1)))=("N"),"false"),B2,N385),N385))</f>
        <v>#VALUE!</v>
      </c>
      <c r="O385" t="e">
        <f ca="1">IF((A1)=(2),"",IF((382)=(O3),IF(IF((INDEX(B1:XFD1,((A2)+(1))+(0)))=("store"),(INDEX(B1:XFD1,((A2)+(1))+(1)))=("O"),"false"),B2,O385),O385))</f>
        <v>#VALUE!</v>
      </c>
      <c r="P385" t="e">
        <f ca="1">IF((A1)=(2),"",IF((382)=(P3),IF(IF((INDEX(B1:XFD1,((A2)+(1))+(0)))=("store"),(INDEX(B1:XFD1,((A2)+(1))+(1)))=("P"),"false"),B2,P385),P385))</f>
        <v>#VALUE!</v>
      </c>
      <c r="Q385" t="e">
        <f ca="1">IF((A1)=(2),"",IF((382)=(Q3),IF(IF((INDEX(B1:XFD1,((A2)+(1))+(0)))=("store"),(INDEX(B1:XFD1,((A2)+(1))+(1)))=("Q"),"false"),B2,Q385),Q385))</f>
        <v>#VALUE!</v>
      </c>
      <c r="R385" t="e">
        <f ca="1">IF((A1)=(2),"",IF((382)=(R3),IF(IF((INDEX(B1:XFD1,((A2)+(1))+(0)))=("store"),(INDEX(B1:XFD1,((A2)+(1))+(1)))=("R"),"false"),B2,R385),R385))</f>
        <v>#VALUE!</v>
      </c>
      <c r="S385" t="e">
        <f ca="1">IF((A1)=(2),"",IF((382)=(S3),IF(IF((INDEX(B1:XFD1,((A2)+(1))+(0)))=("store"),(INDEX(B1:XFD1,((A2)+(1))+(1)))=("S"),"false"),B2,S385),S385))</f>
        <v>#VALUE!</v>
      </c>
      <c r="T385" t="e">
        <f ca="1">IF((A1)=(2),"",IF((382)=(T3),IF(IF((INDEX(B1:XFD1,((A2)+(1))+(0)))=("store"),(INDEX(B1:XFD1,((A2)+(1))+(1)))=("T"),"false"),B2,T385),T385))</f>
        <v>#VALUE!</v>
      </c>
      <c r="U385" t="e">
        <f ca="1">IF((A1)=(2),"",IF((382)=(U3),IF(IF((INDEX(B1:XFD1,((A2)+(1))+(0)))=("store"),(INDEX(B1:XFD1,((A2)+(1))+(1)))=("U"),"false"),B2,U385),U385))</f>
        <v>#VALUE!</v>
      </c>
      <c r="V385" t="e">
        <f ca="1">IF((A1)=(2),"",IF((382)=(V3),IF(IF((INDEX(B1:XFD1,((A2)+(1))+(0)))=("store"),(INDEX(B1:XFD1,((A2)+(1))+(1)))=("V"),"false"),B2,V385),V385))</f>
        <v>#VALUE!</v>
      </c>
      <c r="W385" t="e">
        <f ca="1">IF((A1)=(2),"",IF((382)=(W3),IF(IF((INDEX(B1:XFD1,((A2)+(1))+(0)))=("store"),(INDEX(B1:XFD1,((A2)+(1))+(1)))=("W"),"false"),B2,W385),W385))</f>
        <v>#VALUE!</v>
      </c>
      <c r="X385" t="e">
        <f ca="1">IF((A1)=(2),"",IF((382)=(X3),IF(IF((INDEX(B1:XFD1,((A2)+(1))+(0)))=("store"),(INDEX(B1:XFD1,((A2)+(1))+(1)))=("X"),"false"),B2,X385),X385))</f>
        <v>#VALUE!</v>
      </c>
      <c r="Y385" t="e">
        <f ca="1">IF((A1)=(2),"",IF((382)=(Y3),IF(IF((INDEX(B1:XFD1,((A2)+(1))+(0)))=("store"),(INDEX(B1:XFD1,((A2)+(1))+(1)))=("Y"),"false"),B2,Y385),Y385))</f>
        <v>#VALUE!</v>
      </c>
      <c r="Z385" t="e">
        <f ca="1">IF((A1)=(2),"",IF((382)=(Z3),IF(IF((INDEX(B1:XFD1,((A2)+(1))+(0)))=("store"),(INDEX(B1:XFD1,((A2)+(1))+(1)))=("Z"),"false"),B2,Z385),Z385))</f>
        <v>#VALUE!</v>
      </c>
      <c r="AA385" t="e">
        <f ca="1">IF((A1)=(2),"",IF((382)=(AA3),IF(IF((INDEX(B1:XFD1,((A2)+(1))+(0)))=("store"),(INDEX(B1:XFD1,((A2)+(1))+(1)))=("AA"),"false"),B2,AA385),AA385))</f>
        <v>#VALUE!</v>
      </c>
      <c r="AB385" t="e">
        <f ca="1">IF((A1)=(2),"",IF((382)=(AB3),IF(IF((INDEX(B1:XFD1,((A2)+(1))+(0)))=("store"),(INDEX(B1:XFD1,((A2)+(1))+(1)))=("AB"),"false"),B2,AB385),AB385))</f>
        <v>#VALUE!</v>
      </c>
      <c r="AC385" t="e">
        <f ca="1">IF((A1)=(2),"",IF((382)=(AC3),IF(IF((INDEX(B1:XFD1,((A2)+(1))+(0)))=("store"),(INDEX(B1:XFD1,((A2)+(1))+(1)))=("AC"),"false"),B2,AC385),AC385))</f>
        <v>#VALUE!</v>
      </c>
      <c r="AD385" t="e">
        <f ca="1">IF((A1)=(2),"",IF((382)=(AD3),IF(IF((INDEX(B1:XFD1,((A2)+(1))+(0)))=("store"),(INDEX(B1:XFD1,((A2)+(1))+(1)))=("AD"),"false"),B2,AD385),AD385))</f>
        <v>#VALUE!</v>
      </c>
    </row>
    <row r="386" spans="1:30" x14ac:dyDescent="0.25">
      <c r="A386" t="e">
        <f ca="1">IF((A1)=(2),"",IF((383)=(A3),IF(("call")=(INDEX(B1:XFD1,((A2)+(1))+(0))),(B2)*(2),IF(("goto")=(INDEX(B1:XFD1,((A2)+(1))+(0))),(INDEX(B1:XFD1,((A2)+(1))+(1)))*(2),IF(("gotoiftrue")=(INDEX(B1:XFD1,((A2)+(1))+(0))),IF(B2,(INDEX(B1:XFD1,((A2)+(1))+(1)))*(2),(A386)+(2)),(A386)+(2)))),A386))</f>
        <v>#VALUE!</v>
      </c>
      <c r="B386" t="e">
        <f ca="1">IF((A1)=(2),"",IF((383)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386)+(1)),IF(("add")=(INDEX(B1:XFD1,((A2)+(1))+(0))),(INDEX(B4:B404,(B3)+(1)))+(B386),IF(("equals")=(INDEX(B1:XFD1,((A2)+(1))+(0))),(INDEX(B4:B404,(B3)+(1)))=(B386),IF(("leq")=(INDEX(B1:XFD1,((A2)+(1))+(0))),(INDEX(B4:B404,(B3)+(1)))&lt;=(B386),IF(("greater")=(INDEX(B1:XFD1,((A2)+(1))+(0))),(INDEX(B4:B404,(B3)+(1)))&gt;(B386),IF(("mod")=(INDEX(B1:XFD1,((A2)+(1))+(0))),MOD(INDEX(B4:B404,(B3)+(1)),B386),B386))))))))),B386))</f>
        <v>#VALUE!</v>
      </c>
      <c r="C386" t="e">
        <f ca="1">IF((A1)=(2),1,IF(AND((INDEX(B1:XFD1,((A2)+(1))+(0)))=("writeheap"),(INDEX(B4:B404,(B3)+(1)))=(382)),INDEX(B4:B404,(B3)+(2)),IF((A1)=(2),"",IF((383)=(C3),C386,C386))))</f>
        <v>#VALUE!</v>
      </c>
      <c r="E386" t="e">
        <f ca="1">IF((A1)=(2),"",IF((383)=(E3),IF(("outputline")=(INDEX(B1:XFD1,((A2)+(1))+(0))),B2,E386),E386))</f>
        <v>#VALUE!</v>
      </c>
      <c r="F386" t="e">
        <f ca="1">IF((A1)=(2),"",IF((383)=(F3),IF(IF((INDEX(B1:XFD1,((A2)+(1))+(0)))=("store"),(INDEX(B1:XFD1,((A2)+(1))+(1)))=("F"),"false"),B2,F386),F386))</f>
        <v>#VALUE!</v>
      </c>
      <c r="G386" t="e">
        <f ca="1">IF((A1)=(2),"",IF((383)=(G3),IF(IF((INDEX(B1:XFD1,((A2)+(1))+(0)))=("store"),(INDEX(B1:XFD1,((A2)+(1))+(1)))=("G"),"false"),B2,G386),G386))</f>
        <v>#VALUE!</v>
      </c>
      <c r="H386" t="e">
        <f ca="1">IF((A1)=(2),"",IF((383)=(H3),IF(IF((INDEX(B1:XFD1,((A2)+(1))+(0)))=("store"),(INDEX(B1:XFD1,((A2)+(1))+(1)))=("H"),"false"),B2,H386),H386))</f>
        <v>#VALUE!</v>
      </c>
      <c r="I386" t="e">
        <f ca="1">IF((A1)=(2),"",IF((383)=(I3),IF(IF((INDEX(B1:XFD1,((A2)+(1))+(0)))=("store"),(INDEX(B1:XFD1,((A2)+(1))+(1)))=("I"),"false"),B2,I386),I386))</f>
        <v>#VALUE!</v>
      </c>
      <c r="J386" t="e">
        <f ca="1">IF((A1)=(2),"",IF((383)=(J3),IF(IF((INDEX(B1:XFD1,((A2)+(1))+(0)))=("store"),(INDEX(B1:XFD1,((A2)+(1))+(1)))=("J"),"false"),B2,J386),J386))</f>
        <v>#VALUE!</v>
      </c>
      <c r="K386" t="e">
        <f ca="1">IF((A1)=(2),"",IF((383)=(K3),IF(IF((INDEX(B1:XFD1,((A2)+(1))+(0)))=("store"),(INDEX(B1:XFD1,((A2)+(1))+(1)))=("K"),"false"),B2,K386),K386))</f>
        <v>#VALUE!</v>
      </c>
      <c r="L386" t="e">
        <f ca="1">IF((A1)=(2),"",IF((383)=(L3),IF(IF((INDEX(B1:XFD1,((A2)+(1))+(0)))=("store"),(INDEX(B1:XFD1,((A2)+(1))+(1)))=("L"),"false"),B2,L386),L386))</f>
        <v>#VALUE!</v>
      </c>
      <c r="M386" t="e">
        <f ca="1">IF((A1)=(2),"",IF((383)=(M3),IF(IF((INDEX(B1:XFD1,((A2)+(1))+(0)))=("store"),(INDEX(B1:XFD1,((A2)+(1))+(1)))=("M"),"false"),B2,M386),M386))</f>
        <v>#VALUE!</v>
      </c>
      <c r="N386" t="e">
        <f ca="1">IF((A1)=(2),"",IF((383)=(N3),IF(IF((INDEX(B1:XFD1,((A2)+(1))+(0)))=("store"),(INDEX(B1:XFD1,((A2)+(1))+(1)))=("N"),"false"),B2,N386),N386))</f>
        <v>#VALUE!</v>
      </c>
      <c r="O386" t="e">
        <f ca="1">IF((A1)=(2),"",IF((383)=(O3),IF(IF((INDEX(B1:XFD1,((A2)+(1))+(0)))=("store"),(INDEX(B1:XFD1,((A2)+(1))+(1)))=("O"),"false"),B2,O386),O386))</f>
        <v>#VALUE!</v>
      </c>
      <c r="P386" t="e">
        <f ca="1">IF((A1)=(2),"",IF((383)=(P3),IF(IF((INDEX(B1:XFD1,((A2)+(1))+(0)))=("store"),(INDEX(B1:XFD1,((A2)+(1))+(1)))=("P"),"false"),B2,P386),P386))</f>
        <v>#VALUE!</v>
      </c>
      <c r="Q386" t="e">
        <f ca="1">IF((A1)=(2),"",IF((383)=(Q3),IF(IF((INDEX(B1:XFD1,((A2)+(1))+(0)))=("store"),(INDEX(B1:XFD1,((A2)+(1))+(1)))=("Q"),"false"),B2,Q386),Q386))</f>
        <v>#VALUE!</v>
      </c>
      <c r="R386" t="e">
        <f ca="1">IF((A1)=(2),"",IF((383)=(R3),IF(IF((INDEX(B1:XFD1,((A2)+(1))+(0)))=("store"),(INDEX(B1:XFD1,((A2)+(1))+(1)))=("R"),"false"),B2,R386),R386))</f>
        <v>#VALUE!</v>
      </c>
      <c r="S386" t="e">
        <f ca="1">IF((A1)=(2),"",IF((383)=(S3),IF(IF((INDEX(B1:XFD1,((A2)+(1))+(0)))=("store"),(INDEX(B1:XFD1,((A2)+(1))+(1)))=("S"),"false"),B2,S386),S386))</f>
        <v>#VALUE!</v>
      </c>
      <c r="T386" t="e">
        <f ca="1">IF((A1)=(2),"",IF((383)=(T3),IF(IF((INDEX(B1:XFD1,((A2)+(1))+(0)))=("store"),(INDEX(B1:XFD1,((A2)+(1))+(1)))=("T"),"false"),B2,T386),T386))</f>
        <v>#VALUE!</v>
      </c>
      <c r="U386" t="e">
        <f ca="1">IF((A1)=(2),"",IF((383)=(U3),IF(IF((INDEX(B1:XFD1,((A2)+(1))+(0)))=("store"),(INDEX(B1:XFD1,((A2)+(1))+(1)))=("U"),"false"),B2,U386),U386))</f>
        <v>#VALUE!</v>
      </c>
      <c r="V386" t="e">
        <f ca="1">IF((A1)=(2),"",IF((383)=(V3),IF(IF((INDEX(B1:XFD1,((A2)+(1))+(0)))=("store"),(INDEX(B1:XFD1,((A2)+(1))+(1)))=("V"),"false"),B2,V386),V386))</f>
        <v>#VALUE!</v>
      </c>
      <c r="W386" t="e">
        <f ca="1">IF((A1)=(2),"",IF((383)=(W3),IF(IF((INDEX(B1:XFD1,((A2)+(1))+(0)))=("store"),(INDEX(B1:XFD1,((A2)+(1))+(1)))=("W"),"false"),B2,W386),W386))</f>
        <v>#VALUE!</v>
      </c>
      <c r="X386" t="e">
        <f ca="1">IF((A1)=(2),"",IF((383)=(X3),IF(IF((INDEX(B1:XFD1,((A2)+(1))+(0)))=("store"),(INDEX(B1:XFD1,((A2)+(1))+(1)))=("X"),"false"),B2,X386),X386))</f>
        <v>#VALUE!</v>
      </c>
      <c r="Y386" t="e">
        <f ca="1">IF((A1)=(2),"",IF((383)=(Y3),IF(IF((INDEX(B1:XFD1,((A2)+(1))+(0)))=("store"),(INDEX(B1:XFD1,((A2)+(1))+(1)))=("Y"),"false"),B2,Y386),Y386))</f>
        <v>#VALUE!</v>
      </c>
      <c r="Z386" t="e">
        <f ca="1">IF((A1)=(2),"",IF((383)=(Z3),IF(IF((INDEX(B1:XFD1,((A2)+(1))+(0)))=("store"),(INDEX(B1:XFD1,((A2)+(1))+(1)))=("Z"),"false"),B2,Z386),Z386))</f>
        <v>#VALUE!</v>
      </c>
      <c r="AA386" t="e">
        <f ca="1">IF((A1)=(2),"",IF((383)=(AA3),IF(IF((INDEX(B1:XFD1,((A2)+(1))+(0)))=("store"),(INDEX(B1:XFD1,((A2)+(1))+(1)))=("AA"),"false"),B2,AA386),AA386))</f>
        <v>#VALUE!</v>
      </c>
      <c r="AB386" t="e">
        <f ca="1">IF((A1)=(2),"",IF((383)=(AB3),IF(IF((INDEX(B1:XFD1,((A2)+(1))+(0)))=("store"),(INDEX(B1:XFD1,((A2)+(1))+(1)))=("AB"),"false"),B2,AB386),AB386))</f>
        <v>#VALUE!</v>
      </c>
      <c r="AC386" t="e">
        <f ca="1">IF((A1)=(2),"",IF((383)=(AC3),IF(IF((INDEX(B1:XFD1,((A2)+(1))+(0)))=("store"),(INDEX(B1:XFD1,((A2)+(1))+(1)))=("AC"),"false"),B2,AC386),AC386))</f>
        <v>#VALUE!</v>
      </c>
      <c r="AD386" t="e">
        <f ca="1">IF((A1)=(2),"",IF((383)=(AD3),IF(IF((INDEX(B1:XFD1,((A2)+(1))+(0)))=("store"),(INDEX(B1:XFD1,((A2)+(1))+(1)))=("AD"),"false"),B2,AD386),AD386))</f>
        <v>#VALUE!</v>
      </c>
    </row>
    <row r="387" spans="1:30" x14ac:dyDescent="0.25">
      <c r="A387" t="e">
        <f ca="1">IF((A1)=(2),"",IF((384)=(A3),IF(("call")=(INDEX(B1:XFD1,((A2)+(1))+(0))),(B2)*(2),IF(("goto")=(INDEX(B1:XFD1,((A2)+(1))+(0))),(INDEX(B1:XFD1,((A2)+(1))+(1)))*(2),IF(("gotoiftrue")=(INDEX(B1:XFD1,((A2)+(1))+(0))),IF(B2,(INDEX(B1:XFD1,((A2)+(1))+(1)))*(2),(A387)+(2)),(A387)+(2)))),A387))</f>
        <v>#VALUE!</v>
      </c>
      <c r="B387" t="e">
        <f ca="1">IF((A1)=(2),"",IF((384)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387)+(1)),IF(("add")=(INDEX(B1:XFD1,((A2)+(1))+(0))),(INDEX(B4:B404,(B3)+(1)))+(B387),IF(("equals")=(INDEX(B1:XFD1,((A2)+(1))+(0))),(INDEX(B4:B404,(B3)+(1)))=(B387),IF(("leq")=(INDEX(B1:XFD1,((A2)+(1))+(0))),(INDEX(B4:B404,(B3)+(1)))&lt;=(B387),IF(("greater")=(INDEX(B1:XFD1,((A2)+(1))+(0))),(INDEX(B4:B404,(B3)+(1)))&gt;(B387),IF(("mod")=(INDEX(B1:XFD1,((A2)+(1))+(0))),MOD(INDEX(B4:B404,(B3)+(1)),B387),B387))))))))),B387))</f>
        <v>#VALUE!</v>
      </c>
      <c r="C387" t="e">
        <f ca="1">IF((A1)=(2),1,IF(AND((INDEX(B1:XFD1,((A2)+(1))+(0)))=("writeheap"),(INDEX(B4:B404,(B3)+(1)))=(383)),INDEX(B4:B404,(B3)+(2)),IF((A1)=(2),"",IF((384)=(C3),C387,C387))))</f>
        <v>#VALUE!</v>
      </c>
      <c r="E387" t="e">
        <f ca="1">IF((A1)=(2),"",IF((384)=(E3),IF(("outputline")=(INDEX(B1:XFD1,((A2)+(1))+(0))),B2,E387),E387))</f>
        <v>#VALUE!</v>
      </c>
      <c r="F387" t="e">
        <f ca="1">IF((A1)=(2),"",IF((384)=(F3),IF(IF((INDEX(B1:XFD1,((A2)+(1))+(0)))=("store"),(INDEX(B1:XFD1,((A2)+(1))+(1)))=("F"),"false"),B2,F387),F387))</f>
        <v>#VALUE!</v>
      </c>
      <c r="G387" t="e">
        <f ca="1">IF((A1)=(2),"",IF((384)=(G3),IF(IF((INDEX(B1:XFD1,((A2)+(1))+(0)))=("store"),(INDEX(B1:XFD1,((A2)+(1))+(1)))=("G"),"false"),B2,G387),G387))</f>
        <v>#VALUE!</v>
      </c>
      <c r="H387" t="e">
        <f ca="1">IF((A1)=(2),"",IF((384)=(H3),IF(IF((INDEX(B1:XFD1,((A2)+(1))+(0)))=("store"),(INDEX(B1:XFD1,((A2)+(1))+(1)))=("H"),"false"),B2,H387),H387))</f>
        <v>#VALUE!</v>
      </c>
      <c r="I387" t="e">
        <f ca="1">IF((A1)=(2),"",IF((384)=(I3),IF(IF((INDEX(B1:XFD1,((A2)+(1))+(0)))=("store"),(INDEX(B1:XFD1,((A2)+(1))+(1)))=("I"),"false"),B2,I387),I387))</f>
        <v>#VALUE!</v>
      </c>
      <c r="J387" t="e">
        <f ca="1">IF((A1)=(2),"",IF((384)=(J3),IF(IF((INDEX(B1:XFD1,((A2)+(1))+(0)))=("store"),(INDEX(B1:XFD1,((A2)+(1))+(1)))=("J"),"false"),B2,J387),J387))</f>
        <v>#VALUE!</v>
      </c>
      <c r="K387" t="e">
        <f ca="1">IF((A1)=(2),"",IF((384)=(K3),IF(IF((INDEX(B1:XFD1,((A2)+(1))+(0)))=("store"),(INDEX(B1:XFD1,((A2)+(1))+(1)))=("K"),"false"),B2,K387),K387))</f>
        <v>#VALUE!</v>
      </c>
      <c r="L387" t="e">
        <f ca="1">IF((A1)=(2),"",IF((384)=(L3),IF(IF((INDEX(B1:XFD1,((A2)+(1))+(0)))=("store"),(INDEX(B1:XFD1,((A2)+(1))+(1)))=("L"),"false"),B2,L387),L387))</f>
        <v>#VALUE!</v>
      </c>
      <c r="M387" t="e">
        <f ca="1">IF((A1)=(2),"",IF((384)=(M3),IF(IF((INDEX(B1:XFD1,((A2)+(1))+(0)))=("store"),(INDEX(B1:XFD1,((A2)+(1))+(1)))=("M"),"false"),B2,M387),M387))</f>
        <v>#VALUE!</v>
      </c>
      <c r="N387" t="e">
        <f ca="1">IF((A1)=(2),"",IF((384)=(N3),IF(IF((INDEX(B1:XFD1,((A2)+(1))+(0)))=("store"),(INDEX(B1:XFD1,((A2)+(1))+(1)))=("N"),"false"),B2,N387),N387))</f>
        <v>#VALUE!</v>
      </c>
      <c r="O387" t="e">
        <f ca="1">IF((A1)=(2),"",IF((384)=(O3),IF(IF((INDEX(B1:XFD1,((A2)+(1))+(0)))=("store"),(INDEX(B1:XFD1,((A2)+(1))+(1)))=("O"),"false"),B2,O387),O387))</f>
        <v>#VALUE!</v>
      </c>
      <c r="P387" t="e">
        <f ca="1">IF((A1)=(2),"",IF((384)=(P3),IF(IF((INDEX(B1:XFD1,((A2)+(1))+(0)))=("store"),(INDEX(B1:XFD1,((A2)+(1))+(1)))=("P"),"false"),B2,P387),P387))</f>
        <v>#VALUE!</v>
      </c>
      <c r="Q387" t="e">
        <f ca="1">IF((A1)=(2),"",IF((384)=(Q3),IF(IF((INDEX(B1:XFD1,((A2)+(1))+(0)))=("store"),(INDEX(B1:XFD1,((A2)+(1))+(1)))=("Q"),"false"),B2,Q387),Q387))</f>
        <v>#VALUE!</v>
      </c>
      <c r="R387" t="e">
        <f ca="1">IF((A1)=(2),"",IF((384)=(R3),IF(IF((INDEX(B1:XFD1,((A2)+(1))+(0)))=("store"),(INDEX(B1:XFD1,((A2)+(1))+(1)))=("R"),"false"),B2,R387),R387))</f>
        <v>#VALUE!</v>
      </c>
      <c r="S387" t="e">
        <f ca="1">IF((A1)=(2),"",IF((384)=(S3),IF(IF((INDEX(B1:XFD1,((A2)+(1))+(0)))=("store"),(INDEX(B1:XFD1,((A2)+(1))+(1)))=("S"),"false"),B2,S387),S387))</f>
        <v>#VALUE!</v>
      </c>
      <c r="T387" t="e">
        <f ca="1">IF((A1)=(2),"",IF((384)=(T3),IF(IF((INDEX(B1:XFD1,((A2)+(1))+(0)))=("store"),(INDEX(B1:XFD1,((A2)+(1))+(1)))=("T"),"false"),B2,T387),T387))</f>
        <v>#VALUE!</v>
      </c>
      <c r="U387" t="e">
        <f ca="1">IF((A1)=(2),"",IF((384)=(U3),IF(IF((INDEX(B1:XFD1,((A2)+(1))+(0)))=("store"),(INDEX(B1:XFD1,((A2)+(1))+(1)))=("U"),"false"),B2,U387),U387))</f>
        <v>#VALUE!</v>
      </c>
      <c r="V387" t="e">
        <f ca="1">IF((A1)=(2),"",IF((384)=(V3),IF(IF((INDEX(B1:XFD1,((A2)+(1))+(0)))=("store"),(INDEX(B1:XFD1,((A2)+(1))+(1)))=("V"),"false"),B2,V387),V387))</f>
        <v>#VALUE!</v>
      </c>
      <c r="W387" t="e">
        <f ca="1">IF((A1)=(2),"",IF((384)=(W3),IF(IF((INDEX(B1:XFD1,((A2)+(1))+(0)))=("store"),(INDEX(B1:XFD1,((A2)+(1))+(1)))=("W"),"false"),B2,W387),W387))</f>
        <v>#VALUE!</v>
      </c>
      <c r="X387" t="e">
        <f ca="1">IF((A1)=(2),"",IF((384)=(X3),IF(IF((INDEX(B1:XFD1,((A2)+(1))+(0)))=("store"),(INDEX(B1:XFD1,((A2)+(1))+(1)))=("X"),"false"),B2,X387),X387))</f>
        <v>#VALUE!</v>
      </c>
      <c r="Y387" t="e">
        <f ca="1">IF((A1)=(2),"",IF((384)=(Y3),IF(IF((INDEX(B1:XFD1,((A2)+(1))+(0)))=("store"),(INDEX(B1:XFD1,((A2)+(1))+(1)))=("Y"),"false"),B2,Y387),Y387))</f>
        <v>#VALUE!</v>
      </c>
      <c r="Z387" t="e">
        <f ca="1">IF((A1)=(2),"",IF((384)=(Z3),IF(IF((INDEX(B1:XFD1,((A2)+(1))+(0)))=("store"),(INDEX(B1:XFD1,((A2)+(1))+(1)))=("Z"),"false"),B2,Z387),Z387))</f>
        <v>#VALUE!</v>
      </c>
      <c r="AA387" t="e">
        <f ca="1">IF((A1)=(2),"",IF((384)=(AA3),IF(IF((INDEX(B1:XFD1,((A2)+(1))+(0)))=("store"),(INDEX(B1:XFD1,((A2)+(1))+(1)))=("AA"),"false"),B2,AA387),AA387))</f>
        <v>#VALUE!</v>
      </c>
      <c r="AB387" t="e">
        <f ca="1">IF((A1)=(2),"",IF((384)=(AB3),IF(IF((INDEX(B1:XFD1,((A2)+(1))+(0)))=("store"),(INDEX(B1:XFD1,((A2)+(1))+(1)))=("AB"),"false"),B2,AB387),AB387))</f>
        <v>#VALUE!</v>
      </c>
      <c r="AC387" t="e">
        <f ca="1">IF((A1)=(2),"",IF((384)=(AC3),IF(IF((INDEX(B1:XFD1,((A2)+(1))+(0)))=("store"),(INDEX(B1:XFD1,((A2)+(1))+(1)))=("AC"),"false"),B2,AC387),AC387))</f>
        <v>#VALUE!</v>
      </c>
      <c r="AD387" t="e">
        <f ca="1">IF((A1)=(2),"",IF((384)=(AD3),IF(IF((INDEX(B1:XFD1,((A2)+(1))+(0)))=("store"),(INDEX(B1:XFD1,((A2)+(1))+(1)))=("AD"),"false"),B2,AD387),AD387))</f>
        <v>#VALUE!</v>
      </c>
    </row>
    <row r="388" spans="1:30" x14ac:dyDescent="0.25">
      <c r="A388" t="e">
        <f ca="1">IF((A1)=(2),"",IF((385)=(A3),IF(("call")=(INDEX(B1:XFD1,((A2)+(1))+(0))),(B2)*(2),IF(("goto")=(INDEX(B1:XFD1,((A2)+(1))+(0))),(INDEX(B1:XFD1,((A2)+(1))+(1)))*(2),IF(("gotoiftrue")=(INDEX(B1:XFD1,((A2)+(1))+(0))),IF(B2,(INDEX(B1:XFD1,((A2)+(1))+(1)))*(2),(A388)+(2)),(A388)+(2)))),A388))</f>
        <v>#VALUE!</v>
      </c>
      <c r="B388" t="e">
        <f ca="1">IF((A1)=(2),"",IF((385)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388)+(1)),IF(("add")=(INDEX(B1:XFD1,((A2)+(1))+(0))),(INDEX(B4:B404,(B3)+(1)))+(B388),IF(("equals")=(INDEX(B1:XFD1,((A2)+(1))+(0))),(INDEX(B4:B404,(B3)+(1)))=(B388),IF(("leq")=(INDEX(B1:XFD1,((A2)+(1))+(0))),(INDEX(B4:B404,(B3)+(1)))&lt;=(B388),IF(("greater")=(INDEX(B1:XFD1,((A2)+(1))+(0))),(INDEX(B4:B404,(B3)+(1)))&gt;(B388),IF(("mod")=(INDEX(B1:XFD1,((A2)+(1))+(0))),MOD(INDEX(B4:B404,(B3)+(1)),B388),B388))))))))),B388))</f>
        <v>#VALUE!</v>
      </c>
      <c r="C388" t="e">
        <f ca="1">IF((A1)=(2),1,IF(AND((INDEX(B1:XFD1,((A2)+(1))+(0)))=("writeheap"),(INDEX(B4:B404,(B3)+(1)))=(384)),INDEX(B4:B404,(B3)+(2)),IF((A1)=(2),"",IF((385)=(C3),C388,C388))))</f>
        <v>#VALUE!</v>
      </c>
      <c r="E388" t="e">
        <f ca="1">IF((A1)=(2),"",IF((385)=(E3),IF(("outputline")=(INDEX(B1:XFD1,((A2)+(1))+(0))),B2,E388),E388))</f>
        <v>#VALUE!</v>
      </c>
      <c r="F388" t="e">
        <f ca="1">IF((A1)=(2),"",IF((385)=(F3),IF(IF((INDEX(B1:XFD1,((A2)+(1))+(0)))=("store"),(INDEX(B1:XFD1,((A2)+(1))+(1)))=("F"),"false"),B2,F388),F388))</f>
        <v>#VALUE!</v>
      </c>
      <c r="G388" t="e">
        <f ca="1">IF((A1)=(2),"",IF((385)=(G3),IF(IF((INDEX(B1:XFD1,((A2)+(1))+(0)))=("store"),(INDEX(B1:XFD1,((A2)+(1))+(1)))=("G"),"false"),B2,G388),G388))</f>
        <v>#VALUE!</v>
      </c>
      <c r="H388" t="e">
        <f ca="1">IF((A1)=(2),"",IF((385)=(H3),IF(IF((INDEX(B1:XFD1,((A2)+(1))+(0)))=("store"),(INDEX(B1:XFD1,((A2)+(1))+(1)))=("H"),"false"),B2,H388),H388))</f>
        <v>#VALUE!</v>
      </c>
      <c r="I388" t="e">
        <f ca="1">IF((A1)=(2),"",IF((385)=(I3),IF(IF((INDEX(B1:XFD1,((A2)+(1))+(0)))=("store"),(INDEX(B1:XFD1,((A2)+(1))+(1)))=("I"),"false"),B2,I388),I388))</f>
        <v>#VALUE!</v>
      </c>
      <c r="J388" t="e">
        <f ca="1">IF((A1)=(2),"",IF((385)=(J3),IF(IF((INDEX(B1:XFD1,((A2)+(1))+(0)))=("store"),(INDEX(B1:XFD1,((A2)+(1))+(1)))=("J"),"false"),B2,J388),J388))</f>
        <v>#VALUE!</v>
      </c>
      <c r="K388" t="e">
        <f ca="1">IF((A1)=(2),"",IF((385)=(K3),IF(IF((INDEX(B1:XFD1,((A2)+(1))+(0)))=("store"),(INDEX(B1:XFD1,((A2)+(1))+(1)))=("K"),"false"),B2,K388),K388))</f>
        <v>#VALUE!</v>
      </c>
      <c r="L388" t="e">
        <f ca="1">IF((A1)=(2),"",IF((385)=(L3),IF(IF((INDEX(B1:XFD1,((A2)+(1))+(0)))=("store"),(INDEX(B1:XFD1,((A2)+(1))+(1)))=("L"),"false"),B2,L388),L388))</f>
        <v>#VALUE!</v>
      </c>
      <c r="M388" t="e">
        <f ca="1">IF((A1)=(2),"",IF((385)=(M3),IF(IF((INDEX(B1:XFD1,((A2)+(1))+(0)))=("store"),(INDEX(B1:XFD1,((A2)+(1))+(1)))=("M"),"false"),B2,M388),M388))</f>
        <v>#VALUE!</v>
      </c>
      <c r="N388" t="e">
        <f ca="1">IF((A1)=(2),"",IF((385)=(N3),IF(IF((INDEX(B1:XFD1,((A2)+(1))+(0)))=("store"),(INDEX(B1:XFD1,((A2)+(1))+(1)))=("N"),"false"),B2,N388),N388))</f>
        <v>#VALUE!</v>
      </c>
      <c r="O388" t="e">
        <f ca="1">IF((A1)=(2),"",IF((385)=(O3),IF(IF((INDEX(B1:XFD1,((A2)+(1))+(0)))=("store"),(INDEX(B1:XFD1,((A2)+(1))+(1)))=("O"),"false"),B2,O388),O388))</f>
        <v>#VALUE!</v>
      </c>
      <c r="P388" t="e">
        <f ca="1">IF((A1)=(2),"",IF((385)=(P3),IF(IF((INDEX(B1:XFD1,((A2)+(1))+(0)))=("store"),(INDEX(B1:XFD1,((A2)+(1))+(1)))=("P"),"false"),B2,P388),P388))</f>
        <v>#VALUE!</v>
      </c>
      <c r="Q388" t="e">
        <f ca="1">IF((A1)=(2),"",IF((385)=(Q3),IF(IF((INDEX(B1:XFD1,((A2)+(1))+(0)))=("store"),(INDEX(B1:XFD1,((A2)+(1))+(1)))=("Q"),"false"),B2,Q388),Q388))</f>
        <v>#VALUE!</v>
      </c>
      <c r="R388" t="e">
        <f ca="1">IF((A1)=(2),"",IF((385)=(R3),IF(IF((INDEX(B1:XFD1,((A2)+(1))+(0)))=("store"),(INDEX(B1:XFD1,((A2)+(1))+(1)))=("R"),"false"),B2,R388),R388))</f>
        <v>#VALUE!</v>
      </c>
      <c r="S388" t="e">
        <f ca="1">IF((A1)=(2),"",IF((385)=(S3),IF(IF((INDEX(B1:XFD1,((A2)+(1))+(0)))=("store"),(INDEX(B1:XFD1,((A2)+(1))+(1)))=("S"),"false"),B2,S388),S388))</f>
        <v>#VALUE!</v>
      </c>
      <c r="T388" t="e">
        <f ca="1">IF((A1)=(2),"",IF((385)=(T3),IF(IF((INDEX(B1:XFD1,((A2)+(1))+(0)))=("store"),(INDEX(B1:XFD1,((A2)+(1))+(1)))=("T"),"false"),B2,T388),T388))</f>
        <v>#VALUE!</v>
      </c>
      <c r="U388" t="e">
        <f ca="1">IF((A1)=(2),"",IF((385)=(U3),IF(IF((INDEX(B1:XFD1,((A2)+(1))+(0)))=("store"),(INDEX(B1:XFD1,((A2)+(1))+(1)))=("U"),"false"),B2,U388),U388))</f>
        <v>#VALUE!</v>
      </c>
      <c r="V388" t="e">
        <f ca="1">IF((A1)=(2),"",IF((385)=(V3),IF(IF((INDEX(B1:XFD1,((A2)+(1))+(0)))=("store"),(INDEX(B1:XFD1,((A2)+(1))+(1)))=("V"),"false"),B2,V388),V388))</f>
        <v>#VALUE!</v>
      </c>
      <c r="W388" t="e">
        <f ca="1">IF((A1)=(2),"",IF((385)=(W3),IF(IF((INDEX(B1:XFD1,((A2)+(1))+(0)))=("store"),(INDEX(B1:XFD1,((A2)+(1))+(1)))=("W"),"false"),B2,W388),W388))</f>
        <v>#VALUE!</v>
      </c>
      <c r="X388" t="e">
        <f ca="1">IF((A1)=(2),"",IF((385)=(X3),IF(IF((INDEX(B1:XFD1,((A2)+(1))+(0)))=("store"),(INDEX(B1:XFD1,((A2)+(1))+(1)))=("X"),"false"),B2,X388),X388))</f>
        <v>#VALUE!</v>
      </c>
      <c r="Y388" t="e">
        <f ca="1">IF((A1)=(2),"",IF((385)=(Y3),IF(IF((INDEX(B1:XFD1,((A2)+(1))+(0)))=("store"),(INDEX(B1:XFD1,((A2)+(1))+(1)))=("Y"),"false"),B2,Y388),Y388))</f>
        <v>#VALUE!</v>
      </c>
      <c r="Z388" t="e">
        <f ca="1">IF((A1)=(2),"",IF((385)=(Z3),IF(IF((INDEX(B1:XFD1,((A2)+(1))+(0)))=("store"),(INDEX(B1:XFD1,((A2)+(1))+(1)))=("Z"),"false"),B2,Z388),Z388))</f>
        <v>#VALUE!</v>
      </c>
      <c r="AA388" t="e">
        <f ca="1">IF((A1)=(2),"",IF((385)=(AA3),IF(IF((INDEX(B1:XFD1,((A2)+(1))+(0)))=("store"),(INDEX(B1:XFD1,((A2)+(1))+(1)))=("AA"),"false"),B2,AA388),AA388))</f>
        <v>#VALUE!</v>
      </c>
      <c r="AB388" t="e">
        <f ca="1">IF((A1)=(2),"",IF((385)=(AB3),IF(IF((INDEX(B1:XFD1,((A2)+(1))+(0)))=("store"),(INDEX(B1:XFD1,((A2)+(1))+(1)))=("AB"),"false"),B2,AB388),AB388))</f>
        <v>#VALUE!</v>
      </c>
      <c r="AC388" t="e">
        <f ca="1">IF((A1)=(2),"",IF((385)=(AC3),IF(IF((INDEX(B1:XFD1,((A2)+(1))+(0)))=("store"),(INDEX(B1:XFD1,((A2)+(1))+(1)))=("AC"),"false"),B2,AC388),AC388))</f>
        <v>#VALUE!</v>
      </c>
      <c r="AD388" t="e">
        <f ca="1">IF((A1)=(2),"",IF((385)=(AD3),IF(IF((INDEX(B1:XFD1,((A2)+(1))+(0)))=("store"),(INDEX(B1:XFD1,((A2)+(1))+(1)))=("AD"),"false"),B2,AD388),AD388))</f>
        <v>#VALUE!</v>
      </c>
    </row>
    <row r="389" spans="1:30" x14ac:dyDescent="0.25">
      <c r="A389" t="e">
        <f ca="1">IF((A1)=(2),"",IF((386)=(A3),IF(("call")=(INDEX(B1:XFD1,((A2)+(1))+(0))),(B2)*(2),IF(("goto")=(INDEX(B1:XFD1,((A2)+(1))+(0))),(INDEX(B1:XFD1,((A2)+(1))+(1)))*(2),IF(("gotoiftrue")=(INDEX(B1:XFD1,((A2)+(1))+(0))),IF(B2,(INDEX(B1:XFD1,((A2)+(1))+(1)))*(2),(A389)+(2)),(A389)+(2)))),A389))</f>
        <v>#VALUE!</v>
      </c>
      <c r="B389" t="e">
        <f ca="1">IF((A1)=(2),"",IF((386)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389)+(1)),IF(("add")=(INDEX(B1:XFD1,((A2)+(1))+(0))),(INDEX(B4:B404,(B3)+(1)))+(B389),IF(("equals")=(INDEX(B1:XFD1,((A2)+(1))+(0))),(INDEX(B4:B404,(B3)+(1)))=(B389),IF(("leq")=(INDEX(B1:XFD1,((A2)+(1))+(0))),(INDEX(B4:B404,(B3)+(1)))&lt;=(B389),IF(("greater")=(INDEX(B1:XFD1,((A2)+(1))+(0))),(INDEX(B4:B404,(B3)+(1)))&gt;(B389),IF(("mod")=(INDEX(B1:XFD1,((A2)+(1))+(0))),MOD(INDEX(B4:B404,(B3)+(1)),B389),B389))))))))),B389))</f>
        <v>#VALUE!</v>
      </c>
      <c r="C389" t="e">
        <f ca="1">IF((A1)=(2),1,IF(AND((INDEX(B1:XFD1,((A2)+(1))+(0)))=("writeheap"),(INDEX(B4:B404,(B3)+(1)))=(385)),INDEX(B4:B404,(B3)+(2)),IF((A1)=(2),"",IF((386)=(C3),C389,C389))))</f>
        <v>#VALUE!</v>
      </c>
      <c r="E389" t="e">
        <f ca="1">IF((A1)=(2),"",IF((386)=(E3),IF(("outputline")=(INDEX(B1:XFD1,((A2)+(1))+(0))),B2,E389),E389))</f>
        <v>#VALUE!</v>
      </c>
      <c r="F389" t="e">
        <f ca="1">IF((A1)=(2),"",IF((386)=(F3),IF(IF((INDEX(B1:XFD1,((A2)+(1))+(0)))=("store"),(INDEX(B1:XFD1,((A2)+(1))+(1)))=("F"),"false"),B2,F389),F389))</f>
        <v>#VALUE!</v>
      </c>
      <c r="G389" t="e">
        <f ca="1">IF((A1)=(2),"",IF((386)=(G3),IF(IF((INDEX(B1:XFD1,((A2)+(1))+(0)))=("store"),(INDEX(B1:XFD1,((A2)+(1))+(1)))=("G"),"false"),B2,G389),G389))</f>
        <v>#VALUE!</v>
      </c>
      <c r="H389" t="e">
        <f ca="1">IF((A1)=(2),"",IF((386)=(H3),IF(IF((INDEX(B1:XFD1,((A2)+(1))+(0)))=("store"),(INDEX(B1:XFD1,((A2)+(1))+(1)))=("H"),"false"),B2,H389),H389))</f>
        <v>#VALUE!</v>
      </c>
      <c r="I389" t="e">
        <f ca="1">IF((A1)=(2),"",IF((386)=(I3),IF(IF((INDEX(B1:XFD1,((A2)+(1))+(0)))=("store"),(INDEX(B1:XFD1,((A2)+(1))+(1)))=("I"),"false"),B2,I389),I389))</f>
        <v>#VALUE!</v>
      </c>
      <c r="J389" t="e">
        <f ca="1">IF((A1)=(2),"",IF((386)=(J3),IF(IF((INDEX(B1:XFD1,((A2)+(1))+(0)))=("store"),(INDEX(B1:XFD1,((A2)+(1))+(1)))=("J"),"false"),B2,J389),J389))</f>
        <v>#VALUE!</v>
      </c>
      <c r="K389" t="e">
        <f ca="1">IF((A1)=(2),"",IF((386)=(K3),IF(IF((INDEX(B1:XFD1,((A2)+(1))+(0)))=("store"),(INDEX(B1:XFD1,((A2)+(1))+(1)))=("K"),"false"),B2,K389),K389))</f>
        <v>#VALUE!</v>
      </c>
      <c r="L389" t="e">
        <f ca="1">IF((A1)=(2),"",IF((386)=(L3),IF(IF((INDEX(B1:XFD1,((A2)+(1))+(0)))=("store"),(INDEX(B1:XFD1,((A2)+(1))+(1)))=("L"),"false"),B2,L389),L389))</f>
        <v>#VALUE!</v>
      </c>
      <c r="M389" t="e">
        <f ca="1">IF((A1)=(2),"",IF((386)=(M3),IF(IF((INDEX(B1:XFD1,((A2)+(1))+(0)))=("store"),(INDEX(B1:XFD1,((A2)+(1))+(1)))=("M"),"false"),B2,M389),M389))</f>
        <v>#VALUE!</v>
      </c>
      <c r="N389" t="e">
        <f ca="1">IF((A1)=(2),"",IF((386)=(N3),IF(IF((INDEX(B1:XFD1,((A2)+(1))+(0)))=("store"),(INDEX(B1:XFD1,((A2)+(1))+(1)))=("N"),"false"),B2,N389),N389))</f>
        <v>#VALUE!</v>
      </c>
      <c r="O389" t="e">
        <f ca="1">IF((A1)=(2),"",IF((386)=(O3),IF(IF((INDEX(B1:XFD1,((A2)+(1))+(0)))=("store"),(INDEX(B1:XFD1,((A2)+(1))+(1)))=("O"),"false"),B2,O389),O389))</f>
        <v>#VALUE!</v>
      </c>
      <c r="P389" t="e">
        <f ca="1">IF((A1)=(2),"",IF((386)=(P3),IF(IF((INDEX(B1:XFD1,((A2)+(1))+(0)))=("store"),(INDEX(B1:XFD1,((A2)+(1))+(1)))=("P"),"false"),B2,P389),P389))</f>
        <v>#VALUE!</v>
      </c>
      <c r="Q389" t="e">
        <f ca="1">IF((A1)=(2),"",IF((386)=(Q3),IF(IF((INDEX(B1:XFD1,((A2)+(1))+(0)))=("store"),(INDEX(B1:XFD1,((A2)+(1))+(1)))=("Q"),"false"),B2,Q389),Q389))</f>
        <v>#VALUE!</v>
      </c>
      <c r="R389" t="e">
        <f ca="1">IF((A1)=(2),"",IF((386)=(R3),IF(IF((INDEX(B1:XFD1,((A2)+(1))+(0)))=("store"),(INDEX(B1:XFD1,((A2)+(1))+(1)))=("R"),"false"),B2,R389),R389))</f>
        <v>#VALUE!</v>
      </c>
      <c r="S389" t="e">
        <f ca="1">IF((A1)=(2),"",IF((386)=(S3),IF(IF((INDEX(B1:XFD1,((A2)+(1))+(0)))=("store"),(INDEX(B1:XFD1,((A2)+(1))+(1)))=("S"),"false"),B2,S389),S389))</f>
        <v>#VALUE!</v>
      </c>
      <c r="T389" t="e">
        <f ca="1">IF((A1)=(2),"",IF((386)=(T3),IF(IF((INDEX(B1:XFD1,((A2)+(1))+(0)))=("store"),(INDEX(B1:XFD1,((A2)+(1))+(1)))=("T"),"false"),B2,T389),T389))</f>
        <v>#VALUE!</v>
      </c>
      <c r="U389" t="e">
        <f ca="1">IF((A1)=(2),"",IF((386)=(U3),IF(IF((INDEX(B1:XFD1,((A2)+(1))+(0)))=("store"),(INDEX(B1:XFD1,((A2)+(1))+(1)))=("U"),"false"),B2,U389),U389))</f>
        <v>#VALUE!</v>
      </c>
      <c r="V389" t="e">
        <f ca="1">IF((A1)=(2),"",IF((386)=(V3),IF(IF((INDEX(B1:XFD1,((A2)+(1))+(0)))=("store"),(INDEX(B1:XFD1,((A2)+(1))+(1)))=("V"),"false"),B2,V389),V389))</f>
        <v>#VALUE!</v>
      </c>
      <c r="W389" t="e">
        <f ca="1">IF((A1)=(2),"",IF((386)=(W3),IF(IF((INDEX(B1:XFD1,((A2)+(1))+(0)))=("store"),(INDEX(B1:XFD1,((A2)+(1))+(1)))=("W"),"false"),B2,W389),W389))</f>
        <v>#VALUE!</v>
      </c>
      <c r="X389" t="e">
        <f ca="1">IF((A1)=(2),"",IF((386)=(X3),IF(IF((INDEX(B1:XFD1,((A2)+(1))+(0)))=("store"),(INDEX(B1:XFD1,((A2)+(1))+(1)))=("X"),"false"),B2,X389),X389))</f>
        <v>#VALUE!</v>
      </c>
      <c r="Y389" t="e">
        <f ca="1">IF((A1)=(2),"",IF((386)=(Y3),IF(IF((INDEX(B1:XFD1,((A2)+(1))+(0)))=("store"),(INDEX(B1:XFD1,((A2)+(1))+(1)))=("Y"),"false"),B2,Y389),Y389))</f>
        <v>#VALUE!</v>
      </c>
      <c r="Z389" t="e">
        <f ca="1">IF((A1)=(2),"",IF((386)=(Z3),IF(IF((INDEX(B1:XFD1,((A2)+(1))+(0)))=("store"),(INDEX(B1:XFD1,((A2)+(1))+(1)))=("Z"),"false"),B2,Z389),Z389))</f>
        <v>#VALUE!</v>
      </c>
      <c r="AA389" t="e">
        <f ca="1">IF((A1)=(2),"",IF((386)=(AA3),IF(IF((INDEX(B1:XFD1,((A2)+(1))+(0)))=("store"),(INDEX(B1:XFD1,((A2)+(1))+(1)))=("AA"),"false"),B2,AA389),AA389))</f>
        <v>#VALUE!</v>
      </c>
      <c r="AB389" t="e">
        <f ca="1">IF((A1)=(2),"",IF((386)=(AB3),IF(IF((INDEX(B1:XFD1,((A2)+(1))+(0)))=("store"),(INDEX(B1:XFD1,((A2)+(1))+(1)))=("AB"),"false"),B2,AB389),AB389))</f>
        <v>#VALUE!</v>
      </c>
      <c r="AC389" t="e">
        <f ca="1">IF((A1)=(2),"",IF((386)=(AC3),IF(IF((INDEX(B1:XFD1,((A2)+(1))+(0)))=("store"),(INDEX(B1:XFD1,((A2)+(1))+(1)))=("AC"),"false"),B2,AC389),AC389))</f>
        <v>#VALUE!</v>
      </c>
      <c r="AD389" t="e">
        <f ca="1">IF((A1)=(2),"",IF((386)=(AD3),IF(IF((INDEX(B1:XFD1,((A2)+(1))+(0)))=("store"),(INDEX(B1:XFD1,((A2)+(1))+(1)))=("AD"),"false"),B2,AD389),AD389))</f>
        <v>#VALUE!</v>
      </c>
    </row>
    <row r="390" spans="1:30" x14ac:dyDescent="0.25">
      <c r="A390" t="e">
        <f ca="1">IF((A1)=(2),"",IF((387)=(A3),IF(("call")=(INDEX(B1:XFD1,((A2)+(1))+(0))),(B2)*(2),IF(("goto")=(INDEX(B1:XFD1,((A2)+(1))+(0))),(INDEX(B1:XFD1,((A2)+(1))+(1)))*(2),IF(("gotoiftrue")=(INDEX(B1:XFD1,((A2)+(1))+(0))),IF(B2,(INDEX(B1:XFD1,((A2)+(1))+(1)))*(2),(A390)+(2)),(A390)+(2)))),A390))</f>
        <v>#VALUE!</v>
      </c>
      <c r="B390" t="e">
        <f ca="1">IF((A1)=(2),"",IF((387)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390)+(1)),IF(("add")=(INDEX(B1:XFD1,((A2)+(1))+(0))),(INDEX(B4:B404,(B3)+(1)))+(B390),IF(("equals")=(INDEX(B1:XFD1,((A2)+(1))+(0))),(INDEX(B4:B404,(B3)+(1)))=(B390),IF(("leq")=(INDEX(B1:XFD1,((A2)+(1))+(0))),(INDEX(B4:B404,(B3)+(1)))&lt;=(B390),IF(("greater")=(INDEX(B1:XFD1,((A2)+(1))+(0))),(INDEX(B4:B404,(B3)+(1)))&gt;(B390),IF(("mod")=(INDEX(B1:XFD1,((A2)+(1))+(0))),MOD(INDEX(B4:B404,(B3)+(1)),B390),B390))))))))),B390))</f>
        <v>#VALUE!</v>
      </c>
      <c r="C390" t="e">
        <f ca="1">IF((A1)=(2),1,IF(AND((INDEX(B1:XFD1,((A2)+(1))+(0)))=("writeheap"),(INDEX(B4:B404,(B3)+(1)))=(386)),INDEX(B4:B404,(B3)+(2)),IF((A1)=(2),"",IF((387)=(C3),C390,C390))))</f>
        <v>#VALUE!</v>
      </c>
      <c r="E390" t="e">
        <f ca="1">IF((A1)=(2),"",IF((387)=(E3),IF(("outputline")=(INDEX(B1:XFD1,((A2)+(1))+(0))),B2,E390),E390))</f>
        <v>#VALUE!</v>
      </c>
      <c r="F390" t="e">
        <f ca="1">IF((A1)=(2),"",IF((387)=(F3),IF(IF((INDEX(B1:XFD1,((A2)+(1))+(0)))=("store"),(INDEX(B1:XFD1,((A2)+(1))+(1)))=("F"),"false"),B2,F390),F390))</f>
        <v>#VALUE!</v>
      </c>
      <c r="G390" t="e">
        <f ca="1">IF((A1)=(2),"",IF((387)=(G3),IF(IF((INDEX(B1:XFD1,((A2)+(1))+(0)))=("store"),(INDEX(B1:XFD1,((A2)+(1))+(1)))=("G"),"false"),B2,G390),G390))</f>
        <v>#VALUE!</v>
      </c>
      <c r="H390" t="e">
        <f ca="1">IF((A1)=(2),"",IF((387)=(H3),IF(IF((INDEX(B1:XFD1,((A2)+(1))+(0)))=("store"),(INDEX(B1:XFD1,((A2)+(1))+(1)))=("H"),"false"),B2,H390),H390))</f>
        <v>#VALUE!</v>
      </c>
      <c r="I390" t="e">
        <f ca="1">IF((A1)=(2),"",IF((387)=(I3),IF(IF((INDEX(B1:XFD1,((A2)+(1))+(0)))=("store"),(INDEX(B1:XFD1,((A2)+(1))+(1)))=("I"),"false"),B2,I390),I390))</f>
        <v>#VALUE!</v>
      </c>
      <c r="J390" t="e">
        <f ca="1">IF((A1)=(2),"",IF((387)=(J3),IF(IF((INDEX(B1:XFD1,((A2)+(1))+(0)))=("store"),(INDEX(B1:XFD1,((A2)+(1))+(1)))=("J"),"false"),B2,J390),J390))</f>
        <v>#VALUE!</v>
      </c>
      <c r="K390" t="e">
        <f ca="1">IF((A1)=(2),"",IF((387)=(K3),IF(IF((INDEX(B1:XFD1,((A2)+(1))+(0)))=("store"),(INDEX(B1:XFD1,((A2)+(1))+(1)))=("K"),"false"),B2,K390),K390))</f>
        <v>#VALUE!</v>
      </c>
      <c r="L390" t="e">
        <f ca="1">IF((A1)=(2),"",IF((387)=(L3),IF(IF((INDEX(B1:XFD1,((A2)+(1))+(0)))=("store"),(INDEX(B1:XFD1,((A2)+(1))+(1)))=("L"),"false"),B2,L390),L390))</f>
        <v>#VALUE!</v>
      </c>
      <c r="M390" t="e">
        <f ca="1">IF((A1)=(2),"",IF((387)=(M3),IF(IF((INDEX(B1:XFD1,((A2)+(1))+(0)))=("store"),(INDEX(B1:XFD1,((A2)+(1))+(1)))=("M"),"false"),B2,M390),M390))</f>
        <v>#VALUE!</v>
      </c>
      <c r="N390" t="e">
        <f ca="1">IF((A1)=(2),"",IF((387)=(N3),IF(IF((INDEX(B1:XFD1,((A2)+(1))+(0)))=("store"),(INDEX(B1:XFD1,((A2)+(1))+(1)))=("N"),"false"),B2,N390),N390))</f>
        <v>#VALUE!</v>
      </c>
      <c r="O390" t="e">
        <f ca="1">IF((A1)=(2),"",IF((387)=(O3),IF(IF((INDEX(B1:XFD1,((A2)+(1))+(0)))=("store"),(INDEX(B1:XFD1,((A2)+(1))+(1)))=("O"),"false"),B2,O390),O390))</f>
        <v>#VALUE!</v>
      </c>
      <c r="P390" t="e">
        <f ca="1">IF((A1)=(2),"",IF((387)=(P3),IF(IF((INDEX(B1:XFD1,((A2)+(1))+(0)))=("store"),(INDEX(B1:XFD1,((A2)+(1))+(1)))=("P"),"false"),B2,P390),P390))</f>
        <v>#VALUE!</v>
      </c>
      <c r="Q390" t="e">
        <f ca="1">IF((A1)=(2),"",IF((387)=(Q3),IF(IF((INDEX(B1:XFD1,((A2)+(1))+(0)))=("store"),(INDEX(B1:XFD1,((A2)+(1))+(1)))=("Q"),"false"),B2,Q390),Q390))</f>
        <v>#VALUE!</v>
      </c>
      <c r="R390" t="e">
        <f ca="1">IF((A1)=(2),"",IF((387)=(R3),IF(IF((INDEX(B1:XFD1,((A2)+(1))+(0)))=("store"),(INDEX(B1:XFD1,((A2)+(1))+(1)))=("R"),"false"),B2,R390),R390))</f>
        <v>#VALUE!</v>
      </c>
      <c r="S390" t="e">
        <f ca="1">IF((A1)=(2),"",IF((387)=(S3),IF(IF((INDEX(B1:XFD1,((A2)+(1))+(0)))=("store"),(INDEX(B1:XFD1,((A2)+(1))+(1)))=("S"),"false"),B2,S390),S390))</f>
        <v>#VALUE!</v>
      </c>
      <c r="T390" t="e">
        <f ca="1">IF((A1)=(2),"",IF((387)=(T3),IF(IF((INDEX(B1:XFD1,((A2)+(1))+(0)))=("store"),(INDEX(B1:XFD1,((A2)+(1))+(1)))=("T"),"false"),B2,T390),T390))</f>
        <v>#VALUE!</v>
      </c>
      <c r="U390" t="e">
        <f ca="1">IF((A1)=(2),"",IF((387)=(U3),IF(IF((INDEX(B1:XFD1,((A2)+(1))+(0)))=("store"),(INDEX(B1:XFD1,((A2)+(1))+(1)))=("U"),"false"),B2,U390),U390))</f>
        <v>#VALUE!</v>
      </c>
      <c r="V390" t="e">
        <f ca="1">IF((A1)=(2),"",IF((387)=(V3),IF(IF((INDEX(B1:XFD1,((A2)+(1))+(0)))=("store"),(INDEX(B1:XFD1,((A2)+(1))+(1)))=("V"),"false"),B2,V390),V390))</f>
        <v>#VALUE!</v>
      </c>
      <c r="W390" t="e">
        <f ca="1">IF((A1)=(2),"",IF((387)=(W3),IF(IF((INDEX(B1:XFD1,((A2)+(1))+(0)))=("store"),(INDEX(B1:XFD1,((A2)+(1))+(1)))=("W"),"false"),B2,W390),W390))</f>
        <v>#VALUE!</v>
      </c>
      <c r="X390" t="e">
        <f ca="1">IF((A1)=(2),"",IF((387)=(X3),IF(IF((INDEX(B1:XFD1,((A2)+(1))+(0)))=("store"),(INDEX(B1:XFD1,((A2)+(1))+(1)))=("X"),"false"),B2,X390),X390))</f>
        <v>#VALUE!</v>
      </c>
      <c r="Y390" t="e">
        <f ca="1">IF((A1)=(2),"",IF((387)=(Y3),IF(IF((INDEX(B1:XFD1,((A2)+(1))+(0)))=("store"),(INDEX(B1:XFD1,((A2)+(1))+(1)))=("Y"),"false"),B2,Y390),Y390))</f>
        <v>#VALUE!</v>
      </c>
      <c r="Z390" t="e">
        <f ca="1">IF((A1)=(2),"",IF((387)=(Z3),IF(IF((INDEX(B1:XFD1,((A2)+(1))+(0)))=("store"),(INDEX(B1:XFD1,((A2)+(1))+(1)))=("Z"),"false"),B2,Z390),Z390))</f>
        <v>#VALUE!</v>
      </c>
      <c r="AA390" t="e">
        <f ca="1">IF((A1)=(2),"",IF((387)=(AA3),IF(IF((INDEX(B1:XFD1,((A2)+(1))+(0)))=("store"),(INDEX(B1:XFD1,((A2)+(1))+(1)))=("AA"),"false"),B2,AA390),AA390))</f>
        <v>#VALUE!</v>
      </c>
      <c r="AB390" t="e">
        <f ca="1">IF((A1)=(2),"",IF((387)=(AB3),IF(IF((INDEX(B1:XFD1,((A2)+(1))+(0)))=("store"),(INDEX(B1:XFD1,((A2)+(1))+(1)))=("AB"),"false"),B2,AB390),AB390))</f>
        <v>#VALUE!</v>
      </c>
      <c r="AC390" t="e">
        <f ca="1">IF((A1)=(2),"",IF((387)=(AC3),IF(IF((INDEX(B1:XFD1,((A2)+(1))+(0)))=("store"),(INDEX(B1:XFD1,((A2)+(1))+(1)))=("AC"),"false"),B2,AC390),AC390))</f>
        <v>#VALUE!</v>
      </c>
      <c r="AD390" t="e">
        <f ca="1">IF((A1)=(2),"",IF((387)=(AD3),IF(IF((INDEX(B1:XFD1,((A2)+(1))+(0)))=("store"),(INDEX(B1:XFD1,((A2)+(1))+(1)))=("AD"),"false"),B2,AD390),AD390))</f>
        <v>#VALUE!</v>
      </c>
    </row>
    <row r="391" spans="1:30" x14ac:dyDescent="0.25">
      <c r="A391" t="e">
        <f ca="1">IF((A1)=(2),"",IF((388)=(A3),IF(("call")=(INDEX(B1:XFD1,((A2)+(1))+(0))),(B2)*(2),IF(("goto")=(INDEX(B1:XFD1,((A2)+(1))+(0))),(INDEX(B1:XFD1,((A2)+(1))+(1)))*(2),IF(("gotoiftrue")=(INDEX(B1:XFD1,((A2)+(1))+(0))),IF(B2,(INDEX(B1:XFD1,((A2)+(1))+(1)))*(2),(A391)+(2)),(A391)+(2)))),A391))</f>
        <v>#VALUE!</v>
      </c>
      <c r="B391" t="e">
        <f ca="1">IF((A1)=(2),"",IF((388)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391)+(1)),IF(("add")=(INDEX(B1:XFD1,((A2)+(1))+(0))),(INDEX(B4:B404,(B3)+(1)))+(B391),IF(("equals")=(INDEX(B1:XFD1,((A2)+(1))+(0))),(INDEX(B4:B404,(B3)+(1)))=(B391),IF(("leq")=(INDEX(B1:XFD1,((A2)+(1))+(0))),(INDEX(B4:B404,(B3)+(1)))&lt;=(B391),IF(("greater")=(INDEX(B1:XFD1,((A2)+(1))+(0))),(INDEX(B4:B404,(B3)+(1)))&gt;(B391),IF(("mod")=(INDEX(B1:XFD1,((A2)+(1))+(0))),MOD(INDEX(B4:B404,(B3)+(1)),B391),B391))))))))),B391))</f>
        <v>#VALUE!</v>
      </c>
      <c r="C391" t="e">
        <f ca="1">IF((A1)=(2),1,IF(AND((INDEX(B1:XFD1,((A2)+(1))+(0)))=("writeheap"),(INDEX(B4:B404,(B3)+(1)))=(387)),INDEX(B4:B404,(B3)+(2)),IF((A1)=(2),"",IF((388)=(C3),C391,C391))))</f>
        <v>#VALUE!</v>
      </c>
      <c r="E391" t="e">
        <f ca="1">IF((A1)=(2),"",IF((388)=(E3),IF(("outputline")=(INDEX(B1:XFD1,((A2)+(1))+(0))),B2,E391),E391))</f>
        <v>#VALUE!</v>
      </c>
      <c r="F391" t="e">
        <f ca="1">IF((A1)=(2),"",IF((388)=(F3),IF(IF((INDEX(B1:XFD1,((A2)+(1))+(0)))=("store"),(INDEX(B1:XFD1,((A2)+(1))+(1)))=("F"),"false"),B2,F391),F391))</f>
        <v>#VALUE!</v>
      </c>
      <c r="G391" t="e">
        <f ca="1">IF((A1)=(2),"",IF((388)=(G3),IF(IF((INDEX(B1:XFD1,((A2)+(1))+(0)))=("store"),(INDEX(B1:XFD1,((A2)+(1))+(1)))=("G"),"false"),B2,G391),G391))</f>
        <v>#VALUE!</v>
      </c>
      <c r="H391" t="e">
        <f ca="1">IF((A1)=(2),"",IF((388)=(H3),IF(IF((INDEX(B1:XFD1,((A2)+(1))+(0)))=("store"),(INDEX(B1:XFD1,((A2)+(1))+(1)))=("H"),"false"),B2,H391),H391))</f>
        <v>#VALUE!</v>
      </c>
      <c r="I391" t="e">
        <f ca="1">IF((A1)=(2),"",IF((388)=(I3),IF(IF((INDEX(B1:XFD1,((A2)+(1))+(0)))=("store"),(INDEX(B1:XFD1,((A2)+(1))+(1)))=("I"),"false"),B2,I391),I391))</f>
        <v>#VALUE!</v>
      </c>
      <c r="J391" t="e">
        <f ca="1">IF((A1)=(2),"",IF((388)=(J3),IF(IF((INDEX(B1:XFD1,((A2)+(1))+(0)))=("store"),(INDEX(B1:XFD1,((A2)+(1))+(1)))=("J"),"false"),B2,J391),J391))</f>
        <v>#VALUE!</v>
      </c>
      <c r="K391" t="e">
        <f ca="1">IF((A1)=(2),"",IF((388)=(K3),IF(IF((INDEX(B1:XFD1,((A2)+(1))+(0)))=("store"),(INDEX(B1:XFD1,((A2)+(1))+(1)))=("K"),"false"),B2,K391),K391))</f>
        <v>#VALUE!</v>
      </c>
      <c r="L391" t="e">
        <f ca="1">IF((A1)=(2),"",IF((388)=(L3),IF(IF((INDEX(B1:XFD1,((A2)+(1))+(0)))=("store"),(INDEX(B1:XFD1,((A2)+(1))+(1)))=("L"),"false"),B2,L391),L391))</f>
        <v>#VALUE!</v>
      </c>
      <c r="M391" t="e">
        <f ca="1">IF((A1)=(2),"",IF((388)=(M3),IF(IF((INDEX(B1:XFD1,((A2)+(1))+(0)))=("store"),(INDEX(B1:XFD1,((A2)+(1))+(1)))=("M"),"false"),B2,M391),M391))</f>
        <v>#VALUE!</v>
      </c>
      <c r="N391" t="e">
        <f ca="1">IF((A1)=(2),"",IF((388)=(N3),IF(IF((INDEX(B1:XFD1,((A2)+(1))+(0)))=("store"),(INDEX(B1:XFD1,((A2)+(1))+(1)))=("N"),"false"),B2,N391),N391))</f>
        <v>#VALUE!</v>
      </c>
      <c r="O391" t="e">
        <f ca="1">IF((A1)=(2),"",IF((388)=(O3),IF(IF((INDEX(B1:XFD1,((A2)+(1))+(0)))=("store"),(INDEX(B1:XFD1,((A2)+(1))+(1)))=("O"),"false"),B2,O391),O391))</f>
        <v>#VALUE!</v>
      </c>
      <c r="P391" t="e">
        <f ca="1">IF((A1)=(2),"",IF((388)=(P3),IF(IF((INDEX(B1:XFD1,((A2)+(1))+(0)))=("store"),(INDEX(B1:XFD1,((A2)+(1))+(1)))=("P"),"false"),B2,P391),P391))</f>
        <v>#VALUE!</v>
      </c>
      <c r="Q391" t="e">
        <f ca="1">IF((A1)=(2),"",IF((388)=(Q3),IF(IF((INDEX(B1:XFD1,((A2)+(1))+(0)))=("store"),(INDEX(B1:XFD1,((A2)+(1))+(1)))=("Q"),"false"),B2,Q391),Q391))</f>
        <v>#VALUE!</v>
      </c>
      <c r="R391" t="e">
        <f ca="1">IF((A1)=(2),"",IF((388)=(R3),IF(IF((INDEX(B1:XFD1,((A2)+(1))+(0)))=("store"),(INDEX(B1:XFD1,((A2)+(1))+(1)))=("R"),"false"),B2,R391),R391))</f>
        <v>#VALUE!</v>
      </c>
      <c r="S391" t="e">
        <f ca="1">IF((A1)=(2),"",IF((388)=(S3),IF(IF((INDEX(B1:XFD1,((A2)+(1))+(0)))=("store"),(INDEX(B1:XFD1,((A2)+(1))+(1)))=("S"),"false"),B2,S391),S391))</f>
        <v>#VALUE!</v>
      </c>
      <c r="T391" t="e">
        <f ca="1">IF((A1)=(2),"",IF((388)=(T3),IF(IF((INDEX(B1:XFD1,((A2)+(1))+(0)))=("store"),(INDEX(B1:XFD1,((A2)+(1))+(1)))=("T"),"false"),B2,T391),T391))</f>
        <v>#VALUE!</v>
      </c>
      <c r="U391" t="e">
        <f ca="1">IF((A1)=(2),"",IF((388)=(U3),IF(IF((INDEX(B1:XFD1,((A2)+(1))+(0)))=("store"),(INDEX(B1:XFD1,((A2)+(1))+(1)))=("U"),"false"),B2,U391),U391))</f>
        <v>#VALUE!</v>
      </c>
      <c r="V391" t="e">
        <f ca="1">IF((A1)=(2),"",IF((388)=(V3),IF(IF((INDEX(B1:XFD1,((A2)+(1))+(0)))=("store"),(INDEX(B1:XFD1,((A2)+(1))+(1)))=("V"),"false"),B2,V391),V391))</f>
        <v>#VALUE!</v>
      </c>
      <c r="W391" t="e">
        <f ca="1">IF((A1)=(2),"",IF((388)=(W3),IF(IF((INDEX(B1:XFD1,((A2)+(1))+(0)))=("store"),(INDEX(B1:XFD1,((A2)+(1))+(1)))=("W"),"false"),B2,W391),W391))</f>
        <v>#VALUE!</v>
      </c>
      <c r="X391" t="e">
        <f ca="1">IF((A1)=(2),"",IF((388)=(X3),IF(IF((INDEX(B1:XFD1,((A2)+(1))+(0)))=("store"),(INDEX(B1:XFD1,((A2)+(1))+(1)))=("X"),"false"),B2,X391),X391))</f>
        <v>#VALUE!</v>
      </c>
      <c r="Y391" t="e">
        <f ca="1">IF((A1)=(2),"",IF((388)=(Y3),IF(IF((INDEX(B1:XFD1,((A2)+(1))+(0)))=("store"),(INDEX(B1:XFD1,((A2)+(1))+(1)))=("Y"),"false"),B2,Y391),Y391))</f>
        <v>#VALUE!</v>
      </c>
      <c r="Z391" t="e">
        <f ca="1">IF((A1)=(2),"",IF((388)=(Z3),IF(IF((INDEX(B1:XFD1,((A2)+(1))+(0)))=("store"),(INDEX(B1:XFD1,((A2)+(1))+(1)))=("Z"),"false"),B2,Z391),Z391))</f>
        <v>#VALUE!</v>
      </c>
      <c r="AA391" t="e">
        <f ca="1">IF((A1)=(2),"",IF((388)=(AA3),IF(IF((INDEX(B1:XFD1,((A2)+(1))+(0)))=("store"),(INDEX(B1:XFD1,((A2)+(1))+(1)))=("AA"),"false"),B2,AA391),AA391))</f>
        <v>#VALUE!</v>
      </c>
      <c r="AB391" t="e">
        <f ca="1">IF((A1)=(2),"",IF((388)=(AB3),IF(IF((INDEX(B1:XFD1,((A2)+(1))+(0)))=("store"),(INDEX(B1:XFD1,((A2)+(1))+(1)))=("AB"),"false"),B2,AB391),AB391))</f>
        <v>#VALUE!</v>
      </c>
      <c r="AC391" t="e">
        <f ca="1">IF((A1)=(2),"",IF((388)=(AC3),IF(IF((INDEX(B1:XFD1,((A2)+(1))+(0)))=("store"),(INDEX(B1:XFD1,((A2)+(1))+(1)))=("AC"),"false"),B2,AC391),AC391))</f>
        <v>#VALUE!</v>
      </c>
      <c r="AD391" t="e">
        <f ca="1">IF((A1)=(2),"",IF((388)=(AD3),IF(IF((INDEX(B1:XFD1,((A2)+(1))+(0)))=("store"),(INDEX(B1:XFD1,((A2)+(1))+(1)))=("AD"),"false"),B2,AD391),AD391))</f>
        <v>#VALUE!</v>
      </c>
    </row>
    <row r="392" spans="1:30" x14ac:dyDescent="0.25">
      <c r="A392" t="e">
        <f ca="1">IF((A1)=(2),"",IF((389)=(A3),IF(("call")=(INDEX(B1:XFD1,((A2)+(1))+(0))),(B2)*(2),IF(("goto")=(INDEX(B1:XFD1,((A2)+(1))+(0))),(INDEX(B1:XFD1,((A2)+(1))+(1)))*(2),IF(("gotoiftrue")=(INDEX(B1:XFD1,((A2)+(1))+(0))),IF(B2,(INDEX(B1:XFD1,((A2)+(1))+(1)))*(2),(A392)+(2)),(A392)+(2)))),A392))</f>
        <v>#VALUE!</v>
      </c>
      <c r="B392" t="e">
        <f ca="1">IF((A1)=(2),"",IF((389)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392)+(1)),IF(("add")=(INDEX(B1:XFD1,((A2)+(1))+(0))),(INDEX(B4:B404,(B3)+(1)))+(B392),IF(("equals")=(INDEX(B1:XFD1,((A2)+(1))+(0))),(INDEX(B4:B404,(B3)+(1)))=(B392),IF(("leq")=(INDEX(B1:XFD1,((A2)+(1))+(0))),(INDEX(B4:B404,(B3)+(1)))&lt;=(B392),IF(("greater")=(INDEX(B1:XFD1,((A2)+(1))+(0))),(INDEX(B4:B404,(B3)+(1)))&gt;(B392),IF(("mod")=(INDEX(B1:XFD1,((A2)+(1))+(0))),MOD(INDEX(B4:B404,(B3)+(1)),B392),B392))))))))),B392))</f>
        <v>#VALUE!</v>
      </c>
      <c r="C392" t="e">
        <f ca="1">IF((A1)=(2),1,IF(AND((INDEX(B1:XFD1,((A2)+(1))+(0)))=("writeheap"),(INDEX(B4:B404,(B3)+(1)))=(388)),INDEX(B4:B404,(B3)+(2)),IF((A1)=(2),"",IF((389)=(C3),C392,C392))))</f>
        <v>#VALUE!</v>
      </c>
      <c r="E392" t="e">
        <f ca="1">IF((A1)=(2),"",IF((389)=(E3),IF(("outputline")=(INDEX(B1:XFD1,((A2)+(1))+(0))),B2,E392),E392))</f>
        <v>#VALUE!</v>
      </c>
      <c r="F392" t="e">
        <f ca="1">IF((A1)=(2),"",IF((389)=(F3),IF(IF((INDEX(B1:XFD1,((A2)+(1))+(0)))=("store"),(INDEX(B1:XFD1,((A2)+(1))+(1)))=("F"),"false"),B2,F392),F392))</f>
        <v>#VALUE!</v>
      </c>
      <c r="G392" t="e">
        <f ca="1">IF((A1)=(2),"",IF((389)=(G3),IF(IF((INDEX(B1:XFD1,((A2)+(1))+(0)))=("store"),(INDEX(B1:XFD1,((A2)+(1))+(1)))=("G"),"false"),B2,G392),G392))</f>
        <v>#VALUE!</v>
      </c>
      <c r="H392" t="e">
        <f ca="1">IF((A1)=(2),"",IF((389)=(H3),IF(IF((INDEX(B1:XFD1,((A2)+(1))+(0)))=("store"),(INDEX(B1:XFD1,((A2)+(1))+(1)))=("H"),"false"),B2,H392),H392))</f>
        <v>#VALUE!</v>
      </c>
      <c r="I392" t="e">
        <f ca="1">IF((A1)=(2),"",IF((389)=(I3),IF(IF((INDEX(B1:XFD1,((A2)+(1))+(0)))=("store"),(INDEX(B1:XFD1,((A2)+(1))+(1)))=("I"),"false"),B2,I392),I392))</f>
        <v>#VALUE!</v>
      </c>
      <c r="J392" t="e">
        <f ca="1">IF((A1)=(2),"",IF((389)=(J3),IF(IF((INDEX(B1:XFD1,((A2)+(1))+(0)))=("store"),(INDEX(B1:XFD1,((A2)+(1))+(1)))=("J"),"false"),B2,J392),J392))</f>
        <v>#VALUE!</v>
      </c>
      <c r="K392" t="e">
        <f ca="1">IF((A1)=(2),"",IF((389)=(K3),IF(IF((INDEX(B1:XFD1,((A2)+(1))+(0)))=("store"),(INDEX(B1:XFD1,((A2)+(1))+(1)))=("K"),"false"),B2,K392),K392))</f>
        <v>#VALUE!</v>
      </c>
      <c r="L392" t="e">
        <f ca="1">IF((A1)=(2),"",IF((389)=(L3),IF(IF((INDEX(B1:XFD1,((A2)+(1))+(0)))=("store"),(INDEX(B1:XFD1,((A2)+(1))+(1)))=("L"),"false"),B2,L392),L392))</f>
        <v>#VALUE!</v>
      </c>
      <c r="M392" t="e">
        <f ca="1">IF((A1)=(2),"",IF((389)=(M3),IF(IF((INDEX(B1:XFD1,((A2)+(1))+(0)))=("store"),(INDEX(B1:XFD1,((A2)+(1))+(1)))=("M"),"false"),B2,M392),M392))</f>
        <v>#VALUE!</v>
      </c>
      <c r="N392" t="e">
        <f ca="1">IF((A1)=(2),"",IF((389)=(N3),IF(IF((INDEX(B1:XFD1,((A2)+(1))+(0)))=("store"),(INDEX(B1:XFD1,((A2)+(1))+(1)))=("N"),"false"),B2,N392),N392))</f>
        <v>#VALUE!</v>
      </c>
      <c r="O392" t="e">
        <f ca="1">IF((A1)=(2),"",IF((389)=(O3),IF(IF((INDEX(B1:XFD1,((A2)+(1))+(0)))=("store"),(INDEX(B1:XFD1,((A2)+(1))+(1)))=("O"),"false"),B2,O392),O392))</f>
        <v>#VALUE!</v>
      </c>
      <c r="P392" t="e">
        <f ca="1">IF((A1)=(2),"",IF((389)=(P3),IF(IF((INDEX(B1:XFD1,((A2)+(1))+(0)))=("store"),(INDEX(B1:XFD1,((A2)+(1))+(1)))=("P"),"false"),B2,P392),P392))</f>
        <v>#VALUE!</v>
      </c>
      <c r="Q392" t="e">
        <f ca="1">IF((A1)=(2),"",IF((389)=(Q3),IF(IF((INDEX(B1:XFD1,((A2)+(1))+(0)))=("store"),(INDEX(B1:XFD1,((A2)+(1))+(1)))=("Q"),"false"),B2,Q392),Q392))</f>
        <v>#VALUE!</v>
      </c>
      <c r="R392" t="e">
        <f ca="1">IF((A1)=(2),"",IF((389)=(R3),IF(IF((INDEX(B1:XFD1,((A2)+(1))+(0)))=("store"),(INDEX(B1:XFD1,((A2)+(1))+(1)))=("R"),"false"),B2,R392),R392))</f>
        <v>#VALUE!</v>
      </c>
      <c r="S392" t="e">
        <f ca="1">IF((A1)=(2),"",IF((389)=(S3),IF(IF((INDEX(B1:XFD1,((A2)+(1))+(0)))=("store"),(INDEX(B1:XFD1,((A2)+(1))+(1)))=("S"),"false"),B2,S392),S392))</f>
        <v>#VALUE!</v>
      </c>
      <c r="T392" t="e">
        <f ca="1">IF((A1)=(2),"",IF((389)=(T3),IF(IF((INDEX(B1:XFD1,((A2)+(1))+(0)))=("store"),(INDEX(B1:XFD1,((A2)+(1))+(1)))=("T"),"false"),B2,T392),T392))</f>
        <v>#VALUE!</v>
      </c>
      <c r="U392" t="e">
        <f ca="1">IF((A1)=(2),"",IF((389)=(U3),IF(IF((INDEX(B1:XFD1,((A2)+(1))+(0)))=("store"),(INDEX(B1:XFD1,((A2)+(1))+(1)))=("U"),"false"),B2,U392),U392))</f>
        <v>#VALUE!</v>
      </c>
      <c r="V392" t="e">
        <f ca="1">IF((A1)=(2),"",IF((389)=(V3),IF(IF((INDEX(B1:XFD1,((A2)+(1))+(0)))=("store"),(INDEX(B1:XFD1,((A2)+(1))+(1)))=("V"),"false"),B2,V392),V392))</f>
        <v>#VALUE!</v>
      </c>
      <c r="W392" t="e">
        <f ca="1">IF((A1)=(2),"",IF((389)=(W3),IF(IF((INDEX(B1:XFD1,((A2)+(1))+(0)))=("store"),(INDEX(B1:XFD1,((A2)+(1))+(1)))=("W"),"false"),B2,W392),W392))</f>
        <v>#VALUE!</v>
      </c>
      <c r="X392" t="e">
        <f ca="1">IF((A1)=(2),"",IF((389)=(X3),IF(IF((INDEX(B1:XFD1,((A2)+(1))+(0)))=("store"),(INDEX(B1:XFD1,((A2)+(1))+(1)))=("X"),"false"),B2,X392),X392))</f>
        <v>#VALUE!</v>
      </c>
      <c r="Y392" t="e">
        <f ca="1">IF((A1)=(2),"",IF((389)=(Y3),IF(IF((INDEX(B1:XFD1,((A2)+(1))+(0)))=("store"),(INDEX(B1:XFD1,((A2)+(1))+(1)))=("Y"),"false"),B2,Y392),Y392))</f>
        <v>#VALUE!</v>
      </c>
      <c r="Z392" t="e">
        <f ca="1">IF((A1)=(2),"",IF((389)=(Z3),IF(IF((INDEX(B1:XFD1,((A2)+(1))+(0)))=("store"),(INDEX(B1:XFD1,((A2)+(1))+(1)))=("Z"),"false"),B2,Z392),Z392))</f>
        <v>#VALUE!</v>
      </c>
      <c r="AA392" t="e">
        <f ca="1">IF((A1)=(2),"",IF((389)=(AA3),IF(IF((INDEX(B1:XFD1,((A2)+(1))+(0)))=("store"),(INDEX(B1:XFD1,((A2)+(1))+(1)))=("AA"),"false"),B2,AA392),AA392))</f>
        <v>#VALUE!</v>
      </c>
      <c r="AB392" t="e">
        <f ca="1">IF((A1)=(2),"",IF((389)=(AB3),IF(IF((INDEX(B1:XFD1,((A2)+(1))+(0)))=("store"),(INDEX(B1:XFD1,((A2)+(1))+(1)))=("AB"),"false"),B2,AB392),AB392))</f>
        <v>#VALUE!</v>
      </c>
      <c r="AC392" t="e">
        <f ca="1">IF((A1)=(2),"",IF((389)=(AC3),IF(IF((INDEX(B1:XFD1,((A2)+(1))+(0)))=("store"),(INDEX(B1:XFD1,((A2)+(1))+(1)))=("AC"),"false"),B2,AC392),AC392))</f>
        <v>#VALUE!</v>
      </c>
      <c r="AD392" t="e">
        <f ca="1">IF((A1)=(2),"",IF((389)=(AD3),IF(IF((INDEX(B1:XFD1,((A2)+(1))+(0)))=("store"),(INDEX(B1:XFD1,((A2)+(1))+(1)))=("AD"),"false"),B2,AD392),AD392))</f>
        <v>#VALUE!</v>
      </c>
    </row>
    <row r="393" spans="1:30" x14ac:dyDescent="0.25">
      <c r="A393" t="e">
        <f ca="1">IF((A1)=(2),"",IF((390)=(A3),IF(("call")=(INDEX(B1:XFD1,((A2)+(1))+(0))),(B2)*(2),IF(("goto")=(INDEX(B1:XFD1,((A2)+(1))+(0))),(INDEX(B1:XFD1,((A2)+(1))+(1)))*(2),IF(("gotoiftrue")=(INDEX(B1:XFD1,((A2)+(1))+(0))),IF(B2,(INDEX(B1:XFD1,((A2)+(1))+(1)))*(2),(A393)+(2)),(A393)+(2)))),A393))</f>
        <v>#VALUE!</v>
      </c>
      <c r="B393" t="e">
        <f ca="1">IF((A1)=(2),"",IF((390)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393)+(1)),IF(("add")=(INDEX(B1:XFD1,((A2)+(1))+(0))),(INDEX(B4:B404,(B3)+(1)))+(B393),IF(("equals")=(INDEX(B1:XFD1,((A2)+(1))+(0))),(INDEX(B4:B404,(B3)+(1)))=(B393),IF(("leq")=(INDEX(B1:XFD1,((A2)+(1))+(0))),(INDEX(B4:B404,(B3)+(1)))&lt;=(B393),IF(("greater")=(INDEX(B1:XFD1,((A2)+(1))+(0))),(INDEX(B4:B404,(B3)+(1)))&gt;(B393),IF(("mod")=(INDEX(B1:XFD1,((A2)+(1))+(0))),MOD(INDEX(B4:B404,(B3)+(1)),B393),B393))))))))),B393))</f>
        <v>#VALUE!</v>
      </c>
      <c r="C393" t="e">
        <f ca="1">IF((A1)=(2),1,IF(AND((INDEX(B1:XFD1,((A2)+(1))+(0)))=("writeheap"),(INDEX(B4:B404,(B3)+(1)))=(389)),INDEX(B4:B404,(B3)+(2)),IF((A1)=(2),"",IF((390)=(C3),C393,C393))))</f>
        <v>#VALUE!</v>
      </c>
      <c r="E393" t="e">
        <f ca="1">IF((A1)=(2),"",IF((390)=(E3),IF(("outputline")=(INDEX(B1:XFD1,((A2)+(1))+(0))),B2,E393),E393))</f>
        <v>#VALUE!</v>
      </c>
      <c r="F393" t="e">
        <f ca="1">IF((A1)=(2),"",IF((390)=(F3),IF(IF((INDEX(B1:XFD1,((A2)+(1))+(0)))=("store"),(INDEX(B1:XFD1,((A2)+(1))+(1)))=("F"),"false"),B2,F393),F393))</f>
        <v>#VALUE!</v>
      </c>
      <c r="G393" t="e">
        <f ca="1">IF((A1)=(2),"",IF((390)=(G3),IF(IF((INDEX(B1:XFD1,((A2)+(1))+(0)))=("store"),(INDEX(B1:XFD1,((A2)+(1))+(1)))=("G"),"false"),B2,G393),G393))</f>
        <v>#VALUE!</v>
      </c>
      <c r="H393" t="e">
        <f ca="1">IF((A1)=(2),"",IF((390)=(H3),IF(IF((INDEX(B1:XFD1,((A2)+(1))+(0)))=("store"),(INDEX(B1:XFD1,((A2)+(1))+(1)))=("H"),"false"),B2,H393),H393))</f>
        <v>#VALUE!</v>
      </c>
      <c r="I393" t="e">
        <f ca="1">IF((A1)=(2),"",IF((390)=(I3),IF(IF((INDEX(B1:XFD1,((A2)+(1))+(0)))=("store"),(INDEX(B1:XFD1,((A2)+(1))+(1)))=("I"),"false"),B2,I393),I393))</f>
        <v>#VALUE!</v>
      </c>
      <c r="J393" t="e">
        <f ca="1">IF((A1)=(2),"",IF((390)=(J3),IF(IF((INDEX(B1:XFD1,((A2)+(1))+(0)))=("store"),(INDEX(B1:XFD1,((A2)+(1))+(1)))=("J"),"false"),B2,J393),J393))</f>
        <v>#VALUE!</v>
      </c>
      <c r="K393" t="e">
        <f ca="1">IF((A1)=(2),"",IF((390)=(K3),IF(IF((INDEX(B1:XFD1,((A2)+(1))+(0)))=("store"),(INDEX(B1:XFD1,((A2)+(1))+(1)))=("K"),"false"),B2,K393),K393))</f>
        <v>#VALUE!</v>
      </c>
      <c r="L393" t="e">
        <f ca="1">IF((A1)=(2),"",IF((390)=(L3),IF(IF((INDEX(B1:XFD1,((A2)+(1))+(0)))=("store"),(INDEX(B1:XFD1,((A2)+(1))+(1)))=("L"),"false"),B2,L393),L393))</f>
        <v>#VALUE!</v>
      </c>
      <c r="M393" t="e">
        <f ca="1">IF((A1)=(2),"",IF((390)=(M3),IF(IF((INDEX(B1:XFD1,((A2)+(1))+(0)))=("store"),(INDEX(B1:XFD1,((A2)+(1))+(1)))=("M"),"false"),B2,M393),M393))</f>
        <v>#VALUE!</v>
      </c>
      <c r="N393" t="e">
        <f ca="1">IF((A1)=(2),"",IF((390)=(N3),IF(IF((INDEX(B1:XFD1,((A2)+(1))+(0)))=("store"),(INDEX(B1:XFD1,((A2)+(1))+(1)))=("N"),"false"),B2,N393),N393))</f>
        <v>#VALUE!</v>
      </c>
      <c r="O393" t="e">
        <f ca="1">IF((A1)=(2),"",IF((390)=(O3),IF(IF((INDEX(B1:XFD1,((A2)+(1))+(0)))=("store"),(INDEX(B1:XFD1,((A2)+(1))+(1)))=("O"),"false"),B2,O393),O393))</f>
        <v>#VALUE!</v>
      </c>
      <c r="P393" t="e">
        <f ca="1">IF((A1)=(2),"",IF((390)=(P3),IF(IF((INDEX(B1:XFD1,((A2)+(1))+(0)))=("store"),(INDEX(B1:XFD1,((A2)+(1))+(1)))=("P"),"false"),B2,P393),P393))</f>
        <v>#VALUE!</v>
      </c>
      <c r="Q393" t="e">
        <f ca="1">IF((A1)=(2),"",IF((390)=(Q3),IF(IF((INDEX(B1:XFD1,((A2)+(1))+(0)))=("store"),(INDEX(B1:XFD1,((A2)+(1))+(1)))=("Q"),"false"),B2,Q393),Q393))</f>
        <v>#VALUE!</v>
      </c>
      <c r="R393" t="e">
        <f ca="1">IF((A1)=(2),"",IF((390)=(R3),IF(IF((INDEX(B1:XFD1,((A2)+(1))+(0)))=("store"),(INDEX(B1:XFD1,((A2)+(1))+(1)))=("R"),"false"),B2,R393),R393))</f>
        <v>#VALUE!</v>
      </c>
      <c r="S393" t="e">
        <f ca="1">IF((A1)=(2),"",IF((390)=(S3),IF(IF((INDEX(B1:XFD1,((A2)+(1))+(0)))=("store"),(INDEX(B1:XFD1,((A2)+(1))+(1)))=("S"),"false"),B2,S393),S393))</f>
        <v>#VALUE!</v>
      </c>
      <c r="T393" t="e">
        <f ca="1">IF((A1)=(2),"",IF((390)=(T3),IF(IF((INDEX(B1:XFD1,((A2)+(1))+(0)))=("store"),(INDEX(B1:XFD1,((A2)+(1))+(1)))=("T"),"false"),B2,T393),T393))</f>
        <v>#VALUE!</v>
      </c>
      <c r="U393" t="e">
        <f ca="1">IF((A1)=(2),"",IF((390)=(U3),IF(IF((INDEX(B1:XFD1,((A2)+(1))+(0)))=("store"),(INDEX(B1:XFD1,((A2)+(1))+(1)))=("U"),"false"),B2,U393),U393))</f>
        <v>#VALUE!</v>
      </c>
      <c r="V393" t="e">
        <f ca="1">IF((A1)=(2),"",IF((390)=(V3),IF(IF((INDEX(B1:XFD1,((A2)+(1))+(0)))=("store"),(INDEX(B1:XFD1,((A2)+(1))+(1)))=("V"),"false"),B2,V393),V393))</f>
        <v>#VALUE!</v>
      </c>
      <c r="W393" t="e">
        <f ca="1">IF((A1)=(2),"",IF((390)=(W3),IF(IF((INDEX(B1:XFD1,((A2)+(1))+(0)))=("store"),(INDEX(B1:XFD1,((A2)+(1))+(1)))=("W"),"false"),B2,W393),W393))</f>
        <v>#VALUE!</v>
      </c>
      <c r="X393" t="e">
        <f ca="1">IF((A1)=(2),"",IF((390)=(X3),IF(IF((INDEX(B1:XFD1,((A2)+(1))+(0)))=("store"),(INDEX(B1:XFD1,((A2)+(1))+(1)))=("X"),"false"),B2,X393),X393))</f>
        <v>#VALUE!</v>
      </c>
      <c r="Y393" t="e">
        <f ca="1">IF((A1)=(2),"",IF((390)=(Y3),IF(IF((INDEX(B1:XFD1,((A2)+(1))+(0)))=("store"),(INDEX(B1:XFD1,((A2)+(1))+(1)))=("Y"),"false"),B2,Y393),Y393))</f>
        <v>#VALUE!</v>
      </c>
      <c r="Z393" t="e">
        <f ca="1">IF((A1)=(2),"",IF((390)=(Z3),IF(IF((INDEX(B1:XFD1,((A2)+(1))+(0)))=("store"),(INDEX(B1:XFD1,((A2)+(1))+(1)))=("Z"),"false"),B2,Z393),Z393))</f>
        <v>#VALUE!</v>
      </c>
      <c r="AA393" t="e">
        <f ca="1">IF((A1)=(2),"",IF((390)=(AA3),IF(IF((INDEX(B1:XFD1,((A2)+(1))+(0)))=("store"),(INDEX(B1:XFD1,((A2)+(1))+(1)))=("AA"),"false"),B2,AA393),AA393))</f>
        <v>#VALUE!</v>
      </c>
      <c r="AB393" t="e">
        <f ca="1">IF((A1)=(2),"",IF((390)=(AB3),IF(IF((INDEX(B1:XFD1,((A2)+(1))+(0)))=("store"),(INDEX(B1:XFD1,((A2)+(1))+(1)))=("AB"),"false"),B2,AB393),AB393))</f>
        <v>#VALUE!</v>
      </c>
      <c r="AC393" t="e">
        <f ca="1">IF((A1)=(2),"",IF((390)=(AC3),IF(IF((INDEX(B1:XFD1,((A2)+(1))+(0)))=("store"),(INDEX(B1:XFD1,((A2)+(1))+(1)))=("AC"),"false"),B2,AC393),AC393))</f>
        <v>#VALUE!</v>
      </c>
      <c r="AD393" t="e">
        <f ca="1">IF((A1)=(2),"",IF((390)=(AD3),IF(IF((INDEX(B1:XFD1,((A2)+(1))+(0)))=("store"),(INDEX(B1:XFD1,((A2)+(1))+(1)))=("AD"),"false"),B2,AD393),AD393))</f>
        <v>#VALUE!</v>
      </c>
    </row>
    <row r="394" spans="1:30" x14ac:dyDescent="0.25">
      <c r="A394" t="e">
        <f ca="1">IF((A1)=(2),"",IF((391)=(A3),IF(("call")=(INDEX(B1:XFD1,((A2)+(1))+(0))),(B2)*(2),IF(("goto")=(INDEX(B1:XFD1,((A2)+(1))+(0))),(INDEX(B1:XFD1,((A2)+(1))+(1)))*(2),IF(("gotoiftrue")=(INDEX(B1:XFD1,((A2)+(1))+(0))),IF(B2,(INDEX(B1:XFD1,((A2)+(1))+(1)))*(2),(A394)+(2)),(A394)+(2)))),A394))</f>
        <v>#VALUE!</v>
      </c>
      <c r="B394" t="e">
        <f ca="1">IF((A1)=(2),"",IF((391)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394)+(1)),IF(("add")=(INDEX(B1:XFD1,((A2)+(1))+(0))),(INDEX(B4:B404,(B3)+(1)))+(B394),IF(("equals")=(INDEX(B1:XFD1,((A2)+(1))+(0))),(INDEX(B4:B404,(B3)+(1)))=(B394),IF(("leq")=(INDEX(B1:XFD1,((A2)+(1))+(0))),(INDEX(B4:B404,(B3)+(1)))&lt;=(B394),IF(("greater")=(INDEX(B1:XFD1,((A2)+(1))+(0))),(INDEX(B4:B404,(B3)+(1)))&gt;(B394),IF(("mod")=(INDEX(B1:XFD1,((A2)+(1))+(0))),MOD(INDEX(B4:B404,(B3)+(1)),B394),B394))))))))),B394))</f>
        <v>#VALUE!</v>
      </c>
      <c r="C394" t="e">
        <f ca="1">IF((A1)=(2),1,IF(AND((INDEX(B1:XFD1,((A2)+(1))+(0)))=("writeheap"),(INDEX(B4:B404,(B3)+(1)))=(390)),INDEX(B4:B404,(B3)+(2)),IF((A1)=(2),"",IF((391)=(C3),C394,C394))))</f>
        <v>#VALUE!</v>
      </c>
      <c r="E394" t="e">
        <f ca="1">IF((A1)=(2),"",IF((391)=(E3),IF(("outputline")=(INDEX(B1:XFD1,((A2)+(1))+(0))),B2,E394),E394))</f>
        <v>#VALUE!</v>
      </c>
      <c r="F394" t="e">
        <f ca="1">IF((A1)=(2),"",IF((391)=(F3),IF(IF((INDEX(B1:XFD1,((A2)+(1))+(0)))=("store"),(INDEX(B1:XFD1,((A2)+(1))+(1)))=("F"),"false"),B2,F394),F394))</f>
        <v>#VALUE!</v>
      </c>
      <c r="G394" t="e">
        <f ca="1">IF((A1)=(2),"",IF((391)=(G3),IF(IF((INDEX(B1:XFD1,((A2)+(1))+(0)))=("store"),(INDEX(B1:XFD1,((A2)+(1))+(1)))=("G"),"false"),B2,G394),G394))</f>
        <v>#VALUE!</v>
      </c>
      <c r="H394" t="e">
        <f ca="1">IF((A1)=(2),"",IF((391)=(H3),IF(IF((INDEX(B1:XFD1,((A2)+(1))+(0)))=("store"),(INDEX(B1:XFD1,((A2)+(1))+(1)))=("H"),"false"),B2,H394),H394))</f>
        <v>#VALUE!</v>
      </c>
      <c r="I394" t="e">
        <f ca="1">IF((A1)=(2),"",IF((391)=(I3),IF(IF((INDEX(B1:XFD1,((A2)+(1))+(0)))=("store"),(INDEX(B1:XFD1,((A2)+(1))+(1)))=("I"),"false"),B2,I394),I394))</f>
        <v>#VALUE!</v>
      </c>
      <c r="J394" t="e">
        <f ca="1">IF((A1)=(2),"",IF((391)=(J3),IF(IF((INDEX(B1:XFD1,((A2)+(1))+(0)))=("store"),(INDEX(B1:XFD1,((A2)+(1))+(1)))=("J"),"false"),B2,J394),J394))</f>
        <v>#VALUE!</v>
      </c>
      <c r="K394" t="e">
        <f ca="1">IF((A1)=(2),"",IF((391)=(K3),IF(IF((INDEX(B1:XFD1,((A2)+(1))+(0)))=("store"),(INDEX(B1:XFD1,((A2)+(1))+(1)))=("K"),"false"),B2,K394),K394))</f>
        <v>#VALUE!</v>
      </c>
      <c r="L394" t="e">
        <f ca="1">IF((A1)=(2),"",IF((391)=(L3),IF(IF((INDEX(B1:XFD1,((A2)+(1))+(0)))=("store"),(INDEX(B1:XFD1,((A2)+(1))+(1)))=("L"),"false"),B2,L394),L394))</f>
        <v>#VALUE!</v>
      </c>
      <c r="M394" t="e">
        <f ca="1">IF((A1)=(2),"",IF((391)=(M3),IF(IF((INDEX(B1:XFD1,((A2)+(1))+(0)))=("store"),(INDEX(B1:XFD1,((A2)+(1))+(1)))=("M"),"false"),B2,M394),M394))</f>
        <v>#VALUE!</v>
      </c>
      <c r="N394" t="e">
        <f ca="1">IF((A1)=(2),"",IF((391)=(N3),IF(IF((INDEX(B1:XFD1,((A2)+(1))+(0)))=("store"),(INDEX(B1:XFD1,((A2)+(1))+(1)))=("N"),"false"),B2,N394),N394))</f>
        <v>#VALUE!</v>
      </c>
      <c r="O394" t="e">
        <f ca="1">IF((A1)=(2),"",IF((391)=(O3),IF(IF((INDEX(B1:XFD1,((A2)+(1))+(0)))=("store"),(INDEX(B1:XFD1,((A2)+(1))+(1)))=("O"),"false"),B2,O394),O394))</f>
        <v>#VALUE!</v>
      </c>
      <c r="P394" t="e">
        <f ca="1">IF((A1)=(2),"",IF((391)=(P3),IF(IF((INDEX(B1:XFD1,((A2)+(1))+(0)))=("store"),(INDEX(B1:XFD1,((A2)+(1))+(1)))=("P"),"false"),B2,P394),P394))</f>
        <v>#VALUE!</v>
      </c>
      <c r="Q394" t="e">
        <f ca="1">IF((A1)=(2),"",IF((391)=(Q3),IF(IF((INDEX(B1:XFD1,((A2)+(1))+(0)))=("store"),(INDEX(B1:XFD1,((A2)+(1))+(1)))=("Q"),"false"),B2,Q394),Q394))</f>
        <v>#VALUE!</v>
      </c>
      <c r="R394" t="e">
        <f ca="1">IF((A1)=(2),"",IF((391)=(R3),IF(IF((INDEX(B1:XFD1,((A2)+(1))+(0)))=("store"),(INDEX(B1:XFD1,((A2)+(1))+(1)))=("R"),"false"),B2,R394),R394))</f>
        <v>#VALUE!</v>
      </c>
      <c r="S394" t="e">
        <f ca="1">IF((A1)=(2),"",IF((391)=(S3),IF(IF((INDEX(B1:XFD1,((A2)+(1))+(0)))=("store"),(INDEX(B1:XFD1,((A2)+(1))+(1)))=("S"),"false"),B2,S394),S394))</f>
        <v>#VALUE!</v>
      </c>
      <c r="T394" t="e">
        <f ca="1">IF((A1)=(2),"",IF((391)=(T3),IF(IF((INDEX(B1:XFD1,((A2)+(1))+(0)))=("store"),(INDEX(B1:XFD1,((A2)+(1))+(1)))=("T"),"false"),B2,T394),T394))</f>
        <v>#VALUE!</v>
      </c>
      <c r="U394" t="e">
        <f ca="1">IF((A1)=(2),"",IF((391)=(U3),IF(IF((INDEX(B1:XFD1,((A2)+(1))+(0)))=("store"),(INDEX(B1:XFD1,((A2)+(1))+(1)))=("U"),"false"),B2,U394),U394))</f>
        <v>#VALUE!</v>
      </c>
      <c r="V394" t="e">
        <f ca="1">IF((A1)=(2),"",IF((391)=(V3),IF(IF((INDEX(B1:XFD1,((A2)+(1))+(0)))=("store"),(INDEX(B1:XFD1,((A2)+(1))+(1)))=("V"),"false"),B2,V394),V394))</f>
        <v>#VALUE!</v>
      </c>
      <c r="W394" t="e">
        <f ca="1">IF((A1)=(2),"",IF((391)=(W3),IF(IF((INDEX(B1:XFD1,((A2)+(1))+(0)))=("store"),(INDEX(B1:XFD1,((A2)+(1))+(1)))=("W"),"false"),B2,W394),W394))</f>
        <v>#VALUE!</v>
      </c>
      <c r="X394" t="e">
        <f ca="1">IF((A1)=(2),"",IF((391)=(X3),IF(IF((INDEX(B1:XFD1,((A2)+(1))+(0)))=("store"),(INDEX(B1:XFD1,((A2)+(1))+(1)))=("X"),"false"),B2,X394),X394))</f>
        <v>#VALUE!</v>
      </c>
      <c r="Y394" t="e">
        <f ca="1">IF((A1)=(2),"",IF((391)=(Y3),IF(IF((INDEX(B1:XFD1,((A2)+(1))+(0)))=("store"),(INDEX(B1:XFD1,((A2)+(1))+(1)))=("Y"),"false"),B2,Y394),Y394))</f>
        <v>#VALUE!</v>
      </c>
      <c r="Z394" t="e">
        <f ca="1">IF((A1)=(2),"",IF((391)=(Z3),IF(IF((INDEX(B1:XFD1,((A2)+(1))+(0)))=("store"),(INDEX(B1:XFD1,((A2)+(1))+(1)))=("Z"),"false"),B2,Z394),Z394))</f>
        <v>#VALUE!</v>
      </c>
      <c r="AA394" t="e">
        <f ca="1">IF((A1)=(2),"",IF((391)=(AA3),IF(IF((INDEX(B1:XFD1,((A2)+(1))+(0)))=("store"),(INDEX(B1:XFD1,((A2)+(1))+(1)))=("AA"),"false"),B2,AA394),AA394))</f>
        <v>#VALUE!</v>
      </c>
      <c r="AB394" t="e">
        <f ca="1">IF((A1)=(2),"",IF((391)=(AB3),IF(IF((INDEX(B1:XFD1,((A2)+(1))+(0)))=("store"),(INDEX(B1:XFD1,((A2)+(1))+(1)))=("AB"),"false"),B2,AB394),AB394))</f>
        <v>#VALUE!</v>
      </c>
      <c r="AC394" t="e">
        <f ca="1">IF((A1)=(2),"",IF((391)=(AC3),IF(IF((INDEX(B1:XFD1,((A2)+(1))+(0)))=("store"),(INDEX(B1:XFD1,((A2)+(1))+(1)))=("AC"),"false"),B2,AC394),AC394))</f>
        <v>#VALUE!</v>
      </c>
      <c r="AD394" t="e">
        <f ca="1">IF((A1)=(2),"",IF((391)=(AD3),IF(IF((INDEX(B1:XFD1,((A2)+(1))+(0)))=("store"),(INDEX(B1:XFD1,((A2)+(1))+(1)))=("AD"),"false"),B2,AD394),AD394))</f>
        <v>#VALUE!</v>
      </c>
    </row>
    <row r="395" spans="1:30" x14ac:dyDescent="0.25">
      <c r="A395" t="e">
        <f ca="1">IF((A1)=(2),"",IF((392)=(A3),IF(("call")=(INDEX(B1:XFD1,((A2)+(1))+(0))),(B2)*(2),IF(("goto")=(INDEX(B1:XFD1,((A2)+(1))+(0))),(INDEX(B1:XFD1,((A2)+(1))+(1)))*(2),IF(("gotoiftrue")=(INDEX(B1:XFD1,((A2)+(1))+(0))),IF(B2,(INDEX(B1:XFD1,((A2)+(1))+(1)))*(2),(A395)+(2)),(A395)+(2)))),A395))</f>
        <v>#VALUE!</v>
      </c>
      <c r="B395" t="e">
        <f ca="1">IF((A1)=(2),"",IF((392)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395)+(1)),IF(("add")=(INDEX(B1:XFD1,((A2)+(1))+(0))),(INDEX(B4:B404,(B3)+(1)))+(B395),IF(("equals")=(INDEX(B1:XFD1,((A2)+(1))+(0))),(INDEX(B4:B404,(B3)+(1)))=(B395),IF(("leq")=(INDEX(B1:XFD1,((A2)+(1))+(0))),(INDEX(B4:B404,(B3)+(1)))&lt;=(B395),IF(("greater")=(INDEX(B1:XFD1,((A2)+(1))+(0))),(INDEX(B4:B404,(B3)+(1)))&gt;(B395),IF(("mod")=(INDEX(B1:XFD1,((A2)+(1))+(0))),MOD(INDEX(B4:B404,(B3)+(1)),B395),B395))))))))),B395))</f>
        <v>#VALUE!</v>
      </c>
      <c r="C395" t="e">
        <f ca="1">IF((A1)=(2),1,IF(AND((INDEX(B1:XFD1,((A2)+(1))+(0)))=("writeheap"),(INDEX(B4:B404,(B3)+(1)))=(391)),INDEX(B4:B404,(B3)+(2)),IF((A1)=(2),"",IF((392)=(C3),C395,C395))))</f>
        <v>#VALUE!</v>
      </c>
      <c r="E395" t="e">
        <f ca="1">IF((A1)=(2),"",IF((392)=(E3),IF(("outputline")=(INDEX(B1:XFD1,((A2)+(1))+(0))),B2,E395),E395))</f>
        <v>#VALUE!</v>
      </c>
      <c r="F395" t="e">
        <f ca="1">IF((A1)=(2),"",IF((392)=(F3),IF(IF((INDEX(B1:XFD1,((A2)+(1))+(0)))=("store"),(INDEX(B1:XFD1,((A2)+(1))+(1)))=("F"),"false"),B2,F395),F395))</f>
        <v>#VALUE!</v>
      </c>
      <c r="G395" t="e">
        <f ca="1">IF((A1)=(2),"",IF((392)=(G3),IF(IF((INDEX(B1:XFD1,((A2)+(1))+(0)))=("store"),(INDEX(B1:XFD1,((A2)+(1))+(1)))=("G"),"false"),B2,G395),G395))</f>
        <v>#VALUE!</v>
      </c>
      <c r="H395" t="e">
        <f ca="1">IF((A1)=(2),"",IF((392)=(H3),IF(IF((INDEX(B1:XFD1,((A2)+(1))+(0)))=("store"),(INDEX(B1:XFD1,((A2)+(1))+(1)))=("H"),"false"),B2,H395),H395))</f>
        <v>#VALUE!</v>
      </c>
      <c r="I395" t="e">
        <f ca="1">IF((A1)=(2),"",IF((392)=(I3),IF(IF((INDEX(B1:XFD1,((A2)+(1))+(0)))=("store"),(INDEX(B1:XFD1,((A2)+(1))+(1)))=("I"),"false"),B2,I395),I395))</f>
        <v>#VALUE!</v>
      </c>
      <c r="J395" t="e">
        <f ca="1">IF((A1)=(2),"",IF((392)=(J3),IF(IF((INDEX(B1:XFD1,((A2)+(1))+(0)))=("store"),(INDEX(B1:XFD1,((A2)+(1))+(1)))=("J"),"false"),B2,J395),J395))</f>
        <v>#VALUE!</v>
      </c>
      <c r="K395" t="e">
        <f ca="1">IF((A1)=(2),"",IF((392)=(K3),IF(IF((INDEX(B1:XFD1,((A2)+(1))+(0)))=("store"),(INDEX(B1:XFD1,((A2)+(1))+(1)))=("K"),"false"),B2,K395),K395))</f>
        <v>#VALUE!</v>
      </c>
      <c r="L395" t="e">
        <f ca="1">IF((A1)=(2),"",IF((392)=(L3),IF(IF((INDEX(B1:XFD1,((A2)+(1))+(0)))=("store"),(INDEX(B1:XFD1,((A2)+(1))+(1)))=("L"),"false"),B2,L395),L395))</f>
        <v>#VALUE!</v>
      </c>
      <c r="M395" t="e">
        <f ca="1">IF((A1)=(2),"",IF((392)=(M3),IF(IF((INDEX(B1:XFD1,((A2)+(1))+(0)))=("store"),(INDEX(B1:XFD1,((A2)+(1))+(1)))=("M"),"false"),B2,M395),M395))</f>
        <v>#VALUE!</v>
      </c>
      <c r="N395" t="e">
        <f ca="1">IF((A1)=(2),"",IF((392)=(N3),IF(IF((INDEX(B1:XFD1,((A2)+(1))+(0)))=("store"),(INDEX(B1:XFD1,((A2)+(1))+(1)))=("N"),"false"),B2,N395),N395))</f>
        <v>#VALUE!</v>
      </c>
      <c r="O395" t="e">
        <f ca="1">IF((A1)=(2),"",IF((392)=(O3),IF(IF((INDEX(B1:XFD1,((A2)+(1))+(0)))=("store"),(INDEX(B1:XFD1,((A2)+(1))+(1)))=("O"),"false"),B2,O395),O395))</f>
        <v>#VALUE!</v>
      </c>
      <c r="P395" t="e">
        <f ca="1">IF((A1)=(2),"",IF((392)=(P3),IF(IF((INDEX(B1:XFD1,((A2)+(1))+(0)))=("store"),(INDEX(B1:XFD1,((A2)+(1))+(1)))=("P"),"false"),B2,P395),P395))</f>
        <v>#VALUE!</v>
      </c>
      <c r="Q395" t="e">
        <f ca="1">IF((A1)=(2),"",IF((392)=(Q3),IF(IF((INDEX(B1:XFD1,((A2)+(1))+(0)))=("store"),(INDEX(B1:XFD1,((A2)+(1))+(1)))=("Q"),"false"),B2,Q395),Q395))</f>
        <v>#VALUE!</v>
      </c>
      <c r="R395" t="e">
        <f ca="1">IF((A1)=(2),"",IF((392)=(R3),IF(IF((INDEX(B1:XFD1,((A2)+(1))+(0)))=("store"),(INDEX(B1:XFD1,((A2)+(1))+(1)))=("R"),"false"),B2,R395),R395))</f>
        <v>#VALUE!</v>
      </c>
      <c r="S395" t="e">
        <f ca="1">IF((A1)=(2),"",IF((392)=(S3),IF(IF((INDEX(B1:XFD1,((A2)+(1))+(0)))=("store"),(INDEX(B1:XFD1,((A2)+(1))+(1)))=("S"),"false"),B2,S395),S395))</f>
        <v>#VALUE!</v>
      </c>
      <c r="T395" t="e">
        <f ca="1">IF((A1)=(2),"",IF((392)=(T3),IF(IF((INDEX(B1:XFD1,((A2)+(1))+(0)))=("store"),(INDEX(B1:XFD1,((A2)+(1))+(1)))=("T"),"false"),B2,T395),T395))</f>
        <v>#VALUE!</v>
      </c>
      <c r="U395" t="e">
        <f ca="1">IF((A1)=(2),"",IF((392)=(U3),IF(IF((INDEX(B1:XFD1,((A2)+(1))+(0)))=("store"),(INDEX(B1:XFD1,((A2)+(1))+(1)))=("U"),"false"),B2,U395),U395))</f>
        <v>#VALUE!</v>
      </c>
      <c r="V395" t="e">
        <f ca="1">IF((A1)=(2),"",IF((392)=(V3),IF(IF((INDEX(B1:XFD1,((A2)+(1))+(0)))=("store"),(INDEX(B1:XFD1,((A2)+(1))+(1)))=("V"),"false"),B2,V395),V395))</f>
        <v>#VALUE!</v>
      </c>
      <c r="W395" t="e">
        <f ca="1">IF((A1)=(2),"",IF((392)=(W3),IF(IF((INDEX(B1:XFD1,((A2)+(1))+(0)))=("store"),(INDEX(B1:XFD1,((A2)+(1))+(1)))=("W"),"false"),B2,W395),W395))</f>
        <v>#VALUE!</v>
      </c>
      <c r="X395" t="e">
        <f ca="1">IF((A1)=(2),"",IF((392)=(X3),IF(IF((INDEX(B1:XFD1,((A2)+(1))+(0)))=("store"),(INDEX(B1:XFD1,((A2)+(1))+(1)))=("X"),"false"),B2,X395),X395))</f>
        <v>#VALUE!</v>
      </c>
      <c r="Y395" t="e">
        <f ca="1">IF((A1)=(2),"",IF((392)=(Y3),IF(IF((INDEX(B1:XFD1,((A2)+(1))+(0)))=("store"),(INDEX(B1:XFD1,((A2)+(1))+(1)))=("Y"),"false"),B2,Y395),Y395))</f>
        <v>#VALUE!</v>
      </c>
      <c r="Z395" t="e">
        <f ca="1">IF((A1)=(2),"",IF((392)=(Z3),IF(IF((INDEX(B1:XFD1,((A2)+(1))+(0)))=("store"),(INDEX(B1:XFD1,((A2)+(1))+(1)))=("Z"),"false"),B2,Z395),Z395))</f>
        <v>#VALUE!</v>
      </c>
      <c r="AA395" t="e">
        <f ca="1">IF((A1)=(2),"",IF((392)=(AA3),IF(IF((INDEX(B1:XFD1,((A2)+(1))+(0)))=("store"),(INDEX(B1:XFD1,((A2)+(1))+(1)))=("AA"),"false"),B2,AA395),AA395))</f>
        <v>#VALUE!</v>
      </c>
      <c r="AB395" t="e">
        <f ca="1">IF((A1)=(2),"",IF((392)=(AB3),IF(IF((INDEX(B1:XFD1,((A2)+(1))+(0)))=("store"),(INDEX(B1:XFD1,((A2)+(1))+(1)))=("AB"),"false"),B2,AB395),AB395))</f>
        <v>#VALUE!</v>
      </c>
      <c r="AC395" t="e">
        <f ca="1">IF((A1)=(2),"",IF((392)=(AC3),IF(IF((INDEX(B1:XFD1,((A2)+(1))+(0)))=("store"),(INDEX(B1:XFD1,((A2)+(1))+(1)))=("AC"),"false"),B2,AC395),AC395))</f>
        <v>#VALUE!</v>
      </c>
      <c r="AD395" t="e">
        <f ca="1">IF((A1)=(2),"",IF((392)=(AD3),IF(IF((INDEX(B1:XFD1,((A2)+(1))+(0)))=("store"),(INDEX(B1:XFD1,((A2)+(1))+(1)))=("AD"),"false"),B2,AD395),AD395))</f>
        <v>#VALUE!</v>
      </c>
    </row>
    <row r="396" spans="1:30" x14ac:dyDescent="0.25">
      <c r="A396" t="e">
        <f ca="1">IF((A1)=(2),"",IF((393)=(A3),IF(("call")=(INDEX(B1:XFD1,((A2)+(1))+(0))),(B2)*(2),IF(("goto")=(INDEX(B1:XFD1,((A2)+(1))+(0))),(INDEX(B1:XFD1,((A2)+(1))+(1)))*(2),IF(("gotoiftrue")=(INDEX(B1:XFD1,((A2)+(1))+(0))),IF(B2,(INDEX(B1:XFD1,((A2)+(1))+(1)))*(2),(A396)+(2)),(A396)+(2)))),A396))</f>
        <v>#VALUE!</v>
      </c>
      <c r="B396" t="e">
        <f ca="1">IF((A1)=(2),"",IF((393)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396)+(1)),IF(("add")=(INDEX(B1:XFD1,((A2)+(1))+(0))),(INDEX(B4:B404,(B3)+(1)))+(B396),IF(("equals")=(INDEX(B1:XFD1,((A2)+(1))+(0))),(INDEX(B4:B404,(B3)+(1)))=(B396),IF(("leq")=(INDEX(B1:XFD1,((A2)+(1))+(0))),(INDEX(B4:B404,(B3)+(1)))&lt;=(B396),IF(("greater")=(INDEX(B1:XFD1,((A2)+(1))+(0))),(INDEX(B4:B404,(B3)+(1)))&gt;(B396),IF(("mod")=(INDEX(B1:XFD1,((A2)+(1))+(0))),MOD(INDEX(B4:B404,(B3)+(1)),B396),B396))))))))),B396))</f>
        <v>#VALUE!</v>
      </c>
      <c r="C396" t="e">
        <f ca="1">IF((A1)=(2),1,IF(AND((INDEX(B1:XFD1,((A2)+(1))+(0)))=("writeheap"),(INDEX(B4:B404,(B3)+(1)))=(392)),INDEX(B4:B404,(B3)+(2)),IF((A1)=(2),"",IF((393)=(C3),C396,C396))))</f>
        <v>#VALUE!</v>
      </c>
      <c r="E396" t="e">
        <f ca="1">IF((A1)=(2),"",IF((393)=(E3),IF(("outputline")=(INDEX(B1:XFD1,((A2)+(1))+(0))),B2,E396),E396))</f>
        <v>#VALUE!</v>
      </c>
      <c r="F396" t="e">
        <f ca="1">IF((A1)=(2),"",IF((393)=(F3),IF(IF((INDEX(B1:XFD1,((A2)+(1))+(0)))=("store"),(INDEX(B1:XFD1,((A2)+(1))+(1)))=("F"),"false"),B2,F396),F396))</f>
        <v>#VALUE!</v>
      </c>
      <c r="G396" t="e">
        <f ca="1">IF((A1)=(2),"",IF((393)=(G3),IF(IF((INDEX(B1:XFD1,((A2)+(1))+(0)))=("store"),(INDEX(B1:XFD1,((A2)+(1))+(1)))=("G"),"false"),B2,G396),G396))</f>
        <v>#VALUE!</v>
      </c>
      <c r="H396" t="e">
        <f ca="1">IF((A1)=(2),"",IF((393)=(H3),IF(IF((INDEX(B1:XFD1,((A2)+(1))+(0)))=("store"),(INDEX(B1:XFD1,((A2)+(1))+(1)))=("H"),"false"),B2,H396),H396))</f>
        <v>#VALUE!</v>
      </c>
      <c r="I396" t="e">
        <f ca="1">IF((A1)=(2),"",IF((393)=(I3),IF(IF((INDEX(B1:XFD1,((A2)+(1))+(0)))=("store"),(INDEX(B1:XFD1,((A2)+(1))+(1)))=("I"),"false"),B2,I396),I396))</f>
        <v>#VALUE!</v>
      </c>
      <c r="J396" t="e">
        <f ca="1">IF((A1)=(2),"",IF((393)=(J3),IF(IF((INDEX(B1:XFD1,((A2)+(1))+(0)))=("store"),(INDEX(B1:XFD1,((A2)+(1))+(1)))=("J"),"false"),B2,J396),J396))</f>
        <v>#VALUE!</v>
      </c>
      <c r="K396" t="e">
        <f ca="1">IF((A1)=(2),"",IF((393)=(K3),IF(IF((INDEX(B1:XFD1,((A2)+(1))+(0)))=("store"),(INDEX(B1:XFD1,((A2)+(1))+(1)))=("K"),"false"),B2,K396),K396))</f>
        <v>#VALUE!</v>
      </c>
      <c r="L396" t="e">
        <f ca="1">IF((A1)=(2),"",IF((393)=(L3),IF(IF((INDEX(B1:XFD1,((A2)+(1))+(0)))=("store"),(INDEX(B1:XFD1,((A2)+(1))+(1)))=("L"),"false"),B2,L396),L396))</f>
        <v>#VALUE!</v>
      </c>
      <c r="M396" t="e">
        <f ca="1">IF((A1)=(2),"",IF((393)=(M3),IF(IF((INDEX(B1:XFD1,((A2)+(1))+(0)))=("store"),(INDEX(B1:XFD1,((A2)+(1))+(1)))=("M"),"false"),B2,M396),M396))</f>
        <v>#VALUE!</v>
      </c>
      <c r="N396" t="e">
        <f ca="1">IF((A1)=(2),"",IF((393)=(N3),IF(IF((INDEX(B1:XFD1,((A2)+(1))+(0)))=("store"),(INDEX(B1:XFD1,((A2)+(1))+(1)))=("N"),"false"),B2,N396),N396))</f>
        <v>#VALUE!</v>
      </c>
      <c r="O396" t="e">
        <f ca="1">IF((A1)=(2),"",IF((393)=(O3),IF(IF((INDEX(B1:XFD1,((A2)+(1))+(0)))=("store"),(INDEX(B1:XFD1,((A2)+(1))+(1)))=("O"),"false"),B2,O396),O396))</f>
        <v>#VALUE!</v>
      </c>
      <c r="P396" t="e">
        <f ca="1">IF((A1)=(2),"",IF((393)=(P3),IF(IF((INDEX(B1:XFD1,((A2)+(1))+(0)))=("store"),(INDEX(B1:XFD1,((A2)+(1))+(1)))=("P"),"false"),B2,P396),P396))</f>
        <v>#VALUE!</v>
      </c>
      <c r="Q396" t="e">
        <f ca="1">IF((A1)=(2),"",IF((393)=(Q3),IF(IF((INDEX(B1:XFD1,((A2)+(1))+(0)))=("store"),(INDEX(B1:XFD1,((A2)+(1))+(1)))=("Q"),"false"),B2,Q396),Q396))</f>
        <v>#VALUE!</v>
      </c>
      <c r="R396" t="e">
        <f ca="1">IF((A1)=(2),"",IF((393)=(R3),IF(IF((INDEX(B1:XFD1,((A2)+(1))+(0)))=("store"),(INDEX(B1:XFD1,((A2)+(1))+(1)))=("R"),"false"),B2,R396),R396))</f>
        <v>#VALUE!</v>
      </c>
      <c r="S396" t="e">
        <f ca="1">IF((A1)=(2),"",IF((393)=(S3),IF(IF((INDEX(B1:XFD1,((A2)+(1))+(0)))=("store"),(INDEX(B1:XFD1,((A2)+(1))+(1)))=("S"),"false"),B2,S396),S396))</f>
        <v>#VALUE!</v>
      </c>
      <c r="T396" t="e">
        <f ca="1">IF((A1)=(2),"",IF((393)=(T3),IF(IF((INDEX(B1:XFD1,((A2)+(1))+(0)))=("store"),(INDEX(B1:XFD1,((A2)+(1))+(1)))=("T"),"false"),B2,T396),T396))</f>
        <v>#VALUE!</v>
      </c>
      <c r="U396" t="e">
        <f ca="1">IF((A1)=(2),"",IF((393)=(U3),IF(IF((INDEX(B1:XFD1,((A2)+(1))+(0)))=("store"),(INDEX(B1:XFD1,((A2)+(1))+(1)))=("U"),"false"),B2,U396),U396))</f>
        <v>#VALUE!</v>
      </c>
      <c r="V396" t="e">
        <f ca="1">IF((A1)=(2),"",IF((393)=(V3),IF(IF((INDEX(B1:XFD1,((A2)+(1))+(0)))=("store"),(INDEX(B1:XFD1,((A2)+(1))+(1)))=("V"),"false"),B2,V396),V396))</f>
        <v>#VALUE!</v>
      </c>
      <c r="W396" t="e">
        <f ca="1">IF((A1)=(2),"",IF((393)=(W3),IF(IF((INDEX(B1:XFD1,((A2)+(1))+(0)))=("store"),(INDEX(B1:XFD1,((A2)+(1))+(1)))=("W"),"false"),B2,W396),W396))</f>
        <v>#VALUE!</v>
      </c>
      <c r="X396" t="e">
        <f ca="1">IF((A1)=(2),"",IF((393)=(X3),IF(IF((INDEX(B1:XFD1,((A2)+(1))+(0)))=("store"),(INDEX(B1:XFD1,((A2)+(1))+(1)))=("X"),"false"),B2,X396),X396))</f>
        <v>#VALUE!</v>
      </c>
      <c r="Y396" t="e">
        <f ca="1">IF((A1)=(2),"",IF((393)=(Y3),IF(IF((INDEX(B1:XFD1,((A2)+(1))+(0)))=("store"),(INDEX(B1:XFD1,((A2)+(1))+(1)))=("Y"),"false"),B2,Y396),Y396))</f>
        <v>#VALUE!</v>
      </c>
      <c r="Z396" t="e">
        <f ca="1">IF((A1)=(2),"",IF((393)=(Z3),IF(IF((INDEX(B1:XFD1,((A2)+(1))+(0)))=("store"),(INDEX(B1:XFD1,((A2)+(1))+(1)))=("Z"),"false"),B2,Z396),Z396))</f>
        <v>#VALUE!</v>
      </c>
      <c r="AA396" t="e">
        <f ca="1">IF((A1)=(2),"",IF((393)=(AA3),IF(IF((INDEX(B1:XFD1,((A2)+(1))+(0)))=("store"),(INDEX(B1:XFD1,((A2)+(1))+(1)))=("AA"),"false"),B2,AA396),AA396))</f>
        <v>#VALUE!</v>
      </c>
      <c r="AB396" t="e">
        <f ca="1">IF((A1)=(2),"",IF((393)=(AB3),IF(IF((INDEX(B1:XFD1,((A2)+(1))+(0)))=("store"),(INDEX(B1:XFD1,((A2)+(1))+(1)))=("AB"),"false"),B2,AB396),AB396))</f>
        <v>#VALUE!</v>
      </c>
      <c r="AC396" t="e">
        <f ca="1">IF((A1)=(2),"",IF((393)=(AC3),IF(IF((INDEX(B1:XFD1,((A2)+(1))+(0)))=("store"),(INDEX(B1:XFD1,((A2)+(1))+(1)))=("AC"),"false"),B2,AC396),AC396))</f>
        <v>#VALUE!</v>
      </c>
      <c r="AD396" t="e">
        <f ca="1">IF((A1)=(2),"",IF((393)=(AD3),IF(IF((INDEX(B1:XFD1,((A2)+(1))+(0)))=("store"),(INDEX(B1:XFD1,((A2)+(1))+(1)))=("AD"),"false"),B2,AD396),AD396))</f>
        <v>#VALUE!</v>
      </c>
    </row>
    <row r="397" spans="1:30" x14ac:dyDescent="0.25">
      <c r="A397" t="e">
        <f ca="1">IF((A1)=(2),"",IF((394)=(A3),IF(("call")=(INDEX(B1:XFD1,((A2)+(1))+(0))),(B2)*(2),IF(("goto")=(INDEX(B1:XFD1,((A2)+(1))+(0))),(INDEX(B1:XFD1,((A2)+(1))+(1)))*(2),IF(("gotoiftrue")=(INDEX(B1:XFD1,((A2)+(1))+(0))),IF(B2,(INDEX(B1:XFD1,((A2)+(1))+(1)))*(2),(A397)+(2)),(A397)+(2)))),A397))</f>
        <v>#VALUE!</v>
      </c>
      <c r="B397" t="e">
        <f ca="1">IF((A1)=(2),"",IF((394)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397)+(1)),IF(("add")=(INDEX(B1:XFD1,((A2)+(1))+(0))),(INDEX(B4:B404,(B3)+(1)))+(B397),IF(("equals")=(INDEX(B1:XFD1,((A2)+(1))+(0))),(INDEX(B4:B404,(B3)+(1)))=(B397),IF(("leq")=(INDEX(B1:XFD1,((A2)+(1))+(0))),(INDEX(B4:B404,(B3)+(1)))&lt;=(B397),IF(("greater")=(INDEX(B1:XFD1,((A2)+(1))+(0))),(INDEX(B4:B404,(B3)+(1)))&gt;(B397),IF(("mod")=(INDEX(B1:XFD1,((A2)+(1))+(0))),MOD(INDEX(B4:B404,(B3)+(1)),B397),B397))))))))),B397))</f>
        <v>#VALUE!</v>
      </c>
      <c r="C397" t="e">
        <f ca="1">IF((A1)=(2),1,IF(AND((INDEX(B1:XFD1,((A2)+(1))+(0)))=("writeheap"),(INDEX(B4:B404,(B3)+(1)))=(393)),INDEX(B4:B404,(B3)+(2)),IF((A1)=(2),"",IF((394)=(C3),C397,C397))))</f>
        <v>#VALUE!</v>
      </c>
      <c r="E397" t="e">
        <f ca="1">IF((A1)=(2),"",IF((394)=(E3),IF(("outputline")=(INDEX(B1:XFD1,((A2)+(1))+(0))),B2,E397),E397))</f>
        <v>#VALUE!</v>
      </c>
      <c r="F397" t="e">
        <f ca="1">IF((A1)=(2),"",IF((394)=(F3),IF(IF((INDEX(B1:XFD1,((A2)+(1))+(0)))=("store"),(INDEX(B1:XFD1,((A2)+(1))+(1)))=("F"),"false"),B2,F397),F397))</f>
        <v>#VALUE!</v>
      </c>
      <c r="G397" t="e">
        <f ca="1">IF((A1)=(2),"",IF((394)=(G3),IF(IF((INDEX(B1:XFD1,((A2)+(1))+(0)))=("store"),(INDEX(B1:XFD1,((A2)+(1))+(1)))=("G"),"false"),B2,G397),G397))</f>
        <v>#VALUE!</v>
      </c>
      <c r="H397" t="e">
        <f ca="1">IF((A1)=(2),"",IF((394)=(H3),IF(IF((INDEX(B1:XFD1,((A2)+(1))+(0)))=("store"),(INDEX(B1:XFD1,((A2)+(1))+(1)))=("H"),"false"),B2,H397),H397))</f>
        <v>#VALUE!</v>
      </c>
      <c r="I397" t="e">
        <f ca="1">IF((A1)=(2),"",IF((394)=(I3),IF(IF((INDEX(B1:XFD1,((A2)+(1))+(0)))=("store"),(INDEX(B1:XFD1,((A2)+(1))+(1)))=("I"),"false"),B2,I397),I397))</f>
        <v>#VALUE!</v>
      </c>
      <c r="J397" t="e">
        <f ca="1">IF((A1)=(2),"",IF((394)=(J3),IF(IF((INDEX(B1:XFD1,((A2)+(1))+(0)))=("store"),(INDEX(B1:XFD1,((A2)+(1))+(1)))=("J"),"false"),B2,J397),J397))</f>
        <v>#VALUE!</v>
      </c>
      <c r="K397" t="e">
        <f ca="1">IF((A1)=(2),"",IF((394)=(K3),IF(IF((INDEX(B1:XFD1,((A2)+(1))+(0)))=("store"),(INDEX(B1:XFD1,((A2)+(1))+(1)))=("K"),"false"),B2,K397),K397))</f>
        <v>#VALUE!</v>
      </c>
      <c r="L397" t="e">
        <f ca="1">IF((A1)=(2),"",IF((394)=(L3),IF(IF((INDEX(B1:XFD1,((A2)+(1))+(0)))=("store"),(INDEX(B1:XFD1,((A2)+(1))+(1)))=("L"),"false"),B2,L397),L397))</f>
        <v>#VALUE!</v>
      </c>
      <c r="M397" t="e">
        <f ca="1">IF((A1)=(2),"",IF((394)=(M3),IF(IF((INDEX(B1:XFD1,((A2)+(1))+(0)))=("store"),(INDEX(B1:XFD1,((A2)+(1))+(1)))=("M"),"false"),B2,M397),M397))</f>
        <v>#VALUE!</v>
      </c>
      <c r="N397" t="e">
        <f ca="1">IF((A1)=(2),"",IF((394)=(N3),IF(IF((INDEX(B1:XFD1,((A2)+(1))+(0)))=("store"),(INDEX(B1:XFD1,((A2)+(1))+(1)))=("N"),"false"),B2,N397),N397))</f>
        <v>#VALUE!</v>
      </c>
      <c r="O397" t="e">
        <f ca="1">IF((A1)=(2),"",IF((394)=(O3),IF(IF((INDEX(B1:XFD1,((A2)+(1))+(0)))=("store"),(INDEX(B1:XFD1,((A2)+(1))+(1)))=("O"),"false"),B2,O397),O397))</f>
        <v>#VALUE!</v>
      </c>
      <c r="P397" t="e">
        <f ca="1">IF((A1)=(2),"",IF((394)=(P3),IF(IF((INDEX(B1:XFD1,((A2)+(1))+(0)))=("store"),(INDEX(B1:XFD1,((A2)+(1))+(1)))=("P"),"false"),B2,P397),P397))</f>
        <v>#VALUE!</v>
      </c>
      <c r="Q397" t="e">
        <f ca="1">IF((A1)=(2),"",IF((394)=(Q3),IF(IF((INDEX(B1:XFD1,((A2)+(1))+(0)))=("store"),(INDEX(B1:XFD1,((A2)+(1))+(1)))=("Q"),"false"),B2,Q397),Q397))</f>
        <v>#VALUE!</v>
      </c>
      <c r="R397" t="e">
        <f ca="1">IF((A1)=(2),"",IF((394)=(R3),IF(IF((INDEX(B1:XFD1,((A2)+(1))+(0)))=("store"),(INDEX(B1:XFD1,((A2)+(1))+(1)))=("R"),"false"),B2,R397),R397))</f>
        <v>#VALUE!</v>
      </c>
      <c r="S397" t="e">
        <f ca="1">IF((A1)=(2),"",IF((394)=(S3),IF(IF((INDEX(B1:XFD1,((A2)+(1))+(0)))=("store"),(INDEX(B1:XFD1,((A2)+(1))+(1)))=("S"),"false"),B2,S397),S397))</f>
        <v>#VALUE!</v>
      </c>
      <c r="T397" t="e">
        <f ca="1">IF((A1)=(2),"",IF((394)=(T3),IF(IF((INDEX(B1:XFD1,((A2)+(1))+(0)))=("store"),(INDEX(B1:XFD1,((A2)+(1))+(1)))=("T"),"false"),B2,T397),T397))</f>
        <v>#VALUE!</v>
      </c>
      <c r="U397" t="e">
        <f ca="1">IF((A1)=(2),"",IF((394)=(U3),IF(IF((INDEX(B1:XFD1,((A2)+(1))+(0)))=("store"),(INDEX(B1:XFD1,((A2)+(1))+(1)))=("U"),"false"),B2,U397),U397))</f>
        <v>#VALUE!</v>
      </c>
      <c r="V397" t="e">
        <f ca="1">IF((A1)=(2),"",IF((394)=(V3),IF(IF((INDEX(B1:XFD1,((A2)+(1))+(0)))=("store"),(INDEX(B1:XFD1,((A2)+(1))+(1)))=("V"),"false"),B2,V397),V397))</f>
        <v>#VALUE!</v>
      </c>
      <c r="W397" t="e">
        <f ca="1">IF((A1)=(2),"",IF((394)=(W3),IF(IF((INDEX(B1:XFD1,((A2)+(1))+(0)))=("store"),(INDEX(B1:XFD1,((A2)+(1))+(1)))=("W"),"false"),B2,W397),W397))</f>
        <v>#VALUE!</v>
      </c>
      <c r="X397" t="e">
        <f ca="1">IF((A1)=(2),"",IF((394)=(X3),IF(IF((INDEX(B1:XFD1,((A2)+(1))+(0)))=("store"),(INDEX(B1:XFD1,((A2)+(1))+(1)))=("X"),"false"),B2,X397),X397))</f>
        <v>#VALUE!</v>
      </c>
      <c r="Y397" t="e">
        <f ca="1">IF((A1)=(2),"",IF((394)=(Y3),IF(IF((INDEX(B1:XFD1,((A2)+(1))+(0)))=("store"),(INDEX(B1:XFD1,((A2)+(1))+(1)))=("Y"),"false"),B2,Y397),Y397))</f>
        <v>#VALUE!</v>
      </c>
      <c r="Z397" t="e">
        <f ca="1">IF((A1)=(2),"",IF((394)=(Z3),IF(IF((INDEX(B1:XFD1,((A2)+(1))+(0)))=("store"),(INDEX(B1:XFD1,((A2)+(1))+(1)))=("Z"),"false"),B2,Z397),Z397))</f>
        <v>#VALUE!</v>
      </c>
      <c r="AA397" t="e">
        <f ca="1">IF((A1)=(2),"",IF((394)=(AA3),IF(IF((INDEX(B1:XFD1,((A2)+(1))+(0)))=("store"),(INDEX(B1:XFD1,((A2)+(1))+(1)))=("AA"),"false"),B2,AA397),AA397))</f>
        <v>#VALUE!</v>
      </c>
      <c r="AB397" t="e">
        <f ca="1">IF((A1)=(2),"",IF((394)=(AB3),IF(IF((INDEX(B1:XFD1,((A2)+(1))+(0)))=("store"),(INDEX(B1:XFD1,((A2)+(1))+(1)))=("AB"),"false"),B2,AB397),AB397))</f>
        <v>#VALUE!</v>
      </c>
      <c r="AC397" t="e">
        <f ca="1">IF((A1)=(2),"",IF((394)=(AC3),IF(IF((INDEX(B1:XFD1,((A2)+(1))+(0)))=("store"),(INDEX(B1:XFD1,((A2)+(1))+(1)))=("AC"),"false"),B2,AC397),AC397))</f>
        <v>#VALUE!</v>
      </c>
      <c r="AD397" t="e">
        <f ca="1">IF((A1)=(2),"",IF((394)=(AD3),IF(IF((INDEX(B1:XFD1,((A2)+(1))+(0)))=("store"),(INDEX(B1:XFD1,((A2)+(1))+(1)))=("AD"),"false"),B2,AD397),AD397))</f>
        <v>#VALUE!</v>
      </c>
    </row>
    <row r="398" spans="1:30" x14ac:dyDescent="0.25">
      <c r="A398" t="e">
        <f ca="1">IF((A1)=(2),"",IF((395)=(A3),IF(("call")=(INDEX(B1:XFD1,((A2)+(1))+(0))),(B2)*(2),IF(("goto")=(INDEX(B1:XFD1,((A2)+(1))+(0))),(INDEX(B1:XFD1,((A2)+(1))+(1)))*(2),IF(("gotoiftrue")=(INDEX(B1:XFD1,((A2)+(1))+(0))),IF(B2,(INDEX(B1:XFD1,((A2)+(1))+(1)))*(2),(A398)+(2)),(A398)+(2)))),A398))</f>
        <v>#VALUE!</v>
      </c>
      <c r="B398" t="e">
        <f ca="1">IF((A1)=(2),"",IF((395)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398)+(1)),IF(("add")=(INDEX(B1:XFD1,((A2)+(1))+(0))),(INDEX(B4:B404,(B3)+(1)))+(B398),IF(("equals")=(INDEX(B1:XFD1,((A2)+(1))+(0))),(INDEX(B4:B404,(B3)+(1)))=(B398),IF(("leq")=(INDEX(B1:XFD1,((A2)+(1))+(0))),(INDEX(B4:B404,(B3)+(1)))&lt;=(B398),IF(("greater")=(INDEX(B1:XFD1,((A2)+(1))+(0))),(INDEX(B4:B404,(B3)+(1)))&gt;(B398),IF(("mod")=(INDEX(B1:XFD1,((A2)+(1))+(0))),MOD(INDEX(B4:B404,(B3)+(1)),B398),B398))))))))),B398))</f>
        <v>#VALUE!</v>
      </c>
      <c r="C398" t="e">
        <f ca="1">IF((A1)=(2),1,IF(AND((INDEX(B1:XFD1,((A2)+(1))+(0)))=("writeheap"),(INDEX(B4:B404,(B3)+(1)))=(394)),INDEX(B4:B404,(B3)+(2)),IF((A1)=(2),"",IF((395)=(C3),C398,C398))))</f>
        <v>#VALUE!</v>
      </c>
      <c r="E398" t="e">
        <f ca="1">IF((A1)=(2),"",IF((395)=(E3),IF(("outputline")=(INDEX(B1:XFD1,((A2)+(1))+(0))),B2,E398),E398))</f>
        <v>#VALUE!</v>
      </c>
      <c r="F398" t="e">
        <f ca="1">IF((A1)=(2),"",IF((395)=(F3),IF(IF((INDEX(B1:XFD1,((A2)+(1))+(0)))=("store"),(INDEX(B1:XFD1,((A2)+(1))+(1)))=("F"),"false"),B2,F398),F398))</f>
        <v>#VALUE!</v>
      </c>
      <c r="G398" t="e">
        <f ca="1">IF((A1)=(2),"",IF((395)=(G3),IF(IF((INDEX(B1:XFD1,((A2)+(1))+(0)))=("store"),(INDEX(B1:XFD1,((A2)+(1))+(1)))=("G"),"false"),B2,G398),G398))</f>
        <v>#VALUE!</v>
      </c>
      <c r="H398" t="e">
        <f ca="1">IF((A1)=(2),"",IF((395)=(H3),IF(IF((INDEX(B1:XFD1,((A2)+(1))+(0)))=("store"),(INDEX(B1:XFD1,((A2)+(1))+(1)))=("H"),"false"),B2,H398),H398))</f>
        <v>#VALUE!</v>
      </c>
      <c r="I398" t="e">
        <f ca="1">IF((A1)=(2),"",IF((395)=(I3),IF(IF((INDEX(B1:XFD1,((A2)+(1))+(0)))=("store"),(INDEX(B1:XFD1,((A2)+(1))+(1)))=("I"),"false"),B2,I398),I398))</f>
        <v>#VALUE!</v>
      </c>
      <c r="J398" t="e">
        <f ca="1">IF((A1)=(2),"",IF((395)=(J3),IF(IF((INDEX(B1:XFD1,((A2)+(1))+(0)))=("store"),(INDEX(B1:XFD1,((A2)+(1))+(1)))=("J"),"false"),B2,J398),J398))</f>
        <v>#VALUE!</v>
      </c>
      <c r="K398" t="e">
        <f ca="1">IF((A1)=(2),"",IF((395)=(K3),IF(IF((INDEX(B1:XFD1,((A2)+(1))+(0)))=("store"),(INDEX(B1:XFD1,((A2)+(1))+(1)))=("K"),"false"),B2,K398),K398))</f>
        <v>#VALUE!</v>
      </c>
      <c r="L398" t="e">
        <f ca="1">IF((A1)=(2),"",IF((395)=(L3),IF(IF((INDEX(B1:XFD1,((A2)+(1))+(0)))=("store"),(INDEX(B1:XFD1,((A2)+(1))+(1)))=("L"),"false"),B2,L398),L398))</f>
        <v>#VALUE!</v>
      </c>
      <c r="M398" t="e">
        <f ca="1">IF((A1)=(2),"",IF((395)=(M3),IF(IF((INDEX(B1:XFD1,((A2)+(1))+(0)))=("store"),(INDEX(B1:XFD1,((A2)+(1))+(1)))=("M"),"false"),B2,M398),M398))</f>
        <v>#VALUE!</v>
      </c>
      <c r="N398" t="e">
        <f ca="1">IF((A1)=(2),"",IF((395)=(N3),IF(IF((INDEX(B1:XFD1,((A2)+(1))+(0)))=("store"),(INDEX(B1:XFD1,((A2)+(1))+(1)))=("N"),"false"),B2,N398),N398))</f>
        <v>#VALUE!</v>
      </c>
      <c r="O398" t="e">
        <f ca="1">IF((A1)=(2),"",IF((395)=(O3),IF(IF((INDEX(B1:XFD1,((A2)+(1))+(0)))=("store"),(INDEX(B1:XFD1,((A2)+(1))+(1)))=("O"),"false"),B2,O398),O398))</f>
        <v>#VALUE!</v>
      </c>
      <c r="P398" t="e">
        <f ca="1">IF((A1)=(2),"",IF((395)=(P3),IF(IF((INDEX(B1:XFD1,((A2)+(1))+(0)))=("store"),(INDEX(B1:XFD1,((A2)+(1))+(1)))=("P"),"false"),B2,P398),P398))</f>
        <v>#VALUE!</v>
      </c>
      <c r="Q398" t="e">
        <f ca="1">IF((A1)=(2),"",IF((395)=(Q3),IF(IF((INDEX(B1:XFD1,((A2)+(1))+(0)))=("store"),(INDEX(B1:XFD1,((A2)+(1))+(1)))=("Q"),"false"),B2,Q398),Q398))</f>
        <v>#VALUE!</v>
      </c>
      <c r="R398" t="e">
        <f ca="1">IF((A1)=(2),"",IF((395)=(R3),IF(IF((INDEX(B1:XFD1,((A2)+(1))+(0)))=("store"),(INDEX(B1:XFD1,((A2)+(1))+(1)))=("R"),"false"),B2,R398),R398))</f>
        <v>#VALUE!</v>
      </c>
      <c r="S398" t="e">
        <f ca="1">IF((A1)=(2),"",IF((395)=(S3),IF(IF((INDEX(B1:XFD1,((A2)+(1))+(0)))=("store"),(INDEX(B1:XFD1,((A2)+(1))+(1)))=("S"),"false"),B2,S398),S398))</f>
        <v>#VALUE!</v>
      </c>
      <c r="T398" t="e">
        <f ca="1">IF((A1)=(2),"",IF((395)=(T3),IF(IF((INDEX(B1:XFD1,((A2)+(1))+(0)))=("store"),(INDEX(B1:XFD1,((A2)+(1))+(1)))=("T"),"false"),B2,T398),T398))</f>
        <v>#VALUE!</v>
      </c>
      <c r="U398" t="e">
        <f ca="1">IF((A1)=(2),"",IF((395)=(U3),IF(IF((INDEX(B1:XFD1,((A2)+(1))+(0)))=("store"),(INDEX(B1:XFD1,((A2)+(1))+(1)))=("U"),"false"),B2,U398),U398))</f>
        <v>#VALUE!</v>
      </c>
      <c r="V398" t="e">
        <f ca="1">IF((A1)=(2),"",IF((395)=(V3),IF(IF((INDEX(B1:XFD1,((A2)+(1))+(0)))=("store"),(INDEX(B1:XFD1,((A2)+(1))+(1)))=("V"),"false"),B2,V398),V398))</f>
        <v>#VALUE!</v>
      </c>
      <c r="W398" t="e">
        <f ca="1">IF((A1)=(2),"",IF((395)=(W3),IF(IF((INDEX(B1:XFD1,((A2)+(1))+(0)))=("store"),(INDEX(B1:XFD1,((A2)+(1))+(1)))=("W"),"false"),B2,W398),W398))</f>
        <v>#VALUE!</v>
      </c>
      <c r="X398" t="e">
        <f ca="1">IF((A1)=(2),"",IF((395)=(X3),IF(IF((INDEX(B1:XFD1,((A2)+(1))+(0)))=("store"),(INDEX(B1:XFD1,((A2)+(1))+(1)))=("X"),"false"),B2,X398),X398))</f>
        <v>#VALUE!</v>
      </c>
      <c r="Y398" t="e">
        <f ca="1">IF((A1)=(2),"",IF((395)=(Y3),IF(IF((INDEX(B1:XFD1,((A2)+(1))+(0)))=("store"),(INDEX(B1:XFD1,((A2)+(1))+(1)))=("Y"),"false"),B2,Y398),Y398))</f>
        <v>#VALUE!</v>
      </c>
      <c r="Z398" t="e">
        <f ca="1">IF((A1)=(2),"",IF((395)=(Z3),IF(IF((INDEX(B1:XFD1,((A2)+(1))+(0)))=("store"),(INDEX(B1:XFD1,((A2)+(1))+(1)))=("Z"),"false"),B2,Z398),Z398))</f>
        <v>#VALUE!</v>
      </c>
      <c r="AA398" t="e">
        <f ca="1">IF((A1)=(2),"",IF((395)=(AA3),IF(IF((INDEX(B1:XFD1,((A2)+(1))+(0)))=("store"),(INDEX(B1:XFD1,((A2)+(1))+(1)))=("AA"),"false"),B2,AA398),AA398))</f>
        <v>#VALUE!</v>
      </c>
      <c r="AB398" t="e">
        <f ca="1">IF((A1)=(2),"",IF((395)=(AB3),IF(IF((INDEX(B1:XFD1,((A2)+(1))+(0)))=("store"),(INDEX(B1:XFD1,((A2)+(1))+(1)))=("AB"),"false"),B2,AB398),AB398))</f>
        <v>#VALUE!</v>
      </c>
      <c r="AC398" t="e">
        <f ca="1">IF((A1)=(2),"",IF((395)=(AC3),IF(IF((INDEX(B1:XFD1,((A2)+(1))+(0)))=("store"),(INDEX(B1:XFD1,((A2)+(1))+(1)))=("AC"),"false"),B2,AC398),AC398))</f>
        <v>#VALUE!</v>
      </c>
      <c r="AD398" t="e">
        <f ca="1">IF((A1)=(2),"",IF((395)=(AD3),IF(IF((INDEX(B1:XFD1,((A2)+(1))+(0)))=("store"),(INDEX(B1:XFD1,((A2)+(1))+(1)))=("AD"),"false"),B2,AD398),AD398))</f>
        <v>#VALUE!</v>
      </c>
    </row>
    <row r="399" spans="1:30" x14ac:dyDescent="0.25">
      <c r="A399" t="e">
        <f ca="1">IF((A1)=(2),"",IF((396)=(A3),IF(("call")=(INDEX(B1:XFD1,((A2)+(1))+(0))),(B2)*(2),IF(("goto")=(INDEX(B1:XFD1,((A2)+(1))+(0))),(INDEX(B1:XFD1,((A2)+(1))+(1)))*(2),IF(("gotoiftrue")=(INDEX(B1:XFD1,((A2)+(1))+(0))),IF(B2,(INDEX(B1:XFD1,((A2)+(1))+(1)))*(2),(A399)+(2)),(A399)+(2)))),A399))</f>
        <v>#VALUE!</v>
      </c>
      <c r="B399" t="e">
        <f ca="1">IF((A1)=(2),"",IF((396)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399)+(1)),IF(("add")=(INDEX(B1:XFD1,((A2)+(1))+(0))),(INDEX(B4:B404,(B3)+(1)))+(B399),IF(("equals")=(INDEX(B1:XFD1,((A2)+(1))+(0))),(INDEX(B4:B404,(B3)+(1)))=(B399),IF(("leq")=(INDEX(B1:XFD1,((A2)+(1))+(0))),(INDEX(B4:B404,(B3)+(1)))&lt;=(B399),IF(("greater")=(INDEX(B1:XFD1,((A2)+(1))+(0))),(INDEX(B4:B404,(B3)+(1)))&gt;(B399),IF(("mod")=(INDEX(B1:XFD1,((A2)+(1))+(0))),MOD(INDEX(B4:B404,(B3)+(1)),B399),B399))))))))),B399))</f>
        <v>#VALUE!</v>
      </c>
      <c r="C399" t="e">
        <f ca="1">IF((A1)=(2),1,IF(AND((INDEX(B1:XFD1,((A2)+(1))+(0)))=("writeheap"),(INDEX(B4:B404,(B3)+(1)))=(395)),INDEX(B4:B404,(B3)+(2)),IF((A1)=(2),"",IF((396)=(C3),C399,C399))))</f>
        <v>#VALUE!</v>
      </c>
      <c r="E399" t="e">
        <f ca="1">IF((A1)=(2),"",IF((396)=(E3),IF(("outputline")=(INDEX(B1:XFD1,((A2)+(1))+(0))),B2,E399),E399))</f>
        <v>#VALUE!</v>
      </c>
      <c r="F399" t="e">
        <f ca="1">IF((A1)=(2),"",IF((396)=(F3),IF(IF((INDEX(B1:XFD1,((A2)+(1))+(0)))=("store"),(INDEX(B1:XFD1,((A2)+(1))+(1)))=("F"),"false"),B2,F399),F399))</f>
        <v>#VALUE!</v>
      </c>
      <c r="G399" t="e">
        <f ca="1">IF((A1)=(2),"",IF((396)=(G3),IF(IF((INDEX(B1:XFD1,((A2)+(1))+(0)))=("store"),(INDEX(B1:XFD1,((A2)+(1))+(1)))=("G"),"false"),B2,G399),G399))</f>
        <v>#VALUE!</v>
      </c>
      <c r="H399" t="e">
        <f ca="1">IF((A1)=(2),"",IF((396)=(H3),IF(IF((INDEX(B1:XFD1,((A2)+(1))+(0)))=("store"),(INDEX(B1:XFD1,((A2)+(1))+(1)))=("H"),"false"),B2,H399),H399))</f>
        <v>#VALUE!</v>
      </c>
      <c r="I399" t="e">
        <f ca="1">IF((A1)=(2),"",IF((396)=(I3),IF(IF((INDEX(B1:XFD1,((A2)+(1))+(0)))=("store"),(INDEX(B1:XFD1,((A2)+(1))+(1)))=("I"),"false"),B2,I399),I399))</f>
        <v>#VALUE!</v>
      </c>
      <c r="J399" t="e">
        <f ca="1">IF((A1)=(2),"",IF((396)=(J3),IF(IF((INDEX(B1:XFD1,((A2)+(1))+(0)))=("store"),(INDEX(B1:XFD1,((A2)+(1))+(1)))=("J"),"false"),B2,J399),J399))</f>
        <v>#VALUE!</v>
      </c>
      <c r="K399" t="e">
        <f ca="1">IF((A1)=(2),"",IF((396)=(K3),IF(IF((INDEX(B1:XFD1,((A2)+(1))+(0)))=("store"),(INDEX(B1:XFD1,((A2)+(1))+(1)))=("K"),"false"),B2,K399),K399))</f>
        <v>#VALUE!</v>
      </c>
      <c r="L399" t="e">
        <f ca="1">IF((A1)=(2),"",IF((396)=(L3),IF(IF((INDEX(B1:XFD1,((A2)+(1))+(0)))=("store"),(INDEX(B1:XFD1,((A2)+(1))+(1)))=("L"),"false"),B2,L399),L399))</f>
        <v>#VALUE!</v>
      </c>
      <c r="M399" t="e">
        <f ca="1">IF((A1)=(2),"",IF((396)=(M3),IF(IF((INDEX(B1:XFD1,((A2)+(1))+(0)))=("store"),(INDEX(B1:XFD1,((A2)+(1))+(1)))=("M"),"false"),B2,M399),M399))</f>
        <v>#VALUE!</v>
      </c>
      <c r="N399" t="e">
        <f ca="1">IF((A1)=(2),"",IF((396)=(N3),IF(IF((INDEX(B1:XFD1,((A2)+(1))+(0)))=("store"),(INDEX(B1:XFD1,((A2)+(1))+(1)))=("N"),"false"),B2,N399),N399))</f>
        <v>#VALUE!</v>
      </c>
      <c r="O399" t="e">
        <f ca="1">IF((A1)=(2),"",IF((396)=(O3),IF(IF((INDEX(B1:XFD1,((A2)+(1))+(0)))=("store"),(INDEX(B1:XFD1,((A2)+(1))+(1)))=("O"),"false"),B2,O399),O399))</f>
        <v>#VALUE!</v>
      </c>
      <c r="P399" t="e">
        <f ca="1">IF((A1)=(2),"",IF((396)=(P3),IF(IF((INDEX(B1:XFD1,((A2)+(1))+(0)))=("store"),(INDEX(B1:XFD1,((A2)+(1))+(1)))=("P"),"false"),B2,P399),P399))</f>
        <v>#VALUE!</v>
      </c>
      <c r="Q399" t="e">
        <f ca="1">IF((A1)=(2),"",IF((396)=(Q3),IF(IF((INDEX(B1:XFD1,((A2)+(1))+(0)))=("store"),(INDEX(B1:XFD1,((A2)+(1))+(1)))=("Q"),"false"),B2,Q399),Q399))</f>
        <v>#VALUE!</v>
      </c>
      <c r="R399" t="e">
        <f ca="1">IF((A1)=(2),"",IF((396)=(R3),IF(IF((INDEX(B1:XFD1,((A2)+(1))+(0)))=("store"),(INDEX(B1:XFD1,((A2)+(1))+(1)))=("R"),"false"),B2,R399),R399))</f>
        <v>#VALUE!</v>
      </c>
      <c r="S399" t="e">
        <f ca="1">IF((A1)=(2),"",IF((396)=(S3),IF(IF((INDEX(B1:XFD1,((A2)+(1))+(0)))=("store"),(INDEX(B1:XFD1,((A2)+(1))+(1)))=("S"),"false"),B2,S399),S399))</f>
        <v>#VALUE!</v>
      </c>
      <c r="T399" t="e">
        <f ca="1">IF((A1)=(2),"",IF((396)=(T3),IF(IF((INDEX(B1:XFD1,((A2)+(1))+(0)))=("store"),(INDEX(B1:XFD1,((A2)+(1))+(1)))=("T"),"false"),B2,T399),T399))</f>
        <v>#VALUE!</v>
      </c>
      <c r="U399" t="e">
        <f ca="1">IF((A1)=(2),"",IF((396)=(U3),IF(IF((INDEX(B1:XFD1,((A2)+(1))+(0)))=("store"),(INDEX(B1:XFD1,((A2)+(1))+(1)))=("U"),"false"),B2,U399),U399))</f>
        <v>#VALUE!</v>
      </c>
      <c r="V399" t="e">
        <f ca="1">IF((A1)=(2),"",IF((396)=(V3),IF(IF((INDEX(B1:XFD1,((A2)+(1))+(0)))=("store"),(INDEX(B1:XFD1,((A2)+(1))+(1)))=("V"),"false"),B2,V399),V399))</f>
        <v>#VALUE!</v>
      </c>
      <c r="W399" t="e">
        <f ca="1">IF((A1)=(2),"",IF((396)=(W3),IF(IF((INDEX(B1:XFD1,((A2)+(1))+(0)))=("store"),(INDEX(B1:XFD1,((A2)+(1))+(1)))=("W"),"false"),B2,W399),W399))</f>
        <v>#VALUE!</v>
      </c>
      <c r="X399" t="e">
        <f ca="1">IF((A1)=(2),"",IF((396)=(X3),IF(IF((INDEX(B1:XFD1,((A2)+(1))+(0)))=("store"),(INDEX(B1:XFD1,((A2)+(1))+(1)))=("X"),"false"),B2,X399),X399))</f>
        <v>#VALUE!</v>
      </c>
      <c r="Y399" t="e">
        <f ca="1">IF((A1)=(2),"",IF((396)=(Y3),IF(IF((INDEX(B1:XFD1,((A2)+(1))+(0)))=("store"),(INDEX(B1:XFD1,((A2)+(1))+(1)))=("Y"),"false"),B2,Y399),Y399))</f>
        <v>#VALUE!</v>
      </c>
      <c r="Z399" t="e">
        <f ca="1">IF((A1)=(2),"",IF((396)=(Z3),IF(IF((INDEX(B1:XFD1,((A2)+(1))+(0)))=("store"),(INDEX(B1:XFD1,((A2)+(1))+(1)))=("Z"),"false"),B2,Z399),Z399))</f>
        <v>#VALUE!</v>
      </c>
      <c r="AA399" t="e">
        <f ca="1">IF((A1)=(2),"",IF((396)=(AA3),IF(IF((INDEX(B1:XFD1,((A2)+(1))+(0)))=("store"),(INDEX(B1:XFD1,((A2)+(1))+(1)))=("AA"),"false"),B2,AA399),AA399))</f>
        <v>#VALUE!</v>
      </c>
      <c r="AB399" t="e">
        <f ca="1">IF((A1)=(2),"",IF((396)=(AB3),IF(IF((INDEX(B1:XFD1,((A2)+(1))+(0)))=("store"),(INDEX(B1:XFD1,((A2)+(1))+(1)))=("AB"),"false"),B2,AB399),AB399))</f>
        <v>#VALUE!</v>
      </c>
      <c r="AC399" t="e">
        <f ca="1">IF((A1)=(2),"",IF((396)=(AC3),IF(IF((INDEX(B1:XFD1,((A2)+(1))+(0)))=("store"),(INDEX(B1:XFD1,((A2)+(1))+(1)))=("AC"),"false"),B2,AC399),AC399))</f>
        <v>#VALUE!</v>
      </c>
      <c r="AD399" t="e">
        <f ca="1">IF((A1)=(2),"",IF((396)=(AD3),IF(IF((INDEX(B1:XFD1,((A2)+(1))+(0)))=("store"),(INDEX(B1:XFD1,((A2)+(1))+(1)))=("AD"),"false"),B2,AD399),AD399))</f>
        <v>#VALUE!</v>
      </c>
    </row>
    <row r="400" spans="1:30" x14ac:dyDescent="0.25">
      <c r="A400" t="e">
        <f ca="1">IF((A1)=(2),"",IF((397)=(A3),IF(("call")=(INDEX(B1:XFD1,((A2)+(1))+(0))),(B2)*(2),IF(("goto")=(INDEX(B1:XFD1,((A2)+(1))+(0))),(INDEX(B1:XFD1,((A2)+(1))+(1)))*(2),IF(("gotoiftrue")=(INDEX(B1:XFD1,((A2)+(1))+(0))),IF(B2,(INDEX(B1:XFD1,((A2)+(1))+(1)))*(2),(A400)+(2)),(A400)+(2)))),A400))</f>
        <v>#VALUE!</v>
      </c>
      <c r="B400" t="e">
        <f ca="1">IF((A1)=(2),"",IF((397)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400)+(1)),IF(("add")=(INDEX(B1:XFD1,((A2)+(1))+(0))),(INDEX(B4:B404,(B3)+(1)))+(B400),IF(("equals")=(INDEX(B1:XFD1,((A2)+(1))+(0))),(INDEX(B4:B404,(B3)+(1)))=(B400),IF(("leq")=(INDEX(B1:XFD1,((A2)+(1))+(0))),(INDEX(B4:B404,(B3)+(1)))&lt;=(B400),IF(("greater")=(INDEX(B1:XFD1,((A2)+(1))+(0))),(INDEX(B4:B404,(B3)+(1)))&gt;(B400),IF(("mod")=(INDEX(B1:XFD1,((A2)+(1))+(0))),MOD(INDEX(B4:B404,(B3)+(1)),B400),B400))))))))),B400))</f>
        <v>#VALUE!</v>
      </c>
      <c r="C400" t="e">
        <f ca="1">IF((A1)=(2),1,IF(AND((INDEX(B1:XFD1,((A2)+(1))+(0)))=("writeheap"),(INDEX(B4:B404,(B3)+(1)))=(396)),INDEX(B4:B404,(B3)+(2)),IF((A1)=(2),"",IF((397)=(C3),C400,C400))))</f>
        <v>#VALUE!</v>
      </c>
      <c r="E400" t="e">
        <f ca="1">IF((A1)=(2),"",IF((397)=(E3),IF(("outputline")=(INDEX(B1:XFD1,((A2)+(1))+(0))),B2,E400),E400))</f>
        <v>#VALUE!</v>
      </c>
      <c r="F400" t="e">
        <f ca="1">IF((A1)=(2),"",IF((397)=(F3),IF(IF((INDEX(B1:XFD1,((A2)+(1))+(0)))=("store"),(INDEX(B1:XFD1,((A2)+(1))+(1)))=("F"),"false"),B2,F400),F400))</f>
        <v>#VALUE!</v>
      </c>
      <c r="G400" t="e">
        <f ca="1">IF((A1)=(2),"",IF((397)=(G3),IF(IF((INDEX(B1:XFD1,((A2)+(1))+(0)))=("store"),(INDEX(B1:XFD1,((A2)+(1))+(1)))=("G"),"false"),B2,G400),G400))</f>
        <v>#VALUE!</v>
      </c>
      <c r="H400" t="e">
        <f ca="1">IF((A1)=(2),"",IF((397)=(H3),IF(IF((INDEX(B1:XFD1,((A2)+(1))+(0)))=("store"),(INDEX(B1:XFD1,((A2)+(1))+(1)))=("H"),"false"),B2,H400),H400))</f>
        <v>#VALUE!</v>
      </c>
      <c r="I400" t="e">
        <f ca="1">IF((A1)=(2),"",IF((397)=(I3),IF(IF((INDEX(B1:XFD1,((A2)+(1))+(0)))=("store"),(INDEX(B1:XFD1,((A2)+(1))+(1)))=("I"),"false"),B2,I400),I400))</f>
        <v>#VALUE!</v>
      </c>
      <c r="J400" t="e">
        <f ca="1">IF((A1)=(2),"",IF((397)=(J3),IF(IF((INDEX(B1:XFD1,((A2)+(1))+(0)))=("store"),(INDEX(B1:XFD1,((A2)+(1))+(1)))=("J"),"false"),B2,J400),J400))</f>
        <v>#VALUE!</v>
      </c>
      <c r="K400" t="e">
        <f ca="1">IF((A1)=(2),"",IF((397)=(K3),IF(IF((INDEX(B1:XFD1,((A2)+(1))+(0)))=("store"),(INDEX(B1:XFD1,((A2)+(1))+(1)))=("K"),"false"),B2,K400),K400))</f>
        <v>#VALUE!</v>
      </c>
      <c r="L400" t="e">
        <f ca="1">IF((A1)=(2),"",IF((397)=(L3),IF(IF((INDEX(B1:XFD1,((A2)+(1))+(0)))=("store"),(INDEX(B1:XFD1,((A2)+(1))+(1)))=("L"),"false"),B2,L400),L400))</f>
        <v>#VALUE!</v>
      </c>
      <c r="M400" t="e">
        <f ca="1">IF((A1)=(2),"",IF((397)=(M3),IF(IF((INDEX(B1:XFD1,((A2)+(1))+(0)))=("store"),(INDEX(B1:XFD1,((A2)+(1))+(1)))=("M"),"false"),B2,M400),M400))</f>
        <v>#VALUE!</v>
      </c>
      <c r="N400" t="e">
        <f ca="1">IF((A1)=(2),"",IF((397)=(N3),IF(IF((INDEX(B1:XFD1,((A2)+(1))+(0)))=("store"),(INDEX(B1:XFD1,((A2)+(1))+(1)))=("N"),"false"),B2,N400),N400))</f>
        <v>#VALUE!</v>
      </c>
      <c r="O400" t="e">
        <f ca="1">IF((A1)=(2),"",IF((397)=(O3),IF(IF((INDEX(B1:XFD1,((A2)+(1))+(0)))=("store"),(INDEX(B1:XFD1,((A2)+(1))+(1)))=("O"),"false"),B2,O400),O400))</f>
        <v>#VALUE!</v>
      </c>
      <c r="P400" t="e">
        <f ca="1">IF((A1)=(2),"",IF((397)=(P3),IF(IF((INDEX(B1:XFD1,((A2)+(1))+(0)))=("store"),(INDEX(B1:XFD1,((A2)+(1))+(1)))=("P"),"false"),B2,P400),P400))</f>
        <v>#VALUE!</v>
      </c>
      <c r="Q400" t="e">
        <f ca="1">IF((A1)=(2),"",IF((397)=(Q3),IF(IF((INDEX(B1:XFD1,((A2)+(1))+(0)))=("store"),(INDEX(B1:XFD1,((A2)+(1))+(1)))=("Q"),"false"),B2,Q400),Q400))</f>
        <v>#VALUE!</v>
      </c>
      <c r="R400" t="e">
        <f ca="1">IF((A1)=(2),"",IF((397)=(R3),IF(IF((INDEX(B1:XFD1,((A2)+(1))+(0)))=("store"),(INDEX(B1:XFD1,((A2)+(1))+(1)))=("R"),"false"),B2,R400),R400))</f>
        <v>#VALUE!</v>
      </c>
      <c r="S400" t="e">
        <f ca="1">IF((A1)=(2),"",IF((397)=(S3),IF(IF((INDEX(B1:XFD1,((A2)+(1))+(0)))=("store"),(INDEX(B1:XFD1,((A2)+(1))+(1)))=("S"),"false"),B2,S400),S400))</f>
        <v>#VALUE!</v>
      </c>
      <c r="T400" t="e">
        <f ca="1">IF((A1)=(2),"",IF((397)=(T3),IF(IF((INDEX(B1:XFD1,((A2)+(1))+(0)))=("store"),(INDEX(B1:XFD1,((A2)+(1))+(1)))=("T"),"false"),B2,T400),T400))</f>
        <v>#VALUE!</v>
      </c>
      <c r="U400" t="e">
        <f ca="1">IF((A1)=(2),"",IF((397)=(U3),IF(IF((INDEX(B1:XFD1,((A2)+(1))+(0)))=("store"),(INDEX(B1:XFD1,((A2)+(1))+(1)))=("U"),"false"),B2,U400),U400))</f>
        <v>#VALUE!</v>
      </c>
      <c r="V400" t="e">
        <f ca="1">IF((A1)=(2),"",IF((397)=(V3),IF(IF((INDEX(B1:XFD1,((A2)+(1))+(0)))=("store"),(INDEX(B1:XFD1,((A2)+(1))+(1)))=("V"),"false"),B2,V400),V400))</f>
        <v>#VALUE!</v>
      </c>
      <c r="W400" t="e">
        <f ca="1">IF((A1)=(2),"",IF((397)=(W3),IF(IF((INDEX(B1:XFD1,((A2)+(1))+(0)))=("store"),(INDEX(B1:XFD1,((A2)+(1))+(1)))=("W"),"false"),B2,W400),W400))</f>
        <v>#VALUE!</v>
      </c>
      <c r="X400" t="e">
        <f ca="1">IF((A1)=(2),"",IF((397)=(X3),IF(IF((INDEX(B1:XFD1,((A2)+(1))+(0)))=("store"),(INDEX(B1:XFD1,((A2)+(1))+(1)))=("X"),"false"),B2,X400),X400))</f>
        <v>#VALUE!</v>
      </c>
      <c r="Y400" t="e">
        <f ca="1">IF((A1)=(2),"",IF((397)=(Y3),IF(IF((INDEX(B1:XFD1,((A2)+(1))+(0)))=("store"),(INDEX(B1:XFD1,((A2)+(1))+(1)))=("Y"),"false"),B2,Y400),Y400))</f>
        <v>#VALUE!</v>
      </c>
      <c r="Z400" t="e">
        <f ca="1">IF((A1)=(2),"",IF((397)=(Z3),IF(IF((INDEX(B1:XFD1,((A2)+(1))+(0)))=("store"),(INDEX(B1:XFD1,((A2)+(1))+(1)))=("Z"),"false"),B2,Z400),Z400))</f>
        <v>#VALUE!</v>
      </c>
      <c r="AA400" t="e">
        <f ca="1">IF((A1)=(2),"",IF((397)=(AA3),IF(IF((INDEX(B1:XFD1,((A2)+(1))+(0)))=("store"),(INDEX(B1:XFD1,((A2)+(1))+(1)))=("AA"),"false"),B2,AA400),AA400))</f>
        <v>#VALUE!</v>
      </c>
      <c r="AB400" t="e">
        <f ca="1">IF((A1)=(2),"",IF((397)=(AB3),IF(IF((INDEX(B1:XFD1,((A2)+(1))+(0)))=("store"),(INDEX(B1:XFD1,((A2)+(1))+(1)))=("AB"),"false"),B2,AB400),AB400))</f>
        <v>#VALUE!</v>
      </c>
      <c r="AC400" t="e">
        <f ca="1">IF((A1)=(2),"",IF((397)=(AC3),IF(IF((INDEX(B1:XFD1,((A2)+(1))+(0)))=("store"),(INDEX(B1:XFD1,((A2)+(1))+(1)))=("AC"),"false"),B2,AC400),AC400))</f>
        <v>#VALUE!</v>
      </c>
      <c r="AD400" t="e">
        <f ca="1">IF((A1)=(2),"",IF((397)=(AD3),IF(IF((INDEX(B1:XFD1,((A2)+(1))+(0)))=("store"),(INDEX(B1:XFD1,((A2)+(1))+(1)))=("AD"),"false"),B2,AD400),AD400))</f>
        <v>#VALUE!</v>
      </c>
    </row>
    <row r="401" spans="1:30" x14ac:dyDescent="0.25">
      <c r="A401" t="e">
        <f ca="1">IF((A1)=(2),"",IF((398)=(A3),IF(("call")=(INDEX(B1:XFD1,((A2)+(1))+(0))),(B2)*(2),IF(("goto")=(INDEX(B1:XFD1,((A2)+(1))+(0))),(INDEX(B1:XFD1,((A2)+(1))+(1)))*(2),IF(("gotoiftrue")=(INDEX(B1:XFD1,((A2)+(1))+(0))),IF(B2,(INDEX(B1:XFD1,((A2)+(1))+(1)))*(2),(A401)+(2)),(A401)+(2)))),A401))</f>
        <v>#VALUE!</v>
      </c>
      <c r="B401" t="e">
        <f ca="1">IF((A1)=(2),"",IF((398)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401)+(1)),IF(("add")=(INDEX(B1:XFD1,((A2)+(1))+(0))),(INDEX(B4:B404,(B3)+(1)))+(B401),IF(("equals")=(INDEX(B1:XFD1,((A2)+(1))+(0))),(INDEX(B4:B404,(B3)+(1)))=(B401),IF(("leq")=(INDEX(B1:XFD1,((A2)+(1))+(0))),(INDEX(B4:B404,(B3)+(1)))&lt;=(B401),IF(("greater")=(INDEX(B1:XFD1,((A2)+(1))+(0))),(INDEX(B4:B404,(B3)+(1)))&gt;(B401),IF(("mod")=(INDEX(B1:XFD1,((A2)+(1))+(0))),MOD(INDEX(B4:B404,(B3)+(1)),B401),B401))))))))),B401))</f>
        <v>#VALUE!</v>
      </c>
      <c r="C401" t="e">
        <f ca="1">IF((A1)=(2),1,IF(AND((INDEX(B1:XFD1,((A2)+(1))+(0)))=("writeheap"),(INDEX(B4:B404,(B3)+(1)))=(397)),INDEX(B4:B404,(B3)+(2)),IF((A1)=(2),"",IF((398)=(C3),C401,C401))))</f>
        <v>#VALUE!</v>
      </c>
      <c r="E401" t="e">
        <f ca="1">IF((A1)=(2),"",IF((398)=(E3),IF(("outputline")=(INDEX(B1:XFD1,((A2)+(1))+(0))),B2,E401),E401))</f>
        <v>#VALUE!</v>
      </c>
      <c r="F401" t="e">
        <f ca="1">IF((A1)=(2),"",IF((398)=(F3),IF(IF((INDEX(B1:XFD1,((A2)+(1))+(0)))=("store"),(INDEX(B1:XFD1,((A2)+(1))+(1)))=("F"),"false"),B2,F401),F401))</f>
        <v>#VALUE!</v>
      </c>
      <c r="G401" t="e">
        <f ca="1">IF((A1)=(2),"",IF((398)=(G3),IF(IF((INDEX(B1:XFD1,((A2)+(1))+(0)))=("store"),(INDEX(B1:XFD1,((A2)+(1))+(1)))=("G"),"false"),B2,G401),G401))</f>
        <v>#VALUE!</v>
      </c>
      <c r="H401" t="e">
        <f ca="1">IF((A1)=(2),"",IF((398)=(H3),IF(IF((INDEX(B1:XFD1,((A2)+(1))+(0)))=("store"),(INDEX(B1:XFD1,((A2)+(1))+(1)))=("H"),"false"),B2,H401),H401))</f>
        <v>#VALUE!</v>
      </c>
      <c r="I401" t="e">
        <f ca="1">IF((A1)=(2),"",IF((398)=(I3),IF(IF((INDEX(B1:XFD1,((A2)+(1))+(0)))=("store"),(INDEX(B1:XFD1,((A2)+(1))+(1)))=("I"),"false"),B2,I401),I401))</f>
        <v>#VALUE!</v>
      </c>
      <c r="J401" t="e">
        <f ca="1">IF((A1)=(2),"",IF((398)=(J3),IF(IF((INDEX(B1:XFD1,((A2)+(1))+(0)))=("store"),(INDEX(B1:XFD1,((A2)+(1))+(1)))=("J"),"false"),B2,J401),J401))</f>
        <v>#VALUE!</v>
      </c>
      <c r="K401" t="e">
        <f ca="1">IF((A1)=(2),"",IF((398)=(K3),IF(IF((INDEX(B1:XFD1,((A2)+(1))+(0)))=("store"),(INDEX(B1:XFD1,((A2)+(1))+(1)))=("K"),"false"),B2,K401),K401))</f>
        <v>#VALUE!</v>
      </c>
      <c r="L401" t="e">
        <f ca="1">IF((A1)=(2),"",IF((398)=(L3),IF(IF((INDEX(B1:XFD1,((A2)+(1))+(0)))=("store"),(INDEX(B1:XFD1,((A2)+(1))+(1)))=("L"),"false"),B2,L401),L401))</f>
        <v>#VALUE!</v>
      </c>
      <c r="M401" t="e">
        <f ca="1">IF((A1)=(2),"",IF((398)=(M3),IF(IF((INDEX(B1:XFD1,((A2)+(1))+(0)))=("store"),(INDEX(B1:XFD1,((A2)+(1))+(1)))=("M"),"false"),B2,M401),M401))</f>
        <v>#VALUE!</v>
      </c>
      <c r="N401" t="e">
        <f ca="1">IF((A1)=(2),"",IF((398)=(N3),IF(IF((INDEX(B1:XFD1,((A2)+(1))+(0)))=("store"),(INDEX(B1:XFD1,((A2)+(1))+(1)))=("N"),"false"),B2,N401),N401))</f>
        <v>#VALUE!</v>
      </c>
      <c r="O401" t="e">
        <f ca="1">IF((A1)=(2),"",IF((398)=(O3),IF(IF((INDEX(B1:XFD1,((A2)+(1))+(0)))=("store"),(INDEX(B1:XFD1,((A2)+(1))+(1)))=("O"),"false"),B2,O401),O401))</f>
        <v>#VALUE!</v>
      </c>
      <c r="P401" t="e">
        <f ca="1">IF((A1)=(2),"",IF((398)=(P3),IF(IF((INDEX(B1:XFD1,((A2)+(1))+(0)))=("store"),(INDEX(B1:XFD1,((A2)+(1))+(1)))=("P"),"false"),B2,P401),P401))</f>
        <v>#VALUE!</v>
      </c>
      <c r="Q401" t="e">
        <f ca="1">IF((A1)=(2),"",IF((398)=(Q3),IF(IF((INDEX(B1:XFD1,((A2)+(1))+(0)))=("store"),(INDEX(B1:XFD1,((A2)+(1))+(1)))=("Q"),"false"),B2,Q401),Q401))</f>
        <v>#VALUE!</v>
      </c>
      <c r="R401" t="e">
        <f ca="1">IF((A1)=(2),"",IF((398)=(R3),IF(IF((INDEX(B1:XFD1,((A2)+(1))+(0)))=("store"),(INDEX(B1:XFD1,((A2)+(1))+(1)))=("R"),"false"),B2,R401),R401))</f>
        <v>#VALUE!</v>
      </c>
      <c r="S401" t="e">
        <f ca="1">IF((A1)=(2),"",IF((398)=(S3),IF(IF((INDEX(B1:XFD1,((A2)+(1))+(0)))=("store"),(INDEX(B1:XFD1,((A2)+(1))+(1)))=("S"),"false"),B2,S401),S401))</f>
        <v>#VALUE!</v>
      </c>
      <c r="T401" t="e">
        <f ca="1">IF((A1)=(2),"",IF((398)=(T3),IF(IF((INDEX(B1:XFD1,((A2)+(1))+(0)))=("store"),(INDEX(B1:XFD1,((A2)+(1))+(1)))=("T"),"false"),B2,T401),T401))</f>
        <v>#VALUE!</v>
      </c>
      <c r="U401" t="e">
        <f ca="1">IF((A1)=(2),"",IF((398)=(U3),IF(IF((INDEX(B1:XFD1,((A2)+(1))+(0)))=("store"),(INDEX(B1:XFD1,((A2)+(1))+(1)))=("U"),"false"),B2,U401),U401))</f>
        <v>#VALUE!</v>
      </c>
      <c r="V401" t="e">
        <f ca="1">IF((A1)=(2),"",IF((398)=(V3),IF(IF((INDEX(B1:XFD1,((A2)+(1))+(0)))=("store"),(INDEX(B1:XFD1,((A2)+(1))+(1)))=("V"),"false"),B2,V401),V401))</f>
        <v>#VALUE!</v>
      </c>
      <c r="W401" t="e">
        <f ca="1">IF((A1)=(2),"",IF((398)=(W3),IF(IF((INDEX(B1:XFD1,((A2)+(1))+(0)))=("store"),(INDEX(B1:XFD1,((A2)+(1))+(1)))=("W"),"false"),B2,W401),W401))</f>
        <v>#VALUE!</v>
      </c>
      <c r="X401" t="e">
        <f ca="1">IF((A1)=(2),"",IF((398)=(X3),IF(IF((INDEX(B1:XFD1,((A2)+(1))+(0)))=("store"),(INDEX(B1:XFD1,((A2)+(1))+(1)))=("X"),"false"),B2,X401),X401))</f>
        <v>#VALUE!</v>
      </c>
      <c r="Y401" t="e">
        <f ca="1">IF((A1)=(2),"",IF((398)=(Y3),IF(IF((INDEX(B1:XFD1,((A2)+(1))+(0)))=("store"),(INDEX(B1:XFD1,((A2)+(1))+(1)))=("Y"),"false"),B2,Y401),Y401))</f>
        <v>#VALUE!</v>
      </c>
      <c r="Z401" t="e">
        <f ca="1">IF((A1)=(2),"",IF((398)=(Z3),IF(IF((INDEX(B1:XFD1,((A2)+(1))+(0)))=("store"),(INDEX(B1:XFD1,((A2)+(1))+(1)))=("Z"),"false"),B2,Z401),Z401))</f>
        <v>#VALUE!</v>
      </c>
      <c r="AA401" t="e">
        <f ca="1">IF((A1)=(2),"",IF((398)=(AA3),IF(IF((INDEX(B1:XFD1,((A2)+(1))+(0)))=("store"),(INDEX(B1:XFD1,((A2)+(1))+(1)))=("AA"),"false"),B2,AA401),AA401))</f>
        <v>#VALUE!</v>
      </c>
      <c r="AB401" t="e">
        <f ca="1">IF((A1)=(2),"",IF((398)=(AB3),IF(IF((INDEX(B1:XFD1,((A2)+(1))+(0)))=("store"),(INDEX(B1:XFD1,((A2)+(1))+(1)))=("AB"),"false"),B2,AB401),AB401))</f>
        <v>#VALUE!</v>
      </c>
      <c r="AC401" t="e">
        <f ca="1">IF((A1)=(2),"",IF((398)=(AC3),IF(IF((INDEX(B1:XFD1,((A2)+(1))+(0)))=("store"),(INDEX(B1:XFD1,((A2)+(1))+(1)))=("AC"),"false"),B2,AC401),AC401))</f>
        <v>#VALUE!</v>
      </c>
      <c r="AD401" t="e">
        <f ca="1">IF((A1)=(2),"",IF((398)=(AD3),IF(IF((INDEX(B1:XFD1,((A2)+(1))+(0)))=("store"),(INDEX(B1:XFD1,((A2)+(1))+(1)))=("AD"),"false"),B2,AD401),AD401))</f>
        <v>#VALUE!</v>
      </c>
    </row>
    <row r="402" spans="1:30" x14ac:dyDescent="0.25">
      <c r="A402" t="e">
        <f ca="1">IF((A1)=(2),"",IF((399)=(A3),IF(("call")=(INDEX(B1:XFD1,((A2)+(1))+(0))),(B2)*(2),IF(("goto")=(INDEX(B1:XFD1,((A2)+(1))+(0))),(INDEX(B1:XFD1,((A2)+(1))+(1)))*(2),IF(("gotoiftrue")=(INDEX(B1:XFD1,((A2)+(1))+(0))),IF(B2,(INDEX(B1:XFD1,((A2)+(1))+(1)))*(2),(A402)+(2)),(A402)+(2)))),A402))</f>
        <v>#VALUE!</v>
      </c>
      <c r="B402" t="e">
        <f ca="1">IF((A1)=(2),"",IF((399)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402)+(1)),IF(("add")=(INDEX(B1:XFD1,((A2)+(1))+(0))),(INDEX(B4:B404,(B3)+(1)))+(B402),IF(("equals")=(INDEX(B1:XFD1,((A2)+(1))+(0))),(INDEX(B4:B404,(B3)+(1)))=(B402),IF(("leq")=(INDEX(B1:XFD1,((A2)+(1))+(0))),(INDEX(B4:B404,(B3)+(1)))&lt;=(B402),IF(("greater")=(INDEX(B1:XFD1,((A2)+(1))+(0))),(INDEX(B4:B404,(B3)+(1)))&gt;(B402),IF(("mod")=(INDEX(B1:XFD1,((A2)+(1))+(0))),MOD(INDEX(B4:B404,(B3)+(1)),B402),B402))))))))),B402))</f>
        <v>#VALUE!</v>
      </c>
      <c r="C402" t="e">
        <f ca="1">IF((A1)=(2),1,IF(AND((INDEX(B1:XFD1,((A2)+(1))+(0)))=("writeheap"),(INDEX(B4:B404,(B3)+(1)))=(398)),INDEX(B4:B404,(B3)+(2)),IF((A1)=(2),"",IF((399)=(C3),C402,C402))))</f>
        <v>#VALUE!</v>
      </c>
      <c r="E402" t="e">
        <f ca="1">IF((A1)=(2),"",IF((399)=(E3),IF(("outputline")=(INDEX(B1:XFD1,((A2)+(1))+(0))),B2,E402),E402))</f>
        <v>#VALUE!</v>
      </c>
      <c r="F402" t="e">
        <f ca="1">IF((A1)=(2),"",IF((399)=(F3),IF(IF((INDEX(B1:XFD1,((A2)+(1))+(0)))=("store"),(INDEX(B1:XFD1,((A2)+(1))+(1)))=("F"),"false"),B2,F402),F402))</f>
        <v>#VALUE!</v>
      </c>
      <c r="G402" t="e">
        <f ca="1">IF((A1)=(2),"",IF((399)=(G3),IF(IF((INDEX(B1:XFD1,((A2)+(1))+(0)))=("store"),(INDEX(B1:XFD1,((A2)+(1))+(1)))=("G"),"false"),B2,G402),G402))</f>
        <v>#VALUE!</v>
      </c>
      <c r="H402" t="e">
        <f ca="1">IF((A1)=(2),"",IF((399)=(H3),IF(IF((INDEX(B1:XFD1,((A2)+(1))+(0)))=("store"),(INDEX(B1:XFD1,((A2)+(1))+(1)))=("H"),"false"),B2,H402),H402))</f>
        <v>#VALUE!</v>
      </c>
      <c r="I402" t="e">
        <f ca="1">IF((A1)=(2),"",IF((399)=(I3),IF(IF((INDEX(B1:XFD1,((A2)+(1))+(0)))=("store"),(INDEX(B1:XFD1,((A2)+(1))+(1)))=("I"),"false"),B2,I402),I402))</f>
        <v>#VALUE!</v>
      </c>
      <c r="J402" t="e">
        <f ca="1">IF((A1)=(2),"",IF((399)=(J3),IF(IF((INDEX(B1:XFD1,((A2)+(1))+(0)))=("store"),(INDEX(B1:XFD1,((A2)+(1))+(1)))=("J"),"false"),B2,J402),J402))</f>
        <v>#VALUE!</v>
      </c>
      <c r="K402" t="e">
        <f ca="1">IF((A1)=(2),"",IF((399)=(K3),IF(IF((INDEX(B1:XFD1,((A2)+(1))+(0)))=("store"),(INDEX(B1:XFD1,((A2)+(1))+(1)))=("K"),"false"),B2,K402),K402))</f>
        <v>#VALUE!</v>
      </c>
      <c r="L402" t="e">
        <f ca="1">IF((A1)=(2),"",IF((399)=(L3),IF(IF((INDEX(B1:XFD1,((A2)+(1))+(0)))=("store"),(INDEX(B1:XFD1,((A2)+(1))+(1)))=("L"),"false"),B2,L402),L402))</f>
        <v>#VALUE!</v>
      </c>
      <c r="M402" t="e">
        <f ca="1">IF((A1)=(2),"",IF((399)=(M3),IF(IF((INDEX(B1:XFD1,((A2)+(1))+(0)))=("store"),(INDEX(B1:XFD1,((A2)+(1))+(1)))=("M"),"false"),B2,M402),M402))</f>
        <v>#VALUE!</v>
      </c>
      <c r="N402" t="e">
        <f ca="1">IF((A1)=(2),"",IF((399)=(N3),IF(IF((INDEX(B1:XFD1,((A2)+(1))+(0)))=("store"),(INDEX(B1:XFD1,((A2)+(1))+(1)))=("N"),"false"),B2,N402),N402))</f>
        <v>#VALUE!</v>
      </c>
      <c r="O402" t="e">
        <f ca="1">IF((A1)=(2),"",IF((399)=(O3),IF(IF((INDEX(B1:XFD1,((A2)+(1))+(0)))=("store"),(INDEX(B1:XFD1,((A2)+(1))+(1)))=("O"),"false"),B2,O402),O402))</f>
        <v>#VALUE!</v>
      </c>
      <c r="P402" t="e">
        <f ca="1">IF((A1)=(2),"",IF((399)=(P3),IF(IF((INDEX(B1:XFD1,((A2)+(1))+(0)))=("store"),(INDEX(B1:XFD1,((A2)+(1))+(1)))=("P"),"false"),B2,P402),P402))</f>
        <v>#VALUE!</v>
      </c>
      <c r="Q402" t="e">
        <f ca="1">IF((A1)=(2),"",IF((399)=(Q3),IF(IF((INDEX(B1:XFD1,((A2)+(1))+(0)))=("store"),(INDEX(B1:XFD1,((A2)+(1))+(1)))=("Q"),"false"),B2,Q402),Q402))</f>
        <v>#VALUE!</v>
      </c>
      <c r="R402" t="e">
        <f ca="1">IF((A1)=(2),"",IF((399)=(R3),IF(IF((INDEX(B1:XFD1,((A2)+(1))+(0)))=("store"),(INDEX(B1:XFD1,((A2)+(1))+(1)))=("R"),"false"),B2,R402),R402))</f>
        <v>#VALUE!</v>
      </c>
      <c r="S402" t="e">
        <f ca="1">IF((A1)=(2),"",IF((399)=(S3),IF(IF((INDEX(B1:XFD1,((A2)+(1))+(0)))=("store"),(INDEX(B1:XFD1,((A2)+(1))+(1)))=("S"),"false"),B2,S402),S402))</f>
        <v>#VALUE!</v>
      </c>
      <c r="T402" t="e">
        <f ca="1">IF((A1)=(2),"",IF((399)=(T3),IF(IF((INDEX(B1:XFD1,((A2)+(1))+(0)))=("store"),(INDEX(B1:XFD1,((A2)+(1))+(1)))=("T"),"false"),B2,T402),T402))</f>
        <v>#VALUE!</v>
      </c>
      <c r="U402" t="e">
        <f ca="1">IF((A1)=(2),"",IF((399)=(U3),IF(IF((INDEX(B1:XFD1,((A2)+(1))+(0)))=("store"),(INDEX(B1:XFD1,((A2)+(1))+(1)))=("U"),"false"),B2,U402),U402))</f>
        <v>#VALUE!</v>
      </c>
      <c r="V402" t="e">
        <f ca="1">IF((A1)=(2),"",IF((399)=(V3),IF(IF((INDEX(B1:XFD1,((A2)+(1))+(0)))=("store"),(INDEX(B1:XFD1,((A2)+(1))+(1)))=("V"),"false"),B2,V402),V402))</f>
        <v>#VALUE!</v>
      </c>
      <c r="W402" t="e">
        <f ca="1">IF((A1)=(2),"",IF((399)=(W3),IF(IF((INDEX(B1:XFD1,((A2)+(1))+(0)))=("store"),(INDEX(B1:XFD1,((A2)+(1))+(1)))=("W"),"false"),B2,W402),W402))</f>
        <v>#VALUE!</v>
      </c>
      <c r="X402" t="e">
        <f ca="1">IF((A1)=(2),"",IF((399)=(X3),IF(IF((INDEX(B1:XFD1,((A2)+(1))+(0)))=("store"),(INDEX(B1:XFD1,((A2)+(1))+(1)))=("X"),"false"),B2,X402),X402))</f>
        <v>#VALUE!</v>
      </c>
      <c r="Y402" t="e">
        <f ca="1">IF((A1)=(2),"",IF((399)=(Y3),IF(IF((INDEX(B1:XFD1,((A2)+(1))+(0)))=("store"),(INDEX(B1:XFD1,((A2)+(1))+(1)))=("Y"),"false"),B2,Y402),Y402))</f>
        <v>#VALUE!</v>
      </c>
      <c r="Z402" t="e">
        <f ca="1">IF((A1)=(2),"",IF((399)=(Z3),IF(IF((INDEX(B1:XFD1,((A2)+(1))+(0)))=("store"),(INDEX(B1:XFD1,((A2)+(1))+(1)))=("Z"),"false"),B2,Z402),Z402))</f>
        <v>#VALUE!</v>
      </c>
      <c r="AA402" t="e">
        <f ca="1">IF((A1)=(2),"",IF((399)=(AA3),IF(IF((INDEX(B1:XFD1,((A2)+(1))+(0)))=("store"),(INDEX(B1:XFD1,((A2)+(1))+(1)))=("AA"),"false"),B2,AA402),AA402))</f>
        <v>#VALUE!</v>
      </c>
      <c r="AB402" t="e">
        <f ca="1">IF((A1)=(2),"",IF((399)=(AB3),IF(IF((INDEX(B1:XFD1,((A2)+(1))+(0)))=("store"),(INDEX(B1:XFD1,((A2)+(1))+(1)))=("AB"),"false"),B2,AB402),AB402))</f>
        <v>#VALUE!</v>
      </c>
      <c r="AC402" t="e">
        <f ca="1">IF((A1)=(2),"",IF((399)=(AC3),IF(IF((INDEX(B1:XFD1,((A2)+(1))+(0)))=("store"),(INDEX(B1:XFD1,((A2)+(1))+(1)))=("AC"),"false"),B2,AC402),AC402))</f>
        <v>#VALUE!</v>
      </c>
      <c r="AD402" t="e">
        <f ca="1">IF((A1)=(2),"",IF((399)=(AD3),IF(IF((INDEX(B1:XFD1,((A2)+(1))+(0)))=("store"),(INDEX(B1:XFD1,((A2)+(1))+(1)))=("AD"),"false"),B2,AD402),AD402))</f>
        <v>#VALUE!</v>
      </c>
    </row>
    <row r="403" spans="1:30" x14ac:dyDescent="0.25">
      <c r="A403" t="e">
        <f ca="1">IF((A1)=(2),"",IF((400)=(A3),IF(("call")=(INDEX(B1:XFD1,((A2)+(1))+(0))),(B2)*(2),IF(("goto")=(INDEX(B1:XFD1,((A2)+(1))+(0))),(INDEX(B1:XFD1,((A2)+(1))+(1)))*(2),IF(("gotoiftrue")=(INDEX(B1:XFD1,((A2)+(1))+(0))),IF(B2,(INDEX(B1:XFD1,((A2)+(1))+(1)))*(2),(A403)+(2)),(A403)+(2)))),A403))</f>
        <v>#VALUE!</v>
      </c>
      <c r="B403" t="e">
        <f ca="1">IF((A1)=(2),"",IF((400)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403)+(1)),IF(("add")=(INDEX(B1:XFD1,((A2)+(1))+(0))),(INDEX(B4:B404,(B3)+(1)))+(B403),IF(("equals")=(INDEX(B1:XFD1,((A2)+(1))+(0))),(INDEX(B4:B404,(B3)+(1)))=(B403),IF(("leq")=(INDEX(B1:XFD1,((A2)+(1))+(0))),(INDEX(B4:B404,(B3)+(1)))&lt;=(B403),IF(("greater")=(INDEX(B1:XFD1,((A2)+(1))+(0))),(INDEX(B4:B404,(B3)+(1)))&gt;(B403),IF(("mod")=(INDEX(B1:XFD1,((A2)+(1))+(0))),MOD(INDEX(B4:B404,(B3)+(1)),B403),B403))))))))),B403))</f>
        <v>#VALUE!</v>
      </c>
      <c r="C403" t="e">
        <f ca="1">IF((A1)=(2),1,IF(AND((INDEX(B1:XFD1,((A2)+(1))+(0)))=("writeheap"),(INDEX(B4:B404,(B3)+(1)))=(399)),INDEX(B4:B404,(B3)+(2)),IF((A1)=(2),"",IF((400)=(C3),C403,C403))))</f>
        <v>#VALUE!</v>
      </c>
      <c r="E403" t="e">
        <f ca="1">IF((A1)=(2),"",IF((400)=(E3),IF(("outputline")=(INDEX(B1:XFD1,((A2)+(1))+(0))),B2,E403),E403))</f>
        <v>#VALUE!</v>
      </c>
      <c r="F403" t="e">
        <f ca="1">IF((A1)=(2),"",IF((400)=(F3),IF(IF((INDEX(B1:XFD1,((A2)+(1))+(0)))=("store"),(INDEX(B1:XFD1,((A2)+(1))+(1)))=("F"),"false"),B2,F403),F403))</f>
        <v>#VALUE!</v>
      </c>
      <c r="G403" t="e">
        <f ca="1">IF((A1)=(2),"",IF((400)=(G3),IF(IF((INDEX(B1:XFD1,((A2)+(1))+(0)))=("store"),(INDEX(B1:XFD1,((A2)+(1))+(1)))=("G"),"false"),B2,G403),G403))</f>
        <v>#VALUE!</v>
      </c>
      <c r="H403" t="e">
        <f ca="1">IF((A1)=(2),"",IF((400)=(H3),IF(IF((INDEX(B1:XFD1,((A2)+(1))+(0)))=("store"),(INDEX(B1:XFD1,((A2)+(1))+(1)))=("H"),"false"),B2,H403),H403))</f>
        <v>#VALUE!</v>
      </c>
      <c r="I403" t="e">
        <f ca="1">IF((A1)=(2),"",IF((400)=(I3),IF(IF((INDEX(B1:XFD1,((A2)+(1))+(0)))=("store"),(INDEX(B1:XFD1,((A2)+(1))+(1)))=("I"),"false"),B2,I403),I403))</f>
        <v>#VALUE!</v>
      </c>
      <c r="J403" t="e">
        <f ca="1">IF((A1)=(2),"",IF((400)=(J3),IF(IF((INDEX(B1:XFD1,((A2)+(1))+(0)))=("store"),(INDEX(B1:XFD1,((A2)+(1))+(1)))=("J"),"false"),B2,J403),J403))</f>
        <v>#VALUE!</v>
      </c>
      <c r="K403" t="e">
        <f ca="1">IF((A1)=(2),"",IF((400)=(K3),IF(IF((INDEX(B1:XFD1,((A2)+(1))+(0)))=("store"),(INDEX(B1:XFD1,((A2)+(1))+(1)))=("K"),"false"),B2,K403),K403))</f>
        <v>#VALUE!</v>
      </c>
      <c r="L403" t="e">
        <f ca="1">IF((A1)=(2),"",IF((400)=(L3),IF(IF((INDEX(B1:XFD1,((A2)+(1))+(0)))=("store"),(INDEX(B1:XFD1,((A2)+(1))+(1)))=("L"),"false"),B2,L403),L403))</f>
        <v>#VALUE!</v>
      </c>
      <c r="M403" t="e">
        <f ca="1">IF((A1)=(2),"",IF((400)=(M3),IF(IF((INDEX(B1:XFD1,((A2)+(1))+(0)))=("store"),(INDEX(B1:XFD1,((A2)+(1))+(1)))=("M"),"false"),B2,M403),M403))</f>
        <v>#VALUE!</v>
      </c>
      <c r="N403" t="e">
        <f ca="1">IF((A1)=(2),"",IF((400)=(N3),IF(IF((INDEX(B1:XFD1,((A2)+(1))+(0)))=("store"),(INDEX(B1:XFD1,((A2)+(1))+(1)))=("N"),"false"),B2,N403),N403))</f>
        <v>#VALUE!</v>
      </c>
      <c r="O403" t="e">
        <f ca="1">IF((A1)=(2),"",IF((400)=(O3),IF(IF((INDEX(B1:XFD1,((A2)+(1))+(0)))=("store"),(INDEX(B1:XFD1,((A2)+(1))+(1)))=("O"),"false"),B2,O403),O403))</f>
        <v>#VALUE!</v>
      </c>
      <c r="P403" t="e">
        <f ca="1">IF((A1)=(2),"",IF((400)=(P3),IF(IF((INDEX(B1:XFD1,((A2)+(1))+(0)))=("store"),(INDEX(B1:XFD1,((A2)+(1))+(1)))=("P"),"false"),B2,P403),P403))</f>
        <v>#VALUE!</v>
      </c>
      <c r="Q403" t="e">
        <f ca="1">IF((A1)=(2),"",IF((400)=(Q3),IF(IF((INDEX(B1:XFD1,((A2)+(1))+(0)))=("store"),(INDEX(B1:XFD1,((A2)+(1))+(1)))=("Q"),"false"),B2,Q403),Q403))</f>
        <v>#VALUE!</v>
      </c>
      <c r="R403" t="e">
        <f ca="1">IF((A1)=(2),"",IF((400)=(R3),IF(IF((INDEX(B1:XFD1,((A2)+(1))+(0)))=("store"),(INDEX(B1:XFD1,((A2)+(1))+(1)))=("R"),"false"),B2,R403),R403))</f>
        <v>#VALUE!</v>
      </c>
      <c r="S403" t="e">
        <f ca="1">IF((A1)=(2),"",IF((400)=(S3),IF(IF((INDEX(B1:XFD1,((A2)+(1))+(0)))=("store"),(INDEX(B1:XFD1,((A2)+(1))+(1)))=("S"),"false"),B2,S403),S403))</f>
        <v>#VALUE!</v>
      </c>
      <c r="T403" t="e">
        <f ca="1">IF((A1)=(2),"",IF((400)=(T3),IF(IF((INDEX(B1:XFD1,((A2)+(1))+(0)))=("store"),(INDEX(B1:XFD1,((A2)+(1))+(1)))=("T"),"false"),B2,T403),T403))</f>
        <v>#VALUE!</v>
      </c>
      <c r="U403" t="e">
        <f ca="1">IF((A1)=(2),"",IF((400)=(U3),IF(IF((INDEX(B1:XFD1,((A2)+(1))+(0)))=("store"),(INDEX(B1:XFD1,((A2)+(1))+(1)))=("U"),"false"),B2,U403),U403))</f>
        <v>#VALUE!</v>
      </c>
      <c r="V403" t="e">
        <f ca="1">IF((A1)=(2),"",IF((400)=(V3),IF(IF((INDEX(B1:XFD1,((A2)+(1))+(0)))=("store"),(INDEX(B1:XFD1,((A2)+(1))+(1)))=("V"),"false"),B2,V403),V403))</f>
        <v>#VALUE!</v>
      </c>
      <c r="W403" t="e">
        <f ca="1">IF((A1)=(2),"",IF((400)=(W3),IF(IF((INDEX(B1:XFD1,((A2)+(1))+(0)))=("store"),(INDEX(B1:XFD1,((A2)+(1))+(1)))=("W"),"false"),B2,W403),W403))</f>
        <v>#VALUE!</v>
      </c>
      <c r="X403" t="e">
        <f ca="1">IF((A1)=(2),"",IF((400)=(X3),IF(IF((INDEX(B1:XFD1,((A2)+(1))+(0)))=("store"),(INDEX(B1:XFD1,((A2)+(1))+(1)))=("X"),"false"),B2,X403),X403))</f>
        <v>#VALUE!</v>
      </c>
      <c r="Y403" t="e">
        <f ca="1">IF((A1)=(2),"",IF((400)=(Y3),IF(IF((INDEX(B1:XFD1,((A2)+(1))+(0)))=("store"),(INDEX(B1:XFD1,((A2)+(1))+(1)))=("Y"),"false"),B2,Y403),Y403))</f>
        <v>#VALUE!</v>
      </c>
      <c r="Z403" t="e">
        <f ca="1">IF((A1)=(2),"",IF((400)=(Z3),IF(IF((INDEX(B1:XFD1,((A2)+(1))+(0)))=("store"),(INDEX(B1:XFD1,((A2)+(1))+(1)))=("Z"),"false"),B2,Z403),Z403))</f>
        <v>#VALUE!</v>
      </c>
      <c r="AA403" t="e">
        <f ca="1">IF((A1)=(2),"",IF((400)=(AA3),IF(IF((INDEX(B1:XFD1,((A2)+(1))+(0)))=("store"),(INDEX(B1:XFD1,((A2)+(1))+(1)))=("AA"),"false"),B2,AA403),AA403))</f>
        <v>#VALUE!</v>
      </c>
      <c r="AB403" t="e">
        <f ca="1">IF((A1)=(2),"",IF((400)=(AB3),IF(IF((INDEX(B1:XFD1,((A2)+(1))+(0)))=("store"),(INDEX(B1:XFD1,((A2)+(1))+(1)))=("AB"),"false"),B2,AB403),AB403))</f>
        <v>#VALUE!</v>
      </c>
      <c r="AC403" t="e">
        <f ca="1">IF((A1)=(2),"",IF((400)=(AC3),IF(IF((INDEX(B1:XFD1,((A2)+(1))+(0)))=("store"),(INDEX(B1:XFD1,((A2)+(1))+(1)))=("AC"),"false"),B2,AC403),AC403))</f>
        <v>#VALUE!</v>
      </c>
      <c r="AD403" t="e">
        <f ca="1">IF((A1)=(2),"",IF((400)=(AD3),IF(IF((INDEX(B1:XFD1,((A2)+(1))+(0)))=("store"),(INDEX(B1:XFD1,((A2)+(1))+(1)))=("AD"),"false"),B2,AD403),AD403))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2017-02-20T15:46:12Z</dcterms:created>
  <dcterms:modified xsi:type="dcterms:W3CDTF">2017-03-07T02:32:53Z</dcterms:modified>
</cp:coreProperties>
</file>