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3" i="1" l="1"/>
  <c r="G63" i="1"/>
  <c r="F63" i="1"/>
  <c r="E63" i="1"/>
  <c r="D63" i="1"/>
  <c r="C63" i="1"/>
  <c r="B63" i="1"/>
  <c r="A63" i="1"/>
  <c r="H62" i="1"/>
  <c r="G62" i="1"/>
  <c r="F62" i="1"/>
  <c r="E62" i="1"/>
  <c r="D62" i="1"/>
  <c r="C62" i="1"/>
  <c r="B62" i="1"/>
  <c r="A62" i="1"/>
  <c r="H61" i="1"/>
  <c r="G61" i="1"/>
  <c r="F61" i="1"/>
  <c r="E61" i="1"/>
  <c r="D61" i="1"/>
  <c r="C61" i="1"/>
  <c r="B61" i="1"/>
  <c r="A61" i="1"/>
  <c r="H60" i="1"/>
  <c r="G60" i="1"/>
  <c r="F60" i="1"/>
  <c r="E60" i="1"/>
  <c r="D60" i="1"/>
  <c r="C60" i="1"/>
  <c r="B60" i="1"/>
  <c r="A60" i="1"/>
  <c r="H59" i="1"/>
  <c r="G59" i="1"/>
  <c r="F59" i="1"/>
  <c r="E59" i="1"/>
  <c r="D59" i="1"/>
  <c r="C59" i="1"/>
  <c r="B59" i="1"/>
  <c r="A59" i="1"/>
  <c r="H58" i="1"/>
  <c r="G58" i="1"/>
  <c r="F58" i="1"/>
  <c r="E58" i="1"/>
  <c r="D58" i="1"/>
  <c r="C58" i="1"/>
  <c r="B58" i="1"/>
  <c r="A58" i="1"/>
  <c r="H57" i="1"/>
  <c r="G57" i="1"/>
  <c r="F57" i="1"/>
  <c r="E57" i="1"/>
  <c r="D57" i="1"/>
  <c r="C57" i="1"/>
  <c r="B57" i="1"/>
  <c r="A57" i="1"/>
  <c r="H56" i="1"/>
  <c r="G56" i="1"/>
  <c r="F56" i="1"/>
  <c r="E56" i="1"/>
  <c r="D56" i="1"/>
  <c r="C56" i="1"/>
  <c r="B56" i="1"/>
  <c r="A56" i="1"/>
  <c r="H55" i="1"/>
  <c r="G55" i="1"/>
  <c r="F55" i="1"/>
  <c r="E55" i="1"/>
  <c r="D55" i="1"/>
  <c r="C55" i="1"/>
  <c r="B55" i="1"/>
  <c r="A55" i="1"/>
  <c r="H54" i="1"/>
  <c r="G54" i="1"/>
  <c r="F54" i="1"/>
  <c r="E54" i="1"/>
  <c r="D54" i="1"/>
  <c r="C54" i="1"/>
  <c r="B54" i="1"/>
  <c r="A54" i="1"/>
  <c r="H53" i="1"/>
  <c r="G53" i="1"/>
  <c r="F53" i="1"/>
  <c r="E53" i="1"/>
  <c r="D53" i="1"/>
  <c r="C53" i="1"/>
  <c r="B53" i="1"/>
  <c r="A53" i="1"/>
  <c r="H52" i="1"/>
  <c r="G52" i="1"/>
  <c r="F52" i="1"/>
  <c r="E52" i="1"/>
  <c r="D52" i="1"/>
  <c r="C52" i="1"/>
  <c r="B52" i="1"/>
  <c r="A52" i="1"/>
  <c r="H51" i="1"/>
  <c r="G51" i="1"/>
  <c r="F51" i="1"/>
  <c r="E51" i="1"/>
  <c r="D51" i="1"/>
  <c r="C51" i="1"/>
  <c r="B51" i="1"/>
  <c r="A51" i="1"/>
  <c r="H50" i="1"/>
  <c r="G50" i="1"/>
  <c r="F50" i="1"/>
  <c r="E50" i="1"/>
  <c r="D50" i="1"/>
  <c r="C50" i="1"/>
  <c r="B50" i="1"/>
  <c r="A50" i="1"/>
  <c r="H49" i="1"/>
  <c r="G49" i="1"/>
  <c r="F49" i="1"/>
  <c r="E49" i="1"/>
  <c r="D49" i="1"/>
  <c r="C49" i="1"/>
  <c r="B49" i="1"/>
  <c r="A49" i="1"/>
  <c r="H48" i="1"/>
  <c r="G48" i="1"/>
  <c r="F48" i="1"/>
  <c r="E48" i="1"/>
  <c r="D48" i="1"/>
  <c r="C48" i="1"/>
  <c r="B48" i="1"/>
  <c r="A48" i="1"/>
  <c r="H47" i="1"/>
  <c r="G47" i="1"/>
  <c r="F47" i="1"/>
  <c r="E47" i="1"/>
  <c r="D47" i="1"/>
  <c r="C47" i="1"/>
  <c r="B47" i="1"/>
  <c r="A47" i="1"/>
  <c r="H46" i="1"/>
  <c r="G46" i="1"/>
  <c r="F46" i="1"/>
  <c r="E46" i="1"/>
  <c r="D46" i="1"/>
  <c r="C46" i="1"/>
  <c r="B46" i="1"/>
  <c r="A46" i="1"/>
  <c r="H45" i="1"/>
  <c r="G45" i="1"/>
  <c r="F45" i="1"/>
  <c r="E45" i="1"/>
  <c r="D45" i="1"/>
  <c r="C45" i="1"/>
  <c r="B45" i="1"/>
  <c r="A45" i="1"/>
  <c r="H44" i="1"/>
  <c r="G44" i="1"/>
  <c r="F44" i="1"/>
  <c r="E44" i="1"/>
  <c r="D44" i="1"/>
  <c r="C44" i="1"/>
  <c r="B44" i="1"/>
  <c r="A44" i="1"/>
  <c r="H43" i="1"/>
  <c r="G43" i="1"/>
  <c r="F43" i="1"/>
  <c r="E43" i="1"/>
  <c r="D43" i="1"/>
  <c r="C43" i="1"/>
  <c r="B43" i="1"/>
  <c r="A43" i="1"/>
  <c r="H42" i="1"/>
  <c r="G42" i="1"/>
  <c r="F42" i="1"/>
  <c r="E42" i="1"/>
  <c r="D42" i="1"/>
  <c r="C42" i="1"/>
  <c r="B42" i="1"/>
  <c r="A42" i="1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D39" i="1"/>
  <c r="C39" i="1"/>
  <c r="B39" i="1"/>
  <c r="A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H34" i="1"/>
  <c r="G34" i="1"/>
  <c r="F34" i="1"/>
  <c r="E34" i="1"/>
  <c r="D34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H5" i="1"/>
  <c r="G5" i="1"/>
  <c r="F5" i="1"/>
  <c r="E5" i="1"/>
  <c r="D5" i="1"/>
  <c r="C5" i="1"/>
  <c r="B5" i="1"/>
  <c r="A5" i="1"/>
  <c r="H4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H2" i="1"/>
  <c r="G2" i="1"/>
  <c r="F2" i="1"/>
  <c r="E2" i="1"/>
  <c r="D2" i="1"/>
  <c r="C2" i="1"/>
  <c r="B2" i="1"/>
  <c r="A2" i="1"/>
  <c r="UG1" i="1"/>
  <c r="UF1" i="1"/>
  <c r="UE1" i="1"/>
  <c r="UD1" i="1"/>
  <c r="UC1" i="1"/>
  <c r="UB1" i="1"/>
  <c r="UA1" i="1"/>
  <c r="TZ1" i="1"/>
  <c r="TY1" i="1"/>
  <c r="TX1" i="1"/>
  <c r="TW1" i="1"/>
  <c r="TV1" i="1"/>
  <c r="TU1" i="1"/>
  <c r="TT1" i="1"/>
  <c r="TS1" i="1"/>
  <c r="TR1" i="1"/>
  <c r="TQ1" i="1"/>
  <c r="TP1" i="1"/>
  <c r="TO1" i="1"/>
  <c r="TN1" i="1"/>
  <c r="TM1" i="1"/>
  <c r="TL1" i="1"/>
  <c r="TK1" i="1"/>
  <c r="TJ1" i="1"/>
  <c r="TI1" i="1"/>
  <c r="TH1" i="1"/>
  <c r="TG1" i="1"/>
  <c r="TF1" i="1"/>
  <c r="TE1" i="1"/>
  <c r="TD1" i="1"/>
  <c r="TC1" i="1"/>
  <c r="TB1" i="1"/>
  <c r="TA1" i="1"/>
  <c r="SZ1" i="1"/>
  <c r="SY1" i="1"/>
  <c r="SX1" i="1"/>
  <c r="SW1" i="1"/>
  <c r="SV1" i="1"/>
  <c r="SU1" i="1"/>
  <c r="ST1" i="1"/>
  <c r="SS1" i="1"/>
  <c r="SR1" i="1"/>
  <c r="SQ1" i="1"/>
  <c r="SP1" i="1"/>
  <c r="SO1" i="1"/>
  <c r="SN1" i="1"/>
  <c r="SM1" i="1"/>
  <c r="SL1" i="1"/>
  <c r="SK1" i="1"/>
  <c r="SJ1" i="1"/>
  <c r="SI1" i="1"/>
  <c r="SH1" i="1"/>
  <c r="SG1" i="1"/>
  <c r="SF1" i="1"/>
  <c r="SE1" i="1"/>
  <c r="SD1" i="1"/>
  <c r="SC1" i="1"/>
  <c r="SB1" i="1"/>
  <c r="SA1" i="1"/>
  <c r="RZ1" i="1"/>
  <c r="RY1" i="1"/>
  <c r="RX1" i="1"/>
  <c r="RW1" i="1"/>
  <c r="RV1" i="1"/>
  <c r="RU1" i="1"/>
  <c r="RT1" i="1"/>
  <c r="RS1" i="1"/>
  <c r="RR1" i="1"/>
  <c r="RQ1" i="1"/>
  <c r="RP1" i="1"/>
  <c r="RO1" i="1"/>
  <c r="RN1" i="1"/>
  <c r="RM1" i="1"/>
  <c r="RL1" i="1"/>
  <c r="RK1" i="1"/>
  <c r="RJ1" i="1"/>
  <c r="RI1" i="1"/>
  <c r="RH1" i="1"/>
  <c r="RG1" i="1"/>
  <c r="RF1" i="1"/>
  <c r="RE1" i="1"/>
  <c r="RD1" i="1"/>
  <c r="RC1" i="1"/>
  <c r="RB1" i="1"/>
  <c r="RA1" i="1"/>
  <c r="QZ1" i="1"/>
  <c r="QY1" i="1"/>
  <c r="QX1" i="1"/>
  <c r="QW1" i="1"/>
  <c r="QV1" i="1"/>
  <c r="QU1" i="1"/>
  <c r="QT1" i="1"/>
  <c r="QS1" i="1"/>
  <c r="QR1" i="1"/>
  <c r="QQ1" i="1"/>
  <c r="QP1" i="1"/>
  <c r="QO1" i="1"/>
  <c r="QN1" i="1"/>
  <c r="QM1" i="1"/>
  <c r="QL1" i="1"/>
  <c r="QK1" i="1"/>
  <c r="QJ1" i="1"/>
  <c r="QI1" i="1"/>
  <c r="QH1" i="1"/>
  <c r="QG1" i="1"/>
  <c r="QF1" i="1"/>
  <c r="QE1" i="1"/>
  <c r="QD1" i="1"/>
  <c r="QC1" i="1"/>
  <c r="QB1" i="1"/>
  <c r="QA1" i="1"/>
  <c r="PZ1" i="1"/>
  <c r="PY1" i="1"/>
  <c r="PX1" i="1"/>
  <c r="PW1" i="1"/>
  <c r="PV1" i="1"/>
  <c r="PU1" i="1"/>
  <c r="PT1" i="1"/>
  <c r="PS1" i="1"/>
  <c r="PR1" i="1"/>
  <c r="PQ1" i="1"/>
  <c r="PP1" i="1"/>
  <c r="PO1" i="1"/>
  <c r="PN1" i="1"/>
  <c r="PM1" i="1"/>
  <c r="PL1" i="1"/>
  <c r="PK1" i="1"/>
  <c r="PJ1" i="1"/>
  <c r="PI1" i="1"/>
  <c r="PH1" i="1"/>
  <c r="PG1" i="1"/>
  <c r="PF1" i="1"/>
  <c r="PE1" i="1"/>
  <c r="PD1" i="1"/>
  <c r="PC1" i="1"/>
  <c r="PB1" i="1"/>
  <c r="PA1" i="1"/>
  <c r="OZ1" i="1"/>
  <c r="OY1" i="1"/>
  <c r="OX1" i="1"/>
  <c r="OW1" i="1"/>
  <c r="OV1" i="1"/>
  <c r="OU1" i="1"/>
  <c r="OT1" i="1"/>
  <c r="OS1" i="1"/>
  <c r="OR1" i="1"/>
  <c r="OQ1" i="1"/>
  <c r="OP1" i="1"/>
  <c r="OO1" i="1"/>
  <c r="ON1" i="1"/>
  <c r="OM1" i="1"/>
  <c r="OL1" i="1"/>
  <c r="OK1" i="1"/>
  <c r="OJ1" i="1"/>
  <c r="OI1" i="1"/>
  <c r="OH1" i="1"/>
  <c r="OG1" i="1"/>
  <c r="OF1" i="1"/>
  <c r="OE1" i="1"/>
  <c r="OD1" i="1"/>
  <c r="OC1" i="1"/>
  <c r="OB1" i="1"/>
  <c r="OA1" i="1"/>
  <c r="NZ1" i="1"/>
  <c r="NY1" i="1"/>
  <c r="NX1" i="1"/>
  <c r="NW1" i="1"/>
  <c r="NV1" i="1"/>
  <c r="NU1" i="1"/>
  <c r="NT1" i="1"/>
  <c r="NS1" i="1"/>
  <c r="NR1" i="1"/>
  <c r="NQ1" i="1"/>
  <c r="NP1" i="1"/>
  <c r="NO1" i="1"/>
  <c r="NN1" i="1"/>
  <c r="NM1" i="1"/>
  <c r="NL1" i="1"/>
  <c r="NK1" i="1"/>
  <c r="NJ1" i="1"/>
  <c r="NI1" i="1"/>
  <c r="NH1" i="1"/>
  <c r="NG1" i="1"/>
  <c r="NF1" i="1"/>
  <c r="NE1" i="1"/>
  <c r="ND1" i="1"/>
  <c r="NC1" i="1"/>
  <c r="NB1" i="1"/>
  <c r="NA1" i="1"/>
  <c r="MZ1" i="1"/>
  <c r="MY1" i="1"/>
  <c r="MX1" i="1"/>
  <c r="MW1" i="1"/>
  <c r="MV1" i="1"/>
  <c r="MU1" i="1"/>
  <c r="MT1" i="1"/>
  <c r="MS1" i="1"/>
  <c r="MR1" i="1"/>
  <c r="MQ1" i="1"/>
  <c r="MP1" i="1"/>
  <c r="MO1" i="1"/>
  <c r="MN1" i="1"/>
  <c r="MM1" i="1"/>
  <c r="ML1" i="1"/>
  <c r="MK1" i="1"/>
  <c r="MJ1" i="1"/>
  <c r="MI1" i="1"/>
  <c r="MH1" i="1"/>
  <c r="MG1" i="1"/>
  <c r="MF1" i="1"/>
  <c r="ME1" i="1"/>
  <c r="MD1" i="1"/>
  <c r="MC1" i="1"/>
  <c r="MB1" i="1"/>
  <c r="MA1" i="1"/>
  <c r="LZ1" i="1"/>
  <c r="LY1" i="1"/>
  <c r="LX1" i="1"/>
  <c r="LW1" i="1"/>
  <c r="LV1" i="1"/>
  <c r="LU1" i="1"/>
  <c r="LT1" i="1"/>
  <c r="LS1" i="1"/>
  <c r="LR1" i="1"/>
  <c r="LQ1" i="1"/>
  <c r="LP1" i="1"/>
  <c r="LO1" i="1"/>
  <c r="LN1" i="1"/>
  <c r="LM1" i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G63"/>
  <sheetViews>
    <sheetView tabSelected="1" workbookViewId="0"/>
  </sheetViews>
  <sheetFormatPr defaultRowHeight="15" x14ac:dyDescent="0.25"/>
  <sheetData>
    <row r="1" spans="1:553" x14ac:dyDescent="0.25">
      <c r="A1">
        <f ca="1">(A1)+(1)</f>
        <v>1</v>
      </c>
      <c r="B1" t="str">
        <f ca="1">"goto"</f>
        <v>goto</v>
      </c>
      <c r="C1">
        <f ca="1">58</f>
        <v>58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"G"</f>
        <v>G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"G"</f>
        <v>G</v>
      </c>
      <c r="N1" t="str">
        <f ca="1">"load"</f>
        <v>load</v>
      </c>
      <c r="O1">
        <f ca="1">2</f>
        <v>2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2</f>
        <v>2</v>
      </c>
      <c r="V1" t="str">
        <f ca="1">"popv"</f>
        <v>popv</v>
      </c>
      <c r="W1" t="str">
        <f ca="1">"G"</f>
        <v>G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2</f>
        <v>2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"G"</f>
        <v>G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"outputline"</f>
        <v>outputline</v>
      </c>
      <c r="AO1" t="str">
        <f ca="1">""</f>
        <v/>
      </c>
      <c r="AP1" t="str">
        <f ca="1">"push"</f>
        <v>push</v>
      </c>
      <c r="AQ1" t="str">
        <f ca="1">"()"</f>
        <v>()</v>
      </c>
      <c r="AR1" t="str">
        <f ca="1">"return"</f>
        <v>return</v>
      </c>
      <c r="AS1" t="str">
        <f ca="1">""</f>
        <v/>
      </c>
      <c r="AT1" t="str">
        <f ca="1">"equals"</f>
        <v>equals</v>
      </c>
      <c r="AU1" t="str">
        <f ca="1">""</f>
        <v/>
      </c>
      <c r="AV1" t="str">
        <f ca="1">"return"</f>
        <v>return</v>
      </c>
      <c r="AW1" t="str">
        <f ca="1">""</f>
        <v/>
      </c>
      <c r="AX1" t="str">
        <f ca="1">"store"</f>
        <v>store</v>
      </c>
      <c r="AY1" t="str">
        <f ca="1">"G"</f>
        <v>G</v>
      </c>
      <c r="AZ1" t="str">
        <f ca="1">"newheap"</f>
        <v>newheap</v>
      </c>
      <c r="BA1" t="str">
        <f ca="1">""</f>
        <v/>
      </c>
      <c r="BB1" t="str">
        <f ca="1">"store"</f>
        <v>store</v>
      </c>
      <c r="BC1" t="str">
        <f ca="1">"G"</f>
        <v>G</v>
      </c>
      <c r="BD1" t="str">
        <f ca="1">"load"</f>
        <v>load</v>
      </c>
      <c r="BE1">
        <f ca="1">2</f>
        <v>2</v>
      </c>
      <c r="BF1" t="str">
        <f ca="1">"push"</f>
        <v>push</v>
      </c>
      <c r="BG1">
        <f ca="1">22</f>
        <v>22</v>
      </c>
      <c r="BH1" t="str">
        <f ca="1">"writeheap"</f>
        <v>writeheap</v>
      </c>
      <c r="BI1" t="str">
        <f ca="1">""</f>
        <v/>
      </c>
      <c r="BJ1" t="str">
        <f ca="1">"load"</f>
        <v>load</v>
      </c>
      <c r="BK1">
        <f ca="1">2</f>
        <v>2</v>
      </c>
      <c r="BL1" t="str">
        <f ca="1">"popv"</f>
        <v>popv</v>
      </c>
      <c r="BM1" t="str">
        <f ca="1">"G"</f>
        <v>G</v>
      </c>
      <c r="BN1" t="str">
        <f ca="1">"newheap"</f>
        <v>newheap</v>
      </c>
      <c r="BO1" t="str">
        <f ca="1">""</f>
        <v/>
      </c>
      <c r="BP1" t="str">
        <f ca="1">"load"</f>
        <v>load</v>
      </c>
      <c r="BQ1">
        <f ca="1">2</f>
        <v>2</v>
      </c>
      <c r="BR1" t="str">
        <f ca="1">"writeheap"</f>
        <v>writeheap</v>
      </c>
      <c r="BS1" t="str">
        <f ca="1">""</f>
        <v/>
      </c>
      <c r="BT1" t="str">
        <f ca="1">"popv"</f>
        <v>popv</v>
      </c>
      <c r="BU1" t="str">
        <f ca="1">"G"</f>
        <v>G</v>
      </c>
      <c r="BV1" t="str">
        <f ca="1">"newheap"</f>
        <v>newheap</v>
      </c>
      <c r="BW1" t="str">
        <f ca="1">""</f>
        <v/>
      </c>
      <c r="BX1" t="str">
        <f ca="1">"push"</f>
        <v>push</v>
      </c>
      <c r="BY1" t="str">
        <f ca="1">"endArr"</f>
        <v>endArr</v>
      </c>
      <c r="BZ1" t="str">
        <f ca="1">"writeheap"</f>
        <v>writeheap</v>
      </c>
      <c r="CA1" t="str">
        <f ca="1">""</f>
        <v/>
      </c>
      <c r="CB1" t="str">
        <f ca="1">"return"</f>
        <v>return</v>
      </c>
      <c r="CC1" t="str">
        <f ca="1">""</f>
        <v/>
      </c>
      <c r="CD1" t="str">
        <f ca="1">"leq"</f>
        <v>leq</v>
      </c>
      <c r="CE1" t="str">
        <f ca="1">""</f>
        <v/>
      </c>
      <c r="CF1" t="str">
        <f ca="1">"return"</f>
        <v>return</v>
      </c>
      <c r="CG1" t="str">
        <f ca="1">""</f>
        <v/>
      </c>
      <c r="CH1" t="str">
        <f ca="1">"store"</f>
        <v>store</v>
      </c>
      <c r="CI1" t="str">
        <f ca="1">"G"</f>
        <v>G</v>
      </c>
      <c r="CJ1" t="str">
        <f ca="1">"newheap"</f>
        <v>newheap</v>
      </c>
      <c r="CK1" t="str">
        <f ca="1">""</f>
        <v/>
      </c>
      <c r="CL1" t="str">
        <f ca="1">"store"</f>
        <v>store</v>
      </c>
      <c r="CM1" t="str">
        <f ca="1">"G"</f>
        <v>G</v>
      </c>
      <c r="CN1" t="str">
        <f ca="1">"load"</f>
        <v>load</v>
      </c>
      <c r="CO1">
        <f ca="1">2</f>
        <v>2</v>
      </c>
      <c r="CP1" t="str">
        <f ca="1">"push"</f>
        <v>push</v>
      </c>
      <c r="CQ1">
        <f ca="1">40</f>
        <v>40</v>
      </c>
      <c r="CR1" t="str">
        <f ca="1">"writeheap"</f>
        <v>writeheap</v>
      </c>
      <c r="CS1" t="str">
        <f ca="1">""</f>
        <v/>
      </c>
      <c r="CT1" t="str">
        <f ca="1">"load"</f>
        <v>load</v>
      </c>
      <c r="CU1">
        <f ca="1">2</f>
        <v>2</v>
      </c>
      <c r="CV1" t="str">
        <f ca="1">"popv"</f>
        <v>popv</v>
      </c>
      <c r="CW1" t="str">
        <f ca="1">"G"</f>
        <v>G</v>
      </c>
      <c r="CX1" t="str">
        <f ca="1">"newheap"</f>
        <v>newheap</v>
      </c>
      <c r="CY1" t="str">
        <f ca="1">""</f>
        <v/>
      </c>
      <c r="CZ1" t="str">
        <f ca="1">"load"</f>
        <v>load</v>
      </c>
      <c r="DA1">
        <f ca="1">2</f>
        <v>2</v>
      </c>
      <c r="DB1" t="str">
        <f ca="1">"writeheap"</f>
        <v>writeheap</v>
      </c>
      <c r="DC1" t="str">
        <f ca="1">""</f>
        <v/>
      </c>
      <c r="DD1" t="str">
        <f ca="1">"popv"</f>
        <v>popv</v>
      </c>
      <c r="DE1" t="str">
        <f ca="1">"G"</f>
        <v>G</v>
      </c>
      <c r="DF1" t="str">
        <f ca="1">"newheap"</f>
        <v>newheap</v>
      </c>
      <c r="DG1" t="str">
        <f ca="1">""</f>
        <v/>
      </c>
      <c r="DH1" t="str">
        <f ca="1">"push"</f>
        <v>push</v>
      </c>
      <c r="DI1" t="str">
        <f ca="1">"endArr"</f>
        <v>endArr</v>
      </c>
      <c r="DJ1" t="str">
        <f ca="1">"writeheap"</f>
        <v>writeheap</v>
      </c>
      <c r="DK1" t="str">
        <f ca="1">""</f>
        <v/>
      </c>
      <c r="DL1" t="str">
        <f ca="1">"return"</f>
        <v>return</v>
      </c>
      <c r="DM1" t="str">
        <f ca="1">""</f>
        <v/>
      </c>
      <c r="DN1" t="str">
        <f ca="1">"goto"</f>
        <v>goto</v>
      </c>
      <c r="DO1">
        <f ca="1">240</f>
        <v>240</v>
      </c>
      <c r="DP1" t="str">
        <f ca="1">"store"</f>
        <v>store</v>
      </c>
      <c r="DQ1" t="str">
        <f ca="1">"H"</f>
        <v>H</v>
      </c>
      <c r="DR1" t="str">
        <f ca="1">"push"</f>
        <v>push</v>
      </c>
      <c r="DS1">
        <f ca="1">6</f>
        <v>6</v>
      </c>
      <c r="DT1" t="str">
        <f ca="1">"load"</f>
        <v>load</v>
      </c>
      <c r="DU1">
        <f ca="1">3</f>
        <v>3</v>
      </c>
      <c r="DV1" t="str">
        <f ca="1">"newheap"</f>
        <v>newheap</v>
      </c>
      <c r="DW1" t="str">
        <f ca="1">""</f>
        <v/>
      </c>
      <c r="DX1" t="str">
        <f ca="1">"store"</f>
        <v>store</v>
      </c>
      <c r="DY1" t="str">
        <f ca="1">"G"</f>
        <v>G</v>
      </c>
      <c r="DZ1" t="str">
        <f ca="1">"load"</f>
        <v>load</v>
      </c>
      <c r="EA1">
        <f ca="1">2</f>
        <v>2</v>
      </c>
      <c r="EB1" t="str">
        <f ca="1">"push"</f>
        <v>push</v>
      </c>
      <c r="EC1">
        <f ca="1">42</f>
        <v>42</v>
      </c>
      <c r="ED1" t="str">
        <f ca="1">"writeheap"</f>
        <v>writeheap</v>
      </c>
      <c r="EE1" t="str">
        <f ca="1">""</f>
        <v/>
      </c>
      <c r="EF1" t="str">
        <f ca="1">"newheap"</f>
        <v>newheap</v>
      </c>
      <c r="EG1" t="str">
        <f ca="1">""</f>
        <v/>
      </c>
      <c r="EH1" t="str">
        <f ca="1">"push"</f>
        <v>push</v>
      </c>
      <c r="EI1" t="str">
        <f ca="1">"endArr"</f>
        <v>endArr</v>
      </c>
      <c r="EJ1" t="str">
        <f ca="1">"writeheap"</f>
        <v>writeheap</v>
      </c>
      <c r="EK1" t="str">
        <f ca="1">""</f>
        <v/>
      </c>
      <c r="EL1" t="str">
        <f ca="1">"load"</f>
        <v>load</v>
      </c>
      <c r="EM1">
        <f ca="1">2</f>
        <v>2</v>
      </c>
      <c r="EN1" t="str">
        <f ca="1">"popv"</f>
        <v>popv</v>
      </c>
      <c r="EO1" t="str">
        <f ca="1">"G"</f>
        <v>G</v>
      </c>
      <c r="EP1" t="str">
        <f ca="1">"store"</f>
        <v>store</v>
      </c>
      <c r="EQ1" t="str">
        <f ca="1">"G"</f>
        <v>G</v>
      </c>
      <c r="ER1" t="str">
        <f ca="1">"load"</f>
        <v>load</v>
      </c>
      <c r="ES1">
        <f ca="1">2</f>
        <v>2</v>
      </c>
      <c r="ET1" t="str">
        <f ca="1">"push"</f>
        <v>push</v>
      </c>
      <c r="EU1">
        <f ca="1">1</f>
        <v>1</v>
      </c>
      <c r="EV1" t="str">
        <f ca="1">"add"</f>
        <v>add</v>
      </c>
      <c r="EW1" t="str">
        <f ca="1">""</f>
        <v/>
      </c>
      <c r="EX1" t="str">
        <f ca="1">"store"</f>
        <v>store</v>
      </c>
      <c r="EY1" t="str">
        <f ca="1">"G"</f>
        <v>G</v>
      </c>
      <c r="EZ1" t="str">
        <f ca="1">"load"</f>
        <v>load</v>
      </c>
      <c r="FA1">
        <f ca="1">2</f>
        <v>2</v>
      </c>
      <c r="FB1" t="str">
        <f ca="1">"getheap"</f>
        <v>getheap</v>
      </c>
      <c r="FC1" t="str">
        <f ca="1">""</f>
        <v/>
      </c>
      <c r="FD1" t="str">
        <f ca="1">"push"</f>
        <v>push</v>
      </c>
      <c r="FE1" t="str">
        <f ca="1">"endArr"</f>
        <v>endArr</v>
      </c>
      <c r="FF1" t="str">
        <f ca="1">"equals"</f>
        <v>equals</v>
      </c>
      <c r="FG1" t="str">
        <f ca="1">""</f>
        <v/>
      </c>
      <c r="FH1" t="str">
        <f ca="1">"gotoiftrue"</f>
        <v>gotoiftrue</v>
      </c>
      <c r="FI1">
        <f ca="1">90</f>
        <v>90</v>
      </c>
      <c r="FJ1" t="str">
        <f ca="1">"load"</f>
        <v>load</v>
      </c>
      <c r="FK1">
        <f ca="1">2</f>
        <v>2</v>
      </c>
      <c r="FL1" t="str">
        <f ca="1">"getheap"</f>
        <v>getheap</v>
      </c>
      <c r="FM1" t="str">
        <f ca="1">""</f>
        <v/>
      </c>
      <c r="FN1" t="str">
        <f ca="1">"load"</f>
        <v>load</v>
      </c>
      <c r="FO1">
        <f ca="1">2</f>
        <v>2</v>
      </c>
      <c r="FP1" t="str">
        <f ca="1">"push"</f>
        <v>push</v>
      </c>
      <c r="FQ1">
        <f ca="1">1</f>
        <v>1</v>
      </c>
      <c r="FR1" t="str">
        <f ca="1">"add"</f>
        <v>add</v>
      </c>
      <c r="FS1" t="str">
        <f ca="1">""</f>
        <v/>
      </c>
      <c r="FT1" t="str">
        <f ca="1">"popv"</f>
        <v>popv</v>
      </c>
      <c r="FU1" t="str">
        <f ca="1">"G"</f>
        <v>G</v>
      </c>
      <c r="FV1" t="str">
        <f ca="1">"store"</f>
        <v>store</v>
      </c>
      <c r="FW1" t="str">
        <f ca="1">"G"</f>
        <v>G</v>
      </c>
      <c r="FX1" t="str">
        <f ca="1">"goto"</f>
        <v>goto</v>
      </c>
      <c r="FY1">
        <f ca="1">77</f>
        <v>77</v>
      </c>
      <c r="FZ1" t="str">
        <f ca="1">"popv"</f>
        <v>popv</v>
      </c>
      <c r="GA1" t="str">
        <f ca="1">"G"</f>
        <v>G</v>
      </c>
      <c r="GB1" t="str">
        <f ca="1">"load"</f>
        <v>load</v>
      </c>
      <c r="GC1">
        <f ca="1">2</f>
        <v>2</v>
      </c>
      <c r="GD1" t="str">
        <f ca="1">"getheap"</f>
        <v>getheap</v>
      </c>
      <c r="GE1" t="str">
        <f ca="1">""</f>
        <v/>
      </c>
      <c r="GF1" t="str">
        <f ca="1">"call"</f>
        <v>call</v>
      </c>
      <c r="GG1" t="str">
        <f ca="1">""</f>
        <v/>
      </c>
      <c r="GH1" t="str">
        <f ca="1">"popv"</f>
        <v>popv</v>
      </c>
      <c r="GI1" t="str">
        <f ca="1">"G"</f>
        <v>G</v>
      </c>
      <c r="GJ1" t="str">
        <f ca="1">"store"</f>
        <v>store</v>
      </c>
      <c r="GK1" t="str">
        <f ca="1">"G"</f>
        <v>G</v>
      </c>
      <c r="GL1" t="str">
        <f ca="1">"load"</f>
        <v>load</v>
      </c>
      <c r="GM1">
        <f ca="1">2</f>
        <v>2</v>
      </c>
      <c r="GN1" t="str">
        <f ca="1">"push"</f>
        <v>push</v>
      </c>
      <c r="GO1">
        <f ca="1">1</f>
        <v>1</v>
      </c>
      <c r="GP1" t="str">
        <f ca="1">"add"</f>
        <v>add</v>
      </c>
      <c r="GQ1" t="str">
        <f ca="1">""</f>
        <v/>
      </c>
      <c r="GR1" t="str">
        <f ca="1">"store"</f>
        <v>store</v>
      </c>
      <c r="GS1" t="str">
        <f ca="1">"G"</f>
        <v>G</v>
      </c>
      <c r="GT1" t="str">
        <f ca="1">"load"</f>
        <v>load</v>
      </c>
      <c r="GU1">
        <f ca="1">2</f>
        <v>2</v>
      </c>
      <c r="GV1" t="str">
        <f ca="1">"getheap"</f>
        <v>getheap</v>
      </c>
      <c r="GW1" t="str">
        <f ca="1">""</f>
        <v/>
      </c>
      <c r="GX1" t="str">
        <f ca="1">"push"</f>
        <v>push</v>
      </c>
      <c r="GY1" t="str">
        <f ca="1">"endArr"</f>
        <v>endArr</v>
      </c>
      <c r="GZ1" t="str">
        <f ca="1">"equals"</f>
        <v>equals</v>
      </c>
      <c r="HA1" t="str">
        <f ca="1">""</f>
        <v/>
      </c>
      <c r="HB1" t="str">
        <f ca="1">"gotoiftrue"</f>
        <v>gotoiftrue</v>
      </c>
      <c r="HC1">
        <f ca="1">113</f>
        <v>113</v>
      </c>
      <c r="HD1" t="str">
        <f ca="1">"load"</f>
        <v>load</v>
      </c>
      <c r="HE1">
        <f ca="1">2</f>
        <v>2</v>
      </c>
      <c r="HF1" t="str">
        <f ca="1">"getheap"</f>
        <v>getheap</v>
      </c>
      <c r="HG1" t="str">
        <f ca="1">""</f>
        <v/>
      </c>
      <c r="HH1" t="str">
        <f ca="1">"load"</f>
        <v>load</v>
      </c>
      <c r="HI1">
        <f ca="1">2</f>
        <v>2</v>
      </c>
      <c r="HJ1" t="str">
        <f ca="1">"push"</f>
        <v>push</v>
      </c>
      <c r="HK1">
        <f ca="1">1</f>
        <v>1</v>
      </c>
      <c r="HL1" t="str">
        <f ca="1">"add"</f>
        <v>add</v>
      </c>
      <c r="HM1" t="str">
        <f ca="1">""</f>
        <v/>
      </c>
      <c r="HN1" t="str">
        <f ca="1">"popv"</f>
        <v>popv</v>
      </c>
      <c r="HO1" t="str">
        <f ca="1">"G"</f>
        <v>G</v>
      </c>
      <c r="HP1" t="str">
        <f ca="1">"store"</f>
        <v>store</v>
      </c>
      <c r="HQ1" t="str">
        <f ca="1">"G"</f>
        <v>G</v>
      </c>
      <c r="HR1" t="str">
        <f ca="1">"goto"</f>
        <v>goto</v>
      </c>
      <c r="HS1">
        <f ca="1">100</f>
        <v>100</v>
      </c>
      <c r="HT1" t="str">
        <f ca="1">"popv"</f>
        <v>popv</v>
      </c>
      <c r="HU1" t="str">
        <f ca="1">"G"</f>
        <v>G</v>
      </c>
      <c r="HV1" t="str">
        <f ca="1">"load"</f>
        <v>load</v>
      </c>
      <c r="HW1">
        <f ca="1">2</f>
        <v>2</v>
      </c>
      <c r="HX1" t="str">
        <f ca="1">"getheap"</f>
        <v>getheap</v>
      </c>
      <c r="HY1" t="str">
        <f ca="1">""</f>
        <v/>
      </c>
      <c r="HZ1" t="str">
        <f ca="1">"call"</f>
        <v>call</v>
      </c>
      <c r="IA1" t="str">
        <f ca="1">""</f>
        <v/>
      </c>
      <c r="IB1" t="str">
        <f ca="1">"popv"</f>
        <v>popv</v>
      </c>
      <c r="IC1" t="str">
        <f ca="1">"G"</f>
        <v>G</v>
      </c>
      <c r="ID1" t="str">
        <f ca="1">"gotoiftrue"</f>
        <v>gotoiftrue</v>
      </c>
      <c r="IE1">
        <f ca="1">121</f>
        <v>121</v>
      </c>
      <c r="IF1" t="str">
        <f ca="1">"push"</f>
        <v>push</v>
      </c>
      <c r="IG1" t="str">
        <f ca="1">"()"</f>
        <v>()</v>
      </c>
      <c r="IH1" t="str">
        <f ca="1">"goto"</f>
        <v>goto</v>
      </c>
      <c r="II1">
        <f ca="1">238</f>
        <v>238</v>
      </c>
      <c r="IJ1" t="str">
        <f ca="1">"load"</f>
        <v>load</v>
      </c>
      <c r="IK1">
        <f ca="1">3</f>
        <v>3</v>
      </c>
      <c r="IL1" t="str">
        <f ca="1">"newheap"</f>
        <v>newheap</v>
      </c>
      <c r="IM1" t="str">
        <f ca="1">""</f>
        <v/>
      </c>
      <c r="IN1" t="str">
        <f ca="1">"store"</f>
        <v>store</v>
      </c>
      <c r="IO1" t="str">
        <f ca="1">"G"</f>
        <v>G</v>
      </c>
      <c r="IP1" t="str">
        <f ca="1">"load"</f>
        <v>load</v>
      </c>
      <c r="IQ1">
        <f ca="1">2</f>
        <v>2</v>
      </c>
      <c r="IR1" t="str">
        <f ca="1">"push"</f>
        <v>push</v>
      </c>
      <c r="IS1">
        <f ca="1">19</f>
        <v>19</v>
      </c>
      <c r="IT1" t="str">
        <f ca="1">"writeheap"</f>
        <v>writeheap</v>
      </c>
      <c r="IU1" t="str">
        <f ca="1">""</f>
        <v/>
      </c>
      <c r="IV1" t="str">
        <f ca="1">"newheap"</f>
        <v>newheap</v>
      </c>
      <c r="IW1" t="str">
        <f ca="1">""</f>
        <v/>
      </c>
      <c r="IX1" t="str">
        <f ca="1">"push"</f>
        <v>push</v>
      </c>
      <c r="IY1" t="str">
        <f ca="1">"endArr"</f>
        <v>endArr</v>
      </c>
      <c r="IZ1" t="str">
        <f ca="1">"writeheap"</f>
        <v>writeheap</v>
      </c>
      <c r="JA1" t="str">
        <f ca="1">""</f>
        <v/>
      </c>
      <c r="JB1" t="str">
        <f ca="1">"load"</f>
        <v>load</v>
      </c>
      <c r="JC1">
        <f ca="1">2</f>
        <v>2</v>
      </c>
      <c r="JD1" t="str">
        <f ca="1">"popv"</f>
        <v>popv</v>
      </c>
      <c r="JE1" t="str">
        <f ca="1">"G"</f>
        <v>G</v>
      </c>
      <c r="JF1" t="str">
        <f ca="1">"store"</f>
        <v>store</v>
      </c>
      <c r="JG1" t="str">
        <f ca="1">"G"</f>
        <v>G</v>
      </c>
      <c r="JH1" t="str">
        <f ca="1">"load"</f>
        <v>load</v>
      </c>
      <c r="JI1">
        <f ca="1">2</f>
        <v>2</v>
      </c>
      <c r="JJ1" t="str">
        <f ca="1">"push"</f>
        <v>push</v>
      </c>
      <c r="JK1">
        <f ca="1">1</f>
        <v>1</v>
      </c>
      <c r="JL1" t="str">
        <f ca="1">"add"</f>
        <v>add</v>
      </c>
      <c r="JM1" t="str">
        <f ca="1">""</f>
        <v/>
      </c>
      <c r="JN1" t="str">
        <f ca="1">"store"</f>
        <v>store</v>
      </c>
      <c r="JO1" t="str">
        <f ca="1">"G"</f>
        <v>G</v>
      </c>
      <c r="JP1" t="str">
        <f ca="1">"load"</f>
        <v>load</v>
      </c>
      <c r="JQ1">
        <f ca="1">2</f>
        <v>2</v>
      </c>
      <c r="JR1" t="str">
        <f ca="1">"getheap"</f>
        <v>getheap</v>
      </c>
      <c r="JS1" t="str">
        <f ca="1">""</f>
        <v/>
      </c>
      <c r="JT1" t="str">
        <f ca="1">"push"</f>
        <v>push</v>
      </c>
      <c r="JU1" t="str">
        <f ca="1">"endArr"</f>
        <v>endArr</v>
      </c>
      <c r="JV1" t="str">
        <f ca="1">"equals"</f>
        <v>equals</v>
      </c>
      <c r="JW1" t="str">
        <f ca="1">""</f>
        <v/>
      </c>
      <c r="JX1" t="str">
        <f ca="1">"gotoiftrue"</f>
        <v>gotoiftrue</v>
      </c>
      <c r="JY1">
        <f ca="1">150</f>
        <v>150</v>
      </c>
      <c r="JZ1" t="str">
        <f ca="1">"load"</f>
        <v>load</v>
      </c>
      <c r="KA1">
        <f ca="1">2</f>
        <v>2</v>
      </c>
      <c r="KB1" t="str">
        <f ca="1">"getheap"</f>
        <v>getheap</v>
      </c>
      <c r="KC1" t="str">
        <f ca="1">""</f>
        <v/>
      </c>
      <c r="KD1" t="str">
        <f ca="1">"load"</f>
        <v>load</v>
      </c>
      <c r="KE1">
        <f ca="1">2</f>
        <v>2</v>
      </c>
      <c r="KF1" t="str">
        <f ca="1">"push"</f>
        <v>push</v>
      </c>
      <c r="KG1">
        <f ca="1">1</f>
        <v>1</v>
      </c>
      <c r="KH1" t="str">
        <f ca="1">"add"</f>
        <v>add</v>
      </c>
      <c r="KI1" t="str">
        <f ca="1">""</f>
        <v/>
      </c>
      <c r="KJ1" t="str">
        <f ca="1">"popv"</f>
        <v>popv</v>
      </c>
      <c r="KK1" t="str">
        <f ca="1">"G"</f>
        <v>G</v>
      </c>
      <c r="KL1" t="str">
        <f ca="1">"store"</f>
        <v>store</v>
      </c>
      <c r="KM1" t="str">
        <f ca="1">"G"</f>
        <v>G</v>
      </c>
      <c r="KN1" t="str">
        <f ca="1">"goto"</f>
        <v>goto</v>
      </c>
      <c r="KO1">
        <f ca="1">137</f>
        <v>137</v>
      </c>
      <c r="KP1" t="str">
        <f ca="1">"popv"</f>
        <v>popv</v>
      </c>
      <c r="KQ1" t="str">
        <f ca="1">"G"</f>
        <v>G</v>
      </c>
      <c r="KR1" t="str">
        <f ca="1">"load"</f>
        <v>load</v>
      </c>
      <c r="KS1">
        <f ca="1">2</f>
        <v>2</v>
      </c>
      <c r="KT1" t="str">
        <f ca="1">"getheap"</f>
        <v>getheap</v>
      </c>
      <c r="KU1" t="str">
        <f ca="1">""</f>
        <v/>
      </c>
      <c r="KV1" t="str">
        <f ca="1">"call"</f>
        <v>call</v>
      </c>
      <c r="KW1" t="str">
        <f ca="1">""</f>
        <v/>
      </c>
      <c r="KX1" t="str">
        <f ca="1">"popv"</f>
        <v>popv</v>
      </c>
      <c r="KY1" t="str">
        <f ca="1">"G"</f>
        <v>G</v>
      </c>
      <c r="KZ1" t="str">
        <f ca="1">"pop"</f>
        <v>pop</v>
      </c>
      <c r="LA1" t="str">
        <f ca="1">""</f>
        <v/>
      </c>
      <c r="LB1" t="str">
        <f ca="1">"push"</f>
        <v>push</v>
      </c>
      <c r="LC1">
        <f ca="1">1</f>
        <v>1</v>
      </c>
      <c r="LD1" t="str">
        <f ca="1">"load"</f>
        <v>load</v>
      </c>
      <c r="LE1">
        <f ca="1">3</f>
        <v>3</v>
      </c>
      <c r="LF1" t="str">
        <f ca="1">"newheap"</f>
        <v>newheap</v>
      </c>
      <c r="LG1" t="str">
        <f ca="1">""</f>
        <v/>
      </c>
      <c r="LH1" t="str">
        <f ca="1">"store"</f>
        <v>store</v>
      </c>
      <c r="LI1" t="str">
        <f ca="1">"G"</f>
        <v>G</v>
      </c>
      <c r="LJ1" t="str">
        <f ca="1">"load"</f>
        <v>load</v>
      </c>
      <c r="LK1">
        <f ca="1">2</f>
        <v>2</v>
      </c>
      <c r="LL1" t="str">
        <f ca="1">"push"</f>
        <v>push</v>
      </c>
      <c r="LM1">
        <f ca="1">3</f>
        <v>3</v>
      </c>
      <c r="LN1" t="str">
        <f ca="1">"writeheap"</f>
        <v>writeheap</v>
      </c>
      <c r="LO1" t="str">
        <f ca="1">""</f>
        <v/>
      </c>
      <c r="LP1" t="str">
        <f ca="1">"newheap"</f>
        <v>newheap</v>
      </c>
      <c r="LQ1" t="str">
        <f ca="1">""</f>
        <v/>
      </c>
      <c r="LR1" t="str">
        <f ca="1">"push"</f>
        <v>push</v>
      </c>
      <c r="LS1" t="str">
        <f ca="1">"endArr"</f>
        <v>endArr</v>
      </c>
      <c r="LT1" t="str">
        <f ca="1">"writeheap"</f>
        <v>writeheap</v>
      </c>
      <c r="LU1" t="str">
        <f ca="1">""</f>
        <v/>
      </c>
      <c r="LV1" t="str">
        <f ca="1">"load"</f>
        <v>load</v>
      </c>
      <c r="LW1">
        <f ca="1">2</f>
        <v>2</v>
      </c>
      <c r="LX1" t="str">
        <f ca="1">"popv"</f>
        <v>popv</v>
      </c>
      <c r="LY1" t="str">
        <f ca="1">"G"</f>
        <v>G</v>
      </c>
      <c r="LZ1" t="str">
        <f ca="1">"store"</f>
        <v>store</v>
      </c>
      <c r="MA1" t="str">
        <f ca="1">"G"</f>
        <v>G</v>
      </c>
      <c r="MB1" t="str">
        <f ca="1">"load"</f>
        <v>load</v>
      </c>
      <c r="MC1">
        <f ca="1">2</f>
        <v>2</v>
      </c>
      <c r="MD1" t="str">
        <f ca="1">"push"</f>
        <v>push</v>
      </c>
      <c r="ME1">
        <f ca="1">1</f>
        <v>1</v>
      </c>
      <c r="MF1" t="str">
        <f ca="1">"add"</f>
        <v>add</v>
      </c>
      <c r="MG1" t="str">
        <f ca="1">""</f>
        <v/>
      </c>
      <c r="MH1" t="str">
        <f ca="1">"store"</f>
        <v>store</v>
      </c>
      <c r="MI1" t="str">
        <f ca="1">"G"</f>
        <v>G</v>
      </c>
      <c r="MJ1" t="str">
        <f ca="1">"load"</f>
        <v>load</v>
      </c>
      <c r="MK1">
        <f ca="1">2</f>
        <v>2</v>
      </c>
      <c r="ML1" t="str">
        <f ca="1">"getheap"</f>
        <v>getheap</v>
      </c>
      <c r="MM1" t="str">
        <f ca="1">""</f>
        <v/>
      </c>
      <c r="MN1" t="str">
        <f ca="1">"push"</f>
        <v>push</v>
      </c>
      <c r="MO1" t="str">
        <f ca="1">"endArr"</f>
        <v>endArr</v>
      </c>
      <c r="MP1" t="str">
        <f ca="1">"equals"</f>
        <v>equals</v>
      </c>
      <c r="MQ1" t="str">
        <f ca="1">""</f>
        <v/>
      </c>
      <c r="MR1" t="str">
        <f ca="1">"gotoiftrue"</f>
        <v>gotoiftrue</v>
      </c>
      <c r="MS1">
        <f ca="1">186</f>
        <v>186</v>
      </c>
      <c r="MT1" t="str">
        <f ca="1">"load"</f>
        <v>load</v>
      </c>
      <c r="MU1">
        <f ca="1">2</f>
        <v>2</v>
      </c>
      <c r="MV1" t="str">
        <f ca="1">"getheap"</f>
        <v>getheap</v>
      </c>
      <c r="MW1" t="str">
        <f ca="1">""</f>
        <v/>
      </c>
      <c r="MX1" t="str">
        <f ca="1">"load"</f>
        <v>load</v>
      </c>
      <c r="MY1">
        <f ca="1">2</f>
        <v>2</v>
      </c>
      <c r="MZ1" t="str">
        <f ca="1">"push"</f>
        <v>push</v>
      </c>
      <c r="NA1">
        <f ca="1">1</f>
        <v>1</v>
      </c>
      <c r="NB1" t="str">
        <f ca="1">"add"</f>
        <v>add</v>
      </c>
      <c r="NC1" t="str">
        <f ca="1">""</f>
        <v/>
      </c>
      <c r="ND1" t="str">
        <f ca="1">"popv"</f>
        <v>popv</v>
      </c>
      <c r="NE1" t="str">
        <f ca="1">"G"</f>
        <v>G</v>
      </c>
      <c r="NF1" t="str">
        <f ca="1">"store"</f>
        <v>store</v>
      </c>
      <c r="NG1" t="str">
        <f ca="1">"G"</f>
        <v>G</v>
      </c>
      <c r="NH1" t="str">
        <f ca="1">"goto"</f>
        <v>goto</v>
      </c>
      <c r="NI1">
        <f ca="1">173</f>
        <v>173</v>
      </c>
      <c r="NJ1" t="str">
        <f ca="1">"popv"</f>
        <v>popv</v>
      </c>
      <c r="NK1" t="str">
        <f ca="1">"G"</f>
        <v>G</v>
      </c>
      <c r="NL1" t="str">
        <f ca="1">"load"</f>
        <v>load</v>
      </c>
      <c r="NM1">
        <f ca="1">2</f>
        <v>2</v>
      </c>
      <c r="NN1" t="str">
        <f ca="1">"getheap"</f>
        <v>getheap</v>
      </c>
      <c r="NO1" t="str">
        <f ca="1">""</f>
        <v/>
      </c>
      <c r="NP1" t="str">
        <f ca="1">"call"</f>
        <v>call</v>
      </c>
      <c r="NQ1" t="str">
        <f ca="1">""</f>
        <v/>
      </c>
      <c r="NR1" t="str">
        <f ca="1">"popv"</f>
        <v>popv</v>
      </c>
      <c r="NS1" t="str">
        <f ca="1">"G"</f>
        <v>G</v>
      </c>
      <c r="NT1" t="str">
        <f ca="1">"store"</f>
        <v>store</v>
      </c>
      <c r="NU1" t="str">
        <f ca="1">"G"</f>
        <v>G</v>
      </c>
      <c r="NV1" t="str">
        <f ca="1">"load"</f>
        <v>load</v>
      </c>
      <c r="NW1">
        <f ca="1">2</f>
        <v>2</v>
      </c>
      <c r="NX1" t="str">
        <f ca="1">"push"</f>
        <v>push</v>
      </c>
      <c r="NY1">
        <f ca="1">1</f>
        <v>1</v>
      </c>
      <c r="NZ1" t="str">
        <f ca="1">"add"</f>
        <v>add</v>
      </c>
      <c r="OA1" t="str">
        <f ca="1">""</f>
        <v/>
      </c>
      <c r="OB1" t="str">
        <f ca="1">"store"</f>
        <v>store</v>
      </c>
      <c r="OC1" t="str">
        <f ca="1">"G"</f>
        <v>G</v>
      </c>
      <c r="OD1" t="str">
        <f ca="1">"load"</f>
        <v>load</v>
      </c>
      <c r="OE1">
        <f ca="1">2</f>
        <v>2</v>
      </c>
      <c r="OF1" t="str">
        <f ca="1">"getheap"</f>
        <v>getheap</v>
      </c>
      <c r="OG1" t="str">
        <f ca="1">""</f>
        <v/>
      </c>
      <c r="OH1" t="str">
        <f ca="1">"push"</f>
        <v>push</v>
      </c>
      <c r="OI1" t="str">
        <f ca="1">"endArr"</f>
        <v>endArr</v>
      </c>
      <c r="OJ1" t="str">
        <f ca="1">"equals"</f>
        <v>equals</v>
      </c>
      <c r="OK1" t="str">
        <f ca="1">""</f>
        <v/>
      </c>
      <c r="OL1" t="str">
        <f ca="1">"gotoiftrue"</f>
        <v>gotoiftrue</v>
      </c>
      <c r="OM1">
        <f ca="1">209</f>
        <v>209</v>
      </c>
      <c r="ON1" t="str">
        <f ca="1">"load"</f>
        <v>load</v>
      </c>
      <c r="OO1">
        <f ca="1">2</f>
        <v>2</v>
      </c>
      <c r="OP1" t="str">
        <f ca="1">"getheap"</f>
        <v>getheap</v>
      </c>
      <c r="OQ1" t="str">
        <f ca="1">""</f>
        <v/>
      </c>
      <c r="OR1" t="str">
        <f ca="1">"load"</f>
        <v>load</v>
      </c>
      <c r="OS1">
        <f ca="1">2</f>
        <v>2</v>
      </c>
      <c r="OT1" t="str">
        <f ca="1">"push"</f>
        <v>push</v>
      </c>
      <c r="OU1">
        <f ca="1">1</f>
        <v>1</v>
      </c>
      <c r="OV1" t="str">
        <f ca="1">"add"</f>
        <v>add</v>
      </c>
      <c r="OW1" t="str">
        <f ca="1">""</f>
        <v/>
      </c>
      <c r="OX1" t="str">
        <f ca="1">"popv"</f>
        <v>popv</v>
      </c>
      <c r="OY1" t="str">
        <f ca="1">"G"</f>
        <v>G</v>
      </c>
      <c r="OZ1" t="str">
        <f ca="1">"store"</f>
        <v>store</v>
      </c>
      <c r="PA1" t="str">
        <f ca="1">"G"</f>
        <v>G</v>
      </c>
      <c r="PB1" t="str">
        <f ca="1">"goto"</f>
        <v>goto</v>
      </c>
      <c r="PC1">
        <f ca="1">196</f>
        <v>196</v>
      </c>
      <c r="PD1" t="str">
        <f ca="1">"popv"</f>
        <v>popv</v>
      </c>
      <c r="PE1" t="str">
        <f ca="1">"G"</f>
        <v>G</v>
      </c>
      <c r="PF1" t="str">
        <f ca="1">"load"</f>
        <v>load</v>
      </c>
      <c r="PG1">
        <f ca="1">2</f>
        <v>2</v>
      </c>
      <c r="PH1" t="str">
        <f ca="1">"getheap"</f>
        <v>getheap</v>
      </c>
      <c r="PI1" t="str">
        <f ca="1">""</f>
        <v/>
      </c>
      <c r="PJ1" t="str">
        <f ca="1">"call"</f>
        <v>call</v>
      </c>
      <c r="PK1" t="str">
        <f ca="1">""</f>
        <v/>
      </c>
      <c r="PL1" t="str">
        <f ca="1">"popv"</f>
        <v>popv</v>
      </c>
      <c r="PM1" t="str">
        <f ca="1">"G"</f>
        <v>G</v>
      </c>
      <c r="PN1" t="str">
        <f ca="1">"load"</f>
        <v>load</v>
      </c>
      <c r="PO1">
        <f ca="1">1</f>
        <v>1</v>
      </c>
      <c r="PP1" t="str">
        <f ca="1">"store"</f>
        <v>store</v>
      </c>
      <c r="PQ1" t="str">
        <f ca="1">"G"</f>
        <v>G</v>
      </c>
      <c r="PR1" t="str">
        <f ca="1">"load"</f>
        <v>load</v>
      </c>
      <c r="PS1">
        <f ca="1">2</f>
        <v>2</v>
      </c>
      <c r="PT1" t="str">
        <f ca="1">"push"</f>
        <v>push</v>
      </c>
      <c r="PU1">
        <f ca="1">1</f>
        <v>1</v>
      </c>
      <c r="PV1" t="str">
        <f ca="1">"add"</f>
        <v>add</v>
      </c>
      <c r="PW1" t="str">
        <f ca="1">""</f>
        <v/>
      </c>
      <c r="PX1" t="str">
        <f ca="1">"store"</f>
        <v>store</v>
      </c>
      <c r="PY1" t="str">
        <f ca="1">"G"</f>
        <v>G</v>
      </c>
      <c r="PZ1" t="str">
        <f ca="1">"load"</f>
        <v>load</v>
      </c>
      <c r="QA1">
        <f ca="1">2</f>
        <v>2</v>
      </c>
      <c r="QB1" t="str">
        <f ca="1">"getheap"</f>
        <v>getheap</v>
      </c>
      <c r="QC1" t="str">
        <f ca="1">""</f>
        <v/>
      </c>
      <c r="QD1" t="str">
        <f ca="1">"push"</f>
        <v>push</v>
      </c>
      <c r="QE1" t="str">
        <f ca="1">"endArr"</f>
        <v>endArr</v>
      </c>
      <c r="QF1" t="str">
        <f ca="1">"equals"</f>
        <v>equals</v>
      </c>
      <c r="QG1" t="str">
        <f ca="1">""</f>
        <v/>
      </c>
      <c r="QH1" t="str">
        <f ca="1">"gotoiftrue"</f>
        <v>gotoiftrue</v>
      </c>
      <c r="QI1">
        <f ca="1">233</f>
        <v>233</v>
      </c>
      <c r="QJ1" t="str">
        <f ca="1">"load"</f>
        <v>load</v>
      </c>
      <c r="QK1">
        <f ca="1">2</f>
        <v>2</v>
      </c>
      <c r="QL1" t="str">
        <f ca="1">"getheap"</f>
        <v>getheap</v>
      </c>
      <c r="QM1" t="str">
        <f ca="1">""</f>
        <v/>
      </c>
      <c r="QN1" t="str">
        <f ca="1">"load"</f>
        <v>load</v>
      </c>
      <c r="QO1">
        <f ca="1">2</f>
        <v>2</v>
      </c>
      <c r="QP1" t="str">
        <f ca="1">"push"</f>
        <v>push</v>
      </c>
      <c r="QQ1">
        <f ca="1">1</f>
        <v>1</v>
      </c>
      <c r="QR1" t="str">
        <f ca="1">"add"</f>
        <v>add</v>
      </c>
      <c r="QS1" t="str">
        <f ca="1">""</f>
        <v/>
      </c>
      <c r="QT1" t="str">
        <f ca="1">"popv"</f>
        <v>popv</v>
      </c>
      <c r="QU1" t="str">
        <f ca="1">"G"</f>
        <v>G</v>
      </c>
      <c r="QV1" t="str">
        <f ca="1">"store"</f>
        <v>store</v>
      </c>
      <c r="QW1" t="str">
        <f ca="1">"G"</f>
        <v>G</v>
      </c>
      <c r="QX1" t="str">
        <f ca="1">"goto"</f>
        <v>goto</v>
      </c>
      <c r="QY1">
        <f ca="1">220</f>
        <v>220</v>
      </c>
      <c r="QZ1" t="str">
        <f ca="1">"popv"</f>
        <v>popv</v>
      </c>
      <c r="RA1" t="str">
        <f ca="1">"G"</f>
        <v>G</v>
      </c>
      <c r="RB1" t="str">
        <f ca="1">"load"</f>
        <v>load</v>
      </c>
      <c r="RC1">
        <f ca="1">2</f>
        <v>2</v>
      </c>
      <c r="RD1" t="str">
        <f ca="1">"getheap"</f>
        <v>getheap</v>
      </c>
      <c r="RE1" t="str">
        <f ca="1">""</f>
        <v/>
      </c>
      <c r="RF1" t="str">
        <f ca="1">"call"</f>
        <v>call</v>
      </c>
      <c r="RG1" t="str">
        <f ca="1">""</f>
        <v/>
      </c>
      <c r="RH1" t="str">
        <f ca="1">"popv"</f>
        <v>popv</v>
      </c>
      <c r="RI1" t="str">
        <f ca="1">"G"</f>
        <v>G</v>
      </c>
      <c r="RJ1" t="str">
        <f ca="1">"popv"</f>
        <v>popv</v>
      </c>
      <c r="RK1" t="str">
        <f ca="1">"H"</f>
        <v>H</v>
      </c>
      <c r="RL1" t="str">
        <f ca="1">"return"</f>
        <v>return</v>
      </c>
      <c r="RM1" t="str">
        <f ca="1">""</f>
        <v/>
      </c>
      <c r="RN1" t="str">
        <f ca="1">"newheap"</f>
        <v>newheap</v>
      </c>
      <c r="RO1" t="str">
        <f ca="1">""</f>
        <v/>
      </c>
      <c r="RP1" t="str">
        <f ca="1">"store"</f>
        <v>store</v>
      </c>
      <c r="RQ1" t="str">
        <f ca="1">"F"</f>
        <v>F</v>
      </c>
      <c r="RR1" t="str">
        <f ca="1">"load"</f>
        <v>load</v>
      </c>
      <c r="RS1">
        <f ca="1">1</f>
        <v>1</v>
      </c>
      <c r="RT1" t="str">
        <f ca="1">"push"</f>
        <v>push</v>
      </c>
      <c r="RU1">
        <f ca="1">59</f>
        <v>59</v>
      </c>
      <c r="RV1" t="str">
        <f ca="1">"writeheap"</f>
        <v>writeheap</v>
      </c>
      <c r="RW1" t="str">
        <f ca="1">""</f>
        <v/>
      </c>
      <c r="RX1" t="str">
        <f ca="1">"load"</f>
        <v>load</v>
      </c>
      <c r="RY1">
        <f ca="1">1</f>
        <v>1</v>
      </c>
      <c r="RZ1" t="str">
        <f ca="1">"newheap"</f>
        <v>newheap</v>
      </c>
      <c r="SA1" t="str">
        <f ca="1">""</f>
        <v/>
      </c>
      <c r="SB1" t="str">
        <f ca="1">"push"</f>
        <v>push</v>
      </c>
      <c r="SC1" t="str">
        <f ca="1">"endArr"</f>
        <v>endArr</v>
      </c>
      <c r="SD1" t="str">
        <f ca="1">"writeheap"</f>
        <v>writeheap</v>
      </c>
      <c r="SE1" t="str">
        <f ca="1">""</f>
        <v/>
      </c>
      <c r="SF1" t="str">
        <f ca="1">"pop"</f>
        <v>pop</v>
      </c>
      <c r="SG1" t="str">
        <f ca="1">""</f>
        <v/>
      </c>
      <c r="SH1" t="str">
        <f ca="1">"push"</f>
        <v>push</v>
      </c>
      <c r="SI1">
        <f ca="1">4</f>
        <v>4</v>
      </c>
      <c r="SJ1" t="str">
        <f ca="1">"load"</f>
        <v>load</v>
      </c>
      <c r="SK1">
        <f ca="1">1</f>
        <v>1</v>
      </c>
      <c r="SL1" t="str">
        <f ca="1">"store"</f>
        <v>store</v>
      </c>
      <c r="SM1" t="str">
        <f ca="1">"G"</f>
        <v>G</v>
      </c>
      <c r="SN1" t="str">
        <f ca="1">"load"</f>
        <v>load</v>
      </c>
      <c r="SO1">
        <f ca="1">2</f>
        <v>2</v>
      </c>
      <c r="SP1" t="str">
        <f ca="1">"push"</f>
        <v>push</v>
      </c>
      <c r="SQ1">
        <f ca="1">1</f>
        <v>1</v>
      </c>
      <c r="SR1" t="str">
        <f ca="1">"add"</f>
        <v>add</v>
      </c>
      <c r="SS1" t="str">
        <f ca="1">""</f>
        <v/>
      </c>
      <c r="ST1" t="str">
        <f ca="1">"store"</f>
        <v>store</v>
      </c>
      <c r="SU1" t="str">
        <f ca="1">"G"</f>
        <v>G</v>
      </c>
      <c r="SV1" t="str">
        <f ca="1">"load"</f>
        <v>load</v>
      </c>
      <c r="SW1">
        <f ca="1">2</f>
        <v>2</v>
      </c>
      <c r="SX1" t="str">
        <f ca="1">"getheap"</f>
        <v>getheap</v>
      </c>
      <c r="SY1" t="str">
        <f ca="1">""</f>
        <v/>
      </c>
      <c r="SZ1" t="str">
        <f ca="1">"push"</f>
        <v>push</v>
      </c>
      <c r="TA1" t="str">
        <f ca="1">"endArr"</f>
        <v>endArr</v>
      </c>
      <c r="TB1" t="str">
        <f ca="1">"equals"</f>
        <v>equals</v>
      </c>
      <c r="TC1" t="str">
        <f ca="1">""</f>
        <v/>
      </c>
      <c r="TD1" t="str">
        <f ca="1">"gotoiftrue"</f>
        <v>gotoiftrue</v>
      </c>
      <c r="TE1">
        <f ca="1">270</f>
        <v>270</v>
      </c>
      <c r="TF1" t="str">
        <f ca="1">"load"</f>
        <v>load</v>
      </c>
      <c r="TG1">
        <f ca="1">2</f>
        <v>2</v>
      </c>
      <c r="TH1" t="str">
        <f ca="1">"getheap"</f>
        <v>getheap</v>
      </c>
      <c r="TI1" t="str">
        <f ca="1">""</f>
        <v/>
      </c>
      <c r="TJ1" t="str">
        <f ca="1">"load"</f>
        <v>load</v>
      </c>
      <c r="TK1">
        <f ca="1">2</f>
        <v>2</v>
      </c>
      <c r="TL1" t="str">
        <f ca="1">"push"</f>
        <v>push</v>
      </c>
      <c r="TM1">
        <f ca="1">1</f>
        <v>1</v>
      </c>
      <c r="TN1" t="str">
        <f ca="1">"add"</f>
        <v>add</v>
      </c>
      <c r="TO1" t="str">
        <f ca="1">""</f>
        <v/>
      </c>
      <c r="TP1" t="str">
        <f ca="1">"popv"</f>
        <v>popv</v>
      </c>
      <c r="TQ1" t="str">
        <f ca="1">"G"</f>
        <v>G</v>
      </c>
      <c r="TR1" t="str">
        <f ca="1">"store"</f>
        <v>store</v>
      </c>
      <c r="TS1" t="str">
        <f ca="1">"G"</f>
        <v>G</v>
      </c>
      <c r="TT1" t="str">
        <f ca="1">"goto"</f>
        <v>goto</v>
      </c>
      <c r="TU1">
        <f ca="1">257</f>
        <v>257</v>
      </c>
      <c r="TV1" t="str">
        <f ca="1">"popv"</f>
        <v>popv</v>
      </c>
      <c r="TW1" t="str">
        <f ca="1">"G"</f>
        <v>G</v>
      </c>
      <c r="TX1" t="str">
        <f ca="1">"load"</f>
        <v>load</v>
      </c>
      <c r="TY1">
        <f ca="1">2</f>
        <v>2</v>
      </c>
      <c r="TZ1" t="str">
        <f ca="1">"getheap"</f>
        <v>getheap</v>
      </c>
      <c r="UA1" t="str">
        <f ca="1">""</f>
        <v/>
      </c>
      <c r="UB1" t="str">
        <f ca="1">"call"</f>
        <v>call</v>
      </c>
      <c r="UC1" t="str">
        <f ca="1">""</f>
        <v/>
      </c>
      <c r="UD1" t="str">
        <f ca="1">"popv"</f>
        <v>popv</v>
      </c>
      <c r="UE1" t="str">
        <f ca="1">"G"</f>
        <v>G</v>
      </c>
      <c r="UF1" t="str">
        <f ca="1">"goto"</f>
        <v>goto</v>
      </c>
      <c r="UG1">
        <f ca="1">275</f>
        <v>275</v>
      </c>
    </row>
    <row r="2" spans="1:553" x14ac:dyDescent="0.25">
      <c r="A2" t="e">
        <f ca="1">INDEX(A4:A63,A3)</f>
        <v>#VALUE!</v>
      </c>
      <c r="B2" t="e">
        <f ca="1">INDEX(B4:B63,B3)</f>
        <v>#VALUE!</v>
      </c>
      <c r="C2" t="e">
        <f ca="1">INDEX(C4:C63,C3)</f>
        <v>#VALUE!</v>
      </c>
      <c r="D2" t="e">
        <f ca="1">INDEX(D4:D63,D3)</f>
        <v>#VALUE!</v>
      </c>
      <c r="E2" t="e">
        <f ca="1">INDEX(E4:E63,E3)</f>
        <v>#VALUE!</v>
      </c>
      <c r="F2" t="e">
        <f ca="1">INDEX(F4:F63,F3)</f>
        <v>#VALUE!</v>
      </c>
      <c r="G2" t="e">
        <f ca="1">INDEX(G4:G63,G3)</f>
        <v>#VALUE!</v>
      </c>
      <c r="H2" t="e">
        <f ca="1">INDEX(H4:H63,H3)</f>
        <v>#VALUE!</v>
      </c>
    </row>
    <row r="3" spans="1:553" x14ac:dyDescent="0.25">
      <c r="A3" t="e">
        <f ca="1">IF((A1)=(2),1,(A3)+(IF(("call")=(INDEX(B1:XFD1,(A2)+(0))),1,IF(("return")=(INDEX(B1:XFD1,(A2)+(0))),-1,0))))</f>
        <v>#VALUE!</v>
      </c>
      <c r="B3" t="e">
        <f ca="1">IF((A1)=(2),1,(B3)+(IF(("push")=(INDEX(B1:XFD1,(A2)+(0))),1,IF(("pop")=(INDEX(B1:XFD1,(A2)+(0))),-1,IF(("load")=(INDEX(B1:XFD1,(A2)+(0))),1,IF(("store")=(INDEX(B1:XFD1,(A2)+(0))),-1,IF(("call")=(INDEX(B1:XFD1,(A2)+(0))),-1,IF(("newheap")=(INDEX(B1:XFD1,(A2)+(0))),1,IF(("writeheap")=(INDEX(B1:XFD1,(A2)+(0))),-2,IF(("inputline")=(INDEX(B1:XFD1,(A2)+(0))),1,IF(("outputline")=(INDEX(B1:XFD1,(A2)+(0))),-1,IF(("gotoiftrue")=(INDEX(B1:XFD1,(A2)+(0))),-1,IF(("add")=(INDEX(B1:XFD1,(A2)+(0))),-1,IF(("equals")=(INDEX(B1:XFD1,(A2)+(0))),-1,IF(("leq")=(INDEX(B1:XFD1,(A2)+(0))),-1,0)))))))))))))))</f>
        <v>#VALUE!</v>
      </c>
      <c r="C3" t="e">
        <f ca="1">IF((A1)=(2),1,(C3)+(IF(("newheap")=(INDEX(B1:XFD1,(A2)+(0))),1,0)))</f>
        <v>#VALUE!</v>
      </c>
      <c r="D3" t="e">
        <f ca="1">IF((A1)=(2),1,(D3)+(IF(("inputline")=(INDEX(B1:XFD1,(A2)+(0))),1,0)))</f>
        <v>#VALUE!</v>
      </c>
      <c r="E3" t="e">
        <f ca="1">IF((A1)=(2),1,(E3)+(IF(("outputline")=(INDEX(B1:XFD1,(A2)+(0))),1,0)))</f>
        <v>#VALUE!</v>
      </c>
      <c r="F3" t="e">
        <f ca="1">IF((A1)=(2),1,(F3)+(IF(IF((INDEX(B1:XFD1,(A2)+(0)))=("store"),(INDEX(B1:XFD1,(A2)+(1)))=("F"),"false"),1,IF(IF((INDEX(B1:XFD1,(A2)+(0)))=("popv"),(INDEX(B1:XFD1,(A2)+(1)))=("F"),"false"),-1,0))))</f>
        <v>#VALUE!</v>
      </c>
      <c r="G3" t="e">
        <f ca="1">IF((A1)=(2),1,(G3)+(IF(IF((INDEX(B1:XFD1,(A2)+(0)))=("store"),(INDEX(B1:XFD1,(A2)+(1)))=("G"),"false"),1,IF(IF((INDEX(B1:XFD1,(A2)+(0)))=("popv"),(INDEX(B1:XFD1,(A2)+(1)))=("G"),"false"),-1,0))))</f>
        <v>#VALUE!</v>
      </c>
      <c r="H3" t="e">
        <f ca="1">IF((A1)=(2),1,(H3)+(IF(IF((INDEX(B1:XFD1,(A2)+(0)))=("store"),(INDEX(B1:XFD1,(A2)+(1)))=("H"),"false"),1,IF(IF((INDEX(B1:XFD1,(A2)+(0)))=("popv"),(INDEX(B1:XFD1,(A2)+(1)))=("H"),"false"),-1,0))))</f>
        <v>#VALUE!</v>
      </c>
    </row>
    <row r="4" spans="1:553" x14ac:dyDescent="0.25">
      <c r="A4" t="e">
        <f ca="1">IF((A1)=(2),1,IF((1)=(A3),IF(("call")=(INDEX(B1:XFD1,(A2)+(0))),((B2)*(2))+(1),IF(("goto")=(INDEX(B1:XFD1,(A2)+(0))),((INDEX(B1:XFD1,(A2)+(1)))*(2))+(1),IF(("gotoiftrue")=(INDEX(B1:XFD1,(A2)+(0))),IF(B2,((INDEX(B1:XFD1,(A2)+(1)))*(2))+(1),(A4)+(2)),(A4)+(2)))),A4))</f>
        <v>#VALUE!</v>
      </c>
      <c r="B4" t="e">
        <f ca="1">IF((A1)=(2),1,IF((1)=(B3),IF(("push")=(INDEX(B1:XFD1,(A2)+(0))),INDEX(B1:XFD1,(A2)+(1)),IF(("load")=(INDEX(B1:XFD1,(A2)+(0))),INDEX(F2:XFD2,INDEX(B1:XFD1,(A2)+(1))),IF(("newheap")=(INDEX(B1:XFD1,(A2)+(0))),(C3)-(2),IF(("getheap")=(INDEX(B1:XFD1,(A2)+(0))),INDEX(C4:C54,(B4)+(1)),IF(("add")=(INDEX(B1:XFD1,(A2)+(0))),(INDEX(B4:B54,(B3)+(1)))+(B4),IF(("equals")=(INDEX(B1:XFD1,(A2)+(0))),(INDEX(B4:B54,(B3)+(1)))=(B4),IF(("leq")=(INDEX(B1:XFD1,(A2)+(0))),(INDEX(B4:B54,(B3)+(1)))&lt;=(B4),B4))))))),B4))</f>
        <v>#VALUE!</v>
      </c>
      <c r="C4" t="e">
        <f ca="1">IF((A1)=(2),1,IF(AND((INDEX(B1:XFD1,(A2)+(0)))=("writeheap"),(INDEX(B4:B54,(B3)+(1)))=(0)),INDEX(B4:B54,(B3)+(2)),IF((A1)=(2),1,IF((1)=(C3),C4,C4))))</f>
        <v>#VALUE!</v>
      </c>
      <c r="D4" t="e">
        <f ca="1">IF((A1)=(2),1,IF((1)=(D3),D4,D4))</f>
        <v>#VALUE!</v>
      </c>
      <c r="E4" t="e">
        <f ca="1">IF((A1)=(2),1,IF((1)=(E3),IF(("outputline")=(INDEX(B1:XFD1,(A2)+(0))),B2,E4),E4))</f>
        <v>#VALUE!</v>
      </c>
      <c r="F4" t="e">
        <f ca="1">IF((A1)=(2),1,IF((1)=(F3),IF(IF((INDEX(B1:XFD1,(A2)+(0)))=("store"),(INDEX(B1:XFD1,(A2)+(1)))=("F"),"false"),B2,F4),F4))</f>
        <v>#VALUE!</v>
      </c>
      <c r="G4" t="e">
        <f ca="1">IF((A1)=(2),1,IF((1)=(G3),IF(IF((INDEX(B1:XFD1,(A2)+(0)))=("store"),(INDEX(B1:XFD1,(A2)+(1)))=("G"),"false"),B2,G4),G4))</f>
        <v>#VALUE!</v>
      </c>
      <c r="H4" t="e">
        <f ca="1">IF((A1)=(2),1,IF((1)=(H3),IF(IF((INDEX(B1:XFD1,(A2)+(0)))=("store"),(INDEX(B1:XFD1,(A2)+(1)))=("H"),"false"),B2,H4),H4))</f>
        <v>#VALUE!</v>
      </c>
    </row>
    <row r="5" spans="1:553" x14ac:dyDescent="0.25">
      <c r="A5" t="e">
        <f ca="1">IF((A1)=(2),1,IF((2)=(A3),IF(("call")=(INDEX(B1:XFD1,(A2)+(0))),((B2)*(2))+(1),IF(("goto")=(INDEX(B1:XFD1,(A2)+(0))),((INDEX(B1:XFD1,(A2)+(1)))*(2))+(1),IF(("gotoiftrue")=(INDEX(B1:XFD1,(A2)+(0))),IF(B2,((INDEX(B1:XFD1,(A2)+(1)))*(2))+(1),(A5)+(2)),(A5)+(2)))),A5))</f>
        <v>#VALUE!</v>
      </c>
      <c r="B5" t="e">
        <f ca="1">IF((A1)=(2),1,IF((2)=(B3),IF(("push")=(INDEX(B1:XFD1,(A2)+(0))),INDEX(B1:XFD1,(A2)+(1)),IF(("load")=(INDEX(B1:XFD1,(A2)+(0))),INDEX(F2:XFD2,INDEX(B1:XFD1,(A2)+(1))),IF(("newheap")=(INDEX(B1:XFD1,(A2)+(0))),(C3)-(2),IF(("getheap")=(INDEX(B1:XFD1,(A2)+(0))),INDEX(C4:C54,(B5)+(1)),IF(("add")=(INDEX(B1:XFD1,(A2)+(0))),(INDEX(B4:B54,(B3)+(1)))+(B5),IF(("equals")=(INDEX(B1:XFD1,(A2)+(0))),(INDEX(B4:B54,(B3)+(1)))=(B5),IF(("leq")=(INDEX(B1:XFD1,(A2)+(0))),(INDEX(B4:B54,(B3)+(1)))&lt;=(B5),B5))))))),B5))</f>
        <v>#VALUE!</v>
      </c>
      <c r="C5" t="e">
        <f ca="1">IF((A1)=(2),1,IF(AND((INDEX(B1:XFD1,(A2)+(0)))=("writeheap"),(INDEX(B4:B54,(B3)+(1)))=(1)),INDEX(B4:B54,(B3)+(2)),IF((A1)=(2),1,IF((2)=(C3),C5,C5))))</f>
        <v>#VALUE!</v>
      </c>
      <c r="D5" t="e">
        <f ca="1">IF((A1)=(2),1,IF((2)=(D3),D5,D5))</f>
        <v>#VALUE!</v>
      </c>
      <c r="E5" t="e">
        <f ca="1">IF((A1)=(2),1,IF((2)=(E3),IF(("outputline")=(INDEX(B1:XFD1,(A2)+(0))),B2,E5),E5))</f>
        <v>#VALUE!</v>
      </c>
      <c r="F5" t="e">
        <f ca="1">IF((A1)=(2),1,IF((2)=(F3),IF(IF((INDEX(B1:XFD1,(A2)+(0)))=("store"),(INDEX(B1:XFD1,(A2)+(1)))=("F"),"false"),B2,F5),F5))</f>
        <v>#VALUE!</v>
      </c>
      <c r="G5" t="e">
        <f ca="1">IF((A1)=(2),1,IF((2)=(G3),IF(IF((INDEX(B1:XFD1,(A2)+(0)))=("store"),(INDEX(B1:XFD1,(A2)+(1)))=("G"),"false"),B2,G5),G5))</f>
        <v>#VALUE!</v>
      </c>
      <c r="H5" t="e">
        <f ca="1">IF((A1)=(2),1,IF((2)=(H3),IF(IF((INDEX(B1:XFD1,(A2)+(0)))=("store"),(INDEX(B1:XFD1,(A2)+(1)))=("H"),"false"),B2,H5),H5))</f>
        <v>#VALUE!</v>
      </c>
    </row>
    <row r="6" spans="1:553" x14ac:dyDescent="0.25">
      <c r="A6" t="e">
        <f ca="1">IF((A1)=(2),1,IF((3)=(A3),IF(("call")=(INDEX(B1:XFD1,(A2)+(0))),((B2)*(2))+(1),IF(("goto")=(INDEX(B1:XFD1,(A2)+(0))),((INDEX(B1:XFD1,(A2)+(1)))*(2))+(1),IF(("gotoiftrue")=(INDEX(B1:XFD1,(A2)+(0))),IF(B2,((INDEX(B1:XFD1,(A2)+(1)))*(2))+(1),(A6)+(2)),(A6)+(2)))),A6))</f>
        <v>#VALUE!</v>
      </c>
      <c r="B6" t="e">
        <f ca="1">IF((A1)=(2),1,IF((3)=(B3),IF(("push")=(INDEX(B1:XFD1,(A2)+(0))),INDEX(B1:XFD1,(A2)+(1)),IF(("load")=(INDEX(B1:XFD1,(A2)+(0))),INDEX(F2:XFD2,INDEX(B1:XFD1,(A2)+(1))),IF(("newheap")=(INDEX(B1:XFD1,(A2)+(0))),(C3)-(2),IF(("getheap")=(INDEX(B1:XFD1,(A2)+(0))),INDEX(C4:C54,(B6)+(1)),IF(("add")=(INDEX(B1:XFD1,(A2)+(0))),(INDEX(B4:B54,(B3)+(1)))+(B6),IF(("equals")=(INDEX(B1:XFD1,(A2)+(0))),(INDEX(B4:B54,(B3)+(1)))=(B6),IF(("leq")=(INDEX(B1:XFD1,(A2)+(0))),(INDEX(B4:B54,(B3)+(1)))&lt;=(B6),B6))))))),B6))</f>
        <v>#VALUE!</v>
      </c>
      <c r="C6" t="e">
        <f ca="1">IF((A1)=(2),1,IF(AND((INDEX(B1:XFD1,(A2)+(0)))=("writeheap"),(INDEX(B4:B54,(B3)+(1)))=(2)),INDEX(B4:B54,(B3)+(2)),IF((A1)=(2),1,IF((3)=(C3),C6,C6))))</f>
        <v>#VALUE!</v>
      </c>
      <c r="D6" t="e">
        <f ca="1">IF((A1)=(2),1,IF((3)=(D3),D6,D6))</f>
        <v>#VALUE!</v>
      </c>
      <c r="E6" t="e">
        <f ca="1">IF((A1)=(2),1,IF((3)=(E3),IF(("outputline")=(INDEX(B1:XFD1,(A2)+(0))),B2,E6),E6))</f>
        <v>#VALUE!</v>
      </c>
      <c r="F6" t="e">
        <f ca="1">IF((A1)=(2),1,IF((3)=(F3),IF(IF((INDEX(B1:XFD1,(A2)+(0)))=("store"),(INDEX(B1:XFD1,(A2)+(1)))=("F"),"false"),B2,F6),F6))</f>
        <v>#VALUE!</v>
      </c>
      <c r="G6" t="e">
        <f ca="1">IF((A1)=(2),1,IF((3)=(G3),IF(IF((INDEX(B1:XFD1,(A2)+(0)))=("store"),(INDEX(B1:XFD1,(A2)+(1)))=("G"),"false"),B2,G6),G6))</f>
        <v>#VALUE!</v>
      </c>
      <c r="H6" t="e">
        <f ca="1">IF((A1)=(2),1,IF((3)=(H3),IF(IF((INDEX(B1:XFD1,(A2)+(0)))=("store"),(INDEX(B1:XFD1,(A2)+(1)))=("H"),"false"),B2,H6),H6))</f>
        <v>#VALUE!</v>
      </c>
    </row>
    <row r="7" spans="1:553" x14ac:dyDescent="0.25">
      <c r="A7" t="e">
        <f ca="1">IF((A1)=(2),1,IF((4)=(A3),IF(("call")=(INDEX(B1:XFD1,(A2)+(0))),((B2)*(2))+(1),IF(("goto")=(INDEX(B1:XFD1,(A2)+(0))),((INDEX(B1:XFD1,(A2)+(1)))*(2))+(1),IF(("gotoiftrue")=(INDEX(B1:XFD1,(A2)+(0))),IF(B2,((INDEX(B1:XFD1,(A2)+(1)))*(2))+(1),(A7)+(2)),(A7)+(2)))),A7))</f>
        <v>#VALUE!</v>
      </c>
      <c r="B7" t="e">
        <f ca="1">IF((A1)=(2),1,IF((4)=(B3),IF(("push")=(INDEX(B1:XFD1,(A2)+(0))),INDEX(B1:XFD1,(A2)+(1)),IF(("load")=(INDEX(B1:XFD1,(A2)+(0))),INDEX(F2:XFD2,INDEX(B1:XFD1,(A2)+(1))),IF(("newheap")=(INDEX(B1:XFD1,(A2)+(0))),(C3)-(2),IF(("getheap")=(INDEX(B1:XFD1,(A2)+(0))),INDEX(C4:C54,(B7)+(1)),IF(("add")=(INDEX(B1:XFD1,(A2)+(0))),(INDEX(B4:B54,(B3)+(1)))+(B7),IF(("equals")=(INDEX(B1:XFD1,(A2)+(0))),(INDEX(B4:B54,(B3)+(1)))=(B7),IF(("leq")=(INDEX(B1:XFD1,(A2)+(0))),(INDEX(B4:B54,(B3)+(1)))&lt;=(B7),B7))))))),B7))</f>
        <v>#VALUE!</v>
      </c>
      <c r="C7" t="e">
        <f ca="1">IF((A1)=(2),1,IF(AND((INDEX(B1:XFD1,(A2)+(0)))=("writeheap"),(INDEX(B4:B54,(B3)+(1)))=(3)),INDEX(B4:B54,(B3)+(2)),IF((A1)=(2),1,IF((4)=(C3),C7,C7))))</f>
        <v>#VALUE!</v>
      </c>
      <c r="D7" t="e">
        <f ca="1">IF((A1)=(2),1,IF((4)=(D3),D7,D7))</f>
        <v>#VALUE!</v>
      </c>
      <c r="E7" t="e">
        <f ca="1">IF((A1)=(2),1,IF((4)=(E3),IF(("outputline")=(INDEX(B1:XFD1,(A2)+(0))),B2,E7),E7))</f>
        <v>#VALUE!</v>
      </c>
      <c r="F7" t="e">
        <f ca="1">IF((A1)=(2),1,IF((4)=(F3),IF(IF((INDEX(B1:XFD1,(A2)+(0)))=("store"),(INDEX(B1:XFD1,(A2)+(1)))=("F"),"false"),B2,F7),F7))</f>
        <v>#VALUE!</v>
      </c>
      <c r="G7" t="e">
        <f ca="1">IF((A1)=(2),1,IF((4)=(G3),IF(IF((INDEX(B1:XFD1,(A2)+(0)))=("store"),(INDEX(B1:XFD1,(A2)+(1)))=("G"),"false"),B2,G7),G7))</f>
        <v>#VALUE!</v>
      </c>
      <c r="H7" t="e">
        <f ca="1">IF((A1)=(2),1,IF((4)=(H3),IF(IF((INDEX(B1:XFD1,(A2)+(0)))=("store"),(INDEX(B1:XFD1,(A2)+(1)))=("H"),"false"),B2,H7),H7))</f>
        <v>#VALUE!</v>
      </c>
    </row>
    <row r="8" spans="1:553" x14ac:dyDescent="0.25">
      <c r="A8" t="e">
        <f ca="1">IF((A1)=(2),1,IF((5)=(A3),IF(("call")=(INDEX(B1:XFD1,(A2)+(0))),((B2)*(2))+(1),IF(("goto")=(INDEX(B1:XFD1,(A2)+(0))),((INDEX(B1:XFD1,(A2)+(1)))*(2))+(1),IF(("gotoiftrue")=(INDEX(B1:XFD1,(A2)+(0))),IF(B2,((INDEX(B1:XFD1,(A2)+(1)))*(2))+(1),(A8)+(2)),(A8)+(2)))),A8))</f>
        <v>#VALUE!</v>
      </c>
      <c r="B8" t="e">
        <f ca="1">IF((A1)=(2),1,IF((5)=(B3),IF(("push")=(INDEX(B1:XFD1,(A2)+(0))),INDEX(B1:XFD1,(A2)+(1)),IF(("load")=(INDEX(B1:XFD1,(A2)+(0))),INDEX(F2:XFD2,INDEX(B1:XFD1,(A2)+(1))),IF(("newheap")=(INDEX(B1:XFD1,(A2)+(0))),(C3)-(2),IF(("getheap")=(INDEX(B1:XFD1,(A2)+(0))),INDEX(C4:C54,(B8)+(1)),IF(("add")=(INDEX(B1:XFD1,(A2)+(0))),(INDEX(B4:B54,(B3)+(1)))+(B8),IF(("equals")=(INDEX(B1:XFD1,(A2)+(0))),(INDEX(B4:B54,(B3)+(1)))=(B8),IF(("leq")=(INDEX(B1:XFD1,(A2)+(0))),(INDEX(B4:B54,(B3)+(1)))&lt;=(B8),B8))))))),B8))</f>
        <v>#VALUE!</v>
      </c>
      <c r="C8" t="e">
        <f ca="1">IF((A1)=(2),1,IF(AND((INDEX(B1:XFD1,(A2)+(0)))=("writeheap"),(INDEX(B4:B54,(B3)+(1)))=(4)),INDEX(B4:B54,(B3)+(2)),IF((A1)=(2),1,IF((5)=(C3),C8,C8))))</f>
        <v>#VALUE!</v>
      </c>
      <c r="D8" t="e">
        <f ca="1">IF((A1)=(2),1,IF((5)=(D3),D8,D8))</f>
        <v>#VALUE!</v>
      </c>
      <c r="E8" t="e">
        <f ca="1">IF((A1)=(2),1,IF((5)=(E3),IF(("outputline")=(INDEX(B1:XFD1,(A2)+(0))),B2,E8),E8))</f>
        <v>#VALUE!</v>
      </c>
      <c r="F8" t="e">
        <f ca="1">IF((A1)=(2),1,IF((5)=(F3),IF(IF((INDEX(B1:XFD1,(A2)+(0)))=("store"),(INDEX(B1:XFD1,(A2)+(1)))=("F"),"false"),B2,F8),F8))</f>
        <v>#VALUE!</v>
      </c>
      <c r="G8" t="e">
        <f ca="1">IF((A1)=(2),1,IF((5)=(G3),IF(IF((INDEX(B1:XFD1,(A2)+(0)))=("store"),(INDEX(B1:XFD1,(A2)+(1)))=("G"),"false"),B2,G8),G8))</f>
        <v>#VALUE!</v>
      </c>
      <c r="H8" t="e">
        <f ca="1">IF((A1)=(2),1,IF((5)=(H3),IF(IF((INDEX(B1:XFD1,(A2)+(0)))=("store"),(INDEX(B1:XFD1,(A2)+(1)))=("H"),"false"),B2,H8),H8))</f>
        <v>#VALUE!</v>
      </c>
    </row>
    <row r="9" spans="1:553" x14ac:dyDescent="0.25">
      <c r="A9" t="e">
        <f ca="1">IF((A1)=(2),1,IF((6)=(A3),IF(("call")=(INDEX(B1:XFD1,(A2)+(0))),((B2)*(2))+(1),IF(("goto")=(INDEX(B1:XFD1,(A2)+(0))),((INDEX(B1:XFD1,(A2)+(1)))*(2))+(1),IF(("gotoiftrue")=(INDEX(B1:XFD1,(A2)+(0))),IF(B2,((INDEX(B1:XFD1,(A2)+(1)))*(2))+(1),(A9)+(2)),(A9)+(2)))),A9))</f>
        <v>#VALUE!</v>
      </c>
      <c r="B9" t="e">
        <f ca="1">IF((A1)=(2),1,IF((6)=(B3),IF(("push")=(INDEX(B1:XFD1,(A2)+(0))),INDEX(B1:XFD1,(A2)+(1)),IF(("load")=(INDEX(B1:XFD1,(A2)+(0))),INDEX(F2:XFD2,INDEX(B1:XFD1,(A2)+(1))),IF(("newheap")=(INDEX(B1:XFD1,(A2)+(0))),(C3)-(2),IF(("getheap")=(INDEX(B1:XFD1,(A2)+(0))),INDEX(C4:C54,(B9)+(1)),IF(("add")=(INDEX(B1:XFD1,(A2)+(0))),(INDEX(B4:B54,(B3)+(1)))+(B9),IF(("equals")=(INDEX(B1:XFD1,(A2)+(0))),(INDEX(B4:B54,(B3)+(1)))=(B9),IF(("leq")=(INDEX(B1:XFD1,(A2)+(0))),(INDEX(B4:B54,(B3)+(1)))&lt;=(B9),B9))))))),B9))</f>
        <v>#VALUE!</v>
      </c>
      <c r="C9" t="e">
        <f ca="1">IF((A1)=(2),1,IF(AND((INDEX(B1:XFD1,(A2)+(0)))=("writeheap"),(INDEX(B4:B54,(B3)+(1)))=(5)),INDEX(B4:B54,(B3)+(2)),IF((A1)=(2),1,IF((6)=(C3),C9,C9))))</f>
        <v>#VALUE!</v>
      </c>
      <c r="D9" t="e">
        <f ca="1">IF((A1)=(2),1,IF((6)=(D3),D9,D9))</f>
        <v>#VALUE!</v>
      </c>
      <c r="E9" t="e">
        <f ca="1">IF((A1)=(2),1,IF((6)=(E3),IF(("outputline")=(INDEX(B1:XFD1,(A2)+(0))),B2,E9),E9))</f>
        <v>#VALUE!</v>
      </c>
      <c r="F9" t="e">
        <f ca="1">IF((A1)=(2),1,IF((6)=(F3),IF(IF((INDEX(B1:XFD1,(A2)+(0)))=("store"),(INDEX(B1:XFD1,(A2)+(1)))=("F"),"false"),B2,F9),F9))</f>
        <v>#VALUE!</v>
      </c>
      <c r="G9" t="e">
        <f ca="1">IF((A1)=(2),1,IF((6)=(G3),IF(IF((INDEX(B1:XFD1,(A2)+(0)))=("store"),(INDEX(B1:XFD1,(A2)+(1)))=("G"),"false"),B2,G9),G9))</f>
        <v>#VALUE!</v>
      </c>
      <c r="H9" t="e">
        <f ca="1">IF((A1)=(2),1,IF((6)=(H3),IF(IF((INDEX(B1:XFD1,(A2)+(0)))=("store"),(INDEX(B1:XFD1,(A2)+(1)))=("H"),"false"),B2,H9),H9))</f>
        <v>#VALUE!</v>
      </c>
    </row>
    <row r="10" spans="1:553" x14ac:dyDescent="0.25">
      <c r="A10" t="e">
        <f ca="1">IF((A1)=(2),1,IF((7)=(A3),IF(("call")=(INDEX(B1:XFD1,(A2)+(0))),((B2)*(2))+(1),IF(("goto")=(INDEX(B1:XFD1,(A2)+(0))),((INDEX(B1:XFD1,(A2)+(1)))*(2))+(1),IF(("gotoiftrue")=(INDEX(B1:XFD1,(A2)+(0))),IF(B2,((INDEX(B1:XFD1,(A2)+(1)))*(2))+(1),(A10)+(2)),(A10)+(2)))),A10))</f>
        <v>#VALUE!</v>
      </c>
      <c r="B10" t="e">
        <f ca="1">IF((A1)=(2),1,IF((7)=(B3),IF(("push")=(INDEX(B1:XFD1,(A2)+(0))),INDEX(B1:XFD1,(A2)+(1)),IF(("load")=(INDEX(B1:XFD1,(A2)+(0))),INDEX(F2:XFD2,INDEX(B1:XFD1,(A2)+(1))),IF(("newheap")=(INDEX(B1:XFD1,(A2)+(0))),(C3)-(2),IF(("getheap")=(INDEX(B1:XFD1,(A2)+(0))),INDEX(C4:C54,(B10)+(1)),IF(("add")=(INDEX(B1:XFD1,(A2)+(0))),(INDEX(B4:B54,(B3)+(1)))+(B10),IF(("equals")=(INDEX(B1:XFD1,(A2)+(0))),(INDEX(B4:B54,(B3)+(1)))=(B10),IF(("leq")=(INDEX(B1:XFD1,(A2)+(0))),(INDEX(B4:B54,(B3)+(1)))&lt;=(B10),B10))))))),B10))</f>
        <v>#VALUE!</v>
      </c>
      <c r="C10" t="e">
        <f ca="1">IF((A1)=(2),1,IF(AND((INDEX(B1:XFD1,(A2)+(0)))=("writeheap"),(INDEX(B4:B54,(B3)+(1)))=(6)),INDEX(B4:B54,(B3)+(2)),IF((A1)=(2),1,IF((7)=(C3),C10,C10))))</f>
        <v>#VALUE!</v>
      </c>
      <c r="D10" t="e">
        <f ca="1">IF((A1)=(2),1,IF((7)=(D3),D10,D10))</f>
        <v>#VALUE!</v>
      </c>
      <c r="E10" t="e">
        <f ca="1">IF((A1)=(2),1,IF((7)=(E3),IF(("outputline")=(INDEX(B1:XFD1,(A2)+(0))),B2,E10),E10))</f>
        <v>#VALUE!</v>
      </c>
      <c r="F10" t="e">
        <f ca="1">IF((A1)=(2),1,IF((7)=(F3),IF(IF((INDEX(B1:XFD1,(A2)+(0)))=("store"),(INDEX(B1:XFD1,(A2)+(1)))=("F"),"false"),B2,F10),F10))</f>
        <v>#VALUE!</v>
      </c>
      <c r="G10" t="e">
        <f ca="1">IF((A1)=(2),1,IF((7)=(G3),IF(IF((INDEX(B1:XFD1,(A2)+(0)))=("store"),(INDEX(B1:XFD1,(A2)+(1)))=("G"),"false"),B2,G10),G10))</f>
        <v>#VALUE!</v>
      </c>
      <c r="H10" t="e">
        <f ca="1">IF((A1)=(2),1,IF((7)=(H3),IF(IF((INDEX(B1:XFD1,(A2)+(0)))=("store"),(INDEX(B1:XFD1,(A2)+(1)))=("H"),"false"),B2,H10),H10))</f>
        <v>#VALUE!</v>
      </c>
    </row>
    <row r="11" spans="1:553" x14ac:dyDescent="0.25">
      <c r="A11" t="e">
        <f ca="1">IF((A1)=(2),1,IF((8)=(A3),IF(("call")=(INDEX(B1:XFD1,(A2)+(0))),((B2)*(2))+(1),IF(("goto")=(INDEX(B1:XFD1,(A2)+(0))),((INDEX(B1:XFD1,(A2)+(1)))*(2))+(1),IF(("gotoiftrue")=(INDEX(B1:XFD1,(A2)+(0))),IF(B2,((INDEX(B1:XFD1,(A2)+(1)))*(2))+(1),(A11)+(2)),(A11)+(2)))),A11))</f>
        <v>#VALUE!</v>
      </c>
      <c r="B11" t="e">
        <f ca="1">IF((A1)=(2),1,IF((8)=(B3),IF(("push")=(INDEX(B1:XFD1,(A2)+(0))),INDEX(B1:XFD1,(A2)+(1)),IF(("load")=(INDEX(B1:XFD1,(A2)+(0))),INDEX(F2:XFD2,INDEX(B1:XFD1,(A2)+(1))),IF(("newheap")=(INDEX(B1:XFD1,(A2)+(0))),(C3)-(2),IF(("getheap")=(INDEX(B1:XFD1,(A2)+(0))),INDEX(C4:C54,(B11)+(1)),IF(("add")=(INDEX(B1:XFD1,(A2)+(0))),(INDEX(B4:B54,(B3)+(1)))+(B11),IF(("equals")=(INDEX(B1:XFD1,(A2)+(0))),(INDEX(B4:B54,(B3)+(1)))=(B11),IF(("leq")=(INDEX(B1:XFD1,(A2)+(0))),(INDEX(B4:B54,(B3)+(1)))&lt;=(B11),B11))))))),B11))</f>
        <v>#VALUE!</v>
      </c>
      <c r="C11" t="e">
        <f ca="1">IF((A1)=(2),1,IF(AND((INDEX(B1:XFD1,(A2)+(0)))=("writeheap"),(INDEX(B4:B54,(B3)+(1)))=(7)),INDEX(B4:B54,(B3)+(2)),IF((A1)=(2),1,IF((8)=(C3),C11,C11))))</f>
        <v>#VALUE!</v>
      </c>
      <c r="D11" t="e">
        <f ca="1">IF((A1)=(2),1,IF((8)=(D3),D11,D11))</f>
        <v>#VALUE!</v>
      </c>
      <c r="E11" t="e">
        <f ca="1">IF((A1)=(2),1,IF((8)=(E3),IF(("outputline")=(INDEX(B1:XFD1,(A2)+(0))),B2,E11),E11))</f>
        <v>#VALUE!</v>
      </c>
      <c r="F11" t="e">
        <f ca="1">IF((A1)=(2),1,IF((8)=(F3),IF(IF((INDEX(B1:XFD1,(A2)+(0)))=("store"),(INDEX(B1:XFD1,(A2)+(1)))=("F"),"false"),B2,F11),F11))</f>
        <v>#VALUE!</v>
      </c>
      <c r="G11" t="e">
        <f ca="1">IF((A1)=(2),1,IF((8)=(G3),IF(IF((INDEX(B1:XFD1,(A2)+(0)))=("store"),(INDEX(B1:XFD1,(A2)+(1)))=("G"),"false"),B2,G11),G11))</f>
        <v>#VALUE!</v>
      </c>
      <c r="H11" t="e">
        <f ca="1">IF((A1)=(2),1,IF((8)=(H3),IF(IF((INDEX(B1:XFD1,(A2)+(0)))=("store"),(INDEX(B1:XFD1,(A2)+(1)))=("H"),"false"),B2,H11),H11))</f>
        <v>#VALUE!</v>
      </c>
    </row>
    <row r="12" spans="1:553" x14ac:dyDescent="0.25">
      <c r="A12" t="e">
        <f ca="1">IF((A1)=(2),1,IF((9)=(A3),IF(("call")=(INDEX(B1:XFD1,(A2)+(0))),((B2)*(2))+(1),IF(("goto")=(INDEX(B1:XFD1,(A2)+(0))),((INDEX(B1:XFD1,(A2)+(1)))*(2))+(1),IF(("gotoiftrue")=(INDEX(B1:XFD1,(A2)+(0))),IF(B2,((INDEX(B1:XFD1,(A2)+(1)))*(2))+(1),(A12)+(2)),(A12)+(2)))),A12))</f>
        <v>#VALUE!</v>
      </c>
      <c r="B12" t="e">
        <f ca="1">IF((A1)=(2),1,IF((9)=(B3),IF(("push")=(INDEX(B1:XFD1,(A2)+(0))),INDEX(B1:XFD1,(A2)+(1)),IF(("load")=(INDEX(B1:XFD1,(A2)+(0))),INDEX(F2:XFD2,INDEX(B1:XFD1,(A2)+(1))),IF(("newheap")=(INDEX(B1:XFD1,(A2)+(0))),(C3)-(2),IF(("getheap")=(INDEX(B1:XFD1,(A2)+(0))),INDEX(C4:C54,(B12)+(1)),IF(("add")=(INDEX(B1:XFD1,(A2)+(0))),(INDEX(B4:B54,(B3)+(1)))+(B12),IF(("equals")=(INDEX(B1:XFD1,(A2)+(0))),(INDEX(B4:B54,(B3)+(1)))=(B12),IF(("leq")=(INDEX(B1:XFD1,(A2)+(0))),(INDEX(B4:B54,(B3)+(1)))&lt;=(B12),B12))))))),B12))</f>
        <v>#VALUE!</v>
      </c>
      <c r="C12" t="e">
        <f ca="1">IF((A1)=(2),1,IF(AND((INDEX(B1:XFD1,(A2)+(0)))=("writeheap"),(INDEX(B4:B54,(B3)+(1)))=(8)),INDEX(B4:B54,(B3)+(2)),IF((A1)=(2),1,IF((9)=(C3),C12,C12))))</f>
        <v>#VALUE!</v>
      </c>
      <c r="D12" t="e">
        <f ca="1">IF((A1)=(2),1,IF((9)=(D3),D12,D12))</f>
        <v>#VALUE!</v>
      </c>
      <c r="E12" t="e">
        <f ca="1">IF((A1)=(2),1,IF((9)=(E3),IF(("outputline")=(INDEX(B1:XFD1,(A2)+(0))),B2,E12),E12))</f>
        <v>#VALUE!</v>
      </c>
      <c r="F12" t="e">
        <f ca="1">IF((A1)=(2),1,IF((9)=(F3),IF(IF((INDEX(B1:XFD1,(A2)+(0)))=("store"),(INDEX(B1:XFD1,(A2)+(1)))=("F"),"false"),B2,F12),F12))</f>
        <v>#VALUE!</v>
      </c>
      <c r="G12" t="e">
        <f ca="1">IF((A1)=(2),1,IF((9)=(G3),IF(IF((INDEX(B1:XFD1,(A2)+(0)))=("store"),(INDEX(B1:XFD1,(A2)+(1)))=("G"),"false"),B2,G12),G12))</f>
        <v>#VALUE!</v>
      </c>
      <c r="H12" t="e">
        <f ca="1">IF((A1)=(2),1,IF((9)=(H3),IF(IF((INDEX(B1:XFD1,(A2)+(0)))=("store"),(INDEX(B1:XFD1,(A2)+(1)))=("H"),"false"),B2,H12),H12))</f>
        <v>#VALUE!</v>
      </c>
    </row>
    <row r="13" spans="1:553" x14ac:dyDescent="0.25">
      <c r="A13" t="e">
        <f ca="1">IF((A1)=(2),1,IF((10)=(A3),IF(("call")=(INDEX(B1:XFD1,(A2)+(0))),((B2)*(2))+(1),IF(("goto")=(INDEX(B1:XFD1,(A2)+(0))),((INDEX(B1:XFD1,(A2)+(1)))*(2))+(1),IF(("gotoiftrue")=(INDEX(B1:XFD1,(A2)+(0))),IF(B2,((INDEX(B1:XFD1,(A2)+(1)))*(2))+(1),(A13)+(2)),(A13)+(2)))),A13))</f>
        <v>#VALUE!</v>
      </c>
      <c r="B13" t="e">
        <f ca="1">IF((A1)=(2),1,IF((10)=(B3),IF(("push")=(INDEX(B1:XFD1,(A2)+(0))),INDEX(B1:XFD1,(A2)+(1)),IF(("load")=(INDEX(B1:XFD1,(A2)+(0))),INDEX(F2:XFD2,INDEX(B1:XFD1,(A2)+(1))),IF(("newheap")=(INDEX(B1:XFD1,(A2)+(0))),(C3)-(2),IF(("getheap")=(INDEX(B1:XFD1,(A2)+(0))),INDEX(C4:C54,(B13)+(1)),IF(("add")=(INDEX(B1:XFD1,(A2)+(0))),(INDEX(B4:B54,(B3)+(1)))+(B13),IF(("equals")=(INDEX(B1:XFD1,(A2)+(0))),(INDEX(B4:B54,(B3)+(1)))=(B13),IF(("leq")=(INDEX(B1:XFD1,(A2)+(0))),(INDEX(B4:B54,(B3)+(1)))&lt;=(B13),B13))))))),B13))</f>
        <v>#VALUE!</v>
      </c>
      <c r="C13" t="e">
        <f ca="1">IF((A1)=(2),1,IF(AND((INDEX(B1:XFD1,(A2)+(0)))=("writeheap"),(INDEX(B4:B54,(B3)+(1)))=(9)),INDEX(B4:B54,(B3)+(2)),IF((A1)=(2),1,IF((10)=(C3),C13,C13))))</f>
        <v>#VALUE!</v>
      </c>
      <c r="D13" t="e">
        <f ca="1">IF((A1)=(2),1,IF((10)=(D3),D13,D13))</f>
        <v>#VALUE!</v>
      </c>
      <c r="E13" t="e">
        <f ca="1">IF((A1)=(2),1,IF((10)=(E3),IF(("outputline")=(INDEX(B1:XFD1,(A2)+(0))),B2,E13),E13))</f>
        <v>#VALUE!</v>
      </c>
      <c r="F13" t="e">
        <f ca="1">IF((A1)=(2),1,IF((10)=(F3),IF(IF((INDEX(B1:XFD1,(A2)+(0)))=("store"),(INDEX(B1:XFD1,(A2)+(1)))=("F"),"false"),B2,F13),F13))</f>
        <v>#VALUE!</v>
      </c>
      <c r="G13" t="e">
        <f ca="1">IF((A1)=(2),1,IF((10)=(G3),IF(IF((INDEX(B1:XFD1,(A2)+(0)))=("store"),(INDEX(B1:XFD1,(A2)+(1)))=("G"),"false"),B2,G13),G13))</f>
        <v>#VALUE!</v>
      </c>
      <c r="H13" t="e">
        <f ca="1">IF((A1)=(2),1,IF((10)=(H3),IF(IF((INDEX(B1:XFD1,(A2)+(0)))=("store"),(INDEX(B1:XFD1,(A2)+(1)))=("H"),"false"),B2,H13),H13))</f>
        <v>#VALUE!</v>
      </c>
    </row>
    <row r="14" spans="1:553" x14ac:dyDescent="0.25">
      <c r="A14" t="e">
        <f ca="1">IF((A1)=(2),1,IF((11)=(A3),IF(("call")=(INDEX(B1:XFD1,(A2)+(0))),((B2)*(2))+(1),IF(("goto")=(INDEX(B1:XFD1,(A2)+(0))),((INDEX(B1:XFD1,(A2)+(1)))*(2))+(1),IF(("gotoiftrue")=(INDEX(B1:XFD1,(A2)+(0))),IF(B2,((INDEX(B1:XFD1,(A2)+(1)))*(2))+(1),(A14)+(2)),(A14)+(2)))),A14))</f>
        <v>#VALUE!</v>
      </c>
      <c r="B14" t="e">
        <f ca="1">IF((A1)=(2),1,IF((11)=(B3),IF(("push")=(INDEX(B1:XFD1,(A2)+(0))),INDEX(B1:XFD1,(A2)+(1)),IF(("load")=(INDEX(B1:XFD1,(A2)+(0))),INDEX(F2:XFD2,INDEX(B1:XFD1,(A2)+(1))),IF(("newheap")=(INDEX(B1:XFD1,(A2)+(0))),(C3)-(2),IF(("getheap")=(INDEX(B1:XFD1,(A2)+(0))),INDEX(C4:C54,(B14)+(1)),IF(("add")=(INDEX(B1:XFD1,(A2)+(0))),(INDEX(B4:B54,(B3)+(1)))+(B14),IF(("equals")=(INDEX(B1:XFD1,(A2)+(0))),(INDEX(B4:B54,(B3)+(1)))=(B14),IF(("leq")=(INDEX(B1:XFD1,(A2)+(0))),(INDEX(B4:B54,(B3)+(1)))&lt;=(B14),B14))))))),B14))</f>
        <v>#VALUE!</v>
      </c>
      <c r="C14" t="e">
        <f ca="1">IF((A1)=(2),1,IF(AND((INDEX(B1:XFD1,(A2)+(0)))=("writeheap"),(INDEX(B4:B54,(B3)+(1)))=(10)),INDEX(B4:B54,(B3)+(2)),IF((A1)=(2),1,IF((11)=(C3),C14,C14))))</f>
        <v>#VALUE!</v>
      </c>
      <c r="D14" t="e">
        <f ca="1">IF((A1)=(2),1,IF((11)=(D3),D14,D14))</f>
        <v>#VALUE!</v>
      </c>
      <c r="E14" t="e">
        <f ca="1">IF((A1)=(2),1,IF((11)=(E3),IF(("outputline")=(INDEX(B1:XFD1,(A2)+(0))),B2,E14),E14))</f>
        <v>#VALUE!</v>
      </c>
      <c r="F14" t="e">
        <f ca="1">IF((A1)=(2),1,IF((11)=(F3),IF(IF((INDEX(B1:XFD1,(A2)+(0)))=("store"),(INDEX(B1:XFD1,(A2)+(1)))=("F"),"false"),B2,F14),F14))</f>
        <v>#VALUE!</v>
      </c>
      <c r="G14" t="e">
        <f ca="1">IF((A1)=(2),1,IF((11)=(G3),IF(IF((INDEX(B1:XFD1,(A2)+(0)))=("store"),(INDEX(B1:XFD1,(A2)+(1)))=("G"),"false"),B2,G14),G14))</f>
        <v>#VALUE!</v>
      </c>
      <c r="H14" t="e">
        <f ca="1">IF((A1)=(2),1,IF((11)=(H3),IF(IF((INDEX(B1:XFD1,(A2)+(0)))=("store"),(INDEX(B1:XFD1,(A2)+(1)))=("H"),"false"),B2,H14),H14))</f>
        <v>#VALUE!</v>
      </c>
    </row>
    <row r="15" spans="1:553" x14ac:dyDescent="0.25">
      <c r="A15" t="e">
        <f ca="1">IF((A1)=(2),1,IF((12)=(A3),IF(("call")=(INDEX(B1:XFD1,(A2)+(0))),((B2)*(2))+(1),IF(("goto")=(INDEX(B1:XFD1,(A2)+(0))),((INDEX(B1:XFD1,(A2)+(1)))*(2))+(1),IF(("gotoiftrue")=(INDEX(B1:XFD1,(A2)+(0))),IF(B2,((INDEX(B1:XFD1,(A2)+(1)))*(2))+(1),(A15)+(2)),(A15)+(2)))),A15))</f>
        <v>#VALUE!</v>
      </c>
      <c r="B15" t="e">
        <f ca="1">IF((A1)=(2),1,IF((12)=(B3),IF(("push")=(INDEX(B1:XFD1,(A2)+(0))),INDEX(B1:XFD1,(A2)+(1)),IF(("load")=(INDEX(B1:XFD1,(A2)+(0))),INDEX(F2:XFD2,INDEX(B1:XFD1,(A2)+(1))),IF(("newheap")=(INDEX(B1:XFD1,(A2)+(0))),(C3)-(2),IF(("getheap")=(INDEX(B1:XFD1,(A2)+(0))),INDEX(C4:C54,(B15)+(1)),IF(("add")=(INDEX(B1:XFD1,(A2)+(0))),(INDEX(B4:B54,(B3)+(1)))+(B15),IF(("equals")=(INDEX(B1:XFD1,(A2)+(0))),(INDEX(B4:B54,(B3)+(1)))=(B15),IF(("leq")=(INDEX(B1:XFD1,(A2)+(0))),(INDEX(B4:B54,(B3)+(1)))&lt;=(B15),B15))))))),B15))</f>
        <v>#VALUE!</v>
      </c>
      <c r="C15" t="e">
        <f ca="1">IF((A1)=(2),1,IF(AND((INDEX(B1:XFD1,(A2)+(0)))=("writeheap"),(INDEX(B4:B54,(B3)+(1)))=(11)),INDEX(B4:B54,(B3)+(2)),IF((A1)=(2),1,IF((12)=(C3),C15,C15))))</f>
        <v>#VALUE!</v>
      </c>
      <c r="D15" t="e">
        <f ca="1">IF((A1)=(2),1,IF((12)=(D3),D15,D15))</f>
        <v>#VALUE!</v>
      </c>
      <c r="E15" t="e">
        <f ca="1">IF((A1)=(2),1,IF((12)=(E3),IF(("outputline")=(INDEX(B1:XFD1,(A2)+(0))),B2,E15),E15))</f>
        <v>#VALUE!</v>
      </c>
      <c r="F15" t="e">
        <f ca="1">IF((A1)=(2),1,IF((12)=(F3),IF(IF((INDEX(B1:XFD1,(A2)+(0)))=("store"),(INDEX(B1:XFD1,(A2)+(1)))=("F"),"false"),B2,F15),F15))</f>
        <v>#VALUE!</v>
      </c>
      <c r="G15" t="e">
        <f ca="1">IF((A1)=(2),1,IF((12)=(G3),IF(IF((INDEX(B1:XFD1,(A2)+(0)))=("store"),(INDEX(B1:XFD1,(A2)+(1)))=("G"),"false"),B2,G15),G15))</f>
        <v>#VALUE!</v>
      </c>
      <c r="H15" t="e">
        <f ca="1">IF((A1)=(2),1,IF((12)=(H3),IF(IF((INDEX(B1:XFD1,(A2)+(0)))=("store"),(INDEX(B1:XFD1,(A2)+(1)))=("H"),"false"),B2,H15),H15))</f>
        <v>#VALUE!</v>
      </c>
    </row>
    <row r="16" spans="1:553" x14ac:dyDescent="0.25">
      <c r="A16" t="e">
        <f ca="1">IF((A1)=(2),1,IF((13)=(A3),IF(("call")=(INDEX(B1:XFD1,(A2)+(0))),((B2)*(2))+(1),IF(("goto")=(INDEX(B1:XFD1,(A2)+(0))),((INDEX(B1:XFD1,(A2)+(1)))*(2))+(1),IF(("gotoiftrue")=(INDEX(B1:XFD1,(A2)+(0))),IF(B2,((INDEX(B1:XFD1,(A2)+(1)))*(2))+(1),(A16)+(2)),(A16)+(2)))),A16))</f>
        <v>#VALUE!</v>
      </c>
      <c r="B16" t="e">
        <f ca="1">IF((A1)=(2),1,IF((13)=(B3),IF(("push")=(INDEX(B1:XFD1,(A2)+(0))),INDEX(B1:XFD1,(A2)+(1)),IF(("load")=(INDEX(B1:XFD1,(A2)+(0))),INDEX(F2:XFD2,INDEX(B1:XFD1,(A2)+(1))),IF(("newheap")=(INDEX(B1:XFD1,(A2)+(0))),(C3)-(2),IF(("getheap")=(INDEX(B1:XFD1,(A2)+(0))),INDEX(C4:C54,(B16)+(1)),IF(("add")=(INDEX(B1:XFD1,(A2)+(0))),(INDEX(B4:B54,(B3)+(1)))+(B16),IF(("equals")=(INDEX(B1:XFD1,(A2)+(0))),(INDEX(B4:B54,(B3)+(1)))=(B16),IF(("leq")=(INDEX(B1:XFD1,(A2)+(0))),(INDEX(B4:B54,(B3)+(1)))&lt;=(B16),B16))))))),B16))</f>
        <v>#VALUE!</v>
      </c>
      <c r="C16" t="e">
        <f ca="1">IF((A1)=(2),1,IF(AND((INDEX(B1:XFD1,(A2)+(0)))=("writeheap"),(INDEX(B4:B54,(B3)+(1)))=(12)),INDEX(B4:B54,(B3)+(2)),IF((A1)=(2),1,IF((13)=(C3),C16,C16))))</f>
        <v>#VALUE!</v>
      </c>
      <c r="D16" t="e">
        <f ca="1">IF((A1)=(2),1,IF((13)=(D3),D16,D16))</f>
        <v>#VALUE!</v>
      </c>
      <c r="E16" t="e">
        <f ca="1">IF((A1)=(2),1,IF((13)=(E3),IF(("outputline")=(INDEX(B1:XFD1,(A2)+(0))),B2,E16),E16))</f>
        <v>#VALUE!</v>
      </c>
      <c r="F16" t="e">
        <f ca="1">IF((A1)=(2),1,IF((13)=(F3),IF(IF((INDEX(B1:XFD1,(A2)+(0)))=("store"),(INDEX(B1:XFD1,(A2)+(1)))=("F"),"false"),B2,F16),F16))</f>
        <v>#VALUE!</v>
      </c>
      <c r="G16" t="e">
        <f ca="1">IF((A1)=(2),1,IF((13)=(G3),IF(IF((INDEX(B1:XFD1,(A2)+(0)))=("store"),(INDEX(B1:XFD1,(A2)+(1)))=("G"),"false"),B2,G16),G16))</f>
        <v>#VALUE!</v>
      </c>
      <c r="H16" t="e">
        <f ca="1">IF((A1)=(2),1,IF((13)=(H3),IF(IF((INDEX(B1:XFD1,(A2)+(0)))=("store"),(INDEX(B1:XFD1,(A2)+(1)))=("H"),"false"),B2,H16),H16))</f>
        <v>#VALUE!</v>
      </c>
    </row>
    <row r="17" spans="1:8" x14ac:dyDescent="0.25">
      <c r="A17" t="e">
        <f ca="1">IF((A1)=(2),1,IF((14)=(A3),IF(("call")=(INDEX(B1:XFD1,(A2)+(0))),((B2)*(2))+(1),IF(("goto")=(INDEX(B1:XFD1,(A2)+(0))),((INDEX(B1:XFD1,(A2)+(1)))*(2))+(1),IF(("gotoiftrue")=(INDEX(B1:XFD1,(A2)+(0))),IF(B2,((INDEX(B1:XFD1,(A2)+(1)))*(2))+(1),(A17)+(2)),(A17)+(2)))),A17))</f>
        <v>#VALUE!</v>
      </c>
      <c r="B17" t="e">
        <f ca="1">IF((A1)=(2),1,IF((14)=(B3),IF(("push")=(INDEX(B1:XFD1,(A2)+(0))),INDEX(B1:XFD1,(A2)+(1)),IF(("load")=(INDEX(B1:XFD1,(A2)+(0))),INDEX(F2:XFD2,INDEX(B1:XFD1,(A2)+(1))),IF(("newheap")=(INDEX(B1:XFD1,(A2)+(0))),(C3)-(2),IF(("getheap")=(INDEX(B1:XFD1,(A2)+(0))),INDEX(C4:C54,(B17)+(1)),IF(("add")=(INDEX(B1:XFD1,(A2)+(0))),(INDEX(B4:B54,(B3)+(1)))+(B17),IF(("equals")=(INDEX(B1:XFD1,(A2)+(0))),(INDEX(B4:B54,(B3)+(1)))=(B17),IF(("leq")=(INDEX(B1:XFD1,(A2)+(0))),(INDEX(B4:B54,(B3)+(1)))&lt;=(B17),B17))))))),B17))</f>
        <v>#VALUE!</v>
      </c>
      <c r="C17" t="e">
        <f ca="1">IF((A1)=(2),1,IF(AND((INDEX(B1:XFD1,(A2)+(0)))=("writeheap"),(INDEX(B4:B54,(B3)+(1)))=(13)),INDEX(B4:B54,(B3)+(2)),IF((A1)=(2),1,IF((14)=(C3),C17,C17))))</f>
        <v>#VALUE!</v>
      </c>
      <c r="D17" t="e">
        <f ca="1">IF((A1)=(2),1,IF((14)=(D3),D17,D17))</f>
        <v>#VALUE!</v>
      </c>
      <c r="E17" t="e">
        <f ca="1">IF((A1)=(2),1,IF((14)=(E3),IF(("outputline")=(INDEX(B1:XFD1,(A2)+(0))),B2,E17),E17))</f>
        <v>#VALUE!</v>
      </c>
      <c r="F17" t="e">
        <f ca="1">IF((A1)=(2),1,IF((14)=(F3),IF(IF((INDEX(B1:XFD1,(A2)+(0)))=("store"),(INDEX(B1:XFD1,(A2)+(1)))=("F"),"false"),B2,F17),F17))</f>
        <v>#VALUE!</v>
      </c>
      <c r="G17" t="e">
        <f ca="1">IF((A1)=(2),1,IF((14)=(G3),IF(IF((INDEX(B1:XFD1,(A2)+(0)))=("store"),(INDEX(B1:XFD1,(A2)+(1)))=("G"),"false"),B2,G17),G17))</f>
        <v>#VALUE!</v>
      </c>
      <c r="H17" t="e">
        <f ca="1">IF((A1)=(2),1,IF((14)=(H3),IF(IF((INDEX(B1:XFD1,(A2)+(0)))=("store"),(INDEX(B1:XFD1,(A2)+(1)))=("H"),"false"),B2,H17),H17))</f>
        <v>#VALUE!</v>
      </c>
    </row>
    <row r="18" spans="1:8" x14ac:dyDescent="0.25">
      <c r="A18" t="e">
        <f ca="1">IF((A1)=(2),1,IF((15)=(A3),IF(("call")=(INDEX(B1:XFD1,(A2)+(0))),((B2)*(2))+(1),IF(("goto")=(INDEX(B1:XFD1,(A2)+(0))),((INDEX(B1:XFD1,(A2)+(1)))*(2))+(1),IF(("gotoiftrue")=(INDEX(B1:XFD1,(A2)+(0))),IF(B2,((INDEX(B1:XFD1,(A2)+(1)))*(2))+(1),(A18)+(2)),(A18)+(2)))),A18))</f>
        <v>#VALUE!</v>
      </c>
      <c r="B18" t="e">
        <f ca="1">IF((A1)=(2),1,IF((15)=(B3),IF(("push")=(INDEX(B1:XFD1,(A2)+(0))),INDEX(B1:XFD1,(A2)+(1)),IF(("load")=(INDEX(B1:XFD1,(A2)+(0))),INDEX(F2:XFD2,INDEX(B1:XFD1,(A2)+(1))),IF(("newheap")=(INDEX(B1:XFD1,(A2)+(0))),(C3)-(2),IF(("getheap")=(INDEX(B1:XFD1,(A2)+(0))),INDEX(C4:C54,(B18)+(1)),IF(("add")=(INDEX(B1:XFD1,(A2)+(0))),(INDEX(B4:B54,(B3)+(1)))+(B18),IF(("equals")=(INDEX(B1:XFD1,(A2)+(0))),(INDEX(B4:B54,(B3)+(1)))=(B18),IF(("leq")=(INDEX(B1:XFD1,(A2)+(0))),(INDEX(B4:B54,(B3)+(1)))&lt;=(B18),B18))))))),B18))</f>
        <v>#VALUE!</v>
      </c>
      <c r="C18" t="e">
        <f ca="1">IF((A1)=(2),1,IF(AND((INDEX(B1:XFD1,(A2)+(0)))=("writeheap"),(INDEX(B4:B54,(B3)+(1)))=(14)),INDEX(B4:B54,(B3)+(2)),IF((A1)=(2),1,IF((15)=(C3),C18,C18))))</f>
        <v>#VALUE!</v>
      </c>
      <c r="D18" t="e">
        <f ca="1">IF((A1)=(2),1,IF((15)=(D3),D18,D18))</f>
        <v>#VALUE!</v>
      </c>
      <c r="E18" t="e">
        <f ca="1">IF((A1)=(2),1,IF((15)=(E3),IF(("outputline")=(INDEX(B1:XFD1,(A2)+(0))),B2,E18),E18))</f>
        <v>#VALUE!</v>
      </c>
      <c r="F18" t="e">
        <f ca="1">IF((A1)=(2),1,IF((15)=(F3),IF(IF((INDEX(B1:XFD1,(A2)+(0)))=("store"),(INDEX(B1:XFD1,(A2)+(1)))=("F"),"false"),B2,F18),F18))</f>
        <v>#VALUE!</v>
      </c>
      <c r="G18" t="e">
        <f ca="1">IF((A1)=(2),1,IF((15)=(G3),IF(IF((INDEX(B1:XFD1,(A2)+(0)))=("store"),(INDEX(B1:XFD1,(A2)+(1)))=("G"),"false"),B2,G18),G18))</f>
        <v>#VALUE!</v>
      </c>
      <c r="H18" t="e">
        <f ca="1">IF((A1)=(2),1,IF((15)=(H3),IF(IF((INDEX(B1:XFD1,(A2)+(0)))=("store"),(INDEX(B1:XFD1,(A2)+(1)))=("H"),"false"),B2,H18),H18))</f>
        <v>#VALUE!</v>
      </c>
    </row>
    <row r="19" spans="1:8" x14ac:dyDescent="0.25">
      <c r="A19" t="e">
        <f ca="1">IF((A1)=(2),1,IF((16)=(A3),IF(("call")=(INDEX(B1:XFD1,(A2)+(0))),((B2)*(2))+(1),IF(("goto")=(INDEX(B1:XFD1,(A2)+(0))),((INDEX(B1:XFD1,(A2)+(1)))*(2))+(1),IF(("gotoiftrue")=(INDEX(B1:XFD1,(A2)+(0))),IF(B2,((INDEX(B1:XFD1,(A2)+(1)))*(2))+(1),(A19)+(2)),(A19)+(2)))),A19))</f>
        <v>#VALUE!</v>
      </c>
      <c r="B19" t="e">
        <f ca="1">IF((A1)=(2),1,IF((16)=(B3),IF(("push")=(INDEX(B1:XFD1,(A2)+(0))),INDEX(B1:XFD1,(A2)+(1)),IF(("load")=(INDEX(B1:XFD1,(A2)+(0))),INDEX(F2:XFD2,INDEX(B1:XFD1,(A2)+(1))),IF(("newheap")=(INDEX(B1:XFD1,(A2)+(0))),(C3)-(2),IF(("getheap")=(INDEX(B1:XFD1,(A2)+(0))),INDEX(C4:C54,(B19)+(1)),IF(("add")=(INDEX(B1:XFD1,(A2)+(0))),(INDEX(B4:B54,(B3)+(1)))+(B19),IF(("equals")=(INDEX(B1:XFD1,(A2)+(0))),(INDEX(B4:B54,(B3)+(1)))=(B19),IF(("leq")=(INDEX(B1:XFD1,(A2)+(0))),(INDEX(B4:B54,(B3)+(1)))&lt;=(B19),B19))))))),B19))</f>
        <v>#VALUE!</v>
      </c>
      <c r="C19" t="e">
        <f ca="1">IF((A1)=(2),1,IF(AND((INDEX(B1:XFD1,(A2)+(0)))=("writeheap"),(INDEX(B4:B54,(B3)+(1)))=(15)),INDEX(B4:B54,(B3)+(2)),IF((A1)=(2),1,IF((16)=(C3),C19,C19))))</f>
        <v>#VALUE!</v>
      </c>
      <c r="D19" t="e">
        <f ca="1">IF((A1)=(2),1,IF((16)=(D3),D19,D19))</f>
        <v>#VALUE!</v>
      </c>
      <c r="E19" t="e">
        <f ca="1">IF((A1)=(2),1,IF((16)=(E3),IF(("outputline")=(INDEX(B1:XFD1,(A2)+(0))),B2,E19),E19))</f>
        <v>#VALUE!</v>
      </c>
      <c r="F19" t="e">
        <f ca="1">IF((A1)=(2),1,IF((16)=(F3),IF(IF((INDEX(B1:XFD1,(A2)+(0)))=("store"),(INDEX(B1:XFD1,(A2)+(1)))=("F"),"false"),B2,F19),F19))</f>
        <v>#VALUE!</v>
      </c>
      <c r="G19" t="e">
        <f ca="1">IF((A1)=(2),1,IF((16)=(G3),IF(IF((INDEX(B1:XFD1,(A2)+(0)))=("store"),(INDEX(B1:XFD1,(A2)+(1)))=("G"),"false"),B2,G19),G19))</f>
        <v>#VALUE!</v>
      </c>
      <c r="H19" t="e">
        <f ca="1">IF((A1)=(2),1,IF((16)=(H3),IF(IF((INDEX(B1:XFD1,(A2)+(0)))=("store"),(INDEX(B1:XFD1,(A2)+(1)))=("H"),"false"),B2,H19),H19))</f>
        <v>#VALUE!</v>
      </c>
    </row>
    <row r="20" spans="1:8" x14ac:dyDescent="0.25">
      <c r="A20" t="e">
        <f ca="1">IF((A1)=(2),1,IF((17)=(A3),IF(("call")=(INDEX(B1:XFD1,(A2)+(0))),((B2)*(2))+(1),IF(("goto")=(INDEX(B1:XFD1,(A2)+(0))),((INDEX(B1:XFD1,(A2)+(1)))*(2))+(1),IF(("gotoiftrue")=(INDEX(B1:XFD1,(A2)+(0))),IF(B2,((INDEX(B1:XFD1,(A2)+(1)))*(2))+(1),(A20)+(2)),(A20)+(2)))),A20))</f>
        <v>#VALUE!</v>
      </c>
      <c r="B20" t="e">
        <f ca="1">IF((A1)=(2),1,IF((17)=(B3),IF(("push")=(INDEX(B1:XFD1,(A2)+(0))),INDEX(B1:XFD1,(A2)+(1)),IF(("load")=(INDEX(B1:XFD1,(A2)+(0))),INDEX(F2:XFD2,INDEX(B1:XFD1,(A2)+(1))),IF(("newheap")=(INDEX(B1:XFD1,(A2)+(0))),(C3)-(2),IF(("getheap")=(INDEX(B1:XFD1,(A2)+(0))),INDEX(C4:C54,(B20)+(1)),IF(("add")=(INDEX(B1:XFD1,(A2)+(0))),(INDEX(B4:B54,(B3)+(1)))+(B20),IF(("equals")=(INDEX(B1:XFD1,(A2)+(0))),(INDEX(B4:B54,(B3)+(1)))=(B20),IF(("leq")=(INDEX(B1:XFD1,(A2)+(0))),(INDEX(B4:B54,(B3)+(1)))&lt;=(B20),B20))))))),B20))</f>
        <v>#VALUE!</v>
      </c>
      <c r="C20" t="e">
        <f ca="1">IF((A1)=(2),1,IF(AND((INDEX(B1:XFD1,(A2)+(0)))=("writeheap"),(INDEX(B4:B54,(B3)+(1)))=(16)),INDEX(B4:B54,(B3)+(2)),IF((A1)=(2),1,IF((17)=(C3),C20,C20))))</f>
        <v>#VALUE!</v>
      </c>
      <c r="D20" t="e">
        <f ca="1">IF((A1)=(2),1,IF((17)=(D3),D20,D20))</f>
        <v>#VALUE!</v>
      </c>
      <c r="E20" t="e">
        <f ca="1">IF((A1)=(2),1,IF((17)=(E3),IF(("outputline")=(INDEX(B1:XFD1,(A2)+(0))),B2,E20),E20))</f>
        <v>#VALUE!</v>
      </c>
      <c r="F20" t="e">
        <f ca="1">IF((A1)=(2),1,IF((17)=(F3),IF(IF((INDEX(B1:XFD1,(A2)+(0)))=("store"),(INDEX(B1:XFD1,(A2)+(1)))=("F"),"false"),B2,F20),F20))</f>
        <v>#VALUE!</v>
      </c>
      <c r="G20" t="e">
        <f ca="1">IF((A1)=(2),1,IF((17)=(G3),IF(IF((INDEX(B1:XFD1,(A2)+(0)))=("store"),(INDEX(B1:XFD1,(A2)+(1)))=("G"),"false"),B2,G20),G20))</f>
        <v>#VALUE!</v>
      </c>
      <c r="H20" t="e">
        <f ca="1">IF((A1)=(2),1,IF((17)=(H3),IF(IF((INDEX(B1:XFD1,(A2)+(0)))=("store"),(INDEX(B1:XFD1,(A2)+(1)))=("H"),"false"),B2,H20),H20))</f>
        <v>#VALUE!</v>
      </c>
    </row>
    <row r="21" spans="1:8" x14ac:dyDescent="0.25">
      <c r="A21" t="e">
        <f ca="1">IF((A1)=(2),1,IF((18)=(A3),IF(("call")=(INDEX(B1:XFD1,(A2)+(0))),((B2)*(2))+(1),IF(("goto")=(INDEX(B1:XFD1,(A2)+(0))),((INDEX(B1:XFD1,(A2)+(1)))*(2))+(1),IF(("gotoiftrue")=(INDEX(B1:XFD1,(A2)+(0))),IF(B2,((INDEX(B1:XFD1,(A2)+(1)))*(2))+(1),(A21)+(2)),(A21)+(2)))),A21))</f>
        <v>#VALUE!</v>
      </c>
      <c r="B21" t="e">
        <f ca="1">IF((A1)=(2),1,IF((18)=(B3),IF(("push")=(INDEX(B1:XFD1,(A2)+(0))),INDEX(B1:XFD1,(A2)+(1)),IF(("load")=(INDEX(B1:XFD1,(A2)+(0))),INDEX(F2:XFD2,INDEX(B1:XFD1,(A2)+(1))),IF(("newheap")=(INDEX(B1:XFD1,(A2)+(0))),(C3)-(2),IF(("getheap")=(INDEX(B1:XFD1,(A2)+(0))),INDEX(C4:C54,(B21)+(1)),IF(("add")=(INDEX(B1:XFD1,(A2)+(0))),(INDEX(B4:B54,(B3)+(1)))+(B21),IF(("equals")=(INDEX(B1:XFD1,(A2)+(0))),(INDEX(B4:B54,(B3)+(1)))=(B21),IF(("leq")=(INDEX(B1:XFD1,(A2)+(0))),(INDEX(B4:B54,(B3)+(1)))&lt;=(B21),B21))))))),B21))</f>
        <v>#VALUE!</v>
      </c>
      <c r="C21" t="e">
        <f ca="1">IF((A1)=(2),1,IF(AND((INDEX(B1:XFD1,(A2)+(0)))=("writeheap"),(INDEX(B4:B54,(B3)+(1)))=(17)),INDEX(B4:B54,(B3)+(2)),IF((A1)=(2),1,IF((18)=(C3),C21,C21))))</f>
        <v>#VALUE!</v>
      </c>
      <c r="D21" t="e">
        <f ca="1">IF((A1)=(2),1,IF((18)=(D3),D21,D21))</f>
        <v>#VALUE!</v>
      </c>
      <c r="E21" t="e">
        <f ca="1">IF((A1)=(2),1,IF((18)=(E3),IF(("outputline")=(INDEX(B1:XFD1,(A2)+(0))),B2,E21),E21))</f>
        <v>#VALUE!</v>
      </c>
      <c r="F21" t="e">
        <f ca="1">IF((A1)=(2),1,IF((18)=(F3),IF(IF((INDEX(B1:XFD1,(A2)+(0)))=("store"),(INDEX(B1:XFD1,(A2)+(1)))=("F"),"false"),B2,F21),F21))</f>
        <v>#VALUE!</v>
      </c>
      <c r="G21" t="e">
        <f ca="1">IF((A1)=(2),1,IF((18)=(G3),IF(IF((INDEX(B1:XFD1,(A2)+(0)))=("store"),(INDEX(B1:XFD1,(A2)+(1)))=("G"),"false"),B2,G21),G21))</f>
        <v>#VALUE!</v>
      </c>
      <c r="H21" t="e">
        <f ca="1">IF((A1)=(2),1,IF((18)=(H3),IF(IF((INDEX(B1:XFD1,(A2)+(0)))=("store"),(INDEX(B1:XFD1,(A2)+(1)))=("H"),"false"),B2,H21),H21))</f>
        <v>#VALUE!</v>
      </c>
    </row>
    <row r="22" spans="1:8" x14ac:dyDescent="0.25">
      <c r="A22" t="e">
        <f ca="1">IF((A1)=(2),1,IF((19)=(A3),IF(("call")=(INDEX(B1:XFD1,(A2)+(0))),((B2)*(2))+(1),IF(("goto")=(INDEX(B1:XFD1,(A2)+(0))),((INDEX(B1:XFD1,(A2)+(1)))*(2))+(1),IF(("gotoiftrue")=(INDEX(B1:XFD1,(A2)+(0))),IF(B2,((INDEX(B1:XFD1,(A2)+(1)))*(2))+(1),(A22)+(2)),(A22)+(2)))),A22))</f>
        <v>#VALUE!</v>
      </c>
      <c r="B22" t="e">
        <f ca="1">IF((A1)=(2),1,IF((19)=(B3),IF(("push")=(INDEX(B1:XFD1,(A2)+(0))),INDEX(B1:XFD1,(A2)+(1)),IF(("load")=(INDEX(B1:XFD1,(A2)+(0))),INDEX(F2:XFD2,INDEX(B1:XFD1,(A2)+(1))),IF(("newheap")=(INDEX(B1:XFD1,(A2)+(0))),(C3)-(2),IF(("getheap")=(INDEX(B1:XFD1,(A2)+(0))),INDEX(C4:C54,(B22)+(1)),IF(("add")=(INDEX(B1:XFD1,(A2)+(0))),(INDEX(B4:B54,(B3)+(1)))+(B22),IF(("equals")=(INDEX(B1:XFD1,(A2)+(0))),(INDEX(B4:B54,(B3)+(1)))=(B22),IF(("leq")=(INDEX(B1:XFD1,(A2)+(0))),(INDEX(B4:B54,(B3)+(1)))&lt;=(B22),B22))))))),B22))</f>
        <v>#VALUE!</v>
      </c>
      <c r="C22" t="e">
        <f ca="1">IF((A1)=(2),1,IF(AND((INDEX(B1:XFD1,(A2)+(0)))=("writeheap"),(INDEX(B4:B54,(B3)+(1)))=(18)),INDEX(B4:B54,(B3)+(2)),IF((A1)=(2),1,IF((19)=(C3),C22,C22))))</f>
        <v>#VALUE!</v>
      </c>
      <c r="D22" t="e">
        <f ca="1">IF((A1)=(2),1,IF((19)=(D3),D22,D22))</f>
        <v>#VALUE!</v>
      </c>
      <c r="E22" t="e">
        <f ca="1">IF((A1)=(2),1,IF((19)=(E3),IF(("outputline")=(INDEX(B1:XFD1,(A2)+(0))),B2,E22),E22))</f>
        <v>#VALUE!</v>
      </c>
      <c r="F22" t="e">
        <f ca="1">IF((A1)=(2),1,IF((19)=(F3),IF(IF((INDEX(B1:XFD1,(A2)+(0)))=("store"),(INDEX(B1:XFD1,(A2)+(1)))=("F"),"false"),B2,F22),F22))</f>
        <v>#VALUE!</v>
      </c>
      <c r="G22" t="e">
        <f ca="1">IF((A1)=(2),1,IF((19)=(G3),IF(IF((INDEX(B1:XFD1,(A2)+(0)))=("store"),(INDEX(B1:XFD1,(A2)+(1)))=("G"),"false"),B2,G22),G22))</f>
        <v>#VALUE!</v>
      </c>
      <c r="H22" t="e">
        <f ca="1">IF((A1)=(2),1,IF((19)=(H3),IF(IF((INDEX(B1:XFD1,(A2)+(0)))=("store"),(INDEX(B1:XFD1,(A2)+(1)))=("H"),"false"),B2,H22),H22))</f>
        <v>#VALUE!</v>
      </c>
    </row>
    <row r="23" spans="1:8" x14ac:dyDescent="0.25">
      <c r="A23" t="e">
        <f ca="1">IF((A1)=(2),1,IF((20)=(A3),IF(("call")=(INDEX(B1:XFD1,(A2)+(0))),((B2)*(2))+(1),IF(("goto")=(INDEX(B1:XFD1,(A2)+(0))),((INDEX(B1:XFD1,(A2)+(1)))*(2))+(1),IF(("gotoiftrue")=(INDEX(B1:XFD1,(A2)+(0))),IF(B2,((INDEX(B1:XFD1,(A2)+(1)))*(2))+(1),(A23)+(2)),(A23)+(2)))),A23))</f>
        <v>#VALUE!</v>
      </c>
      <c r="B23" t="e">
        <f ca="1">IF((A1)=(2),1,IF((20)=(B3),IF(("push")=(INDEX(B1:XFD1,(A2)+(0))),INDEX(B1:XFD1,(A2)+(1)),IF(("load")=(INDEX(B1:XFD1,(A2)+(0))),INDEX(F2:XFD2,INDEX(B1:XFD1,(A2)+(1))),IF(("newheap")=(INDEX(B1:XFD1,(A2)+(0))),(C3)-(2),IF(("getheap")=(INDEX(B1:XFD1,(A2)+(0))),INDEX(C4:C54,(B23)+(1)),IF(("add")=(INDEX(B1:XFD1,(A2)+(0))),(INDEX(B4:B54,(B3)+(1)))+(B23),IF(("equals")=(INDEX(B1:XFD1,(A2)+(0))),(INDEX(B4:B54,(B3)+(1)))=(B23),IF(("leq")=(INDEX(B1:XFD1,(A2)+(0))),(INDEX(B4:B54,(B3)+(1)))&lt;=(B23),B23))))))),B23))</f>
        <v>#VALUE!</v>
      </c>
      <c r="C23" t="e">
        <f ca="1">IF((A1)=(2),1,IF(AND((INDEX(B1:XFD1,(A2)+(0)))=("writeheap"),(INDEX(B4:B54,(B3)+(1)))=(19)),INDEX(B4:B54,(B3)+(2)),IF((A1)=(2),1,IF((20)=(C3),C23,C23))))</f>
        <v>#VALUE!</v>
      </c>
      <c r="D23" t="e">
        <f ca="1">IF((A1)=(2),1,IF((20)=(D3),D23,D23))</f>
        <v>#VALUE!</v>
      </c>
      <c r="E23" t="e">
        <f ca="1">IF((A1)=(2),1,IF((20)=(E3),IF(("outputline")=(INDEX(B1:XFD1,(A2)+(0))),B2,E23),E23))</f>
        <v>#VALUE!</v>
      </c>
      <c r="F23" t="e">
        <f ca="1">IF((A1)=(2),1,IF((20)=(F3),IF(IF((INDEX(B1:XFD1,(A2)+(0)))=("store"),(INDEX(B1:XFD1,(A2)+(1)))=("F"),"false"),B2,F23),F23))</f>
        <v>#VALUE!</v>
      </c>
      <c r="G23" t="e">
        <f ca="1">IF((A1)=(2),1,IF((20)=(G3),IF(IF((INDEX(B1:XFD1,(A2)+(0)))=("store"),(INDEX(B1:XFD1,(A2)+(1)))=("G"),"false"),B2,G23),G23))</f>
        <v>#VALUE!</v>
      </c>
      <c r="H23" t="e">
        <f ca="1">IF((A1)=(2),1,IF((20)=(H3),IF(IF((INDEX(B1:XFD1,(A2)+(0)))=("store"),(INDEX(B1:XFD1,(A2)+(1)))=("H"),"false"),B2,H23),H23))</f>
        <v>#VALUE!</v>
      </c>
    </row>
    <row r="24" spans="1:8" x14ac:dyDescent="0.25">
      <c r="A24" t="e">
        <f ca="1">IF((A1)=(2),1,IF((21)=(A3),IF(("call")=(INDEX(B1:XFD1,(A2)+(0))),((B2)*(2))+(1),IF(("goto")=(INDEX(B1:XFD1,(A2)+(0))),((INDEX(B1:XFD1,(A2)+(1)))*(2))+(1),IF(("gotoiftrue")=(INDEX(B1:XFD1,(A2)+(0))),IF(B2,((INDEX(B1:XFD1,(A2)+(1)))*(2))+(1),(A24)+(2)),(A24)+(2)))),A24))</f>
        <v>#VALUE!</v>
      </c>
      <c r="B24" t="e">
        <f ca="1">IF((A1)=(2),1,IF((21)=(B3),IF(("push")=(INDEX(B1:XFD1,(A2)+(0))),INDEX(B1:XFD1,(A2)+(1)),IF(("load")=(INDEX(B1:XFD1,(A2)+(0))),INDEX(F2:XFD2,INDEX(B1:XFD1,(A2)+(1))),IF(("newheap")=(INDEX(B1:XFD1,(A2)+(0))),(C3)-(2),IF(("getheap")=(INDEX(B1:XFD1,(A2)+(0))),INDEX(C4:C54,(B24)+(1)),IF(("add")=(INDEX(B1:XFD1,(A2)+(0))),(INDEX(B4:B54,(B3)+(1)))+(B24),IF(("equals")=(INDEX(B1:XFD1,(A2)+(0))),(INDEX(B4:B54,(B3)+(1)))=(B24),IF(("leq")=(INDEX(B1:XFD1,(A2)+(0))),(INDEX(B4:B54,(B3)+(1)))&lt;=(B24),B24))))))),B24))</f>
        <v>#VALUE!</v>
      </c>
      <c r="C24" t="e">
        <f ca="1">IF((A1)=(2),1,IF(AND((INDEX(B1:XFD1,(A2)+(0)))=("writeheap"),(INDEX(B4:B54,(B3)+(1)))=(20)),INDEX(B4:B54,(B3)+(2)),IF((A1)=(2),1,IF((21)=(C3),C24,C24))))</f>
        <v>#VALUE!</v>
      </c>
      <c r="D24" t="e">
        <f ca="1">IF((A1)=(2),1,IF((21)=(D3),D24,D24))</f>
        <v>#VALUE!</v>
      </c>
      <c r="E24" t="e">
        <f ca="1">IF((A1)=(2),1,IF((21)=(E3),IF(("outputline")=(INDEX(B1:XFD1,(A2)+(0))),B2,E24),E24))</f>
        <v>#VALUE!</v>
      </c>
      <c r="F24" t="e">
        <f ca="1">IF((A1)=(2),1,IF((21)=(F3),IF(IF((INDEX(B1:XFD1,(A2)+(0)))=("store"),(INDEX(B1:XFD1,(A2)+(1)))=("F"),"false"),B2,F24),F24))</f>
        <v>#VALUE!</v>
      </c>
      <c r="G24" t="e">
        <f ca="1">IF((A1)=(2),1,IF((21)=(G3),IF(IF((INDEX(B1:XFD1,(A2)+(0)))=("store"),(INDEX(B1:XFD1,(A2)+(1)))=("G"),"false"),B2,G24),G24))</f>
        <v>#VALUE!</v>
      </c>
      <c r="H24" t="e">
        <f ca="1">IF((A1)=(2),1,IF((21)=(H3),IF(IF((INDEX(B1:XFD1,(A2)+(0)))=("store"),(INDEX(B1:XFD1,(A2)+(1)))=("H"),"false"),B2,H24),H24))</f>
        <v>#VALUE!</v>
      </c>
    </row>
    <row r="25" spans="1:8" x14ac:dyDescent="0.25">
      <c r="A25" t="e">
        <f ca="1">IF((A1)=(2),1,IF((22)=(A3),IF(("call")=(INDEX(B1:XFD1,(A2)+(0))),((B2)*(2))+(1),IF(("goto")=(INDEX(B1:XFD1,(A2)+(0))),((INDEX(B1:XFD1,(A2)+(1)))*(2))+(1),IF(("gotoiftrue")=(INDEX(B1:XFD1,(A2)+(0))),IF(B2,((INDEX(B1:XFD1,(A2)+(1)))*(2))+(1),(A25)+(2)),(A25)+(2)))),A25))</f>
        <v>#VALUE!</v>
      </c>
      <c r="B25" t="e">
        <f ca="1">IF((A1)=(2),1,IF((22)=(B3),IF(("push")=(INDEX(B1:XFD1,(A2)+(0))),INDEX(B1:XFD1,(A2)+(1)),IF(("load")=(INDEX(B1:XFD1,(A2)+(0))),INDEX(F2:XFD2,INDEX(B1:XFD1,(A2)+(1))),IF(("newheap")=(INDEX(B1:XFD1,(A2)+(0))),(C3)-(2),IF(("getheap")=(INDEX(B1:XFD1,(A2)+(0))),INDEX(C4:C54,(B25)+(1)),IF(("add")=(INDEX(B1:XFD1,(A2)+(0))),(INDEX(B4:B54,(B3)+(1)))+(B25),IF(("equals")=(INDEX(B1:XFD1,(A2)+(0))),(INDEX(B4:B54,(B3)+(1)))=(B25),IF(("leq")=(INDEX(B1:XFD1,(A2)+(0))),(INDEX(B4:B54,(B3)+(1)))&lt;=(B25),B25))))))),B25))</f>
        <v>#VALUE!</v>
      </c>
      <c r="C25" t="e">
        <f ca="1">IF((A1)=(2),1,IF(AND((INDEX(B1:XFD1,(A2)+(0)))=("writeheap"),(INDEX(B4:B54,(B3)+(1)))=(21)),INDEX(B4:B54,(B3)+(2)),IF((A1)=(2),1,IF((22)=(C3),C25,C25))))</f>
        <v>#VALUE!</v>
      </c>
      <c r="D25" t="e">
        <f ca="1">IF((A1)=(2),1,IF((22)=(D3),D25,D25))</f>
        <v>#VALUE!</v>
      </c>
      <c r="E25" t="e">
        <f ca="1">IF((A1)=(2),1,IF((22)=(E3),IF(("outputline")=(INDEX(B1:XFD1,(A2)+(0))),B2,E25),E25))</f>
        <v>#VALUE!</v>
      </c>
      <c r="F25" t="e">
        <f ca="1">IF((A1)=(2),1,IF((22)=(F3),IF(IF((INDEX(B1:XFD1,(A2)+(0)))=("store"),(INDEX(B1:XFD1,(A2)+(1)))=("F"),"false"),B2,F25),F25))</f>
        <v>#VALUE!</v>
      </c>
      <c r="G25" t="e">
        <f ca="1">IF((A1)=(2),1,IF((22)=(G3),IF(IF((INDEX(B1:XFD1,(A2)+(0)))=("store"),(INDEX(B1:XFD1,(A2)+(1)))=("G"),"false"),B2,G25),G25))</f>
        <v>#VALUE!</v>
      </c>
      <c r="H25" t="e">
        <f ca="1">IF((A1)=(2),1,IF((22)=(H3),IF(IF((INDEX(B1:XFD1,(A2)+(0)))=("store"),(INDEX(B1:XFD1,(A2)+(1)))=("H"),"false"),B2,H25),H25))</f>
        <v>#VALUE!</v>
      </c>
    </row>
    <row r="26" spans="1:8" x14ac:dyDescent="0.25">
      <c r="A26" t="e">
        <f ca="1">IF((A1)=(2),1,IF((23)=(A3),IF(("call")=(INDEX(B1:XFD1,(A2)+(0))),((B2)*(2))+(1),IF(("goto")=(INDEX(B1:XFD1,(A2)+(0))),((INDEX(B1:XFD1,(A2)+(1)))*(2))+(1),IF(("gotoiftrue")=(INDEX(B1:XFD1,(A2)+(0))),IF(B2,((INDEX(B1:XFD1,(A2)+(1)))*(2))+(1),(A26)+(2)),(A26)+(2)))),A26))</f>
        <v>#VALUE!</v>
      </c>
      <c r="B26" t="e">
        <f ca="1">IF((A1)=(2),1,IF((23)=(B3),IF(("push")=(INDEX(B1:XFD1,(A2)+(0))),INDEX(B1:XFD1,(A2)+(1)),IF(("load")=(INDEX(B1:XFD1,(A2)+(0))),INDEX(F2:XFD2,INDEX(B1:XFD1,(A2)+(1))),IF(("newheap")=(INDEX(B1:XFD1,(A2)+(0))),(C3)-(2),IF(("getheap")=(INDEX(B1:XFD1,(A2)+(0))),INDEX(C4:C54,(B26)+(1)),IF(("add")=(INDEX(B1:XFD1,(A2)+(0))),(INDEX(B4:B54,(B3)+(1)))+(B26),IF(("equals")=(INDEX(B1:XFD1,(A2)+(0))),(INDEX(B4:B54,(B3)+(1)))=(B26),IF(("leq")=(INDEX(B1:XFD1,(A2)+(0))),(INDEX(B4:B54,(B3)+(1)))&lt;=(B26),B26))))))),B26))</f>
        <v>#VALUE!</v>
      </c>
      <c r="C26" t="e">
        <f ca="1">IF((A1)=(2),1,IF(AND((INDEX(B1:XFD1,(A2)+(0)))=("writeheap"),(INDEX(B4:B54,(B3)+(1)))=(22)),INDEX(B4:B54,(B3)+(2)),IF((A1)=(2),1,IF((23)=(C3),C26,C26))))</f>
        <v>#VALUE!</v>
      </c>
      <c r="D26" t="e">
        <f ca="1">IF((A1)=(2),1,IF((23)=(D3),D26,D26))</f>
        <v>#VALUE!</v>
      </c>
      <c r="E26" t="e">
        <f ca="1">IF((A1)=(2),1,IF((23)=(E3),IF(("outputline")=(INDEX(B1:XFD1,(A2)+(0))),B2,E26),E26))</f>
        <v>#VALUE!</v>
      </c>
      <c r="F26" t="e">
        <f ca="1">IF((A1)=(2),1,IF((23)=(F3),IF(IF((INDEX(B1:XFD1,(A2)+(0)))=("store"),(INDEX(B1:XFD1,(A2)+(1)))=("F"),"false"),B2,F26),F26))</f>
        <v>#VALUE!</v>
      </c>
      <c r="G26" t="e">
        <f ca="1">IF((A1)=(2),1,IF((23)=(G3),IF(IF((INDEX(B1:XFD1,(A2)+(0)))=("store"),(INDEX(B1:XFD1,(A2)+(1)))=("G"),"false"),B2,G26),G26))</f>
        <v>#VALUE!</v>
      </c>
      <c r="H26" t="e">
        <f ca="1">IF((A1)=(2),1,IF((23)=(H3),IF(IF((INDEX(B1:XFD1,(A2)+(0)))=("store"),(INDEX(B1:XFD1,(A2)+(1)))=("H"),"false"),B2,H26),H26))</f>
        <v>#VALUE!</v>
      </c>
    </row>
    <row r="27" spans="1:8" x14ac:dyDescent="0.25">
      <c r="A27" t="e">
        <f ca="1">IF((A1)=(2),1,IF((24)=(A3),IF(("call")=(INDEX(B1:XFD1,(A2)+(0))),((B2)*(2))+(1),IF(("goto")=(INDEX(B1:XFD1,(A2)+(0))),((INDEX(B1:XFD1,(A2)+(1)))*(2))+(1),IF(("gotoiftrue")=(INDEX(B1:XFD1,(A2)+(0))),IF(B2,((INDEX(B1:XFD1,(A2)+(1)))*(2))+(1),(A27)+(2)),(A27)+(2)))),A27))</f>
        <v>#VALUE!</v>
      </c>
      <c r="B27" t="e">
        <f ca="1">IF((A1)=(2),1,IF((24)=(B3),IF(("push")=(INDEX(B1:XFD1,(A2)+(0))),INDEX(B1:XFD1,(A2)+(1)),IF(("load")=(INDEX(B1:XFD1,(A2)+(0))),INDEX(F2:XFD2,INDEX(B1:XFD1,(A2)+(1))),IF(("newheap")=(INDEX(B1:XFD1,(A2)+(0))),(C3)-(2),IF(("getheap")=(INDEX(B1:XFD1,(A2)+(0))),INDEX(C4:C54,(B27)+(1)),IF(("add")=(INDEX(B1:XFD1,(A2)+(0))),(INDEX(B4:B54,(B3)+(1)))+(B27),IF(("equals")=(INDEX(B1:XFD1,(A2)+(0))),(INDEX(B4:B54,(B3)+(1)))=(B27),IF(("leq")=(INDEX(B1:XFD1,(A2)+(0))),(INDEX(B4:B54,(B3)+(1)))&lt;=(B27),B27))))))),B27))</f>
        <v>#VALUE!</v>
      </c>
      <c r="C27" t="e">
        <f ca="1">IF((A1)=(2),1,IF(AND((INDEX(B1:XFD1,(A2)+(0)))=("writeheap"),(INDEX(B4:B54,(B3)+(1)))=(23)),INDEX(B4:B54,(B3)+(2)),IF((A1)=(2),1,IF((24)=(C3),C27,C27))))</f>
        <v>#VALUE!</v>
      </c>
      <c r="D27" t="e">
        <f ca="1">IF((A1)=(2),1,IF((24)=(D3),D27,D27))</f>
        <v>#VALUE!</v>
      </c>
      <c r="E27" t="e">
        <f ca="1">IF((A1)=(2),1,IF((24)=(E3),IF(("outputline")=(INDEX(B1:XFD1,(A2)+(0))),B2,E27),E27))</f>
        <v>#VALUE!</v>
      </c>
      <c r="F27" t="e">
        <f ca="1">IF((A1)=(2),1,IF((24)=(F3),IF(IF((INDEX(B1:XFD1,(A2)+(0)))=("store"),(INDEX(B1:XFD1,(A2)+(1)))=("F"),"false"),B2,F27),F27))</f>
        <v>#VALUE!</v>
      </c>
      <c r="G27" t="e">
        <f ca="1">IF((A1)=(2),1,IF((24)=(G3),IF(IF((INDEX(B1:XFD1,(A2)+(0)))=("store"),(INDEX(B1:XFD1,(A2)+(1)))=("G"),"false"),B2,G27),G27))</f>
        <v>#VALUE!</v>
      </c>
      <c r="H27" t="e">
        <f ca="1">IF((A1)=(2),1,IF((24)=(H3),IF(IF((INDEX(B1:XFD1,(A2)+(0)))=("store"),(INDEX(B1:XFD1,(A2)+(1)))=("H"),"false"),B2,H27),H27))</f>
        <v>#VALUE!</v>
      </c>
    </row>
    <row r="28" spans="1:8" x14ac:dyDescent="0.25">
      <c r="A28" t="e">
        <f ca="1">IF((A1)=(2),1,IF((25)=(A3),IF(("call")=(INDEX(B1:XFD1,(A2)+(0))),((B2)*(2))+(1),IF(("goto")=(INDEX(B1:XFD1,(A2)+(0))),((INDEX(B1:XFD1,(A2)+(1)))*(2))+(1),IF(("gotoiftrue")=(INDEX(B1:XFD1,(A2)+(0))),IF(B2,((INDEX(B1:XFD1,(A2)+(1)))*(2))+(1),(A28)+(2)),(A28)+(2)))),A28))</f>
        <v>#VALUE!</v>
      </c>
      <c r="B28" t="e">
        <f ca="1">IF((A1)=(2),1,IF((25)=(B3),IF(("push")=(INDEX(B1:XFD1,(A2)+(0))),INDEX(B1:XFD1,(A2)+(1)),IF(("load")=(INDEX(B1:XFD1,(A2)+(0))),INDEX(F2:XFD2,INDEX(B1:XFD1,(A2)+(1))),IF(("newheap")=(INDEX(B1:XFD1,(A2)+(0))),(C3)-(2),IF(("getheap")=(INDEX(B1:XFD1,(A2)+(0))),INDEX(C4:C54,(B28)+(1)),IF(("add")=(INDEX(B1:XFD1,(A2)+(0))),(INDEX(B4:B54,(B3)+(1)))+(B28),IF(("equals")=(INDEX(B1:XFD1,(A2)+(0))),(INDEX(B4:B54,(B3)+(1)))=(B28),IF(("leq")=(INDEX(B1:XFD1,(A2)+(0))),(INDEX(B4:B54,(B3)+(1)))&lt;=(B28),B28))))))),B28))</f>
        <v>#VALUE!</v>
      </c>
      <c r="C28" t="e">
        <f ca="1">IF((A1)=(2),1,IF(AND((INDEX(B1:XFD1,(A2)+(0)))=("writeheap"),(INDEX(B4:B54,(B3)+(1)))=(24)),INDEX(B4:B54,(B3)+(2)),IF((A1)=(2),1,IF((25)=(C3),C28,C28))))</f>
        <v>#VALUE!</v>
      </c>
      <c r="D28" t="e">
        <f ca="1">IF((A1)=(2),1,IF((25)=(D3),D28,D28))</f>
        <v>#VALUE!</v>
      </c>
      <c r="E28" t="e">
        <f ca="1">IF((A1)=(2),1,IF((25)=(E3),IF(("outputline")=(INDEX(B1:XFD1,(A2)+(0))),B2,E28),E28))</f>
        <v>#VALUE!</v>
      </c>
      <c r="F28" t="e">
        <f ca="1">IF((A1)=(2),1,IF((25)=(F3),IF(IF((INDEX(B1:XFD1,(A2)+(0)))=("store"),(INDEX(B1:XFD1,(A2)+(1)))=("F"),"false"),B2,F28),F28))</f>
        <v>#VALUE!</v>
      </c>
      <c r="G28" t="e">
        <f ca="1">IF((A1)=(2),1,IF((25)=(G3),IF(IF((INDEX(B1:XFD1,(A2)+(0)))=("store"),(INDEX(B1:XFD1,(A2)+(1)))=("G"),"false"),B2,G28),G28))</f>
        <v>#VALUE!</v>
      </c>
      <c r="H28" t="e">
        <f ca="1">IF((A1)=(2),1,IF((25)=(H3),IF(IF((INDEX(B1:XFD1,(A2)+(0)))=("store"),(INDEX(B1:XFD1,(A2)+(1)))=("H"),"false"),B2,H28),H28))</f>
        <v>#VALUE!</v>
      </c>
    </row>
    <row r="29" spans="1:8" x14ac:dyDescent="0.25">
      <c r="A29" t="e">
        <f ca="1">IF((A1)=(2),1,IF((26)=(A3),IF(("call")=(INDEX(B1:XFD1,(A2)+(0))),((B2)*(2))+(1),IF(("goto")=(INDEX(B1:XFD1,(A2)+(0))),((INDEX(B1:XFD1,(A2)+(1)))*(2))+(1),IF(("gotoiftrue")=(INDEX(B1:XFD1,(A2)+(0))),IF(B2,((INDEX(B1:XFD1,(A2)+(1)))*(2))+(1),(A29)+(2)),(A29)+(2)))),A29))</f>
        <v>#VALUE!</v>
      </c>
      <c r="B29" t="e">
        <f ca="1">IF((A1)=(2),1,IF((26)=(B3),IF(("push")=(INDEX(B1:XFD1,(A2)+(0))),INDEX(B1:XFD1,(A2)+(1)),IF(("load")=(INDEX(B1:XFD1,(A2)+(0))),INDEX(F2:XFD2,INDEX(B1:XFD1,(A2)+(1))),IF(("newheap")=(INDEX(B1:XFD1,(A2)+(0))),(C3)-(2),IF(("getheap")=(INDEX(B1:XFD1,(A2)+(0))),INDEX(C4:C54,(B29)+(1)),IF(("add")=(INDEX(B1:XFD1,(A2)+(0))),(INDEX(B4:B54,(B3)+(1)))+(B29),IF(("equals")=(INDEX(B1:XFD1,(A2)+(0))),(INDEX(B4:B54,(B3)+(1)))=(B29),IF(("leq")=(INDEX(B1:XFD1,(A2)+(0))),(INDEX(B4:B54,(B3)+(1)))&lt;=(B29),B29))))))),B29))</f>
        <v>#VALUE!</v>
      </c>
      <c r="C29" t="e">
        <f ca="1">IF((A1)=(2),1,IF(AND((INDEX(B1:XFD1,(A2)+(0)))=("writeheap"),(INDEX(B4:B54,(B3)+(1)))=(25)),INDEX(B4:B54,(B3)+(2)),IF((A1)=(2),1,IF((26)=(C3),C29,C29))))</f>
        <v>#VALUE!</v>
      </c>
      <c r="D29" t="e">
        <f ca="1">IF((A1)=(2),1,IF((26)=(D3),D29,D29))</f>
        <v>#VALUE!</v>
      </c>
      <c r="E29" t="e">
        <f ca="1">IF((A1)=(2),1,IF((26)=(E3),IF(("outputline")=(INDEX(B1:XFD1,(A2)+(0))),B2,E29),E29))</f>
        <v>#VALUE!</v>
      </c>
      <c r="F29" t="e">
        <f ca="1">IF((A1)=(2),1,IF((26)=(F3),IF(IF((INDEX(B1:XFD1,(A2)+(0)))=("store"),(INDEX(B1:XFD1,(A2)+(1)))=("F"),"false"),B2,F29),F29))</f>
        <v>#VALUE!</v>
      </c>
      <c r="G29" t="e">
        <f ca="1">IF((A1)=(2),1,IF((26)=(G3),IF(IF((INDEX(B1:XFD1,(A2)+(0)))=("store"),(INDEX(B1:XFD1,(A2)+(1)))=("G"),"false"),B2,G29),G29))</f>
        <v>#VALUE!</v>
      </c>
      <c r="H29" t="e">
        <f ca="1">IF((A1)=(2),1,IF((26)=(H3),IF(IF((INDEX(B1:XFD1,(A2)+(0)))=("store"),(INDEX(B1:XFD1,(A2)+(1)))=("H"),"false"),B2,H29),H29))</f>
        <v>#VALUE!</v>
      </c>
    </row>
    <row r="30" spans="1:8" x14ac:dyDescent="0.25">
      <c r="A30" t="e">
        <f ca="1">IF((A1)=(2),1,IF((27)=(A3),IF(("call")=(INDEX(B1:XFD1,(A2)+(0))),((B2)*(2))+(1),IF(("goto")=(INDEX(B1:XFD1,(A2)+(0))),((INDEX(B1:XFD1,(A2)+(1)))*(2))+(1),IF(("gotoiftrue")=(INDEX(B1:XFD1,(A2)+(0))),IF(B2,((INDEX(B1:XFD1,(A2)+(1)))*(2))+(1),(A30)+(2)),(A30)+(2)))),A30))</f>
        <v>#VALUE!</v>
      </c>
      <c r="B30" t="e">
        <f ca="1">IF((A1)=(2),1,IF((27)=(B3),IF(("push")=(INDEX(B1:XFD1,(A2)+(0))),INDEX(B1:XFD1,(A2)+(1)),IF(("load")=(INDEX(B1:XFD1,(A2)+(0))),INDEX(F2:XFD2,INDEX(B1:XFD1,(A2)+(1))),IF(("newheap")=(INDEX(B1:XFD1,(A2)+(0))),(C3)-(2),IF(("getheap")=(INDEX(B1:XFD1,(A2)+(0))),INDEX(C4:C54,(B30)+(1)),IF(("add")=(INDEX(B1:XFD1,(A2)+(0))),(INDEX(B4:B54,(B3)+(1)))+(B30),IF(("equals")=(INDEX(B1:XFD1,(A2)+(0))),(INDEX(B4:B54,(B3)+(1)))=(B30),IF(("leq")=(INDEX(B1:XFD1,(A2)+(0))),(INDEX(B4:B54,(B3)+(1)))&lt;=(B30),B30))))))),B30))</f>
        <v>#VALUE!</v>
      </c>
      <c r="C30" t="e">
        <f ca="1">IF((A1)=(2),1,IF(AND((INDEX(B1:XFD1,(A2)+(0)))=("writeheap"),(INDEX(B4:B54,(B3)+(1)))=(26)),INDEX(B4:B54,(B3)+(2)),IF((A1)=(2),1,IF((27)=(C3),C30,C30))))</f>
        <v>#VALUE!</v>
      </c>
      <c r="D30" t="e">
        <f ca="1">IF((A1)=(2),1,IF((27)=(D3),D30,D30))</f>
        <v>#VALUE!</v>
      </c>
      <c r="E30" t="e">
        <f ca="1">IF((A1)=(2),1,IF((27)=(E3),IF(("outputline")=(INDEX(B1:XFD1,(A2)+(0))),B2,E30),E30))</f>
        <v>#VALUE!</v>
      </c>
      <c r="F30" t="e">
        <f ca="1">IF((A1)=(2),1,IF((27)=(F3),IF(IF((INDEX(B1:XFD1,(A2)+(0)))=("store"),(INDEX(B1:XFD1,(A2)+(1)))=("F"),"false"),B2,F30),F30))</f>
        <v>#VALUE!</v>
      </c>
      <c r="G30" t="e">
        <f ca="1">IF((A1)=(2),1,IF((27)=(G3),IF(IF((INDEX(B1:XFD1,(A2)+(0)))=("store"),(INDEX(B1:XFD1,(A2)+(1)))=("G"),"false"),B2,G30),G30))</f>
        <v>#VALUE!</v>
      </c>
      <c r="H30" t="e">
        <f ca="1">IF((A1)=(2),1,IF((27)=(H3),IF(IF((INDEX(B1:XFD1,(A2)+(0)))=("store"),(INDEX(B1:XFD1,(A2)+(1)))=("H"),"false"),B2,H30),H30))</f>
        <v>#VALUE!</v>
      </c>
    </row>
    <row r="31" spans="1:8" x14ac:dyDescent="0.25">
      <c r="A31" t="e">
        <f ca="1">IF((A1)=(2),1,IF((28)=(A3),IF(("call")=(INDEX(B1:XFD1,(A2)+(0))),((B2)*(2))+(1),IF(("goto")=(INDEX(B1:XFD1,(A2)+(0))),((INDEX(B1:XFD1,(A2)+(1)))*(2))+(1),IF(("gotoiftrue")=(INDEX(B1:XFD1,(A2)+(0))),IF(B2,((INDEX(B1:XFD1,(A2)+(1)))*(2))+(1),(A31)+(2)),(A31)+(2)))),A31))</f>
        <v>#VALUE!</v>
      </c>
      <c r="B31" t="e">
        <f ca="1">IF((A1)=(2),1,IF((28)=(B3),IF(("push")=(INDEX(B1:XFD1,(A2)+(0))),INDEX(B1:XFD1,(A2)+(1)),IF(("load")=(INDEX(B1:XFD1,(A2)+(0))),INDEX(F2:XFD2,INDEX(B1:XFD1,(A2)+(1))),IF(("newheap")=(INDEX(B1:XFD1,(A2)+(0))),(C3)-(2),IF(("getheap")=(INDEX(B1:XFD1,(A2)+(0))),INDEX(C4:C54,(B31)+(1)),IF(("add")=(INDEX(B1:XFD1,(A2)+(0))),(INDEX(B4:B54,(B3)+(1)))+(B31),IF(("equals")=(INDEX(B1:XFD1,(A2)+(0))),(INDEX(B4:B54,(B3)+(1)))=(B31),IF(("leq")=(INDEX(B1:XFD1,(A2)+(0))),(INDEX(B4:B54,(B3)+(1)))&lt;=(B31),B31))))))),B31))</f>
        <v>#VALUE!</v>
      </c>
      <c r="C31" t="e">
        <f ca="1">IF((A1)=(2),1,IF(AND((INDEX(B1:XFD1,(A2)+(0)))=("writeheap"),(INDEX(B4:B54,(B3)+(1)))=(27)),INDEX(B4:B54,(B3)+(2)),IF((A1)=(2),1,IF((28)=(C3),C31,C31))))</f>
        <v>#VALUE!</v>
      </c>
      <c r="D31" t="e">
        <f ca="1">IF((A1)=(2),1,IF((28)=(D3),D31,D31))</f>
        <v>#VALUE!</v>
      </c>
      <c r="E31" t="e">
        <f ca="1">IF((A1)=(2),1,IF((28)=(E3),IF(("outputline")=(INDEX(B1:XFD1,(A2)+(0))),B2,E31),E31))</f>
        <v>#VALUE!</v>
      </c>
      <c r="F31" t="e">
        <f ca="1">IF((A1)=(2),1,IF((28)=(F3),IF(IF((INDEX(B1:XFD1,(A2)+(0)))=("store"),(INDEX(B1:XFD1,(A2)+(1)))=("F"),"false"),B2,F31),F31))</f>
        <v>#VALUE!</v>
      </c>
      <c r="G31" t="e">
        <f ca="1">IF((A1)=(2),1,IF((28)=(G3),IF(IF((INDEX(B1:XFD1,(A2)+(0)))=("store"),(INDEX(B1:XFD1,(A2)+(1)))=("G"),"false"),B2,G31),G31))</f>
        <v>#VALUE!</v>
      </c>
      <c r="H31" t="e">
        <f ca="1">IF((A1)=(2),1,IF((28)=(H3),IF(IF((INDEX(B1:XFD1,(A2)+(0)))=("store"),(INDEX(B1:XFD1,(A2)+(1)))=("H"),"false"),B2,H31),H31))</f>
        <v>#VALUE!</v>
      </c>
    </row>
    <row r="32" spans="1:8" x14ac:dyDescent="0.25">
      <c r="A32" t="e">
        <f ca="1">IF((A1)=(2),1,IF((29)=(A3),IF(("call")=(INDEX(B1:XFD1,(A2)+(0))),((B2)*(2))+(1),IF(("goto")=(INDEX(B1:XFD1,(A2)+(0))),((INDEX(B1:XFD1,(A2)+(1)))*(2))+(1),IF(("gotoiftrue")=(INDEX(B1:XFD1,(A2)+(0))),IF(B2,((INDEX(B1:XFD1,(A2)+(1)))*(2))+(1),(A32)+(2)),(A32)+(2)))),A32))</f>
        <v>#VALUE!</v>
      </c>
      <c r="B32" t="e">
        <f ca="1">IF((A1)=(2),1,IF((29)=(B3),IF(("push")=(INDEX(B1:XFD1,(A2)+(0))),INDEX(B1:XFD1,(A2)+(1)),IF(("load")=(INDEX(B1:XFD1,(A2)+(0))),INDEX(F2:XFD2,INDEX(B1:XFD1,(A2)+(1))),IF(("newheap")=(INDEX(B1:XFD1,(A2)+(0))),(C3)-(2),IF(("getheap")=(INDEX(B1:XFD1,(A2)+(0))),INDEX(C4:C54,(B32)+(1)),IF(("add")=(INDEX(B1:XFD1,(A2)+(0))),(INDEX(B4:B54,(B3)+(1)))+(B32),IF(("equals")=(INDEX(B1:XFD1,(A2)+(0))),(INDEX(B4:B54,(B3)+(1)))=(B32),IF(("leq")=(INDEX(B1:XFD1,(A2)+(0))),(INDEX(B4:B54,(B3)+(1)))&lt;=(B32),B32))))))),B32))</f>
        <v>#VALUE!</v>
      </c>
      <c r="C32" t="e">
        <f ca="1">IF((A1)=(2),1,IF(AND((INDEX(B1:XFD1,(A2)+(0)))=("writeheap"),(INDEX(B4:B54,(B3)+(1)))=(28)),INDEX(B4:B54,(B3)+(2)),IF((A1)=(2),1,IF((29)=(C3),C32,C32))))</f>
        <v>#VALUE!</v>
      </c>
      <c r="D32" t="e">
        <f ca="1">IF((A1)=(2),1,IF((29)=(D3),D32,D32))</f>
        <v>#VALUE!</v>
      </c>
      <c r="E32" t="e">
        <f ca="1">IF((A1)=(2),1,IF((29)=(E3),IF(("outputline")=(INDEX(B1:XFD1,(A2)+(0))),B2,E32),E32))</f>
        <v>#VALUE!</v>
      </c>
      <c r="F32" t="e">
        <f ca="1">IF((A1)=(2),1,IF((29)=(F3),IF(IF((INDEX(B1:XFD1,(A2)+(0)))=("store"),(INDEX(B1:XFD1,(A2)+(1)))=("F"),"false"),B2,F32),F32))</f>
        <v>#VALUE!</v>
      </c>
      <c r="G32" t="e">
        <f ca="1">IF((A1)=(2),1,IF((29)=(G3),IF(IF((INDEX(B1:XFD1,(A2)+(0)))=("store"),(INDEX(B1:XFD1,(A2)+(1)))=("G"),"false"),B2,G32),G32))</f>
        <v>#VALUE!</v>
      </c>
      <c r="H32" t="e">
        <f ca="1">IF((A1)=(2),1,IF((29)=(H3),IF(IF((INDEX(B1:XFD1,(A2)+(0)))=("store"),(INDEX(B1:XFD1,(A2)+(1)))=("H"),"false"),B2,H32),H32))</f>
        <v>#VALUE!</v>
      </c>
    </row>
    <row r="33" spans="1:8" x14ac:dyDescent="0.25">
      <c r="A33" t="e">
        <f ca="1">IF((A1)=(2),1,IF((30)=(A3),IF(("call")=(INDEX(B1:XFD1,(A2)+(0))),((B2)*(2))+(1),IF(("goto")=(INDEX(B1:XFD1,(A2)+(0))),((INDEX(B1:XFD1,(A2)+(1)))*(2))+(1),IF(("gotoiftrue")=(INDEX(B1:XFD1,(A2)+(0))),IF(B2,((INDEX(B1:XFD1,(A2)+(1)))*(2))+(1),(A33)+(2)),(A33)+(2)))),A33))</f>
        <v>#VALUE!</v>
      </c>
      <c r="B33" t="e">
        <f ca="1">IF((A1)=(2),1,IF((30)=(B3),IF(("push")=(INDEX(B1:XFD1,(A2)+(0))),INDEX(B1:XFD1,(A2)+(1)),IF(("load")=(INDEX(B1:XFD1,(A2)+(0))),INDEX(F2:XFD2,INDEX(B1:XFD1,(A2)+(1))),IF(("newheap")=(INDEX(B1:XFD1,(A2)+(0))),(C3)-(2),IF(("getheap")=(INDEX(B1:XFD1,(A2)+(0))),INDEX(C4:C54,(B33)+(1)),IF(("add")=(INDEX(B1:XFD1,(A2)+(0))),(INDEX(B4:B54,(B3)+(1)))+(B33),IF(("equals")=(INDEX(B1:XFD1,(A2)+(0))),(INDEX(B4:B54,(B3)+(1)))=(B33),IF(("leq")=(INDEX(B1:XFD1,(A2)+(0))),(INDEX(B4:B54,(B3)+(1)))&lt;=(B33),B33))))))),B33))</f>
        <v>#VALUE!</v>
      </c>
      <c r="C33" t="e">
        <f ca="1">IF((A1)=(2),1,IF(AND((INDEX(B1:XFD1,(A2)+(0)))=("writeheap"),(INDEX(B4:B54,(B3)+(1)))=(29)),INDEX(B4:B54,(B3)+(2)),IF((A1)=(2),1,IF((30)=(C3),C33,C33))))</f>
        <v>#VALUE!</v>
      </c>
      <c r="D33" t="e">
        <f ca="1">IF((A1)=(2),1,IF((30)=(D3),D33,D33))</f>
        <v>#VALUE!</v>
      </c>
      <c r="E33" t="e">
        <f ca="1">IF((A1)=(2),1,IF((30)=(E3),IF(("outputline")=(INDEX(B1:XFD1,(A2)+(0))),B2,E33),E33))</f>
        <v>#VALUE!</v>
      </c>
      <c r="F33" t="e">
        <f ca="1">IF((A1)=(2),1,IF((30)=(F3),IF(IF((INDEX(B1:XFD1,(A2)+(0)))=("store"),(INDEX(B1:XFD1,(A2)+(1)))=("F"),"false"),B2,F33),F33))</f>
        <v>#VALUE!</v>
      </c>
      <c r="G33" t="e">
        <f ca="1">IF((A1)=(2),1,IF((30)=(G3),IF(IF((INDEX(B1:XFD1,(A2)+(0)))=("store"),(INDEX(B1:XFD1,(A2)+(1)))=("G"),"false"),B2,G33),G33))</f>
        <v>#VALUE!</v>
      </c>
      <c r="H33" t="e">
        <f ca="1">IF((A1)=(2),1,IF((30)=(H3),IF(IF((INDEX(B1:XFD1,(A2)+(0)))=("store"),(INDEX(B1:XFD1,(A2)+(1)))=("H"),"false"),B2,H33),H33))</f>
        <v>#VALUE!</v>
      </c>
    </row>
    <row r="34" spans="1:8" x14ac:dyDescent="0.25">
      <c r="A34" t="e">
        <f ca="1">IF((A1)=(2),1,IF((31)=(A3),IF(("call")=(INDEX(B1:XFD1,(A2)+(0))),((B2)*(2))+(1),IF(("goto")=(INDEX(B1:XFD1,(A2)+(0))),((INDEX(B1:XFD1,(A2)+(1)))*(2))+(1),IF(("gotoiftrue")=(INDEX(B1:XFD1,(A2)+(0))),IF(B2,((INDEX(B1:XFD1,(A2)+(1)))*(2))+(1),(A34)+(2)),(A34)+(2)))),A34))</f>
        <v>#VALUE!</v>
      </c>
      <c r="B34" t="e">
        <f ca="1">IF((A1)=(2),1,IF((31)=(B3),IF(("push")=(INDEX(B1:XFD1,(A2)+(0))),INDEX(B1:XFD1,(A2)+(1)),IF(("load")=(INDEX(B1:XFD1,(A2)+(0))),INDEX(F2:XFD2,INDEX(B1:XFD1,(A2)+(1))),IF(("newheap")=(INDEX(B1:XFD1,(A2)+(0))),(C3)-(2),IF(("getheap")=(INDEX(B1:XFD1,(A2)+(0))),INDEX(C4:C54,(B34)+(1)),IF(("add")=(INDEX(B1:XFD1,(A2)+(0))),(INDEX(B4:B54,(B3)+(1)))+(B34),IF(("equals")=(INDEX(B1:XFD1,(A2)+(0))),(INDEX(B4:B54,(B3)+(1)))=(B34),IF(("leq")=(INDEX(B1:XFD1,(A2)+(0))),(INDEX(B4:B54,(B3)+(1)))&lt;=(B34),B34))))))),B34))</f>
        <v>#VALUE!</v>
      </c>
      <c r="C34" t="e">
        <f ca="1">IF((A1)=(2),1,IF(AND((INDEX(B1:XFD1,(A2)+(0)))=("writeheap"),(INDEX(B4:B54,(B3)+(1)))=(30)),INDEX(B4:B54,(B3)+(2)),IF((A1)=(2),1,IF((31)=(C3),C34,C34))))</f>
        <v>#VALUE!</v>
      </c>
      <c r="D34" t="e">
        <f ca="1">IF((A1)=(2),1,IF((31)=(D3),D34,D34))</f>
        <v>#VALUE!</v>
      </c>
      <c r="E34" t="e">
        <f ca="1">IF((A1)=(2),1,IF((31)=(E3),IF(("outputline")=(INDEX(B1:XFD1,(A2)+(0))),B2,E34),E34))</f>
        <v>#VALUE!</v>
      </c>
      <c r="F34" t="e">
        <f ca="1">IF((A1)=(2),1,IF((31)=(F3),IF(IF((INDEX(B1:XFD1,(A2)+(0)))=("store"),(INDEX(B1:XFD1,(A2)+(1)))=("F"),"false"),B2,F34),F34))</f>
        <v>#VALUE!</v>
      </c>
      <c r="G34" t="e">
        <f ca="1">IF((A1)=(2),1,IF((31)=(G3),IF(IF((INDEX(B1:XFD1,(A2)+(0)))=("store"),(INDEX(B1:XFD1,(A2)+(1)))=("G"),"false"),B2,G34),G34))</f>
        <v>#VALUE!</v>
      </c>
      <c r="H34" t="e">
        <f ca="1">IF((A1)=(2),1,IF((31)=(H3),IF(IF((INDEX(B1:XFD1,(A2)+(0)))=("store"),(INDEX(B1:XFD1,(A2)+(1)))=("H"),"false"),B2,H34),H34))</f>
        <v>#VALUE!</v>
      </c>
    </row>
    <row r="35" spans="1:8" x14ac:dyDescent="0.25">
      <c r="A35" t="e">
        <f ca="1">IF((A1)=(2),1,IF((32)=(A3),IF(("call")=(INDEX(B1:XFD1,(A2)+(0))),((B2)*(2))+(1),IF(("goto")=(INDEX(B1:XFD1,(A2)+(0))),((INDEX(B1:XFD1,(A2)+(1)))*(2))+(1),IF(("gotoiftrue")=(INDEX(B1:XFD1,(A2)+(0))),IF(B2,((INDEX(B1:XFD1,(A2)+(1)))*(2))+(1),(A35)+(2)),(A35)+(2)))),A35))</f>
        <v>#VALUE!</v>
      </c>
      <c r="B35" t="e">
        <f ca="1">IF((A1)=(2),1,IF((32)=(B3),IF(("push")=(INDEX(B1:XFD1,(A2)+(0))),INDEX(B1:XFD1,(A2)+(1)),IF(("load")=(INDEX(B1:XFD1,(A2)+(0))),INDEX(F2:XFD2,INDEX(B1:XFD1,(A2)+(1))),IF(("newheap")=(INDEX(B1:XFD1,(A2)+(0))),(C3)-(2),IF(("getheap")=(INDEX(B1:XFD1,(A2)+(0))),INDEX(C4:C54,(B35)+(1)),IF(("add")=(INDEX(B1:XFD1,(A2)+(0))),(INDEX(B4:B54,(B3)+(1)))+(B35),IF(("equals")=(INDEX(B1:XFD1,(A2)+(0))),(INDEX(B4:B54,(B3)+(1)))=(B35),IF(("leq")=(INDEX(B1:XFD1,(A2)+(0))),(INDEX(B4:B54,(B3)+(1)))&lt;=(B35),B35))))))),B35))</f>
        <v>#VALUE!</v>
      </c>
      <c r="C35" t="e">
        <f ca="1">IF((A1)=(2),1,IF(AND((INDEX(B1:XFD1,(A2)+(0)))=("writeheap"),(INDEX(B4:B54,(B3)+(1)))=(31)),INDEX(B4:B54,(B3)+(2)),IF((A1)=(2),1,IF((32)=(C3),C35,C35))))</f>
        <v>#VALUE!</v>
      </c>
      <c r="D35" t="e">
        <f ca="1">IF((A1)=(2),1,IF((32)=(D3),D35,D35))</f>
        <v>#VALUE!</v>
      </c>
      <c r="E35" t="e">
        <f ca="1">IF((A1)=(2),1,IF((32)=(E3),IF(("outputline")=(INDEX(B1:XFD1,(A2)+(0))),B2,E35),E35))</f>
        <v>#VALUE!</v>
      </c>
      <c r="F35" t="e">
        <f ca="1">IF((A1)=(2),1,IF((32)=(F3),IF(IF((INDEX(B1:XFD1,(A2)+(0)))=("store"),(INDEX(B1:XFD1,(A2)+(1)))=("F"),"false"),B2,F35),F35))</f>
        <v>#VALUE!</v>
      </c>
      <c r="G35" t="e">
        <f ca="1">IF((A1)=(2),1,IF((32)=(G3),IF(IF((INDEX(B1:XFD1,(A2)+(0)))=("store"),(INDEX(B1:XFD1,(A2)+(1)))=("G"),"false"),B2,G35),G35))</f>
        <v>#VALUE!</v>
      </c>
      <c r="H35" t="e">
        <f ca="1">IF((A1)=(2),1,IF((32)=(H3),IF(IF((INDEX(B1:XFD1,(A2)+(0)))=("store"),(INDEX(B1:XFD1,(A2)+(1)))=("H"),"false"),B2,H35),H35))</f>
        <v>#VALUE!</v>
      </c>
    </row>
    <row r="36" spans="1:8" x14ac:dyDescent="0.25">
      <c r="A36" t="e">
        <f ca="1">IF((A1)=(2),1,IF((33)=(A3),IF(("call")=(INDEX(B1:XFD1,(A2)+(0))),((B2)*(2))+(1),IF(("goto")=(INDEX(B1:XFD1,(A2)+(0))),((INDEX(B1:XFD1,(A2)+(1)))*(2))+(1),IF(("gotoiftrue")=(INDEX(B1:XFD1,(A2)+(0))),IF(B2,((INDEX(B1:XFD1,(A2)+(1)))*(2))+(1),(A36)+(2)),(A36)+(2)))),A36))</f>
        <v>#VALUE!</v>
      </c>
      <c r="B36" t="e">
        <f ca="1">IF((A1)=(2),1,IF((33)=(B3),IF(("push")=(INDEX(B1:XFD1,(A2)+(0))),INDEX(B1:XFD1,(A2)+(1)),IF(("load")=(INDEX(B1:XFD1,(A2)+(0))),INDEX(F2:XFD2,INDEX(B1:XFD1,(A2)+(1))),IF(("newheap")=(INDEX(B1:XFD1,(A2)+(0))),(C3)-(2),IF(("getheap")=(INDEX(B1:XFD1,(A2)+(0))),INDEX(C4:C54,(B36)+(1)),IF(("add")=(INDEX(B1:XFD1,(A2)+(0))),(INDEX(B4:B54,(B3)+(1)))+(B36),IF(("equals")=(INDEX(B1:XFD1,(A2)+(0))),(INDEX(B4:B54,(B3)+(1)))=(B36),IF(("leq")=(INDEX(B1:XFD1,(A2)+(0))),(INDEX(B4:B54,(B3)+(1)))&lt;=(B36),B36))))))),B36))</f>
        <v>#VALUE!</v>
      </c>
      <c r="C36" t="e">
        <f ca="1">IF((A1)=(2),1,IF(AND((INDEX(B1:XFD1,(A2)+(0)))=("writeheap"),(INDEX(B4:B54,(B3)+(1)))=(32)),INDEX(B4:B54,(B3)+(2)),IF((A1)=(2),1,IF((33)=(C3),C36,C36))))</f>
        <v>#VALUE!</v>
      </c>
      <c r="D36" t="e">
        <f ca="1">IF((A1)=(2),1,IF((33)=(D3),D36,D36))</f>
        <v>#VALUE!</v>
      </c>
      <c r="E36" t="e">
        <f ca="1">IF((A1)=(2),1,IF((33)=(E3),IF(("outputline")=(INDEX(B1:XFD1,(A2)+(0))),B2,E36),E36))</f>
        <v>#VALUE!</v>
      </c>
      <c r="F36" t="e">
        <f ca="1">IF((A1)=(2),1,IF((33)=(F3),IF(IF((INDEX(B1:XFD1,(A2)+(0)))=("store"),(INDEX(B1:XFD1,(A2)+(1)))=("F"),"false"),B2,F36),F36))</f>
        <v>#VALUE!</v>
      </c>
      <c r="G36" t="e">
        <f ca="1">IF((A1)=(2),1,IF((33)=(G3),IF(IF((INDEX(B1:XFD1,(A2)+(0)))=("store"),(INDEX(B1:XFD1,(A2)+(1)))=("G"),"false"),B2,G36),G36))</f>
        <v>#VALUE!</v>
      </c>
      <c r="H36" t="e">
        <f ca="1">IF((A1)=(2),1,IF((33)=(H3),IF(IF((INDEX(B1:XFD1,(A2)+(0)))=("store"),(INDEX(B1:XFD1,(A2)+(1)))=("H"),"false"),B2,H36),H36))</f>
        <v>#VALUE!</v>
      </c>
    </row>
    <row r="37" spans="1:8" x14ac:dyDescent="0.25">
      <c r="A37" t="e">
        <f ca="1">IF((A1)=(2),1,IF((34)=(A3),IF(("call")=(INDEX(B1:XFD1,(A2)+(0))),((B2)*(2))+(1),IF(("goto")=(INDEX(B1:XFD1,(A2)+(0))),((INDEX(B1:XFD1,(A2)+(1)))*(2))+(1),IF(("gotoiftrue")=(INDEX(B1:XFD1,(A2)+(0))),IF(B2,((INDEX(B1:XFD1,(A2)+(1)))*(2))+(1),(A37)+(2)),(A37)+(2)))),A37))</f>
        <v>#VALUE!</v>
      </c>
      <c r="B37" t="e">
        <f ca="1">IF((A1)=(2),1,IF((34)=(B3),IF(("push")=(INDEX(B1:XFD1,(A2)+(0))),INDEX(B1:XFD1,(A2)+(1)),IF(("load")=(INDEX(B1:XFD1,(A2)+(0))),INDEX(F2:XFD2,INDEX(B1:XFD1,(A2)+(1))),IF(("newheap")=(INDEX(B1:XFD1,(A2)+(0))),(C3)-(2),IF(("getheap")=(INDEX(B1:XFD1,(A2)+(0))),INDEX(C4:C54,(B37)+(1)),IF(("add")=(INDEX(B1:XFD1,(A2)+(0))),(INDEX(B4:B54,(B3)+(1)))+(B37),IF(("equals")=(INDEX(B1:XFD1,(A2)+(0))),(INDEX(B4:B54,(B3)+(1)))=(B37),IF(("leq")=(INDEX(B1:XFD1,(A2)+(0))),(INDEX(B4:B54,(B3)+(1)))&lt;=(B37),B37))))))),B37))</f>
        <v>#VALUE!</v>
      </c>
      <c r="C37" t="e">
        <f ca="1">IF((A1)=(2),1,IF(AND((INDEX(B1:XFD1,(A2)+(0)))=("writeheap"),(INDEX(B4:B54,(B3)+(1)))=(33)),INDEX(B4:B54,(B3)+(2)),IF((A1)=(2),1,IF((34)=(C3),C37,C37))))</f>
        <v>#VALUE!</v>
      </c>
      <c r="D37" t="e">
        <f ca="1">IF((A1)=(2),1,IF((34)=(D3),D37,D37))</f>
        <v>#VALUE!</v>
      </c>
      <c r="E37" t="e">
        <f ca="1">IF((A1)=(2),1,IF((34)=(E3),IF(("outputline")=(INDEX(B1:XFD1,(A2)+(0))),B2,E37),E37))</f>
        <v>#VALUE!</v>
      </c>
      <c r="F37" t="e">
        <f ca="1">IF((A1)=(2),1,IF((34)=(F3),IF(IF((INDEX(B1:XFD1,(A2)+(0)))=("store"),(INDEX(B1:XFD1,(A2)+(1)))=("F"),"false"),B2,F37),F37))</f>
        <v>#VALUE!</v>
      </c>
      <c r="G37" t="e">
        <f ca="1">IF((A1)=(2),1,IF((34)=(G3),IF(IF((INDEX(B1:XFD1,(A2)+(0)))=("store"),(INDEX(B1:XFD1,(A2)+(1)))=("G"),"false"),B2,G37),G37))</f>
        <v>#VALUE!</v>
      </c>
      <c r="H37" t="e">
        <f ca="1">IF((A1)=(2),1,IF((34)=(H3),IF(IF((INDEX(B1:XFD1,(A2)+(0)))=("store"),(INDEX(B1:XFD1,(A2)+(1)))=("H"),"false"),B2,H37),H37))</f>
        <v>#VALUE!</v>
      </c>
    </row>
    <row r="38" spans="1:8" x14ac:dyDescent="0.25">
      <c r="A38" t="e">
        <f ca="1">IF((A1)=(2),1,IF((35)=(A3),IF(("call")=(INDEX(B1:XFD1,(A2)+(0))),((B2)*(2))+(1),IF(("goto")=(INDEX(B1:XFD1,(A2)+(0))),((INDEX(B1:XFD1,(A2)+(1)))*(2))+(1),IF(("gotoiftrue")=(INDEX(B1:XFD1,(A2)+(0))),IF(B2,((INDEX(B1:XFD1,(A2)+(1)))*(2))+(1),(A38)+(2)),(A38)+(2)))),A38))</f>
        <v>#VALUE!</v>
      </c>
      <c r="B38" t="e">
        <f ca="1">IF((A1)=(2),1,IF((35)=(B3),IF(("push")=(INDEX(B1:XFD1,(A2)+(0))),INDEX(B1:XFD1,(A2)+(1)),IF(("load")=(INDEX(B1:XFD1,(A2)+(0))),INDEX(F2:XFD2,INDEX(B1:XFD1,(A2)+(1))),IF(("newheap")=(INDEX(B1:XFD1,(A2)+(0))),(C3)-(2),IF(("getheap")=(INDEX(B1:XFD1,(A2)+(0))),INDEX(C4:C54,(B38)+(1)),IF(("add")=(INDEX(B1:XFD1,(A2)+(0))),(INDEX(B4:B54,(B3)+(1)))+(B38),IF(("equals")=(INDEX(B1:XFD1,(A2)+(0))),(INDEX(B4:B54,(B3)+(1)))=(B38),IF(("leq")=(INDEX(B1:XFD1,(A2)+(0))),(INDEX(B4:B54,(B3)+(1)))&lt;=(B38),B38))))))),B38))</f>
        <v>#VALUE!</v>
      </c>
      <c r="C38" t="e">
        <f ca="1">IF((A1)=(2),1,IF(AND((INDEX(B1:XFD1,(A2)+(0)))=("writeheap"),(INDEX(B4:B54,(B3)+(1)))=(34)),INDEX(B4:B54,(B3)+(2)),IF((A1)=(2),1,IF((35)=(C3),C38,C38))))</f>
        <v>#VALUE!</v>
      </c>
      <c r="D38" t="e">
        <f ca="1">IF((A1)=(2),1,IF((35)=(D3),D38,D38))</f>
        <v>#VALUE!</v>
      </c>
      <c r="E38" t="e">
        <f ca="1">IF((A1)=(2),1,IF((35)=(E3),IF(("outputline")=(INDEX(B1:XFD1,(A2)+(0))),B2,E38),E38))</f>
        <v>#VALUE!</v>
      </c>
      <c r="F38" t="e">
        <f ca="1">IF((A1)=(2),1,IF((35)=(F3),IF(IF((INDEX(B1:XFD1,(A2)+(0)))=("store"),(INDEX(B1:XFD1,(A2)+(1)))=("F"),"false"),B2,F38),F38))</f>
        <v>#VALUE!</v>
      </c>
      <c r="G38" t="e">
        <f ca="1">IF((A1)=(2),1,IF((35)=(G3),IF(IF((INDEX(B1:XFD1,(A2)+(0)))=("store"),(INDEX(B1:XFD1,(A2)+(1)))=("G"),"false"),B2,G38),G38))</f>
        <v>#VALUE!</v>
      </c>
      <c r="H38" t="e">
        <f ca="1">IF((A1)=(2),1,IF((35)=(H3),IF(IF((INDEX(B1:XFD1,(A2)+(0)))=("store"),(INDEX(B1:XFD1,(A2)+(1)))=("H"),"false"),B2,H38),H38))</f>
        <v>#VALUE!</v>
      </c>
    </row>
    <row r="39" spans="1:8" x14ac:dyDescent="0.25">
      <c r="A39" t="e">
        <f ca="1">IF((A1)=(2),1,IF((36)=(A3),IF(("call")=(INDEX(B1:XFD1,(A2)+(0))),((B2)*(2))+(1),IF(("goto")=(INDEX(B1:XFD1,(A2)+(0))),((INDEX(B1:XFD1,(A2)+(1)))*(2))+(1),IF(("gotoiftrue")=(INDEX(B1:XFD1,(A2)+(0))),IF(B2,((INDEX(B1:XFD1,(A2)+(1)))*(2))+(1),(A39)+(2)),(A39)+(2)))),A39))</f>
        <v>#VALUE!</v>
      </c>
      <c r="B39" t="e">
        <f ca="1">IF((A1)=(2),1,IF((36)=(B3),IF(("push")=(INDEX(B1:XFD1,(A2)+(0))),INDEX(B1:XFD1,(A2)+(1)),IF(("load")=(INDEX(B1:XFD1,(A2)+(0))),INDEX(F2:XFD2,INDEX(B1:XFD1,(A2)+(1))),IF(("newheap")=(INDEX(B1:XFD1,(A2)+(0))),(C3)-(2),IF(("getheap")=(INDEX(B1:XFD1,(A2)+(0))),INDEX(C4:C54,(B39)+(1)),IF(("add")=(INDEX(B1:XFD1,(A2)+(0))),(INDEX(B4:B54,(B3)+(1)))+(B39),IF(("equals")=(INDEX(B1:XFD1,(A2)+(0))),(INDEX(B4:B54,(B3)+(1)))=(B39),IF(("leq")=(INDEX(B1:XFD1,(A2)+(0))),(INDEX(B4:B54,(B3)+(1)))&lt;=(B39),B39))))))),B39))</f>
        <v>#VALUE!</v>
      </c>
      <c r="C39" t="e">
        <f ca="1">IF((A1)=(2),1,IF(AND((INDEX(B1:XFD1,(A2)+(0)))=("writeheap"),(INDEX(B4:B54,(B3)+(1)))=(35)),INDEX(B4:B54,(B3)+(2)),IF((A1)=(2),1,IF((36)=(C3),C39,C39))))</f>
        <v>#VALUE!</v>
      </c>
      <c r="D39" t="e">
        <f ca="1">IF((A1)=(2),1,IF((36)=(D3),D39,D39))</f>
        <v>#VALUE!</v>
      </c>
      <c r="E39" t="e">
        <f ca="1">IF((A1)=(2),1,IF((36)=(E3),IF(("outputline")=(INDEX(B1:XFD1,(A2)+(0))),B2,E39),E39))</f>
        <v>#VALUE!</v>
      </c>
      <c r="F39" t="e">
        <f ca="1">IF((A1)=(2),1,IF((36)=(F3),IF(IF((INDEX(B1:XFD1,(A2)+(0)))=("store"),(INDEX(B1:XFD1,(A2)+(1)))=("F"),"false"),B2,F39),F39))</f>
        <v>#VALUE!</v>
      </c>
      <c r="G39" t="e">
        <f ca="1">IF((A1)=(2),1,IF((36)=(G3),IF(IF((INDEX(B1:XFD1,(A2)+(0)))=("store"),(INDEX(B1:XFD1,(A2)+(1)))=("G"),"false"),B2,G39),G39))</f>
        <v>#VALUE!</v>
      </c>
      <c r="H39" t="e">
        <f ca="1">IF((A1)=(2),1,IF((36)=(H3),IF(IF((INDEX(B1:XFD1,(A2)+(0)))=("store"),(INDEX(B1:XFD1,(A2)+(1)))=("H"),"false"),B2,H39),H39))</f>
        <v>#VALUE!</v>
      </c>
    </row>
    <row r="40" spans="1:8" x14ac:dyDescent="0.25">
      <c r="A40" t="e">
        <f ca="1">IF((A1)=(2),1,IF((37)=(A3),IF(("call")=(INDEX(B1:XFD1,(A2)+(0))),((B2)*(2))+(1),IF(("goto")=(INDEX(B1:XFD1,(A2)+(0))),((INDEX(B1:XFD1,(A2)+(1)))*(2))+(1),IF(("gotoiftrue")=(INDEX(B1:XFD1,(A2)+(0))),IF(B2,((INDEX(B1:XFD1,(A2)+(1)))*(2))+(1),(A40)+(2)),(A40)+(2)))),A40))</f>
        <v>#VALUE!</v>
      </c>
      <c r="B40" t="e">
        <f ca="1">IF((A1)=(2),1,IF((37)=(B3),IF(("push")=(INDEX(B1:XFD1,(A2)+(0))),INDEX(B1:XFD1,(A2)+(1)),IF(("load")=(INDEX(B1:XFD1,(A2)+(0))),INDEX(F2:XFD2,INDEX(B1:XFD1,(A2)+(1))),IF(("newheap")=(INDEX(B1:XFD1,(A2)+(0))),(C3)-(2),IF(("getheap")=(INDEX(B1:XFD1,(A2)+(0))),INDEX(C4:C54,(B40)+(1)),IF(("add")=(INDEX(B1:XFD1,(A2)+(0))),(INDEX(B4:B54,(B3)+(1)))+(B40),IF(("equals")=(INDEX(B1:XFD1,(A2)+(0))),(INDEX(B4:B54,(B3)+(1)))=(B40),IF(("leq")=(INDEX(B1:XFD1,(A2)+(0))),(INDEX(B4:B54,(B3)+(1)))&lt;=(B40),B40))))))),B40))</f>
        <v>#VALUE!</v>
      </c>
      <c r="C40" t="e">
        <f ca="1">IF((A1)=(2),1,IF(AND((INDEX(B1:XFD1,(A2)+(0)))=("writeheap"),(INDEX(B4:B54,(B3)+(1)))=(36)),INDEX(B4:B54,(B3)+(2)),IF((A1)=(2),1,IF((37)=(C3),C40,C40))))</f>
        <v>#VALUE!</v>
      </c>
      <c r="D40" t="e">
        <f ca="1">IF((A1)=(2),1,IF((37)=(D3),D40,D40))</f>
        <v>#VALUE!</v>
      </c>
      <c r="E40" t="e">
        <f ca="1">IF((A1)=(2),1,IF((37)=(E3),IF(("outputline")=(INDEX(B1:XFD1,(A2)+(0))),B2,E40),E40))</f>
        <v>#VALUE!</v>
      </c>
      <c r="F40" t="e">
        <f ca="1">IF((A1)=(2),1,IF((37)=(F3),IF(IF((INDEX(B1:XFD1,(A2)+(0)))=("store"),(INDEX(B1:XFD1,(A2)+(1)))=("F"),"false"),B2,F40),F40))</f>
        <v>#VALUE!</v>
      </c>
      <c r="G40" t="e">
        <f ca="1">IF((A1)=(2),1,IF((37)=(G3),IF(IF((INDEX(B1:XFD1,(A2)+(0)))=("store"),(INDEX(B1:XFD1,(A2)+(1)))=("G"),"false"),B2,G40),G40))</f>
        <v>#VALUE!</v>
      </c>
      <c r="H40" t="e">
        <f ca="1">IF((A1)=(2),1,IF((37)=(H3),IF(IF((INDEX(B1:XFD1,(A2)+(0)))=("store"),(INDEX(B1:XFD1,(A2)+(1)))=("H"),"false"),B2,H40),H40))</f>
        <v>#VALUE!</v>
      </c>
    </row>
    <row r="41" spans="1:8" x14ac:dyDescent="0.25">
      <c r="A41" t="e">
        <f ca="1">IF((A1)=(2),1,IF((38)=(A3),IF(("call")=(INDEX(B1:XFD1,(A2)+(0))),((B2)*(2))+(1),IF(("goto")=(INDEX(B1:XFD1,(A2)+(0))),((INDEX(B1:XFD1,(A2)+(1)))*(2))+(1),IF(("gotoiftrue")=(INDEX(B1:XFD1,(A2)+(0))),IF(B2,((INDEX(B1:XFD1,(A2)+(1)))*(2))+(1),(A41)+(2)),(A41)+(2)))),A41))</f>
        <v>#VALUE!</v>
      </c>
      <c r="B41" t="e">
        <f ca="1">IF((A1)=(2),1,IF((38)=(B3),IF(("push")=(INDEX(B1:XFD1,(A2)+(0))),INDEX(B1:XFD1,(A2)+(1)),IF(("load")=(INDEX(B1:XFD1,(A2)+(0))),INDEX(F2:XFD2,INDEX(B1:XFD1,(A2)+(1))),IF(("newheap")=(INDEX(B1:XFD1,(A2)+(0))),(C3)-(2),IF(("getheap")=(INDEX(B1:XFD1,(A2)+(0))),INDEX(C4:C54,(B41)+(1)),IF(("add")=(INDEX(B1:XFD1,(A2)+(0))),(INDEX(B4:B54,(B3)+(1)))+(B41),IF(("equals")=(INDEX(B1:XFD1,(A2)+(0))),(INDEX(B4:B54,(B3)+(1)))=(B41),IF(("leq")=(INDEX(B1:XFD1,(A2)+(0))),(INDEX(B4:B54,(B3)+(1)))&lt;=(B41),B41))))))),B41))</f>
        <v>#VALUE!</v>
      </c>
      <c r="C41" t="e">
        <f ca="1">IF((A1)=(2),1,IF(AND((INDEX(B1:XFD1,(A2)+(0)))=("writeheap"),(INDEX(B4:B54,(B3)+(1)))=(37)),INDEX(B4:B54,(B3)+(2)),IF((A1)=(2),1,IF((38)=(C3),C41,C41))))</f>
        <v>#VALUE!</v>
      </c>
      <c r="D41" t="e">
        <f ca="1">IF((A1)=(2),1,IF((38)=(D3),D41,D41))</f>
        <v>#VALUE!</v>
      </c>
      <c r="E41" t="e">
        <f ca="1">IF((A1)=(2),1,IF((38)=(E3),IF(("outputline")=(INDEX(B1:XFD1,(A2)+(0))),B2,E41),E41))</f>
        <v>#VALUE!</v>
      </c>
      <c r="F41" t="e">
        <f ca="1">IF((A1)=(2),1,IF((38)=(F3),IF(IF((INDEX(B1:XFD1,(A2)+(0)))=("store"),(INDEX(B1:XFD1,(A2)+(1)))=("F"),"false"),B2,F41),F41))</f>
        <v>#VALUE!</v>
      </c>
      <c r="G41" t="e">
        <f ca="1">IF((A1)=(2),1,IF((38)=(G3),IF(IF((INDEX(B1:XFD1,(A2)+(0)))=("store"),(INDEX(B1:XFD1,(A2)+(1)))=("G"),"false"),B2,G41),G41))</f>
        <v>#VALUE!</v>
      </c>
      <c r="H41" t="e">
        <f ca="1">IF((A1)=(2),1,IF((38)=(H3),IF(IF((INDEX(B1:XFD1,(A2)+(0)))=("store"),(INDEX(B1:XFD1,(A2)+(1)))=("H"),"false"),B2,H41),H41))</f>
        <v>#VALUE!</v>
      </c>
    </row>
    <row r="42" spans="1:8" x14ac:dyDescent="0.25">
      <c r="A42" t="e">
        <f ca="1">IF((A1)=(2),1,IF((39)=(A3),IF(("call")=(INDEX(B1:XFD1,(A2)+(0))),((B2)*(2))+(1),IF(("goto")=(INDEX(B1:XFD1,(A2)+(0))),((INDEX(B1:XFD1,(A2)+(1)))*(2))+(1),IF(("gotoiftrue")=(INDEX(B1:XFD1,(A2)+(0))),IF(B2,((INDEX(B1:XFD1,(A2)+(1)))*(2))+(1),(A42)+(2)),(A42)+(2)))),A42))</f>
        <v>#VALUE!</v>
      </c>
      <c r="B42" t="e">
        <f ca="1">IF((A1)=(2),1,IF((39)=(B3),IF(("push")=(INDEX(B1:XFD1,(A2)+(0))),INDEX(B1:XFD1,(A2)+(1)),IF(("load")=(INDEX(B1:XFD1,(A2)+(0))),INDEX(F2:XFD2,INDEX(B1:XFD1,(A2)+(1))),IF(("newheap")=(INDEX(B1:XFD1,(A2)+(0))),(C3)-(2),IF(("getheap")=(INDEX(B1:XFD1,(A2)+(0))),INDEX(C4:C54,(B42)+(1)),IF(("add")=(INDEX(B1:XFD1,(A2)+(0))),(INDEX(B4:B54,(B3)+(1)))+(B42),IF(("equals")=(INDEX(B1:XFD1,(A2)+(0))),(INDEX(B4:B54,(B3)+(1)))=(B42),IF(("leq")=(INDEX(B1:XFD1,(A2)+(0))),(INDEX(B4:B54,(B3)+(1)))&lt;=(B42),B42))))))),B42))</f>
        <v>#VALUE!</v>
      </c>
      <c r="C42" t="e">
        <f ca="1">IF((A1)=(2),1,IF(AND((INDEX(B1:XFD1,(A2)+(0)))=("writeheap"),(INDEX(B4:B54,(B3)+(1)))=(38)),INDEX(B4:B54,(B3)+(2)),IF((A1)=(2),1,IF((39)=(C3),C42,C42))))</f>
        <v>#VALUE!</v>
      </c>
      <c r="D42" t="e">
        <f ca="1">IF((A1)=(2),1,IF((39)=(D3),D42,D42))</f>
        <v>#VALUE!</v>
      </c>
      <c r="E42" t="e">
        <f ca="1">IF((A1)=(2),1,IF((39)=(E3),IF(("outputline")=(INDEX(B1:XFD1,(A2)+(0))),B2,E42),E42))</f>
        <v>#VALUE!</v>
      </c>
      <c r="F42" t="e">
        <f ca="1">IF((A1)=(2),1,IF((39)=(F3),IF(IF((INDEX(B1:XFD1,(A2)+(0)))=("store"),(INDEX(B1:XFD1,(A2)+(1)))=("F"),"false"),B2,F42),F42))</f>
        <v>#VALUE!</v>
      </c>
      <c r="G42" t="e">
        <f ca="1">IF((A1)=(2),1,IF((39)=(G3),IF(IF((INDEX(B1:XFD1,(A2)+(0)))=("store"),(INDEX(B1:XFD1,(A2)+(1)))=("G"),"false"),B2,G42),G42))</f>
        <v>#VALUE!</v>
      </c>
      <c r="H42" t="e">
        <f ca="1">IF((A1)=(2),1,IF((39)=(H3),IF(IF((INDEX(B1:XFD1,(A2)+(0)))=("store"),(INDEX(B1:XFD1,(A2)+(1)))=("H"),"false"),B2,H42),H42))</f>
        <v>#VALUE!</v>
      </c>
    </row>
    <row r="43" spans="1:8" x14ac:dyDescent="0.25">
      <c r="A43" t="e">
        <f ca="1">IF((A1)=(2),1,IF((40)=(A3),IF(("call")=(INDEX(B1:XFD1,(A2)+(0))),((B2)*(2))+(1),IF(("goto")=(INDEX(B1:XFD1,(A2)+(0))),((INDEX(B1:XFD1,(A2)+(1)))*(2))+(1),IF(("gotoiftrue")=(INDEX(B1:XFD1,(A2)+(0))),IF(B2,((INDEX(B1:XFD1,(A2)+(1)))*(2))+(1),(A43)+(2)),(A43)+(2)))),A43))</f>
        <v>#VALUE!</v>
      </c>
      <c r="B43" t="e">
        <f ca="1">IF((A1)=(2),1,IF((40)=(B3),IF(("push")=(INDEX(B1:XFD1,(A2)+(0))),INDEX(B1:XFD1,(A2)+(1)),IF(("load")=(INDEX(B1:XFD1,(A2)+(0))),INDEX(F2:XFD2,INDEX(B1:XFD1,(A2)+(1))),IF(("newheap")=(INDEX(B1:XFD1,(A2)+(0))),(C3)-(2),IF(("getheap")=(INDEX(B1:XFD1,(A2)+(0))),INDEX(C4:C54,(B43)+(1)),IF(("add")=(INDEX(B1:XFD1,(A2)+(0))),(INDEX(B4:B54,(B3)+(1)))+(B43),IF(("equals")=(INDEX(B1:XFD1,(A2)+(0))),(INDEX(B4:B54,(B3)+(1)))=(B43),IF(("leq")=(INDEX(B1:XFD1,(A2)+(0))),(INDEX(B4:B54,(B3)+(1)))&lt;=(B43),B43))))))),B43))</f>
        <v>#VALUE!</v>
      </c>
      <c r="C43" t="e">
        <f ca="1">IF((A1)=(2),1,IF(AND((INDEX(B1:XFD1,(A2)+(0)))=("writeheap"),(INDEX(B4:B54,(B3)+(1)))=(39)),INDEX(B4:B54,(B3)+(2)),IF((A1)=(2),1,IF((40)=(C3),C43,C43))))</f>
        <v>#VALUE!</v>
      </c>
      <c r="D43" t="e">
        <f ca="1">IF((A1)=(2),1,IF((40)=(D3),D43,D43))</f>
        <v>#VALUE!</v>
      </c>
      <c r="E43" t="e">
        <f ca="1">IF((A1)=(2),1,IF((40)=(E3),IF(("outputline")=(INDEX(B1:XFD1,(A2)+(0))),B2,E43),E43))</f>
        <v>#VALUE!</v>
      </c>
      <c r="F43" t="e">
        <f ca="1">IF((A1)=(2),1,IF((40)=(F3),IF(IF((INDEX(B1:XFD1,(A2)+(0)))=("store"),(INDEX(B1:XFD1,(A2)+(1)))=("F"),"false"),B2,F43),F43))</f>
        <v>#VALUE!</v>
      </c>
      <c r="G43" t="e">
        <f ca="1">IF((A1)=(2),1,IF((40)=(G3),IF(IF((INDEX(B1:XFD1,(A2)+(0)))=("store"),(INDEX(B1:XFD1,(A2)+(1)))=("G"),"false"),B2,G43),G43))</f>
        <v>#VALUE!</v>
      </c>
      <c r="H43" t="e">
        <f ca="1">IF((A1)=(2),1,IF((40)=(H3),IF(IF((INDEX(B1:XFD1,(A2)+(0)))=("store"),(INDEX(B1:XFD1,(A2)+(1)))=("H"),"false"),B2,H43),H43))</f>
        <v>#VALUE!</v>
      </c>
    </row>
    <row r="44" spans="1:8" x14ac:dyDescent="0.25">
      <c r="A44" t="e">
        <f ca="1">IF((A1)=(2),1,IF((41)=(A3),IF(("call")=(INDEX(B1:XFD1,(A2)+(0))),((B2)*(2))+(1),IF(("goto")=(INDEX(B1:XFD1,(A2)+(0))),((INDEX(B1:XFD1,(A2)+(1)))*(2))+(1),IF(("gotoiftrue")=(INDEX(B1:XFD1,(A2)+(0))),IF(B2,((INDEX(B1:XFD1,(A2)+(1)))*(2))+(1),(A44)+(2)),(A44)+(2)))),A44))</f>
        <v>#VALUE!</v>
      </c>
      <c r="B44" t="e">
        <f ca="1">IF((A1)=(2),1,IF((41)=(B3),IF(("push")=(INDEX(B1:XFD1,(A2)+(0))),INDEX(B1:XFD1,(A2)+(1)),IF(("load")=(INDEX(B1:XFD1,(A2)+(0))),INDEX(F2:XFD2,INDEX(B1:XFD1,(A2)+(1))),IF(("newheap")=(INDEX(B1:XFD1,(A2)+(0))),(C3)-(2),IF(("getheap")=(INDEX(B1:XFD1,(A2)+(0))),INDEX(C4:C54,(B44)+(1)),IF(("add")=(INDEX(B1:XFD1,(A2)+(0))),(INDEX(B4:B54,(B3)+(1)))+(B44),IF(("equals")=(INDEX(B1:XFD1,(A2)+(0))),(INDEX(B4:B54,(B3)+(1)))=(B44),IF(("leq")=(INDEX(B1:XFD1,(A2)+(0))),(INDEX(B4:B54,(B3)+(1)))&lt;=(B44),B44))))))),B44))</f>
        <v>#VALUE!</v>
      </c>
      <c r="C44" t="e">
        <f ca="1">IF((A1)=(2),1,IF(AND((INDEX(B1:XFD1,(A2)+(0)))=("writeheap"),(INDEX(B4:B54,(B3)+(1)))=(40)),INDEX(B4:B54,(B3)+(2)),IF((A1)=(2),1,IF((41)=(C3),C44,C44))))</f>
        <v>#VALUE!</v>
      </c>
      <c r="D44" t="e">
        <f ca="1">IF((A1)=(2),1,IF((41)=(D3),D44,D44))</f>
        <v>#VALUE!</v>
      </c>
      <c r="E44" t="e">
        <f ca="1">IF((A1)=(2),1,IF((41)=(E3),IF(("outputline")=(INDEX(B1:XFD1,(A2)+(0))),B2,E44),E44))</f>
        <v>#VALUE!</v>
      </c>
      <c r="F44" t="e">
        <f ca="1">IF((A1)=(2),1,IF((41)=(F3),IF(IF((INDEX(B1:XFD1,(A2)+(0)))=("store"),(INDEX(B1:XFD1,(A2)+(1)))=("F"),"false"),B2,F44),F44))</f>
        <v>#VALUE!</v>
      </c>
      <c r="G44" t="e">
        <f ca="1">IF((A1)=(2),1,IF((41)=(G3),IF(IF((INDEX(B1:XFD1,(A2)+(0)))=("store"),(INDEX(B1:XFD1,(A2)+(1)))=("G"),"false"),B2,G44),G44))</f>
        <v>#VALUE!</v>
      </c>
      <c r="H44" t="e">
        <f ca="1">IF((A1)=(2),1,IF((41)=(H3),IF(IF((INDEX(B1:XFD1,(A2)+(0)))=("store"),(INDEX(B1:XFD1,(A2)+(1)))=("H"),"false"),B2,H44),H44))</f>
        <v>#VALUE!</v>
      </c>
    </row>
    <row r="45" spans="1:8" x14ac:dyDescent="0.25">
      <c r="A45" t="e">
        <f ca="1">IF((A1)=(2),1,IF((42)=(A3),IF(("call")=(INDEX(B1:XFD1,(A2)+(0))),((B2)*(2))+(1),IF(("goto")=(INDEX(B1:XFD1,(A2)+(0))),((INDEX(B1:XFD1,(A2)+(1)))*(2))+(1),IF(("gotoiftrue")=(INDEX(B1:XFD1,(A2)+(0))),IF(B2,((INDEX(B1:XFD1,(A2)+(1)))*(2))+(1),(A45)+(2)),(A45)+(2)))),A45))</f>
        <v>#VALUE!</v>
      </c>
      <c r="B45" t="e">
        <f ca="1">IF((A1)=(2),1,IF((42)=(B3),IF(("push")=(INDEX(B1:XFD1,(A2)+(0))),INDEX(B1:XFD1,(A2)+(1)),IF(("load")=(INDEX(B1:XFD1,(A2)+(0))),INDEX(F2:XFD2,INDEX(B1:XFD1,(A2)+(1))),IF(("newheap")=(INDEX(B1:XFD1,(A2)+(0))),(C3)-(2),IF(("getheap")=(INDEX(B1:XFD1,(A2)+(0))),INDEX(C4:C54,(B45)+(1)),IF(("add")=(INDEX(B1:XFD1,(A2)+(0))),(INDEX(B4:B54,(B3)+(1)))+(B45),IF(("equals")=(INDEX(B1:XFD1,(A2)+(0))),(INDEX(B4:B54,(B3)+(1)))=(B45),IF(("leq")=(INDEX(B1:XFD1,(A2)+(0))),(INDEX(B4:B54,(B3)+(1)))&lt;=(B45),B45))))))),B45))</f>
        <v>#VALUE!</v>
      </c>
      <c r="C45" t="e">
        <f ca="1">IF((A1)=(2),1,IF(AND((INDEX(B1:XFD1,(A2)+(0)))=("writeheap"),(INDEX(B4:B54,(B3)+(1)))=(41)),INDEX(B4:B54,(B3)+(2)),IF((A1)=(2),1,IF((42)=(C3),C45,C45))))</f>
        <v>#VALUE!</v>
      </c>
      <c r="D45" t="e">
        <f ca="1">IF((A1)=(2),1,IF((42)=(D3),D45,D45))</f>
        <v>#VALUE!</v>
      </c>
      <c r="E45" t="e">
        <f ca="1">IF((A1)=(2),1,IF((42)=(E3),IF(("outputline")=(INDEX(B1:XFD1,(A2)+(0))),B2,E45),E45))</f>
        <v>#VALUE!</v>
      </c>
      <c r="F45" t="e">
        <f ca="1">IF((A1)=(2),1,IF((42)=(F3),IF(IF((INDEX(B1:XFD1,(A2)+(0)))=("store"),(INDEX(B1:XFD1,(A2)+(1)))=("F"),"false"),B2,F45),F45))</f>
        <v>#VALUE!</v>
      </c>
      <c r="G45" t="e">
        <f ca="1">IF((A1)=(2),1,IF((42)=(G3),IF(IF((INDEX(B1:XFD1,(A2)+(0)))=("store"),(INDEX(B1:XFD1,(A2)+(1)))=("G"),"false"),B2,G45),G45))</f>
        <v>#VALUE!</v>
      </c>
      <c r="H45" t="e">
        <f ca="1">IF((A1)=(2),1,IF((42)=(H3),IF(IF((INDEX(B1:XFD1,(A2)+(0)))=("store"),(INDEX(B1:XFD1,(A2)+(1)))=("H"),"false"),B2,H45),H45))</f>
        <v>#VALUE!</v>
      </c>
    </row>
    <row r="46" spans="1:8" x14ac:dyDescent="0.25">
      <c r="A46" t="e">
        <f ca="1">IF((A1)=(2),1,IF((43)=(A3),IF(("call")=(INDEX(B1:XFD1,(A2)+(0))),((B2)*(2))+(1),IF(("goto")=(INDEX(B1:XFD1,(A2)+(0))),((INDEX(B1:XFD1,(A2)+(1)))*(2))+(1),IF(("gotoiftrue")=(INDEX(B1:XFD1,(A2)+(0))),IF(B2,((INDEX(B1:XFD1,(A2)+(1)))*(2))+(1),(A46)+(2)),(A46)+(2)))),A46))</f>
        <v>#VALUE!</v>
      </c>
      <c r="B46" t="e">
        <f ca="1">IF((A1)=(2),1,IF((43)=(B3),IF(("push")=(INDEX(B1:XFD1,(A2)+(0))),INDEX(B1:XFD1,(A2)+(1)),IF(("load")=(INDEX(B1:XFD1,(A2)+(0))),INDEX(F2:XFD2,INDEX(B1:XFD1,(A2)+(1))),IF(("newheap")=(INDEX(B1:XFD1,(A2)+(0))),(C3)-(2),IF(("getheap")=(INDEX(B1:XFD1,(A2)+(0))),INDEX(C4:C54,(B46)+(1)),IF(("add")=(INDEX(B1:XFD1,(A2)+(0))),(INDEX(B4:B54,(B3)+(1)))+(B46),IF(("equals")=(INDEX(B1:XFD1,(A2)+(0))),(INDEX(B4:B54,(B3)+(1)))=(B46),IF(("leq")=(INDEX(B1:XFD1,(A2)+(0))),(INDEX(B4:B54,(B3)+(1)))&lt;=(B46),B46))))))),B46))</f>
        <v>#VALUE!</v>
      </c>
      <c r="C46" t="e">
        <f ca="1">IF((A1)=(2),1,IF(AND((INDEX(B1:XFD1,(A2)+(0)))=("writeheap"),(INDEX(B4:B54,(B3)+(1)))=(42)),INDEX(B4:B54,(B3)+(2)),IF((A1)=(2),1,IF((43)=(C3),C46,C46))))</f>
        <v>#VALUE!</v>
      </c>
      <c r="D46" t="e">
        <f ca="1">IF((A1)=(2),1,IF((43)=(D3),D46,D46))</f>
        <v>#VALUE!</v>
      </c>
      <c r="E46" t="e">
        <f ca="1">IF((A1)=(2),1,IF((43)=(E3),IF(("outputline")=(INDEX(B1:XFD1,(A2)+(0))),B2,E46),E46))</f>
        <v>#VALUE!</v>
      </c>
      <c r="F46" t="e">
        <f ca="1">IF((A1)=(2),1,IF((43)=(F3),IF(IF((INDEX(B1:XFD1,(A2)+(0)))=("store"),(INDEX(B1:XFD1,(A2)+(1)))=("F"),"false"),B2,F46),F46))</f>
        <v>#VALUE!</v>
      </c>
      <c r="G46" t="e">
        <f ca="1">IF((A1)=(2),1,IF((43)=(G3),IF(IF((INDEX(B1:XFD1,(A2)+(0)))=("store"),(INDEX(B1:XFD1,(A2)+(1)))=("G"),"false"),B2,G46),G46))</f>
        <v>#VALUE!</v>
      </c>
      <c r="H46" t="e">
        <f ca="1">IF((A1)=(2),1,IF((43)=(H3),IF(IF((INDEX(B1:XFD1,(A2)+(0)))=("store"),(INDEX(B1:XFD1,(A2)+(1)))=("H"),"false"),B2,H46),H46))</f>
        <v>#VALUE!</v>
      </c>
    </row>
    <row r="47" spans="1:8" x14ac:dyDescent="0.25">
      <c r="A47" t="e">
        <f ca="1">IF((A1)=(2),1,IF((44)=(A3),IF(("call")=(INDEX(B1:XFD1,(A2)+(0))),((B2)*(2))+(1),IF(("goto")=(INDEX(B1:XFD1,(A2)+(0))),((INDEX(B1:XFD1,(A2)+(1)))*(2))+(1),IF(("gotoiftrue")=(INDEX(B1:XFD1,(A2)+(0))),IF(B2,((INDEX(B1:XFD1,(A2)+(1)))*(2))+(1),(A47)+(2)),(A47)+(2)))),A47))</f>
        <v>#VALUE!</v>
      </c>
      <c r="B47" t="e">
        <f ca="1">IF((A1)=(2),1,IF((44)=(B3),IF(("push")=(INDEX(B1:XFD1,(A2)+(0))),INDEX(B1:XFD1,(A2)+(1)),IF(("load")=(INDEX(B1:XFD1,(A2)+(0))),INDEX(F2:XFD2,INDEX(B1:XFD1,(A2)+(1))),IF(("newheap")=(INDEX(B1:XFD1,(A2)+(0))),(C3)-(2),IF(("getheap")=(INDEX(B1:XFD1,(A2)+(0))),INDEX(C4:C54,(B47)+(1)),IF(("add")=(INDEX(B1:XFD1,(A2)+(0))),(INDEX(B4:B54,(B3)+(1)))+(B47),IF(("equals")=(INDEX(B1:XFD1,(A2)+(0))),(INDEX(B4:B54,(B3)+(1)))=(B47),IF(("leq")=(INDEX(B1:XFD1,(A2)+(0))),(INDEX(B4:B54,(B3)+(1)))&lt;=(B47),B47))))))),B47))</f>
        <v>#VALUE!</v>
      </c>
      <c r="C47" t="e">
        <f ca="1">IF((A1)=(2),1,IF(AND((INDEX(B1:XFD1,(A2)+(0)))=("writeheap"),(INDEX(B4:B54,(B3)+(1)))=(43)),INDEX(B4:B54,(B3)+(2)),IF((A1)=(2),1,IF((44)=(C3),C47,C47))))</f>
        <v>#VALUE!</v>
      </c>
      <c r="D47" t="e">
        <f ca="1">IF((A1)=(2),1,IF((44)=(D3),D47,D47))</f>
        <v>#VALUE!</v>
      </c>
      <c r="E47" t="e">
        <f ca="1">IF((A1)=(2),1,IF((44)=(E3),IF(("outputline")=(INDEX(B1:XFD1,(A2)+(0))),B2,E47),E47))</f>
        <v>#VALUE!</v>
      </c>
      <c r="F47" t="e">
        <f ca="1">IF((A1)=(2),1,IF((44)=(F3),IF(IF((INDEX(B1:XFD1,(A2)+(0)))=("store"),(INDEX(B1:XFD1,(A2)+(1)))=("F"),"false"),B2,F47),F47))</f>
        <v>#VALUE!</v>
      </c>
      <c r="G47" t="e">
        <f ca="1">IF((A1)=(2),1,IF((44)=(G3),IF(IF((INDEX(B1:XFD1,(A2)+(0)))=("store"),(INDEX(B1:XFD1,(A2)+(1)))=("G"),"false"),B2,G47),G47))</f>
        <v>#VALUE!</v>
      </c>
      <c r="H47" t="e">
        <f ca="1">IF((A1)=(2),1,IF((44)=(H3),IF(IF((INDEX(B1:XFD1,(A2)+(0)))=("store"),(INDEX(B1:XFD1,(A2)+(1)))=("H"),"false"),B2,H47),H47))</f>
        <v>#VALUE!</v>
      </c>
    </row>
    <row r="48" spans="1:8" x14ac:dyDescent="0.25">
      <c r="A48" t="e">
        <f ca="1">IF((A1)=(2),1,IF((45)=(A3),IF(("call")=(INDEX(B1:XFD1,(A2)+(0))),((B2)*(2))+(1),IF(("goto")=(INDEX(B1:XFD1,(A2)+(0))),((INDEX(B1:XFD1,(A2)+(1)))*(2))+(1),IF(("gotoiftrue")=(INDEX(B1:XFD1,(A2)+(0))),IF(B2,((INDEX(B1:XFD1,(A2)+(1)))*(2))+(1),(A48)+(2)),(A48)+(2)))),A48))</f>
        <v>#VALUE!</v>
      </c>
      <c r="B48" t="e">
        <f ca="1">IF((A1)=(2),1,IF((45)=(B3),IF(("push")=(INDEX(B1:XFD1,(A2)+(0))),INDEX(B1:XFD1,(A2)+(1)),IF(("load")=(INDEX(B1:XFD1,(A2)+(0))),INDEX(F2:XFD2,INDEX(B1:XFD1,(A2)+(1))),IF(("newheap")=(INDEX(B1:XFD1,(A2)+(0))),(C3)-(2),IF(("getheap")=(INDEX(B1:XFD1,(A2)+(0))),INDEX(C4:C54,(B48)+(1)),IF(("add")=(INDEX(B1:XFD1,(A2)+(0))),(INDEX(B4:B54,(B3)+(1)))+(B48),IF(("equals")=(INDEX(B1:XFD1,(A2)+(0))),(INDEX(B4:B54,(B3)+(1)))=(B48),IF(("leq")=(INDEX(B1:XFD1,(A2)+(0))),(INDEX(B4:B54,(B3)+(1)))&lt;=(B48),B48))))))),B48))</f>
        <v>#VALUE!</v>
      </c>
      <c r="C48" t="e">
        <f ca="1">IF((A1)=(2),1,IF(AND((INDEX(B1:XFD1,(A2)+(0)))=("writeheap"),(INDEX(B4:B54,(B3)+(1)))=(44)),INDEX(B4:B54,(B3)+(2)),IF((A1)=(2),1,IF((45)=(C3),C48,C48))))</f>
        <v>#VALUE!</v>
      </c>
      <c r="D48" t="e">
        <f ca="1">IF((A1)=(2),1,IF((45)=(D3),D48,D48))</f>
        <v>#VALUE!</v>
      </c>
      <c r="E48" t="e">
        <f ca="1">IF((A1)=(2),1,IF((45)=(E3),IF(("outputline")=(INDEX(B1:XFD1,(A2)+(0))),B2,E48),E48))</f>
        <v>#VALUE!</v>
      </c>
      <c r="F48" t="e">
        <f ca="1">IF((A1)=(2),1,IF((45)=(F3),IF(IF((INDEX(B1:XFD1,(A2)+(0)))=("store"),(INDEX(B1:XFD1,(A2)+(1)))=("F"),"false"),B2,F48),F48))</f>
        <v>#VALUE!</v>
      </c>
      <c r="G48" t="e">
        <f ca="1">IF((A1)=(2),1,IF((45)=(G3),IF(IF((INDEX(B1:XFD1,(A2)+(0)))=("store"),(INDEX(B1:XFD1,(A2)+(1)))=("G"),"false"),B2,G48),G48))</f>
        <v>#VALUE!</v>
      </c>
      <c r="H48" t="e">
        <f ca="1">IF((A1)=(2),1,IF((45)=(H3),IF(IF((INDEX(B1:XFD1,(A2)+(0)))=("store"),(INDEX(B1:XFD1,(A2)+(1)))=("H"),"false"),B2,H48),H48))</f>
        <v>#VALUE!</v>
      </c>
    </row>
    <row r="49" spans="1:8" x14ac:dyDescent="0.25">
      <c r="A49" t="e">
        <f ca="1">IF((A1)=(2),1,IF((46)=(A3),IF(("call")=(INDEX(B1:XFD1,(A2)+(0))),((B2)*(2))+(1),IF(("goto")=(INDEX(B1:XFD1,(A2)+(0))),((INDEX(B1:XFD1,(A2)+(1)))*(2))+(1),IF(("gotoiftrue")=(INDEX(B1:XFD1,(A2)+(0))),IF(B2,((INDEX(B1:XFD1,(A2)+(1)))*(2))+(1),(A49)+(2)),(A49)+(2)))),A49))</f>
        <v>#VALUE!</v>
      </c>
      <c r="B49" t="e">
        <f ca="1">IF((A1)=(2),1,IF((46)=(B3),IF(("push")=(INDEX(B1:XFD1,(A2)+(0))),INDEX(B1:XFD1,(A2)+(1)),IF(("load")=(INDEX(B1:XFD1,(A2)+(0))),INDEX(F2:XFD2,INDEX(B1:XFD1,(A2)+(1))),IF(("newheap")=(INDEX(B1:XFD1,(A2)+(0))),(C3)-(2),IF(("getheap")=(INDEX(B1:XFD1,(A2)+(0))),INDEX(C4:C54,(B49)+(1)),IF(("add")=(INDEX(B1:XFD1,(A2)+(0))),(INDEX(B4:B54,(B3)+(1)))+(B49),IF(("equals")=(INDEX(B1:XFD1,(A2)+(0))),(INDEX(B4:B54,(B3)+(1)))=(B49),IF(("leq")=(INDEX(B1:XFD1,(A2)+(0))),(INDEX(B4:B54,(B3)+(1)))&lt;=(B49),B49))))))),B49))</f>
        <v>#VALUE!</v>
      </c>
      <c r="C49" t="e">
        <f ca="1">IF((A1)=(2),1,IF(AND((INDEX(B1:XFD1,(A2)+(0)))=("writeheap"),(INDEX(B4:B54,(B3)+(1)))=(45)),INDEX(B4:B54,(B3)+(2)),IF((A1)=(2),1,IF((46)=(C3),C49,C49))))</f>
        <v>#VALUE!</v>
      </c>
      <c r="D49" t="e">
        <f ca="1">IF((A1)=(2),1,IF((46)=(D3),D49,D49))</f>
        <v>#VALUE!</v>
      </c>
      <c r="E49" t="e">
        <f ca="1">IF((A1)=(2),1,IF((46)=(E3),IF(("outputline")=(INDEX(B1:XFD1,(A2)+(0))),B2,E49),E49))</f>
        <v>#VALUE!</v>
      </c>
      <c r="F49" t="e">
        <f ca="1">IF((A1)=(2),1,IF((46)=(F3),IF(IF((INDEX(B1:XFD1,(A2)+(0)))=("store"),(INDEX(B1:XFD1,(A2)+(1)))=("F"),"false"),B2,F49),F49))</f>
        <v>#VALUE!</v>
      </c>
      <c r="G49" t="e">
        <f ca="1">IF((A1)=(2),1,IF((46)=(G3),IF(IF((INDEX(B1:XFD1,(A2)+(0)))=("store"),(INDEX(B1:XFD1,(A2)+(1)))=("G"),"false"),B2,G49),G49))</f>
        <v>#VALUE!</v>
      </c>
      <c r="H49" t="e">
        <f ca="1">IF((A1)=(2),1,IF((46)=(H3),IF(IF((INDEX(B1:XFD1,(A2)+(0)))=("store"),(INDEX(B1:XFD1,(A2)+(1)))=("H"),"false"),B2,H49),H49))</f>
        <v>#VALUE!</v>
      </c>
    </row>
    <row r="50" spans="1:8" x14ac:dyDescent="0.25">
      <c r="A50" t="e">
        <f ca="1">IF((A1)=(2),1,IF((47)=(A3),IF(("call")=(INDEX(B1:XFD1,(A2)+(0))),((B2)*(2))+(1),IF(("goto")=(INDEX(B1:XFD1,(A2)+(0))),((INDEX(B1:XFD1,(A2)+(1)))*(2))+(1),IF(("gotoiftrue")=(INDEX(B1:XFD1,(A2)+(0))),IF(B2,((INDEX(B1:XFD1,(A2)+(1)))*(2))+(1),(A50)+(2)),(A50)+(2)))),A50))</f>
        <v>#VALUE!</v>
      </c>
      <c r="B50" t="e">
        <f ca="1">IF((A1)=(2),1,IF((47)=(B3),IF(("push")=(INDEX(B1:XFD1,(A2)+(0))),INDEX(B1:XFD1,(A2)+(1)),IF(("load")=(INDEX(B1:XFD1,(A2)+(0))),INDEX(F2:XFD2,INDEX(B1:XFD1,(A2)+(1))),IF(("newheap")=(INDEX(B1:XFD1,(A2)+(0))),(C3)-(2),IF(("getheap")=(INDEX(B1:XFD1,(A2)+(0))),INDEX(C4:C54,(B50)+(1)),IF(("add")=(INDEX(B1:XFD1,(A2)+(0))),(INDEX(B4:B54,(B3)+(1)))+(B50),IF(("equals")=(INDEX(B1:XFD1,(A2)+(0))),(INDEX(B4:B54,(B3)+(1)))=(B50),IF(("leq")=(INDEX(B1:XFD1,(A2)+(0))),(INDEX(B4:B54,(B3)+(1)))&lt;=(B50),B50))))))),B50))</f>
        <v>#VALUE!</v>
      </c>
      <c r="C50" t="e">
        <f ca="1">IF((A1)=(2),1,IF(AND((INDEX(B1:XFD1,(A2)+(0)))=("writeheap"),(INDEX(B4:B54,(B3)+(1)))=(46)),INDEX(B4:B54,(B3)+(2)),IF((A1)=(2),1,IF((47)=(C3),C50,C50))))</f>
        <v>#VALUE!</v>
      </c>
      <c r="D50" t="e">
        <f ca="1">IF((A1)=(2),1,IF((47)=(D3),D50,D50))</f>
        <v>#VALUE!</v>
      </c>
      <c r="E50" t="e">
        <f ca="1">IF((A1)=(2),1,IF((47)=(E3),IF(("outputline")=(INDEX(B1:XFD1,(A2)+(0))),B2,E50),E50))</f>
        <v>#VALUE!</v>
      </c>
      <c r="F50" t="e">
        <f ca="1">IF((A1)=(2),1,IF((47)=(F3),IF(IF((INDEX(B1:XFD1,(A2)+(0)))=("store"),(INDEX(B1:XFD1,(A2)+(1)))=("F"),"false"),B2,F50),F50))</f>
        <v>#VALUE!</v>
      </c>
      <c r="G50" t="e">
        <f ca="1">IF((A1)=(2),1,IF((47)=(G3),IF(IF((INDEX(B1:XFD1,(A2)+(0)))=("store"),(INDEX(B1:XFD1,(A2)+(1)))=("G"),"false"),B2,G50),G50))</f>
        <v>#VALUE!</v>
      </c>
      <c r="H50" t="e">
        <f ca="1">IF((A1)=(2),1,IF((47)=(H3),IF(IF((INDEX(B1:XFD1,(A2)+(0)))=("store"),(INDEX(B1:XFD1,(A2)+(1)))=("H"),"false"),B2,H50),H50))</f>
        <v>#VALUE!</v>
      </c>
    </row>
    <row r="51" spans="1:8" x14ac:dyDescent="0.25">
      <c r="A51" t="e">
        <f ca="1">IF((A1)=(2),1,IF((48)=(A3),IF(("call")=(INDEX(B1:XFD1,(A2)+(0))),((B2)*(2))+(1),IF(("goto")=(INDEX(B1:XFD1,(A2)+(0))),((INDEX(B1:XFD1,(A2)+(1)))*(2))+(1),IF(("gotoiftrue")=(INDEX(B1:XFD1,(A2)+(0))),IF(B2,((INDEX(B1:XFD1,(A2)+(1)))*(2))+(1),(A51)+(2)),(A51)+(2)))),A51))</f>
        <v>#VALUE!</v>
      </c>
      <c r="B51" t="e">
        <f ca="1">IF((A1)=(2),1,IF((48)=(B3),IF(("push")=(INDEX(B1:XFD1,(A2)+(0))),INDEX(B1:XFD1,(A2)+(1)),IF(("load")=(INDEX(B1:XFD1,(A2)+(0))),INDEX(F2:XFD2,INDEX(B1:XFD1,(A2)+(1))),IF(("newheap")=(INDEX(B1:XFD1,(A2)+(0))),(C3)-(2),IF(("getheap")=(INDEX(B1:XFD1,(A2)+(0))),INDEX(C4:C54,(B51)+(1)),IF(("add")=(INDEX(B1:XFD1,(A2)+(0))),(INDEX(B4:B54,(B3)+(1)))+(B51),IF(("equals")=(INDEX(B1:XFD1,(A2)+(0))),(INDEX(B4:B54,(B3)+(1)))=(B51),IF(("leq")=(INDEX(B1:XFD1,(A2)+(0))),(INDEX(B4:B54,(B3)+(1)))&lt;=(B51),B51))))))),B51))</f>
        <v>#VALUE!</v>
      </c>
      <c r="C51" t="e">
        <f ca="1">IF((A1)=(2),1,IF(AND((INDEX(B1:XFD1,(A2)+(0)))=("writeheap"),(INDEX(B4:B54,(B3)+(1)))=(47)),INDEX(B4:B54,(B3)+(2)),IF((A1)=(2),1,IF((48)=(C3),C51,C51))))</f>
        <v>#VALUE!</v>
      </c>
      <c r="D51" t="e">
        <f ca="1">IF((A1)=(2),1,IF((48)=(D3),D51,D51))</f>
        <v>#VALUE!</v>
      </c>
      <c r="E51" t="e">
        <f ca="1">IF((A1)=(2),1,IF((48)=(E3),IF(("outputline")=(INDEX(B1:XFD1,(A2)+(0))),B2,E51),E51))</f>
        <v>#VALUE!</v>
      </c>
      <c r="F51" t="e">
        <f ca="1">IF((A1)=(2),1,IF((48)=(F3),IF(IF((INDEX(B1:XFD1,(A2)+(0)))=("store"),(INDEX(B1:XFD1,(A2)+(1)))=("F"),"false"),B2,F51),F51))</f>
        <v>#VALUE!</v>
      </c>
      <c r="G51" t="e">
        <f ca="1">IF((A1)=(2),1,IF((48)=(G3),IF(IF((INDEX(B1:XFD1,(A2)+(0)))=("store"),(INDEX(B1:XFD1,(A2)+(1)))=("G"),"false"),B2,G51),G51))</f>
        <v>#VALUE!</v>
      </c>
      <c r="H51" t="e">
        <f ca="1">IF((A1)=(2),1,IF((48)=(H3),IF(IF((INDEX(B1:XFD1,(A2)+(0)))=("store"),(INDEX(B1:XFD1,(A2)+(1)))=("H"),"false"),B2,H51),H51))</f>
        <v>#VALUE!</v>
      </c>
    </row>
    <row r="52" spans="1:8" x14ac:dyDescent="0.25">
      <c r="A52" t="e">
        <f ca="1">IF((A1)=(2),1,IF((49)=(A3),IF(("call")=(INDEX(B1:XFD1,(A2)+(0))),((B2)*(2))+(1),IF(("goto")=(INDEX(B1:XFD1,(A2)+(0))),((INDEX(B1:XFD1,(A2)+(1)))*(2))+(1),IF(("gotoiftrue")=(INDEX(B1:XFD1,(A2)+(0))),IF(B2,((INDEX(B1:XFD1,(A2)+(1)))*(2))+(1),(A52)+(2)),(A52)+(2)))),A52))</f>
        <v>#VALUE!</v>
      </c>
      <c r="B52" t="e">
        <f ca="1">IF((A1)=(2),1,IF((49)=(B3),IF(("push")=(INDEX(B1:XFD1,(A2)+(0))),INDEX(B1:XFD1,(A2)+(1)),IF(("load")=(INDEX(B1:XFD1,(A2)+(0))),INDEX(F2:XFD2,INDEX(B1:XFD1,(A2)+(1))),IF(("newheap")=(INDEX(B1:XFD1,(A2)+(0))),(C3)-(2),IF(("getheap")=(INDEX(B1:XFD1,(A2)+(0))),INDEX(C4:C54,(B52)+(1)),IF(("add")=(INDEX(B1:XFD1,(A2)+(0))),(INDEX(B4:B54,(B3)+(1)))+(B52),IF(("equals")=(INDEX(B1:XFD1,(A2)+(0))),(INDEX(B4:B54,(B3)+(1)))=(B52),IF(("leq")=(INDEX(B1:XFD1,(A2)+(0))),(INDEX(B4:B54,(B3)+(1)))&lt;=(B52),B52))))))),B52))</f>
        <v>#VALUE!</v>
      </c>
      <c r="C52" t="e">
        <f ca="1">IF((A1)=(2),1,IF(AND((INDEX(B1:XFD1,(A2)+(0)))=("writeheap"),(INDEX(B4:B54,(B3)+(1)))=(48)),INDEX(B4:B54,(B3)+(2)),IF((A1)=(2),1,IF((49)=(C3),C52,C52))))</f>
        <v>#VALUE!</v>
      </c>
      <c r="D52" t="e">
        <f ca="1">IF((A1)=(2),1,IF((49)=(D3),D52,D52))</f>
        <v>#VALUE!</v>
      </c>
      <c r="E52" t="e">
        <f ca="1">IF((A1)=(2),1,IF((49)=(E3),IF(("outputline")=(INDEX(B1:XFD1,(A2)+(0))),B2,E52),E52))</f>
        <v>#VALUE!</v>
      </c>
      <c r="F52" t="e">
        <f ca="1">IF((A1)=(2),1,IF((49)=(F3),IF(IF((INDEX(B1:XFD1,(A2)+(0)))=("store"),(INDEX(B1:XFD1,(A2)+(1)))=("F"),"false"),B2,F52),F52))</f>
        <v>#VALUE!</v>
      </c>
      <c r="G52" t="e">
        <f ca="1">IF((A1)=(2),1,IF((49)=(G3),IF(IF((INDEX(B1:XFD1,(A2)+(0)))=("store"),(INDEX(B1:XFD1,(A2)+(1)))=("G"),"false"),B2,G52),G52))</f>
        <v>#VALUE!</v>
      </c>
      <c r="H52" t="e">
        <f ca="1">IF((A1)=(2),1,IF((49)=(H3),IF(IF((INDEX(B1:XFD1,(A2)+(0)))=("store"),(INDEX(B1:XFD1,(A2)+(1)))=("H"),"false"),B2,H52),H52))</f>
        <v>#VALUE!</v>
      </c>
    </row>
    <row r="53" spans="1:8" x14ac:dyDescent="0.25">
      <c r="A53" t="e">
        <f ca="1">IF((A1)=(2),1,IF((50)=(A3),IF(("call")=(INDEX(B1:XFD1,(A2)+(0))),((B2)*(2))+(1),IF(("goto")=(INDEX(B1:XFD1,(A2)+(0))),((INDEX(B1:XFD1,(A2)+(1)))*(2))+(1),IF(("gotoiftrue")=(INDEX(B1:XFD1,(A2)+(0))),IF(B2,((INDEX(B1:XFD1,(A2)+(1)))*(2))+(1),(A53)+(2)),(A53)+(2)))),A53))</f>
        <v>#VALUE!</v>
      </c>
      <c r="B53" t="e">
        <f ca="1">IF((A1)=(2),1,IF((50)=(B3),IF(("push")=(INDEX(B1:XFD1,(A2)+(0))),INDEX(B1:XFD1,(A2)+(1)),IF(("load")=(INDEX(B1:XFD1,(A2)+(0))),INDEX(F2:XFD2,INDEX(B1:XFD1,(A2)+(1))),IF(("newheap")=(INDEX(B1:XFD1,(A2)+(0))),(C3)-(2),IF(("getheap")=(INDEX(B1:XFD1,(A2)+(0))),INDEX(C4:C54,(B53)+(1)),IF(("add")=(INDEX(B1:XFD1,(A2)+(0))),(INDEX(B4:B54,(B3)+(1)))+(B53),IF(("equals")=(INDEX(B1:XFD1,(A2)+(0))),(INDEX(B4:B54,(B3)+(1)))=(B53),IF(("leq")=(INDEX(B1:XFD1,(A2)+(0))),(INDEX(B4:B54,(B3)+(1)))&lt;=(B53),B53))))))),B53))</f>
        <v>#VALUE!</v>
      </c>
      <c r="C53" t="e">
        <f ca="1">IF((A1)=(2),1,IF(AND((INDEX(B1:XFD1,(A2)+(0)))=("writeheap"),(INDEX(B4:B54,(B3)+(1)))=(49)),INDEX(B4:B54,(B3)+(2)),IF((A1)=(2),1,IF((50)=(C3),C53,C53))))</f>
        <v>#VALUE!</v>
      </c>
      <c r="D53" t="e">
        <f ca="1">IF((A1)=(2),1,IF((50)=(D3),D53,D53))</f>
        <v>#VALUE!</v>
      </c>
      <c r="E53" t="e">
        <f ca="1">IF((A1)=(2),1,IF((50)=(E3),IF(("outputline")=(INDEX(B1:XFD1,(A2)+(0))),B2,E53),E53))</f>
        <v>#VALUE!</v>
      </c>
      <c r="F53" t="e">
        <f ca="1">IF((A1)=(2),1,IF((50)=(F3),IF(IF((INDEX(B1:XFD1,(A2)+(0)))=("store"),(INDEX(B1:XFD1,(A2)+(1)))=("F"),"false"),B2,F53),F53))</f>
        <v>#VALUE!</v>
      </c>
      <c r="G53" t="e">
        <f ca="1">IF((A1)=(2),1,IF((50)=(G3),IF(IF((INDEX(B1:XFD1,(A2)+(0)))=("store"),(INDEX(B1:XFD1,(A2)+(1)))=("G"),"false"),B2,G53),G53))</f>
        <v>#VALUE!</v>
      </c>
      <c r="H53" t="e">
        <f ca="1">IF((A1)=(2),1,IF((50)=(H3),IF(IF((INDEX(B1:XFD1,(A2)+(0)))=("store"),(INDEX(B1:XFD1,(A2)+(1)))=("H"),"false"),B2,H53),H53))</f>
        <v>#VALUE!</v>
      </c>
    </row>
    <row r="54" spans="1:8" x14ac:dyDescent="0.25">
      <c r="A54" t="e">
        <f ca="1">IF((A1)=(2),1,IF((51)=(A3),IF(("call")=(INDEX(B1:XFD1,(A2)+(0))),((B2)*(2))+(1),IF(("goto")=(INDEX(B1:XFD1,(A2)+(0))),((INDEX(B1:XFD1,(A2)+(1)))*(2))+(1),IF(("gotoiftrue")=(INDEX(B1:XFD1,(A2)+(0))),IF(B2,((INDEX(B1:XFD1,(A2)+(1)))*(2))+(1),(A54)+(2)),(A54)+(2)))),A54))</f>
        <v>#VALUE!</v>
      </c>
      <c r="B54" t="e">
        <f ca="1">IF((A1)=(2),1,IF((51)=(B3),IF(("push")=(INDEX(B1:XFD1,(A2)+(0))),INDEX(B1:XFD1,(A2)+(1)),IF(("load")=(INDEX(B1:XFD1,(A2)+(0))),INDEX(F2:XFD2,INDEX(B1:XFD1,(A2)+(1))),IF(("newheap")=(INDEX(B1:XFD1,(A2)+(0))),(C3)-(2),IF(("getheap")=(INDEX(B1:XFD1,(A2)+(0))),INDEX(C4:C54,(B54)+(1)),IF(("add")=(INDEX(B1:XFD1,(A2)+(0))),(INDEX(B4:B54,(B3)+(1)))+(B54),IF(("equals")=(INDEX(B1:XFD1,(A2)+(0))),(INDEX(B4:B54,(B3)+(1)))=(B54),IF(("leq")=(INDEX(B1:XFD1,(A2)+(0))),(INDEX(B4:B54,(B3)+(1)))&lt;=(B54),B54))))))),B54))</f>
        <v>#VALUE!</v>
      </c>
      <c r="C54" t="e">
        <f ca="1">IF((A1)=(2),1,IF(AND((INDEX(B1:XFD1,(A2)+(0)))=("writeheap"),(INDEX(B4:B54,(B3)+(1)))=(50)),INDEX(B4:B54,(B3)+(2)),IF((A1)=(2),1,IF((51)=(C3),C54,C54))))</f>
        <v>#VALUE!</v>
      </c>
      <c r="D54" t="e">
        <f ca="1">IF((A1)=(2),1,IF((51)=(D3),D54,D54))</f>
        <v>#VALUE!</v>
      </c>
      <c r="E54" t="e">
        <f ca="1">IF((A1)=(2),1,IF((51)=(E3),IF(("outputline")=(INDEX(B1:XFD1,(A2)+(0))),B2,E54),E54))</f>
        <v>#VALUE!</v>
      </c>
      <c r="F54" t="e">
        <f ca="1">IF((A1)=(2),1,IF((51)=(F3),IF(IF((INDEX(B1:XFD1,(A2)+(0)))=("store"),(INDEX(B1:XFD1,(A2)+(1)))=("F"),"false"),B2,F54),F54))</f>
        <v>#VALUE!</v>
      </c>
      <c r="G54" t="e">
        <f ca="1">IF((A1)=(2),1,IF((51)=(G3),IF(IF((INDEX(B1:XFD1,(A2)+(0)))=("store"),(INDEX(B1:XFD1,(A2)+(1)))=("G"),"false"),B2,G54),G54))</f>
        <v>#VALUE!</v>
      </c>
      <c r="H54" t="e">
        <f ca="1">IF((A1)=(2),1,IF((51)=(H3),IF(IF((INDEX(B1:XFD1,(A2)+(0)))=("store"),(INDEX(B1:XFD1,(A2)+(1)))=("H"),"false"),B2,H54),H54))</f>
        <v>#VALUE!</v>
      </c>
    </row>
    <row r="55" spans="1:8" x14ac:dyDescent="0.25">
      <c r="A55" t="e">
        <f ca="1">IF((A1)=(2),1,IF((52)=(A3),IF(("call")=(INDEX(B1:XFD1,(A2)+(0))),((B2)*(2))+(1),IF(("goto")=(INDEX(B1:XFD1,(A2)+(0))),((INDEX(B1:XFD1,(A2)+(1)))*(2))+(1),IF(("gotoiftrue")=(INDEX(B1:XFD1,(A2)+(0))),IF(B2,((INDEX(B1:XFD1,(A2)+(1)))*(2))+(1),(A55)+(2)),(A55)+(2)))),A55))</f>
        <v>#VALUE!</v>
      </c>
      <c r="B55" t="e">
        <f ca="1">IF((A1)=(2),1,IF((52)=(B3),IF(("push")=(INDEX(B1:XFD1,(A2)+(0))),INDEX(B1:XFD1,(A2)+(1)),IF(("load")=(INDEX(B1:XFD1,(A2)+(0))),INDEX(F2:XFD2,INDEX(B1:XFD1,(A2)+(1))),IF(("newheap")=(INDEX(B1:XFD1,(A2)+(0))),(C3)-(2),IF(("getheap")=(INDEX(B1:XFD1,(A2)+(0))),INDEX(C4:C54,(B55)+(1)),IF(("add")=(INDEX(B1:XFD1,(A2)+(0))),(INDEX(B4:B54,(B3)+(1)))+(B55),IF(("equals")=(INDEX(B1:XFD1,(A2)+(0))),(INDEX(B4:B54,(B3)+(1)))=(B55),IF(("leq")=(INDEX(B1:XFD1,(A2)+(0))),(INDEX(B4:B54,(B3)+(1)))&lt;=(B55),B55))))))),B55))</f>
        <v>#VALUE!</v>
      </c>
      <c r="C55" t="e">
        <f ca="1">IF((A1)=(2),1,IF(AND((INDEX(B1:XFD1,(A2)+(0)))=("writeheap"),(INDEX(B4:B54,(B3)+(1)))=(51)),INDEX(B4:B54,(B3)+(2)),IF((A1)=(2),1,IF((52)=(C3),C55,C55))))</f>
        <v>#VALUE!</v>
      </c>
      <c r="D55" t="e">
        <f ca="1">IF((A1)=(2),1,IF((52)=(D3),D55,D55))</f>
        <v>#VALUE!</v>
      </c>
      <c r="E55" t="e">
        <f ca="1">IF((A1)=(2),1,IF((52)=(E3),IF(("outputline")=(INDEX(B1:XFD1,(A2)+(0))),B2,E55),E55))</f>
        <v>#VALUE!</v>
      </c>
      <c r="F55" t="e">
        <f ca="1">IF((A1)=(2),1,IF((52)=(F3),IF(IF((INDEX(B1:XFD1,(A2)+(0)))=("store"),(INDEX(B1:XFD1,(A2)+(1)))=("F"),"false"),B2,F55),F55))</f>
        <v>#VALUE!</v>
      </c>
      <c r="G55" t="e">
        <f ca="1">IF((A1)=(2),1,IF((52)=(G3),IF(IF((INDEX(B1:XFD1,(A2)+(0)))=("store"),(INDEX(B1:XFD1,(A2)+(1)))=("G"),"false"),B2,G55),G55))</f>
        <v>#VALUE!</v>
      </c>
      <c r="H55" t="e">
        <f ca="1">IF((A1)=(2),1,IF((52)=(H3),IF(IF((INDEX(B1:XFD1,(A2)+(0)))=("store"),(INDEX(B1:XFD1,(A2)+(1)))=("H"),"false"),B2,H55),H55))</f>
        <v>#VALUE!</v>
      </c>
    </row>
    <row r="56" spans="1:8" x14ac:dyDescent="0.25">
      <c r="A56" t="e">
        <f ca="1">IF((A1)=(2),1,IF((53)=(A3),IF(("call")=(INDEX(B1:XFD1,(A2)+(0))),((B2)*(2))+(1),IF(("goto")=(INDEX(B1:XFD1,(A2)+(0))),((INDEX(B1:XFD1,(A2)+(1)))*(2))+(1),IF(("gotoiftrue")=(INDEX(B1:XFD1,(A2)+(0))),IF(B2,((INDEX(B1:XFD1,(A2)+(1)))*(2))+(1),(A56)+(2)),(A56)+(2)))),A56))</f>
        <v>#VALUE!</v>
      </c>
      <c r="B56" t="e">
        <f ca="1">IF((A1)=(2),1,IF((53)=(B3),IF(("push")=(INDEX(B1:XFD1,(A2)+(0))),INDEX(B1:XFD1,(A2)+(1)),IF(("load")=(INDEX(B1:XFD1,(A2)+(0))),INDEX(F2:XFD2,INDEX(B1:XFD1,(A2)+(1))),IF(("newheap")=(INDEX(B1:XFD1,(A2)+(0))),(C3)-(2),IF(("getheap")=(INDEX(B1:XFD1,(A2)+(0))),INDEX(C4:C54,(B56)+(1)),IF(("add")=(INDEX(B1:XFD1,(A2)+(0))),(INDEX(B4:B54,(B3)+(1)))+(B56),IF(("equals")=(INDEX(B1:XFD1,(A2)+(0))),(INDEX(B4:B54,(B3)+(1)))=(B56),IF(("leq")=(INDEX(B1:XFD1,(A2)+(0))),(INDEX(B4:B54,(B3)+(1)))&lt;=(B56),B56))))))),B56))</f>
        <v>#VALUE!</v>
      </c>
      <c r="C56" t="e">
        <f ca="1">IF((A1)=(2),1,IF(AND((INDEX(B1:XFD1,(A2)+(0)))=("writeheap"),(INDEX(B4:B54,(B3)+(1)))=(52)),INDEX(B4:B54,(B3)+(2)),IF((A1)=(2),1,IF((53)=(C3),C56,C56))))</f>
        <v>#VALUE!</v>
      </c>
      <c r="D56" t="e">
        <f ca="1">IF((A1)=(2),1,IF((53)=(D3),D56,D56))</f>
        <v>#VALUE!</v>
      </c>
      <c r="E56" t="e">
        <f ca="1">IF((A1)=(2),1,IF((53)=(E3),IF(("outputline")=(INDEX(B1:XFD1,(A2)+(0))),B2,E56),E56))</f>
        <v>#VALUE!</v>
      </c>
      <c r="F56" t="e">
        <f ca="1">IF((A1)=(2),1,IF((53)=(F3),IF(IF((INDEX(B1:XFD1,(A2)+(0)))=("store"),(INDEX(B1:XFD1,(A2)+(1)))=("F"),"false"),B2,F56),F56))</f>
        <v>#VALUE!</v>
      </c>
      <c r="G56" t="e">
        <f ca="1">IF((A1)=(2),1,IF((53)=(G3),IF(IF((INDEX(B1:XFD1,(A2)+(0)))=("store"),(INDEX(B1:XFD1,(A2)+(1)))=("G"),"false"),B2,G56),G56))</f>
        <v>#VALUE!</v>
      </c>
      <c r="H56" t="e">
        <f ca="1">IF((A1)=(2),1,IF((53)=(H3),IF(IF((INDEX(B1:XFD1,(A2)+(0)))=("store"),(INDEX(B1:XFD1,(A2)+(1)))=("H"),"false"),B2,H56),H56))</f>
        <v>#VALUE!</v>
      </c>
    </row>
    <row r="57" spans="1:8" x14ac:dyDescent="0.25">
      <c r="A57" t="e">
        <f ca="1">IF((A1)=(2),1,IF((54)=(A3),IF(("call")=(INDEX(B1:XFD1,(A2)+(0))),((B2)*(2))+(1),IF(("goto")=(INDEX(B1:XFD1,(A2)+(0))),((INDEX(B1:XFD1,(A2)+(1)))*(2))+(1),IF(("gotoiftrue")=(INDEX(B1:XFD1,(A2)+(0))),IF(B2,((INDEX(B1:XFD1,(A2)+(1)))*(2))+(1),(A57)+(2)),(A57)+(2)))),A57))</f>
        <v>#VALUE!</v>
      </c>
      <c r="B57" t="e">
        <f ca="1">IF((A1)=(2),1,IF((54)=(B3),IF(("push")=(INDEX(B1:XFD1,(A2)+(0))),INDEX(B1:XFD1,(A2)+(1)),IF(("load")=(INDEX(B1:XFD1,(A2)+(0))),INDEX(F2:XFD2,INDEX(B1:XFD1,(A2)+(1))),IF(("newheap")=(INDEX(B1:XFD1,(A2)+(0))),(C3)-(2),IF(("getheap")=(INDEX(B1:XFD1,(A2)+(0))),INDEX(C4:C54,(B57)+(1)),IF(("add")=(INDEX(B1:XFD1,(A2)+(0))),(INDEX(B4:B54,(B3)+(1)))+(B57),IF(("equals")=(INDEX(B1:XFD1,(A2)+(0))),(INDEX(B4:B54,(B3)+(1)))=(B57),IF(("leq")=(INDEX(B1:XFD1,(A2)+(0))),(INDEX(B4:B54,(B3)+(1)))&lt;=(B57),B57))))))),B57))</f>
        <v>#VALUE!</v>
      </c>
      <c r="C57" t="e">
        <f ca="1">IF((A1)=(2),1,IF(AND((INDEX(B1:XFD1,(A2)+(0)))=("writeheap"),(INDEX(B4:B54,(B3)+(1)))=(53)),INDEX(B4:B54,(B3)+(2)),IF((A1)=(2),1,IF((54)=(C3),C57,C57))))</f>
        <v>#VALUE!</v>
      </c>
      <c r="D57" t="e">
        <f ca="1">IF((A1)=(2),1,IF((54)=(D3),D57,D57))</f>
        <v>#VALUE!</v>
      </c>
      <c r="E57" t="e">
        <f ca="1">IF((A1)=(2),1,IF((54)=(E3),IF(("outputline")=(INDEX(B1:XFD1,(A2)+(0))),B2,E57),E57))</f>
        <v>#VALUE!</v>
      </c>
      <c r="F57" t="e">
        <f ca="1">IF((A1)=(2),1,IF((54)=(F3),IF(IF((INDEX(B1:XFD1,(A2)+(0)))=("store"),(INDEX(B1:XFD1,(A2)+(1)))=("F"),"false"),B2,F57),F57))</f>
        <v>#VALUE!</v>
      </c>
      <c r="G57" t="e">
        <f ca="1">IF((A1)=(2),1,IF((54)=(G3),IF(IF((INDEX(B1:XFD1,(A2)+(0)))=("store"),(INDEX(B1:XFD1,(A2)+(1)))=("G"),"false"),B2,G57),G57))</f>
        <v>#VALUE!</v>
      </c>
      <c r="H57" t="e">
        <f ca="1">IF((A1)=(2),1,IF((54)=(H3),IF(IF((INDEX(B1:XFD1,(A2)+(0)))=("store"),(INDEX(B1:XFD1,(A2)+(1)))=("H"),"false"),B2,H57),H57))</f>
        <v>#VALUE!</v>
      </c>
    </row>
    <row r="58" spans="1:8" x14ac:dyDescent="0.25">
      <c r="A58" t="e">
        <f ca="1">IF((A1)=(2),1,IF((55)=(A3),IF(("call")=(INDEX(B1:XFD1,(A2)+(0))),((B2)*(2))+(1),IF(("goto")=(INDEX(B1:XFD1,(A2)+(0))),((INDEX(B1:XFD1,(A2)+(1)))*(2))+(1),IF(("gotoiftrue")=(INDEX(B1:XFD1,(A2)+(0))),IF(B2,((INDEX(B1:XFD1,(A2)+(1)))*(2))+(1),(A58)+(2)),(A58)+(2)))),A58))</f>
        <v>#VALUE!</v>
      </c>
      <c r="B58" t="e">
        <f ca="1">IF((A1)=(2),1,IF((55)=(B3),IF(("push")=(INDEX(B1:XFD1,(A2)+(0))),INDEX(B1:XFD1,(A2)+(1)),IF(("load")=(INDEX(B1:XFD1,(A2)+(0))),INDEX(F2:XFD2,INDEX(B1:XFD1,(A2)+(1))),IF(("newheap")=(INDEX(B1:XFD1,(A2)+(0))),(C3)-(2),IF(("getheap")=(INDEX(B1:XFD1,(A2)+(0))),INDEX(C4:C54,(B58)+(1)),IF(("add")=(INDEX(B1:XFD1,(A2)+(0))),(INDEX(B4:B54,(B3)+(1)))+(B58),IF(("equals")=(INDEX(B1:XFD1,(A2)+(0))),(INDEX(B4:B54,(B3)+(1)))=(B58),IF(("leq")=(INDEX(B1:XFD1,(A2)+(0))),(INDEX(B4:B54,(B3)+(1)))&lt;=(B58),B58))))))),B58))</f>
        <v>#VALUE!</v>
      </c>
      <c r="C58" t="e">
        <f ca="1">IF((A1)=(2),1,IF(AND((INDEX(B1:XFD1,(A2)+(0)))=("writeheap"),(INDEX(B4:B54,(B3)+(1)))=(54)),INDEX(B4:B54,(B3)+(2)),IF((A1)=(2),1,IF((55)=(C3),C58,C58))))</f>
        <v>#VALUE!</v>
      </c>
      <c r="D58" t="e">
        <f ca="1">IF((A1)=(2),1,IF((55)=(D3),D58,D58))</f>
        <v>#VALUE!</v>
      </c>
      <c r="E58" t="e">
        <f ca="1">IF((A1)=(2),1,IF((55)=(E3),IF(("outputline")=(INDEX(B1:XFD1,(A2)+(0))),B2,E58),E58))</f>
        <v>#VALUE!</v>
      </c>
      <c r="F58" t="e">
        <f ca="1">IF((A1)=(2),1,IF((55)=(F3),IF(IF((INDEX(B1:XFD1,(A2)+(0)))=("store"),(INDEX(B1:XFD1,(A2)+(1)))=("F"),"false"),B2,F58),F58))</f>
        <v>#VALUE!</v>
      </c>
      <c r="G58" t="e">
        <f ca="1">IF((A1)=(2),1,IF((55)=(G3),IF(IF((INDEX(B1:XFD1,(A2)+(0)))=("store"),(INDEX(B1:XFD1,(A2)+(1)))=("G"),"false"),B2,G58),G58))</f>
        <v>#VALUE!</v>
      </c>
      <c r="H58" t="e">
        <f ca="1">IF((A1)=(2),1,IF((55)=(H3),IF(IF((INDEX(B1:XFD1,(A2)+(0)))=("store"),(INDEX(B1:XFD1,(A2)+(1)))=("H"),"false"),B2,H58),H58))</f>
        <v>#VALUE!</v>
      </c>
    </row>
    <row r="59" spans="1:8" x14ac:dyDescent="0.25">
      <c r="A59" t="e">
        <f ca="1">IF((A1)=(2),1,IF((56)=(A3),IF(("call")=(INDEX(B1:XFD1,(A2)+(0))),((B2)*(2))+(1),IF(("goto")=(INDEX(B1:XFD1,(A2)+(0))),((INDEX(B1:XFD1,(A2)+(1)))*(2))+(1),IF(("gotoiftrue")=(INDEX(B1:XFD1,(A2)+(0))),IF(B2,((INDEX(B1:XFD1,(A2)+(1)))*(2))+(1),(A59)+(2)),(A59)+(2)))),A59))</f>
        <v>#VALUE!</v>
      </c>
      <c r="B59" t="e">
        <f ca="1">IF((A1)=(2),1,IF((56)=(B3),IF(("push")=(INDEX(B1:XFD1,(A2)+(0))),INDEX(B1:XFD1,(A2)+(1)),IF(("load")=(INDEX(B1:XFD1,(A2)+(0))),INDEX(F2:XFD2,INDEX(B1:XFD1,(A2)+(1))),IF(("newheap")=(INDEX(B1:XFD1,(A2)+(0))),(C3)-(2),IF(("getheap")=(INDEX(B1:XFD1,(A2)+(0))),INDEX(C4:C54,(B59)+(1)),IF(("add")=(INDEX(B1:XFD1,(A2)+(0))),(INDEX(B4:B54,(B3)+(1)))+(B59),IF(("equals")=(INDEX(B1:XFD1,(A2)+(0))),(INDEX(B4:B54,(B3)+(1)))=(B59),IF(("leq")=(INDEX(B1:XFD1,(A2)+(0))),(INDEX(B4:B54,(B3)+(1)))&lt;=(B59),B59))))))),B59))</f>
        <v>#VALUE!</v>
      </c>
      <c r="C59" t="e">
        <f ca="1">IF((A1)=(2),1,IF(AND((INDEX(B1:XFD1,(A2)+(0)))=("writeheap"),(INDEX(B4:B54,(B3)+(1)))=(55)),INDEX(B4:B54,(B3)+(2)),IF((A1)=(2),1,IF((56)=(C3),C59,C59))))</f>
        <v>#VALUE!</v>
      </c>
      <c r="D59" t="e">
        <f ca="1">IF((A1)=(2),1,IF((56)=(D3),D59,D59))</f>
        <v>#VALUE!</v>
      </c>
      <c r="E59" t="e">
        <f ca="1">IF((A1)=(2),1,IF((56)=(E3),IF(("outputline")=(INDEX(B1:XFD1,(A2)+(0))),B2,E59),E59))</f>
        <v>#VALUE!</v>
      </c>
      <c r="F59" t="e">
        <f ca="1">IF((A1)=(2),1,IF((56)=(F3),IF(IF((INDEX(B1:XFD1,(A2)+(0)))=("store"),(INDEX(B1:XFD1,(A2)+(1)))=("F"),"false"),B2,F59),F59))</f>
        <v>#VALUE!</v>
      </c>
      <c r="G59" t="e">
        <f ca="1">IF((A1)=(2),1,IF((56)=(G3),IF(IF((INDEX(B1:XFD1,(A2)+(0)))=("store"),(INDEX(B1:XFD1,(A2)+(1)))=("G"),"false"),B2,G59),G59))</f>
        <v>#VALUE!</v>
      </c>
      <c r="H59" t="e">
        <f ca="1">IF((A1)=(2),1,IF((56)=(H3),IF(IF((INDEX(B1:XFD1,(A2)+(0)))=("store"),(INDEX(B1:XFD1,(A2)+(1)))=("H"),"false"),B2,H59),H59))</f>
        <v>#VALUE!</v>
      </c>
    </row>
    <row r="60" spans="1:8" x14ac:dyDescent="0.25">
      <c r="A60" t="e">
        <f ca="1">IF((A1)=(2),1,IF((57)=(A3),IF(("call")=(INDEX(B1:XFD1,(A2)+(0))),((B2)*(2))+(1),IF(("goto")=(INDEX(B1:XFD1,(A2)+(0))),((INDEX(B1:XFD1,(A2)+(1)))*(2))+(1),IF(("gotoiftrue")=(INDEX(B1:XFD1,(A2)+(0))),IF(B2,((INDEX(B1:XFD1,(A2)+(1)))*(2))+(1),(A60)+(2)),(A60)+(2)))),A60))</f>
        <v>#VALUE!</v>
      </c>
      <c r="B60" t="e">
        <f ca="1">IF((A1)=(2),1,IF((57)=(B3),IF(("push")=(INDEX(B1:XFD1,(A2)+(0))),INDEX(B1:XFD1,(A2)+(1)),IF(("load")=(INDEX(B1:XFD1,(A2)+(0))),INDEX(F2:XFD2,INDEX(B1:XFD1,(A2)+(1))),IF(("newheap")=(INDEX(B1:XFD1,(A2)+(0))),(C3)-(2),IF(("getheap")=(INDEX(B1:XFD1,(A2)+(0))),INDEX(C4:C54,(B60)+(1)),IF(("add")=(INDEX(B1:XFD1,(A2)+(0))),(INDEX(B4:B54,(B3)+(1)))+(B60),IF(("equals")=(INDEX(B1:XFD1,(A2)+(0))),(INDEX(B4:B54,(B3)+(1)))=(B60),IF(("leq")=(INDEX(B1:XFD1,(A2)+(0))),(INDEX(B4:B54,(B3)+(1)))&lt;=(B60),B60))))))),B60))</f>
        <v>#VALUE!</v>
      </c>
      <c r="C60" t="e">
        <f ca="1">IF((A1)=(2),1,IF(AND((INDEX(B1:XFD1,(A2)+(0)))=("writeheap"),(INDEX(B4:B54,(B3)+(1)))=(56)),INDEX(B4:B54,(B3)+(2)),IF((A1)=(2),1,IF((57)=(C3),C60,C60))))</f>
        <v>#VALUE!</v>
      </c>
      <c r="D60" t="e">
        <f ca="1">IF((A1)=(2),1,IF((57)=(D3),D60,D60))</f>
        <v>#VALUE!</v>
      </c>
      <c r="E60" t="e">
        <f ca="1">IF((A1)=(2),1,IF((57)=(E3),IF(("outputline")=(INDEX(B1:XFD1,(A2)+(0))),B2,E60),E60))</f>
        <v>#VALUE!</v>
      </c>
      <c r="F60" t="e">
        <f ca="1">IF((A1)=(2),1,IF((57)=(F3),IF(IF((INDEX(B1:XFD1,(A2)+(0)))=("store"),(INDEX(B1:XFD1,(A2)+(1)))=("F"),"false"),B2,F60),F60))</f>
        <v>#VALUE!</v>
      </c>
      <c r="G60" t="e">
        <f ca="1">IF((A1)=(2),1,IF((57)=(G3),IF(IF((INDEX(B1:XFD1,(A2)+(0)))=("store"),(INDEX(B1:XFD1,(A2)+(1)))=("G"),"false"),B2,G60),G60))</f>
        <v>#VALUE!</v>
      </c>
      <c r="H60" t="e">
        <f ca="1">IF((A1)=(2),1,IF((57)=(H3),IF(IF((INDEX(B1:XFD1,(A2)+(0)))=("store"),(INDEX(B1:XFD1,(A2)+(1)))=("H"),"false"),B2,H60),H60))</f>
        <v>#VALUE!</v>
      </c>
    </row>
    <row r="61" spans="1:8" x14ac:dyDescent="0.25">
      <c r="A61" t="e">
        <f ca="1">IF((A1)=(2),1,IF((58)=(A3),IF(("call")=(INDEX(B1:XFD1,(A2)+(0))),((B2)*(2))+(1),IF(("goto")=(INDEX(B1:XFD1,(A2)+(0))),((INDEX(B1:XFD1,(A2)+(1)))*(2))+(1),IF(("gotoiftrue")=(INDEX(B1:XFD1,(A2)+(0))),IF(B2,((INDEX(B1:XFD1,(A2)+(1)))*(2))+(1),(A61)+(2)),(A61)+(2)))),A61))</f>
        <v>#VALUE!</v>
      </c>
      <c r="B61" t="e">
        <f ca="1">IF((A1)=(2),1,IF((58)=(B3),IF(("push")=(INDEX(B1:XFD1,(A2)+(0))),INDEX(B1:XFD1,(A2)+(1)),IF(("load")=(INDEX(B1:XFD1,(A2)+(0))),INDEX(F2:XFD2,INDEX(B1:XFD1,(A2)+(1))),IF(("newheap")=(INDEX(B1:XFD1,(A2)+(0))),(C3)-(2),IF(("getheap")=(INDEX(B1:XFD1,(A2)+(0))),INDEX(C4:C54,(B61)+(1)),IF(("add")=(INDEX(B1:XFD1,(A2)+(0))),(INDEX(B4:B54,(B3)+(1)))+(B61),IF(("equals")=(INDEX(B1:XFD1,(A2)+(0))),(INDEX(B4:B54,(B3)+(1)))=(B61),IF(("leq")=(INDEX(B1:XFD1,(A2)+(0))),(INDEX(B4:B54,(B3)+(1)))&lt;=(B61),B61))))))),B61))</f>
        <v>#VALUE!</v>
      </c>
      <c r="C61" t="e">
        <f ca="1">IF((A1)=(2),1,IF(AND((INDEX(B1:XFD1,(A2)+(0)))=("writeheap"),(INDEX(B4:B54,(B3)+(1)))=(57)),INDEX(B4:B54,(B3)+(2)),IF((A1)=(2),1,IF((58)=(C3),C61,C61))))</f>
        <v>#VALUE!</v>
      </c>
      <c r="D61" t="e">
        <f ca="1">IF((A1)=(2),1,IF((58)=(D3),D61,D61))</f>
        <v>#VALUE!</v>
      </c>
      <c r="E61" t="e">
        <f ca="1">IF((A1)=(2),1,IF((58)=(E3),IF(("outputline")=(INDEX(B1:XFD1,(A2)+(0))),B2,E61),E61))</f>
        <v>#VALUE!</v>
      </c>
      <c r="F61" t="e">
        <f ca="1">IF((A1)=(2),1,IF((58)=(F3),IF(IF((INDEX(B1:XFD1,(A2)+(0)))=("store"),(INDEX(B1:XFD1,(A2)+(1)))=("F"),"false"),B2,F61),F61))</f>
        <v>#VALUE!</v>
      </c>
      <c r="G61" t="e">
        <f ca="1">IF((A1)=(2),1,IF((58)=(G3),IF(IF((INDEX(B1:XFD1,(A2)+(0)))=("store"),(INDEX(B1:XFD1,(A2)+(1)))=("G"),"false"),B2,G61),G61))</f>
        <v>#VALUE!</v>
      </c>
      <c r="H61" t="e">
        <f ca="1">IF((A1)=(2),1,IF((58)=(H3),IF(IF((INDEX(B1:XFD1,(A2)+(0)))=("store"),(INDEX(B1:XFD1,(A2)+(1)))=("H"),"false"),B2,H61),H61))</f>
        <v>#VALUE!</v>
      </c>
    </row>
    <row r="62" spans="1:8" x14ac:dyDescent="0.25">
      <c r="A62" t="e">
        <f ca="1">IF((A1)=(2),1,IF((59)=(A3),IF(("call")=(INDEX(B1:XFD1,(A2)+(0))),((B2)*(2))+(1),IF(("goto")=(INDEX(B1:XFD1,(A2)+(0))),((INDEX(B1:XFD1,(A2)+(1)))*(2))+(1),IF(("gotoiftrue")=(INDEX(B1:XFD1,(A2)+(0))),IF(B2,((INDEX(B1:XFD1,(A2)+(1)))*(2))+(1),(A62)+(2)),(A62)+(2)))),A62))</f>
        <v>#VALUE!</v>
      </c>
      <c r="B62" t="e">
        <f ca="1">IF((A1)=(2),1,IF((59)=(B3),IF(("push")=(INDEX(B1:XFD1,(A2)+(0))),INDEX(B1:XFD1,(A2)+(1)),IF(("load")=(INDEX(B1:XFD1,(A2)+(0))),INDEX(F2:XFD2,INDEX(B1:XFD1,(A2)+(1))),IF(("newheap")=(INDEX(B1:XFD1,(A2)+(0))),(C3)-(2),IF(("getheap")=(INDEX(B1:XFD1,(A2)+(0))),INDEX(C4:C54,(B62)+(1)),IF(("add")=(INDEX(B1:XFD1,(A2)+(0))),(INDEX(B4:B54,(B3)+(1)))+(B62),IF(("equals")=(INDEX(B1:XFD1,(A2)+(0))),(INDEX(B4:B54,(B3)+(1)))=(B62),IF(("leq")=(INDEX(B1:XFD1,(A2)+(0))),(INDEX(B4:B54,(B3)+(1)))&lt;=(B62),B62))))))),B62))</f>
        <v>#VALUE!</v>
      </c>
      <c r="C62" t="e">
        <f ca="1">IF((A1)=(2),1,IF(AND((INDEX(B1:XFD1,(A2)+(0)))=("writeheap"),(INDEX(B4:B54,(B3)+(1)))=(58)),INDEX(B4:B54,(B3)+(2)),IF((A1)=(2),1,IF((59)=(C3),C62,C62))))</f>
        <v>#VALUE!</v>
      </c>
      <c r="D62" t="e">
        <f ca="1">IF((A1)=(2),1,IF((59)=(D3),D62,D62))</f>
        <v>#VALUE!</v>
      </c>
      <c r="E62" t="e">
        <f ca="1">IF((A1)=(2),1,IF((59)=(E3),IF(("outputline")=(INDEX(B1:XFD1,(A2)+(0))),B2,E62),E62))</f>
        <v>#VALUE!</v>
      </c>
      <c r="F62" t="e">
        <f ca="1">IF((A1)=(2),1,IF((59)=(F3),IF(IF((INDEX(B1:XFD1,(A2)+(0)))=("store"),(INDEX(B1:XFD1,(A2)+(1)))=("F"),"false"),B2,F62),F62))</f>
        <v>#VALUE!</v>
      </c>
      <c r="G62" t="e">
        <f ca="1">IF((A1)=(2),1,IF((59)=(G3),IF(IF((INDEX(B1:XFD1,(A2)+(0)))=("store"),(INDEX(B1:XFD1,(A2)+(1)))=("G"),"false"),B2,G62),G62))</f>
        <v>#VALUE!</v>
      </c>
      <c r="H62" t="e">
        <f ca="1">IF((A1)=(2),1,IF((59)=(H3),IF(IF((INDEX(B1:XFD1,(A2)+(0)))=("store"),(INDEX(B1:XFD1,(A2)+(1)))=("H"),"false"),B2,H62),H62))</f>
        <v>#VALUE!</v>
      </c>
    </row>
    <row r="63" spans="1:8" x14ac:dyDescent="0.25">
      <c r="A63" t="e">
        <f ca="1">IF((A1)=(2),1,IF((60)=(A3),IF(("call")=(INDEX(B1:XFD1,(A2)+(0))),((B2)*(2))+(1),IF(("goto")=(INDEX(B1:XFD1,(A2)+(0))),((INDEX(B1:XFD1,(A2)+(1)))*(2))+(1),IF(("gotoiftrue")=(INDEX(B1:XFD1,(A2)+(0))),IF(B2,((INDEX(B1:XFD1,(A2)+(1)))*(2))+(1),(A63)+(2)),(A63)+(2)))),A63))</f>
        <v>#VALUE!</v>
      </c>
      <c r="B63" t="e">
        <f ca="1">IF((A1)=(2),1,IF((60)=(B3),IF(("push")=(INDEX(B1:XFD1,(A2)+(0))),INDEX(B1:XFD1,(A2)+(1)),IF(("load")=(INDEX(B1:XFD1,(A2)+(0))),INDEX(F2:XFD2,INDEX(B1:XFD1,(A2)+(1))),IF(("newheap")=(INDEX(B1:XFD1,(A2)+(0))),(C3)-(2),IF(("getheap")=(INDEX(B1:XFD1,(A2)+(0))),INDEX(C4:C54,(B63)+(1)),IF(("add")=(INDEX(B1:XFD1,(A2)+(0))),(INDEX(B4:B54,(B3)+(1)))+(B63),IF(("equals")=(INDEX(B1:XFD1,(A2)+(0))),(INDEX(B4:B54,(B3)+(1)))=(B63),IF(("leq")=(INDEX(B1:XFD1,(A2)+(0))),(INDEX(B4:B54,(B3)+(1)))&lt;=(B63),B63))))))),B63))</f>
        <v>#VALUE!</v>
      </c>
      <c r="C63" t="e">
        <f ca="1">IF((A1)=(2),1,IF(AND((INDEX(B1:XFD1,(A2)+(0)))=("writeheap"),(INDEX(B4:B54,(B3)+(1)))=(59)),INDEX(B4:B54,(B3)+(2)),IF((A1)=(2),1,IF((60)=(C3),C63,C63))))</f>
        <v>#VALUE!</v>
      </c>
      <c r="D63" t="e">
        <f ca="1">IF((A1)=(2),1,IF((60)=(D3),D63,D63))</f>
        <v>#VALUE!</v>
      </c>
      <c r="E63" t="e">
        <f ca="1">IF((A1)=(2),1,IF((60)=(E3),IF(("outputline")=(INDEX(B1:XFD1,(A2)+(0))),B2,E63),E63))</f>
        <v>#VALUE!</v>
      </c>
      <c r="F63" t="e">
        <f ca="1">IF((A1)=(2),1,IF((60)=(F3),IF(IF((INDEX(B1:XFD1,(A2)+(0)))=("store"),(INDEX(B1:XFD1,(A2)+(1)))=("F"),"false"),B2,F63),F63))</f>
        <v>#VALUE!</v>
      </c>
      <c r="G63" t="e">
        <f ca="1">IF((A1)=(2),1,IF((60)=(G3),IF(IF((INDEX(B1:XFD1,(A2)+(0)))=("store"),(INDEX(B1:XFD1,(A2)+(1)))=("G"),"false"),B2,G63),G63))</f>
        <v>#VALUE!</v>
      </c>
      <c r="H63" t="e">
        <f ca="1">IF((A1)=(2),1,IF((60)=(H3),IF(IF((INDEX(B1:XFD1,(A2)+(0)))=("store"),(INDEX(B1:XFD1,(A2)+(1)))=("H"),"false"),B2,H63),H63))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2017-02-09T03:46:29Z</dcterms:created>
  <dcterms:modified xsi:type="dcterms:W3CDTF">2017-02-09T03:46:37Z</dcterms:modified>
</cp:coreProperties>
</file>