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8148" windowWidth="19212" windowHeight="1956" tabRatio="602" activeTab="1"/>
  </bookViews>
  <sheets>
    <sheet name="All Years" sheetId="20" r:id="rId1"/>
    <sheet name="Reference Aircraft" sheetId="16" r:id="rId2"/>
    <sheet name="Gate Seating Base" sheetId="13" r:id="rId3"/>
    <sheet name="Gate Seating High" sheetId="28" r:id="rId4"/>
    <sheet name="Optimum LoS Analysis" sheetId="12" r:id="rId5"/>
    <sheet name="Comparisons 10th Edn" sheetId="30" r:id="rId6"/>
    <sheet name="Comparisons 9th Edn" sheetId="31" r:id="rId7"/>
    <sheet name="Gate Parameters" sheetId="32" r:id="rId8"/>
    <sheet name="Toilets" sheetId="3" r:id="rId9"/>
    <sheet name="Concourse Op1" sheetId="19" r:id="rId10"/>
    <sheet name="Concourse Op2" sheetId="24" r:id="rId11"/>
    <sheet name="Concourse Op3" sheetId="25" r:id="rId12"/>
    <sheet name="Concourse Op4" sheetId="26" r:id="rId13"/>
    <sheet name="Prog Layout" sheetId="29" r:id="rId14"/>
    <sheet name="Gate Allocation" sheetId="27" r:id="rId15"/>
  </sheets>
  <definedNames>
    <definedName name="REVISIONS">'All Years'!$AW$18:$AZ$41</definedName>
  </definedNames>
  <calcPr calcId="145621"/>
</workbook>
</file>

<file path=xl/calcChain.xml><?xml version="1.0" encoding="utf-8"?>
<calcChain xmlns="http://schemas.openxmlformats.org/spreadsheetml/2006/main">
  <c r="R45" i="32" l="1"/>
  <c r="S46" i="32"/>
  <c r="S45" i="32"/>
  <c r="S44" i="32"/>
  <c r="S43" i="32"/>
  <c r="S42" i="32"/>
  <c r="S41" i="32"/>
  <c r="S40" i="32"/>
  <c r="S39" i="32"/>
  <c r="S38" i="32"/>
  <c r="S37" i="32"/>
  <c r="S36" i="32"/>
  <c r="T23" i="32"/>
  <c r="R23" i="32" s="1"/>
  <c r="S23" i="32" s="1"/>
  <c r="T22" i="32"/>
  <c r="R22" i="32" s="1"/>
  <c r="S22" i="32" s="1"/>
  <c r="T21" i="32"/>
  <c r="R21" i="32"/>
  <c r="S21" i="32" s="1"/>
  <c r="R18" i="32"/>
  <c r="S18" i="32" s="1"/>
  <c r="R17" i="32"/>
  <c r="S17" i="32" s="1"/>
  <c r="R16" i="32"/>
  <c r="S16" i="32" s="1"/>
  <c r="R15" i="32"/>
  <c r="S15" i="32" s="1"/>
  <c r="R14" i="32"/>
  <c r="S14" i="32" s="1"/>
  <c r="R13" i="32"/>
  <c r="S13" i="32" s="1"/>
  <c r="R12" i="32"/>
  <c r="S12" i="32" s="1"/>
  <c r="T13" i="32"/>
  <c r="T12" i="32"/>
  <c r="T11" i="32"/>
  <c r="O13" i="32"/>
  <c r="O12" i="32"/>
  <c r="O11" i="32"/>
  <c r="R11" i="32"/>
  <c r="R10" i="32"/>
  <c r="R9" i="32"/>
  <c r="R8" i="32"/>
  <c r="S11" i="32"/>
  <c r="S10" i="32"/>
  <c r="S9" i="32"/>
  <c r="S8" i="32"/>
  <c r="N11" i="32"/>
  <c r="N10" i="32"/>
  <c r="N9" i="32"/>
  <c r="N8" i="32"/>
  <c r="T18" i="32"/>
  <c r="T17" i="32"/>
  <c r="T16" i="32"/>
  <c r="T15" i="32"/>
  <c r="T14" i="32"/>
  <c r="T10" i="32"/>
  <c r="T9" i="32"/>
  <c r="T8" i="32"/>
  <c r="O8" i="32"/>
  <c r="R46" i="32" l="1"/>
  <c r="R44" i="32"/>
  <c r="R43" i="32"/>
  <c r="R42" i="32"/>
  <c r="R41" i="32"/>
  <c r="R40" i="32"/>
  <c r="R39" i="32"/>
  <c r="R38" i="32"/>
  <c r="R37" i="32"/>
  <c r="R36" i="32"/>
  <c r="O46" i="32"/>
  <c r="O45" i="32"/>
  <c r="O44" i="32"/>
  <c r="O43" i="32"/>
  <c r="O42" i="32"/>
  <c r="O41" i="32"/>
  <c r="O40" i="32"/>
  <c r="O39" i="32"/>
  <c r="O37" i="32"/>
  <c r="O38" i="32"/>
  <c r="O36" i="32"/>
  <c r="O23" i="32"/>
  <c r="O22" i="32"/>
  <c r="O21" i="32"/>
  <c r="O18" i="32"/>
  <c r="O17" i="32"/>
  <c r="O16" i="32"/>
  <c r="O15" i="32"/>
  <c r="O14" i="32"/>
  <c r="O9" i="32"/>
  <c r="O10" i="32"/>
  <c r="W47" i="32" l="1"/>
  <c r="W19" i="32"/>
  <c r="W34" i="32"/>
  <c r="H46" i="32" l="1"/>
  <c r="V46" i="32" s="1"/>
  <c r="H45" i="32"/>
  <c r="H43" i="32"/>
  <c r="H40" i="32"/>
  <c r="H37" i="32"/>
  <c r="K5" i="32" l="1"/>
  <c r="H32" i="32"/>
  <c r="V32" i="32" s="1"/>
  <c r="H27" i="32"/>
  <c r="V27" i="32" s="1"/>
  <c r="H23" i="32"/>
  <c r="V23" i="32" s="1"/>
  <c r="H22" i="32"/>
  <c r="V22" i="32" s="1"/>
  <c r="H21" i="32"/>
  <c r="V21" i="32" s="1"/>
  <c r="H18" i="32"/>
  <c r="V18" i="32" s="1"/>
  <c r="H17" i="32"/>
  <c r="V17" i="32" s="1"/>
  <c r="H16" i="32"/>
  <c r="V16" i="32" s="1"/>
  <c r="H15" i="32"/>
  <c r="V15" i="32" s="1"/>
  <c r="H14" i="32"/>
  <c r="V14" i="32" s="1"/>
  <c r="H10" i="32"/>
  <c r="V10" i="32" s="1"/>
  <c r="H9" i="32"/>
  <c r="V9" i="32" s="1"/>
  <c r="H25" i="32"/>
  <c r="V25" i="32" s="1"/>
  <c r="H29" i="32"/>
  <c r="V29" i="32" s="1"/>
  <c r="H12" i="32"/>
  <c r="H8" i="32"/>
  <c r="V8" i="32" s="1"/>
  <c r="V45" i="32"/>
  <c r="V43" i="32"/>
  <c r="V40" i="32"/>
  <c r="V37" i="32"/>
  <c r="V12" i="32"/>
  <c r="Z25" i="32"/>
  <c r="F76" i="32"/>
  <c r="Z46" i="32"/>
  <c r="Z45" i="32"/>
  <c r="AE45" i="32" s="1"/>
  <c r="Z43" i="32"/>
  <c r="AD44" i="32" s="1"/>
  <c r="AE43" i="32" s="1"/>
  <c r="Z40" i="32"/>
  <c r="AE40" i="32" s="1"/>
  <c r="Z37" i="32"/>
  <c r="Z32" i="32"/>
  <c r="Z29" i="32"/>
  <c r="Z27" i="32"/>
  <c r="Z23" i="32"/>
  <c r="Z22" i="32"/>
  <c r="Z21" i="32"/>
  <c r="Z18" i="32"/>
  <c r="Z17" i="32"/>
  <c r="Z16" i="32"/>
  <c r="Z15" i="32"/>
  <c r="AD16" i="32" s="1"/>
  <c r="AE15" i="32" s="1"/>
  <c r="Z14" i="32"/>
  <c r="Z12" i="32"/>
  <c r="Z10" i="32"/>
  <c r="Z9" i="32"/>
  <c r="Z8" i="32"/>
  <c r="AB9" i="32" s="1"/>
  <c r="E3" i="32"/>
  <c r="F2" i="32"/>
  <c r="E2" i="12"/>
  <c r="E3" i="31"/>
  <c r="F2" i="31"/>
  <c r="F2" i="30"/>
  <c r="E3" i="30"/>
  <c r="E2" i="28"/>
  <c r="D3" i="28"/>
  <c r="E2" i="13"/>
  <c r="D3" i="13"/>
  <c r="E2" i="16"/>
  <c r="AD18" i="32" l="1"/>
  <c r="AE17" i="32" s="1"/>
  <c r="Z47" i="32"/>
  <c r="AD14" i="32"/>
  <c r="AE11" i="32" s="1"/>
  <c r="AB16" i="32"/>
  <c r="AB18" i="32"/>
  <c r="AE37" i="32"/>
  <c r="AG16" i="32"/>
  <c r="L45" i="32"/>
  <c r="L41" i="32"/>
  <c r="L37" i="32"/>
  <c r="L31" i="32"/>
  <c r="L27" i="32"/>
  <c r="L26" i="32"/>
  <c r="L17" i="32"/>
  <c r="L13" i="32"/>
  <c r="L9" i="32"/>
  <c r="L44" i="32"/>
  <c r="L40" i="32"/>
  <c r="L36" i="32"/>
  <c r="L30" i="32"/>
  <c r="L23" i="32"/>
  <c r="L25" i="32"/>
  <c r="L16" i="32"/>
  <c r="L12" i="32"/>
  <c r="L8" i="32"/>
  <c r="L43" i="32"/>
  <c r="L39" i="32"/>
  <c r="L33" i="32"/>
  <c r="L29" i="32"/>
  <c r="L22" i="32"/>
  <c r="L24" i="32"/>
  <c r="L15" i="32"/>
  <c r="L11" i="32"/>
  <c r="L46" i="32"/>
  <c r="L42" i="32"/>
  <c r="L38" i="32"/>
  <c r="L32" i="32"/>
  <c r="L28" i="32"/>
  <c r="L21" i="32"/>
  <c r="L18" i="32"/>
  <c r="L14" i="32"/>
  <c r="L10" i="32"/>
  <c r="H34" i="32"/>
  <c r="AD32" i="32"/>
  <c r="AE26" i="32" s="1"/>
  <c r="AB14" i="32"/>
  <c r="AB32" i="32"/>
  <c r="Z34" i="32"/>
  <c r="AD9" i="32"/>
  <c r="AE8" i="32" s="1"/>
  <c r="AG14" i="32"/>
  <c r="Z19" i="32"/>
  <c r="AG32" i="32"/>
  <c r="AG9" i="32"/>
  <c r="P44" i="30"/>
  <c r="O43" i="30"/>
  <c r="P42" i="30" s="1"/>
  <c r="P17" i="30"/>
  <c r="M10" i="32" l="1"/>
  <c r="N28" i="32"/>
  <c r="M28" i="32"/>
  <c r="N14" i="32"/>
  <c r="M14" i="32"/>
  <c r="N32" i="32"/>
  <c r="M32" i="32"/>
  <c r="M11" i="32"/>
  <c r="N29" i="32"/>
  <c r="M29" i="32"/>
  <c r="M8" i="32"/>
  <c r="N23" i="32"/>
  <c r="M23" i="32"/>
  <c r="N44" i="32"/>
  <c r="M44" i="32"/>
  <c r="N26" i="32"/>
  <c r="M26" i="32"/>
  <c r="N41" i="32"/>
  <c r="M41" i="32"/>
  <c r="N18" i="32"/>
  <c r="M18" i="32"/>
  <c r="N38" i="32"/>
  <c r="M38" i="32"/>
  <c r="N15" i="32"/>
  <c r="M15" i="32"/>
  <c r="N33" i="32"/>
  <c r="M33" i="32"/>
  <c r="N12" i="32"/>
  <c r="M12" i="32"/>
  <c r="N30" i="32"/>
  <c r="M30" i="32"/>
  <c r="M9" i="32"/>
  <c r="M27" i="32"/>
  <c r="N27" i="32"/>
  <c r="N45" i="32"/>
  <c r="M45" i="32"/>
  <c r="N21" i="32"/>
  <c r="M21" i="32"/>
  <c r="N42" i="32"/>
  <c r="M42" i="32"/>
  <c r="N24" i="32"/>
  <c r="M24" i="32"/>
  <c r="N39" i="32"/>
  <c r="M39" i="32"/>
  <c r="M16" i="32"/>
  <c r="N16" i="32"/>
  <c r="N36" i="32"/>
  <c r="M36" i="32"/>
  <c r="N13" i="32"/>
  <c r="M13" i="32"/>
  <c r="N31" i="32"/>
  <c r="M31" i="32"/>
  <c r="M46" i="32"/>
  <c r="N46" i="32"/>
  <c r="N22" i="32"/>
  <c r="M22" i="32"/>
  <c r="N43" i="32"/>
  <c r="M43" i="32"/>
  <c r="N25" i="32"/>
  <c r="M25" i="32"/>
  <c r="N40" i="32"/>
  <c r="M40" i="32"/>
  <c r="N17" i="32"/>
  <c r="M17" i="32"/>
  <c r="N37" i="32"/>
  <c r="M37" i="32"/>
  <c r="Y55" i="32"/>
  <c r="K44" i="30"/>
  <c r="G30" i="12"/>
  <c r="P39" i="30"/>
  <c r="P36" i="30"/>
  <c r="P25" i="30"/>
  <c r="P15" i="30"/>
  <c r="P11" i="30"/>
  <c r="P8" i="30"/>
  <c r="O31" i="13"/>
  <c r="M31" i="13" s="1"/>
  <c r="M32" i="13" s="1"/>
  <c r="O14" i="13"/>
  <c r="K31" i="13" l="1"/>
  <c r="K32" i="13" s="1"/>
  <c r="K33" i="13" s="1"/>
  <c r="L35" i="13" s="1"/>
  <c r="I31" i="13"/>
  <c r="I32" i="13" s="1"/>
  <c r="I34" i="13" s="1"/>
  <c r="J36" i="13" s="1"/>
  <c r="E31" i="13"/>
  <c r="E32" i="13" s="1"/>
  <c r="E33" i="13" s="1"/>
  <c r="F35" i="13" s="1"/>
  <c r="G31" i="13"/>
  <c r="G32" i="13" s="1"/>
  <c r="G33" i="13" s="1"/>
  <c r="H35" i="13" s="1"/>
  <c r="M33" i="13"/>
  <c r="N35" i="13" s="1"/>
  <c r="M34" i="13"/>
  <c r="N36" i="13" s="1"/>
  <c r="E34" i="13"/>
  <c r="F36" i="13" s="1"/>
  <c r="E8" i="12"/>
  <c r="E9" i="12" s="1"/>
  <c r="E27" i="12" s="1"/>
  <c r="D3" i="12"/>
  <c r="J16" i="12"/>
  <c r="F23" i="12" s="1"/>
  <c r="J11" i="12"/>
  <c r="F17" i="12" s="1"/>
  <c r="J5" i="12"/>
  <c r="J12" i="12" s="1"/>
  <c r="J8" i="12" l="1"/>
  <c r="F12" i="12" s="1"/>
  <c r="F29" i="12"/>
  <c r="F18" i="12"/>
  <c r="J7" i="12"/>
  <c r="F11" i="12" s="1"/>
  <c r="J15" i="12"/>
  <c r="F22" i="12" s="1"/>
  <c r="E10" i="12"/>
  <c r="E11" i="12" s="1"/>
  <c r="E12" i="12"/>
  <c r="F28" i="12"/>
  <c r="I33" i="13"/>
  <c r="J35" i="13" s="1"/>
  <c r="K34" i="13"/>
  <c r="L36" i="13" s="1"/>
  <c r="G34" i="13"/>
  <c r="H36" i="13" s="1"/>
  <c r="E28" i="12"/>
  <c r="G28" i="12" s="1"/>
  <c r="X48" i="31"/>
  <c r="U48" i="31"/>
  <c r="R48" i="31"/>
  <c r="W42" i="31"/>
  <c r="W39" i="31"/>
  <c r="V39" i="31" s="1"/>
  <c r="X39" i="31" s="1"/>
  <c r="W36" i="31"/>
  <c r="V36" i="31" s="1"/>
  <c r="X36" i="31" s="1"/>
  <c r="T42" i="31"/>
  <c r="T39" i="31"/>
  <c r="S39" i="31" s="1"/>
  <c r="U39" i="31" s="1"/>
  <c r="T36" i="31"/>
  <c r="S36" i="31" s="1"/>
  <c r="U36" i="31" s="1"/>
  <c r="Q8" i="31"/>
  <c r="Q42" i="31"/>
  <c r="Q39" i="31"/>
  <c r="P39" i="31" s="1"/>
  <c r="R39" i="31" s="1"/>
  <c r="Q36" i="31"/>
  <c r="P36" i="31" s="1"/>
  <c r="R36" i="31" s="1"/>
  <c r="K42" i="31"/>
  <c r="L42" i="31" s="1"/>
  <c r="N42" i="31" s="1"/>
  <c r="K39" i="31"/>
  <c r="L39" i="31" s="1"/>
  <c r="N39" i="31" s="1"/>
  <c r="K36" i="31"/>
  <c r="L36" i="31" s="1"/>
  <c r="N36" i="31" s="1"/>
  <c r="W21" i="31"/>
  <c r="K31" i="31"/>
  <c r="L31" i="31" s="1"/>
  <c r="N31" i="31" s="1"/>
  <c r="K28" i="31"/>
  <c r="L28" i="31" s="1"/>
  <c r="N28" i="31" s="1"/>
  <c r="K26" i="31"/>
  <c r="L26" i="31" s="1"/>
  <c r="N26" i="31" s="1"/>
  <c r="K25" i="31"/>
  <c r="L25" i="31" s="1"/>
  <c r="N25" i="31" s="1"/>
  <c r="K24" i="31"/>
  <c r="L24" i="31" s="1"/>
  <c r="N24" i="31" s="1"/>
  <c r="K23" i="31"/>
  <c r="L23" i="31" s="1"/>
  <c r="N23" i="31" s="1"/>
  <c r="K22" i="31"/>
  <c r="L22" i="31" s="1"/>
  <c r="N22" i="31" s="1"/>
  <c r="K21" i="31"/>
  <c r="T21" i="31"/>
  <c r="Q21" i="31"/>
  <c r="W18" i="31"/>
  <c r="W17" i="31"/>
  <c r="T17" i="31"/>
  <c r="Q17" i="31"/>
  <c r="W15" i="31"/>
  <c r="T15" i="31"/>
  <c r="Q15" i="31"/>
  <c r="W10" i="31"/>
  <c r="T10" i="31"/>
  <c r="Q10" i="31"/>
  <c r="W8" i="31"/>
  <c r="T8" i="31"/>
  <c r="K18" i="31"/>
  <c r="L18" i="31" s="1"/>
  <c r="N18" i="31" s="1"/>
  <c r="K17" i="31"/>
  <c r="L17" i="31" s="1"/>
  <c r="N17" i="31" s="1"/>
  <c r="K16" i="31"/>
  <c r="L16" i="31" s="1"/>
  <c r="N16" i="31" s="1"/>
  <c r="K15" i="31"/>
  <c r="L15" i="31" s="1"/>
  <c r="N15" i="31" s="1"/>
  <c r="K12" i="31"/>
  <c r="L12" i="31" s="1"/>
  <c r="N12" i="31" s="1"/>
  <c r="K14" i="31"/>
  <c r="L14" i="31" s="1"/>
  <c r="N14" i="31" s="1"/>
  <c r="K10" i="31"/>
  <c r="L10" i="31" s="1"/>
  <c r="N10" i="31" s="1"/>
  <c r="E18" i="12" l="1"/>
  <c r="E23" i="12"/>
  <c r="E22" i="12"/>
  <c r="G22" i="12" s="1"/>
  <c r="E17" i="12"/>
  <c r="G12" i="12"/>
  <c r="G17" i="12"/>
  <c r="G11" i="12"/>
  <c r="G13" i="12" s="1"/>
  <c r="E29" i="12"/>
  <c r="V42" i="31"/>
  <c r="X42" i="31" s="1"/>
  <c r="P42" i="31"/>
  <c r="R42" i="31" s="1"/>
  <c r="S42" i="31"/>
  <c r="U42" i="31" s="1"/>
  <c r="V32" i="31"/>
  <c r="X31" i="31" s="1"/>
  <c r="X28" i="31" s="1"/>
  <c r="S17" i="31"/>
  <c r="U17" i="31" s="1"/>
  <c r="L21" i="31"/>
  <c r="N21" i="31" s="1"/>
  <c r="P32" i="31"/>
  <c r="R31" i="31" s="1"/>
  <c r="R23" i="31" s="1"/>
  <c r="V17" i="31"/>
  <c r="X17" i="31" s="1"/>
  <c r="S32" i="31"/>
  <c r="U31" i="31" s="1"/>
  <c r="V16" i="31"/>
  <c r="X15" i="31" s="1"/>
  <c r="X16" i="31" s="1"/>
  <c r="P14" i="31"/>
  <c r="R12" i="31" s="1"/>
  <c r="P18" i="31"/>
  <c r="R17" i="31" s="1"/>
  <c r="R18" i="31" s="1"/>
  <c r="S16" i="31"/>
  <c r="U15" i="31" s="1"/>
  <c r="U16" i="31" s="1"/>
  <c r="P16" i="31"/>
  <c r="R15" i="31" s="1"/>
  <c r="R16" i="31" s="1"/>
  <c r="V18" i="31"/>
  <c r="X18" i="31" s="1"/>
  <c r="S14" i="31"/>
  <c r="U12" i="31" s="1"/>
  <c r="V14" i="31"/>
  <c r="X12" i="31" s="1"/>
  <c r="X14" i="31" s="1"/>
  <c r="K9" i="31"/>
  <c r="L9" i="31" s="1"/>
  <c r="N9" i="31" s="1"/>
  <c r="K8" i="31"/>
  <c r="N45" i="31"/>
  <c r="N44" i="31"/>
  <c r="H33" i="31"/>
  <c r="Q18" i="31"/>
  <c r="W16" i="31"/>
  <c r="G29" i="12" l="1"/>
  <c r="H30" i="12"/>
  <c r="G18" i="12"/>
  <c r="G19" i="12" s="1"/>
  <c r="H19" i="12" s="1"/>
  <c r="G23" i="12"/>
  <c r="G24" i="12" s="1"/>
  <c r="H24" i="12" s="1"/>
  <c r="R25" i="31"/>
  <c r="X22" i="31"/>
  <c r="R22" i="31"/>
  <c r="R28" i="31"/>
  <c r="X24" i="31"/>
  <c r="X26" i="31"/>
  <c r="X21" i="31"/>
  <c r="X23" i="31"/>
  <c r="R24" i="31"/>
  <c r="X25" i="31"/>
  <c r="R26" i="31"/>
  <c r="U24" i="31"/>
  <c r="U28" i="31"/>
  <c r="U23" i="31"/>
  <c r="U26" i="31"/>
  <c r="U22" i="31"/>
  <c r="U25" i="31"/>
  <c r="U21" i="31"/>
  <c r="R21" i="31"/>
  <c r="L8" i="31"/>
  <c r="N8" i="31" s="1"/>
  <c r="N19" i="31" s="1"/>
  <c r="V9" i="31"/>
  <c r="X8" i="31" s="1"/>
  <c r="X9" i="31" s="1"/>
  <c r="S9" i="31"/>
  <c r="U8" i="31" s="1"/>
  <c r="U9" i="31" s="1"/>
  <c r="U10" i="31"/>
  <c r="U14" i="31"/>
  <c r="P9" i="31"/>
  <c r="R8" i="31" s="1"/>
  <c r="R9" i="31" s="1"/>
  <c r="X10" i="31"/>
  <c r="R10" i="31"/>
  <c r="R14" i="31"/>
  <c r="Q14" i="31"/>
  <c r="T14" i="31"/>
  <c r="W31" i="31"/>
  <c r="T16" i="31"/>
  <c r="N46" i="31"/>
  <c r="Q31" i="31"/>
  <c r="N33" i="31"/>
  <c r="Q16" i="31"/>
  <c r="T31" i="31"/>
  <c r="W14" i="31"/>
  <c r="W9" i="31"/>
  <c r="Q9" i="31"/>
  <c r="M47" i="31" l="1"/>
  <c r="T9" i="31"/>
  <c r="G7" i="13"/>
  <c r="G6" i="13"/>
  <c r="K42" i="30" l="1"/>
  <c r="K45" i="30"/>
  <c r="K39" i="30"/>
  <c r="K36" i="30"/>
  <c r="K8" i="30"/>
  <c r="K18" i="30"/>
  <c r="K17" i="30"/>
  <c r="O18" i="30" s="1"/>
  <c r="T18" i="31" s="1"/>
  <c r="S18" i="31" s="1"/>
  <c r="U18" i="31" s="1"/>
  <c r="K16" i="30"/>
  <c r="K15" i="30"/>
  <c r="K14" i="30"/>
  <c r="K12" i="30"/>
  <c r="K10" i="30"/>
  <c r="K9" i="30"/>
  <c r="M18" i="30" l="1"/>
  <c r="R16" i="30"/>
  <c r="O16" i="30"/>
  <c r="M16" i="30"/>
  <c r="O9" i="30"/>
  <c r="M9" i="30"/>
  <c r="R9" i="30"/>
  <c r="R14" i="30"/>
  <c r="O14" i="30"/>
  <c r="M14" i="30"/>
  <c r="K19" i="30"/>
  <c r="K46" i="30"/>
  <c r="K31" i="30"/>
  <c r="K28" i="30"/>
  <c r="K26" i="30"/>
  <c r="K25" i="30"/>
  <c r="K24" i="30"/>
  <c r="K23" i="30"/>
  <c r="K22" i="30"/>
  <c r="K21" i="30"/>
  <c r="R31" i="30" l="1"/>
  <c r="O31" i="30"/>
  <c r="M31" i="30"/>
  <c r="K33" i="30"/>
  <c r="J47" i="30" s="1"/>
  <c r="F68" i="30"/>
  <c r="H33" i="30"/>
  <c r="H75" i="16" l="1"/>
  <c r="H79" i="16"/>
  <c r="H78" i="16"/>
  <c r="H98" i="16" l="1"/>
  <c r="H99" i="16"/>
  <c r="H113" i="16" l="1"/>
  <c r="F32" i="29" l="1"/>
  <c r="J32" i="29"/>
  <c r="H32" i="29"/>
  <c r="T33" i="29" l="1"/>
  <c r="T32" i="29"/>
  <c r="T31" i="29"/>
  <c r="U30" i="29"/>
  <c r="T30" i="29"/>
  <c r="T29" i="29"/>
  <c r="T28" i="29"/>
  <c r="T26" i="29"/>
  <c r="T20" i="29"/>
  <c r="K28" i="29" l="1"/>
  <c r="I28" i="29"/>
  <c r="G28" i="29"/>
  <c r="E28" i="29"/>
  <c r="M38" i="29" l="1"/>
  <c r="K40" i="29"/>
  <c r="I40" i="29"/>
  <c r="G40" i="29"/>
  <c r="E40" i="29"/>
  <c r="L28" i="29"/>
  <c r="J28" i="29"/>
  <c r="H28" i="29"/>
  <c r="F28" i="29"/>
  <c r="K12" i="29"/>
  <c r="I12" i="29"/>
  <c r="G12" i="29"/>
  <c r="E12" i="29"/>
  <c r="M12" i="29" l="1"/>
  <c r="H18" i="13"/>
  <c r="Q38" i="28" l="1"/>
  <c r="O38" i="28"/>
  <c r="Q37" i="28"/>
  <c r="J37" i="28" s="1"/>
  <c r="O37" i="28"/>
  <c r="N37" i="28"/>
  <c r="M37" i="28"/>
  <c r="L37" i="28"/>
  <c r="H37" i="28"/>
  <c r="F37" i="28"/>
  <c r="Q36" i="28"/>
  <c r="J36" i="28" s="1"/>
  <c r="O36" i="28"/>
  <c r="N36" i="28"/>
  <c r="M36" i="28"/>
  <c r="L36" i="28"/>
  <c r="H36" i="28"/>
  <c r="F36" i="28"/>
  <c r="O32" i="28"/>
  <c r="O31" i="28"/>
  <c r="O30" i="28"/>
  <c r="Q29" i="28"/>
  <c r="O29" i="28"/>
  <c r="O27" i="28"/>
  <c r="M26" i="28"/>
  <c r="M27" i="28" s="1"/>
  <c r="M38" i="28" s="1"/>
  <c r="N38" i="28" s="1"/>
  <c r="K26" i="28"/>
  <c r="K27" i="28" s="1"/>
  <c r="I26" i="28"/>
  <c r="I27" i="28" s="1"/>
  <c r="I38" i="28" s="1"/>
  <c r="J38" i="28" s="1"/>
  <c r="G26" i="28"/>
  <c r="G27" i="28" s="1"/>
  <c r="E26" i="28"/>
  <c r="E27" i="28" s="1"/>
  <c r="E38" i="28" s="1"/>
  <c r="F38" i="28" s="1"/>
  <c r="M25" i="28"/>
  <c r="K25" i="28"/>
  <c r="I25" i="28"/>
  <c r="G25" i="28"/>
  <c r="E25" i="28"/>
  <c r="N18" i="28"/>
  <c r="L18" i="28"/>
  <c r="J18" i="28"/>
  <c r="H18" i="28"/>
  <c r="F18" i="28"/>
  <c r="N17" i="28"/>
  <c r="L17" i="28"/>
  <c r="J17" i="28"/>
  <c r="H17" i="28"/>
  <c r="F17" i="28"/>
  <c r="M7" i="28"/>
  <c r="M8" i="28" s="1"/>
  <c r="M19" i="28" s="1"/>
  <c r="N19" i="28" s="1"/>
  <c r="K7" i="28"/>
  <c r="K8" i="28" s="1"/>
  <c r="K19" i="28" s="1"/>
  <c r="L19" i="28" s="1"/>
  <c r="I7" i="28"/>
  <c r="I8" i="28" s="1"/>
  <c r="G7" i="28"/>
  <c r="G8" i="28" s="1"/>
  <c r="E7" i="28"/>
  <c r="E8" i="28" s="1"/>
  <c r="E19" i="28" s="1"/>
  <c r="F19" i="28" s="1"/>
  <c r="M6" i="28"/>
  <c r="K6" i="28"/>
  <c r="I6" i="28"/>
  <c r="G6" i="28"/>
  <c r="E6" i="28"/>
  <c r="Q4" i="28"/>
  <c r="Q7" i="28" s="1"/>
  <c r="M29" i="28" l="1"/>
  <c r="M30" i="28" s="1"/>
  <c r="M31" i="28" s="1"/>
  <c r="M32" i="28" s="1"/>
  <c r="E29" i="28"/>
  <c r="E30" i="28" s="1"/>
  <c r="E31" i="28" s="1"/>
  <c r="E32" i="28" s="1"/>
  <c r="K10" i="28"/>
  <c r="K29" i="28"/>
  <c r="K38" i="28"/>
  <c r="L38" i="28" s="1"/>
  <c r="G19" i="28"/>
  <c r="H19" i="28" s="1"/>
  <c r="G10" i="28"/>
  <c r="G38" i="28"/>
  <c r="H38" i="28" s="1"/>
  <c r="G29" i="28"/>
  <c r="I10" i="28"/>
  <c r="I19" i="28"/>
  <c r="J19" i="28" s="1"/>
  <c r="Q6" i="28"/>
  <c r="E10" i="28"/>
  <c r="M10" i="28"/>
  <c r="K11" i="28"/>
  <c r="K12" i="28" s="1"/>
  <c r="K13" i="28" s="1"/>
  <c r="I29" i="28"/>
  <c r="N34" i="28"/>
  <c r="K27" i="13"/>
  <c r="M11" i="29" s="1"/>
  <c r="K26" i="13"/>
  <c r="R11" i="29" s="1"/>
  <c r="K7" i="13"/>
  <c r="K6" i="13"/>
  <c r="H82" i="16"/>
  <c r="H81" i="16"/>
  <c r="H100" i="16"/>
  <c r="N33" i="28" l="1"/>
  <c r="N35" i="28" s="1"/>
  <c r="N40" i="28" s="1"/>
  <c r="F34" i="28"/>
  <c r="I11" i="28"/>
  <c r="I12" i="28" s="1"/>
  <c r="K30" i="28"/>
  <c r="K31" i="28" s="1"/>
  <c r="F33" i="28"/>
  <c r="L14" i="28"/>
  <c r="G30" i="28"/>
  <c r="G31" i="28" s="1"/>
  <c r="G32" i="28" s="1"/>
  <c r="H33" i="28" s="1"/>
  <c r="L15" i="28"/>
  <c r="E11" i="28"/>
  <c r="E12" i="28" s="1"/>
  <c r="E13" i="28" s="1"/>
  <c r="F14" i="28" s="1"/>
  <c r="G11" i="28"/>
  <c r="G12" i="28" s="1"/>
  <c r="G13" i="28" s="1"/>
  <c r="H14" i="28" s="1"/>
  <c r="I30" i="28"/>
  <c r="I31" i="28" s="1"/>
  <c r="I32" i="28" s="1"/>
  <c r="J33" i="28" s="1"/>
  <c r="M11" i="28"/>
  <c r="M12" i="28" s="1"/>
  <c r="Q57" i="27"/>
  <c r="P57" i="27"/>
  <c r="O57" i="27"/>
  <c r="Q42" i="27"/>
  <c r="P42" i="27"/>
  <c r="O42" i="27"/>
  <c r="R39" i="27"/>
  <c r="R36" i="27"/>
  <c r="R32" i="27"/>
  <c r="D54" i="27"/>
  <c r="R54" i="27" s="1"/>
  <c r="D49" i="27"/>
  <c r="R49" i="27" s="1"/>
  <c r="C56" i="27"/>
  <c r="C52" i="27"/>
  <c r="C50" i="27"/>
  <c r="C48" i="27"/>
  <c r="C46" i="27"/>
  <c r="C39" i="27"/>
  <c r="C54" i="27" s="1"/>
  <c r="M15" i="27"/>
  <c r="M14" i="27"/>
  <c r="M24" i="27"/>
  <c r="M23" i="27"/>
  <c r="M22" i="27"/>
  <c r="M21" i="27"/>
  <c r="M20" i="27"/>
  <c r="M19" i="27"/>
  <c r="M18" i="27"/>
  <c r="M17" i="27"/>
  <c r="D41" i="27"/>
  <c r="D56" i="27" s="1"/>
  <c r="R56" i="27" s="1"/>
  <c r="D40" i="27"/>
  <c r="D55" i="27" s="1"/>
  <c r="R55" i="27" s="1"/>
  <c r="C40" i="27"/>
  <c r="C55" i="27" s="1"/>
  <c r="D38" i="27"/>
  <c r="R38" i="27" s="1"/>
  <c r="C38" i="27"/>
  <c r="C53" i="27" s="1"/>
  <c r="D37" i="27"/>
  <c r="D52" i="27" s="1"/>
  <c r="R52" i="27" s="1"/>
  <c r="C37" i="27"/>
  <c r="D36" i="27"/>
  <c r="D51" i="27" s="1"/>
  <c r="R51" i="27" s="1"/>
  <c r="C36" i="27"/>
  <c r="C51" i="27" s="1"/>
  <c r="D35" i="27"/>
  <c r="D50" i="27" s="1"/>
  <c r="R50" i="27" s="1"/>
  <c r="C35" i="27"/>
  <c r="D34" i="27"/>
  <c r="R34" i="27" s="1"/>
  <c r="C34" i="27"/>
  <c r="C49" i="27" s="1"/>
  <c r="D33" i="27"/>
  <c r="D48" i="27" s="1"/>
  <c r="R48" i="27" s="1"/>
  <c r="C33" i="27"/>
  <c r="D32" i="27"/>
  <c r="D47" i="27" s="1"/>
  <c r="R47" i="27" s="1"/>
  <c r="C32" i="27"/>
  <c r="C47" i="27" s="1"/>
  <c r="D31" i="27"/>
  <c r="D46" i="27" s="1"/>
  <c r="R46" i="27" s="1"/>
  <c r="C31" i="27"/>
  <c r="M16" i="27"/>
  <c r="K25" i="27"/>
  <c r="F35" i="28" l="1"/>
  <c r="F40" i="28" s="1"/>
  <c r="M13" i="28"/>
  <c r="N14" i="28" s="1"/>
  <c r="P10" i="29"/>
  <c r="K32" i="28"/>
  <c r="L33" i="28" s="1"/>
  <c r="P11" i="29"/>
  <c r="I13" i="28"/>
  <c r="J14" i="28" s="1"/>
  <c r="P9" i="29"/>
  <c r="L16" i="28"/>
  <c r="L21" i="28" s="1"/>
  <c r="J15" i="28"/>
  <c r="J34" i="28"/>
  <c r="J35" i="28" s="1"/>
  <c r="J40" i="28" s="1"/>
  <c r="L34" i="28"/>
  <c r="N15" i="28"/>
  <c r="H15" i="28"/>
  <c r="H16" i="28" s="1"/>
  <c r="H21" i="28" s="1"/>
  <c r="H34" i="28"/>
  <c r="H35" i="28" s="1"/>
  <c r="H40" i="28" s="1"/>
  <c r="F15" i="28"/>
  <c r="F16" i="28" s="1"/>
  <c r="F21" i="28" s="1"/>
  <c r="D53" i="27"/>
  <c r="R53" i="27" s="1"/>
  <c r="R31" i="27"/>
  <c r="R35" i="27"/>
  <c r="R40" i="27"/>
  <c r="R33" i="27"/>
  <c r="R37" i="27"/>
  <c r="R41" i="27"/>
  <c r="L25" i="27"/>
  <c r="J25" i="27"/>
  <c r="I25" i="27"/>
  <c r="H25" i="27"/>
  <c r="G25" i="27"/>
  <c r="F25" i="27"/>
  <c r="E25" i="27"/>
  <c r="J16" i="28" l="1"/>
  <c r="J21" i="28" s="1"/>
  <c r="Q9" i="29" s="1"/>
  <c r="N16" i="28"/>
  <c r="N21" i="28" s="1"/>
  <c r="Q10" i="29" s="1"/>
  <c r="I15" i="29"/>
  <c r="E15" i="29"/>
  <c r="G15" i="29"/>
  <c r="K15" i="29"/>
  <c r="L35" i="28"/>
  <c r="L40" i="28" s="1"/>
  <c r="Q11" i="29" s="1"/>
  <c r="M25" i="27"/>
  <c r="L15" i="29" l="1"/>
  <c r="L37" i="29" s="1"/>
  <c r="L38" i="29" s="1"/>
  <c r="L39" i="29" s="1"/>
  <c r="H15" i="29"/>
  <c r="H37" i="29" s="1"/>
  <c r="H38" i="29" s="1"/>
  <c r="H39" i="29" s="1"/>
  <c r="J15" i="29"/>
  <c r="J37" i="29" s="1"/>
  <c r="J38" i="29" s="1"/>
  <c r="J39" i="29" s="1"/>
  <c r="F15" i="29"/>
  <c r="O12" i="26"/>
  <c r="M12" i="26"/>
  <c r="K12" i="26"/>
  <c r="I12" i="26"/>
  <c r="G12" i="26"/>
  <c r="E12" i="26"/>
  <c r="O12" i="25"/>
  <c r="M12" i="25"/>
  <c r="K12" i="25"/>
  <c r="I12" i="25"/>
  <c r="G12" i="25"/>
  <c r="E12" i="25"/>
  <c r="O12" i="24"/>
  <c r="M12" i="24"/>
  <c r="K12" i="24"/>
  <c r="I12" i="24"/>
  <c r="G12" i="24"/>
  <c r="E12" i="24"/>
  <c r="O12" i="19"/>
  <c r="M12" i="19"/>
  <c r="K12" i="19"/>
  <c r="I12" i="19"/>
  <c r="E12" i="19"/>
  <c r="O34" i="13"/>
  <c r="O37" i="26"/>
  <c r="M37" i="26"/>
  <c r="K37" i="26"/>
  <c r="I37" i="26"/>
  <c r="G37" i="26"/>
  <c r="E37" i="26"/>
  <c r="P28" i="26"/>
  <c r="N28" i="26"/>
  <c r="L28" i="26"/>
  <c r="J28" i="26"/>
  <c r="H28" i="26"/>
  <c r="F28" i="26"/>
  <c r="T15" i="29" l="1"/>
  <c r="F37" i="29"/>
  <c r="S12" i="26"/>
  <c r="H88" i="16"/>
  <c r="F38" i="29" l="1"/>
  <c r="T38" i="29" s="1"/>
  <c r="O37" i="25"/>
  <c r="M37" i="25"/>
  <c r="K37" i="25"/>
  <c r="I37" i="25"/>
  <c r="G37" i="25"/>
  <c r="E37" i="25"/>
  <c r="P28" i="25"/>
  <c r="N28" i="25"/>
  <c r="L28" i="25"/>
  <c r="J28" i="25"/>
  <c r="H28" i="25"/>
  <c r="F28" i="25"/>
  <c r="M38" i="13"/>
  <c r="M39" i="13"/>
  <c r="M27" i="13"/>
  <c r="M26" i="13"/>
  <c r="Q40" i="13"/>
  <c r="Q39" i="13"/>
  <c r="J39" i="13" s="1"/>
  <c r="Q38" i="13"/>
  <c r="H38" i="13" s="1"/>
  <c r="O40" i="13"/>
  <c r="O39" i="13"/>
  <c r="O38" i="13"/>
  <c r="Q30" i="13"/>
  <c r="O33" i="13"/>
  <c r="O32" i="13"/>
  <c r="O30" i="13"/>
  <c r="J38" i="13"/>
  <c r="E6" i="13"/>
  <c r="N19" i="13"/>
  <c r="N18" i="13"/>
  <c r="L19" i="13"/>
  <c r="L18" i="13"/>
  <c r="J19" i="13"/>
  <c r="J18" i="13"/>
  <c r="H19" i="13"/>
  <c r="F19" i="13"/>
  <c r="F18" i="13"/>
  <c r="I7" i="13"/>
  <c r="M9" i="29" s="1"/>
  <c r="I6" i="13"/>
  <c r="R9" i="29" s="1"/>
  <c r="H80" i="16"/>
  <c r="H109" i="16"/>
  <c r="F39" i="29" l="1"/>
  <c r="T39" i="29" s="1"/>
  <c r="T9" i="25"/>
  <c r="T9" i="26"/>
  <c r="Q9" i="25"/>
  <c r="Q9" i="26"/>
  <c r="T11" i="25"/>
  <c r="T11" i="26"/>
  <c r="Q11" i="25"/>
  <c r="Q11" i="26"/>
  <c r="S12" i="25"/>
  <c r="H39" i="13"/>
  <c r="N38" i="13"/>
  <c r="L39" i="13"/>
  <c r="F39" i="13"/>
  <c r="N39" i="13"/>
  <c r="L38" i="13"/>
  <c r="F38" i="13"/>
  <c r="O37" i="24"/>
  <c r="M37" i="24"/>
  <c r="K37" i="24"/>
  <c r="I37" i="24"/>
  <c r="G37" i="24"/>
  <c r="E37" i="24"/>
  <c r="P28" i="24"/>
  <c r="N28" i="24"/>
  <c r="L28" i="24"/>
  <c r="J28" i="24"/>
  <c r="H28" i="24"/>
  <c r="F28" i="24"/>
  <c r="P28" i="19"/>
  <c r="N28" i="19"/>
  <c r="L28" i="19"/>
  <c r="J28" i="19"/>
  <c r="H28" i="19"/>
  <c r="F28" i="19"/>
  <c r="G27" i="13"/>
  <c r="E26" i="13"/>
  <c r="G26" i="13"/>
  <c r="E27" i="13"/>
  <c r="M7" i="13"/>
  <c r="M6" i="13"/>
  <c r="H89" i="16"/>
  <c r="H84" i="16"/>
  <c r="H87" i="16"/>
  <c r="H93" i="16"/>
  <c r="H92" i="16"/>
  <c r="H91" i="16"/>
  <c r="H108" i="16"/>
  <c r="H107" i="16"/>
  <c r="H106" i="16"/>
  <c r="H114" i="16"/>
  <c r="H112" i="16"/>
  <c r="H111" i="16"/>
  <c r="H110" i="16"/>
  <c r="H105" i="16"/>
  <c r="H104" i="16"/>
  <c r="H103" i="16"/>
  <c r="H102" i="16"/>
  <c r="H97" i="16"/>
  <c r="H96" i="16"/>
  <c r="H95" i="16"/>
  <c r="H94" i="16"/>
  <c r="T10" i="26" l="1"/>
  <c r="R10" i="29"/>
  <c r="Q10" i="26"/>
  <c r="M10" i="29"/>
  <c r="T10" i="19"/>
  <c r="T10" i="25"/>
  <c r="Q10" i="19"/>
  <c r="Q10" i="25"/>
  <c r="T10" i="24"/>
  <c r="Q10" i="24"/>
  <c r="S12" i="24"/>
  <c r="Q4" i="13" l="1"/>
  <c r="Q7" i="13" l="1"/>
  <c r="Q6" i="13"/>
  <c r="C2" i="20"/>
  <c r="C3" i="20"/>
  <c r="F3" i="32" l="1"/>
  <c r="F3" i="31"/>
  <c r="C3" i="12"/>
  <c r="C3" i="28"/>
  <c r="C3" i="31"/>
  <c r="C3" i="30"/>
  <c r="C3" i="13"/>
  <c r="C3" i="32"/>
  <c r="C2" i="29"/>
  <c r="F3" i="30"/>
  <c r="C2" i="26"/>
  <c r="C2" i="27"/>
  <c r="C2" i="24"/>
  <c r="C2" i="25"/>
  <c r="C2" i="19"/>
  <c r="C2" i="3"/>
  <c r="AV16" i="20"/>
  <c r="AU16" i="20"/>
  <c r="AS16" i="20"/>
  <c r="AT16" i="20" s="1"/>
  <c r="AR16" i="20"/>
  <c r="AQ16" i="20"/>
  <c r="AO16" i="20"/>
  <c r="AP16" i="20" s="1"/>
  <c r="AN16" i="20"/>
  <c r="AM16" i="20"/>
  <c r="AL16" i="20"/>
  <c r="AK16" i="20"/>
  <c r="AJ16" i="20"/>
  <c r="AI16" i="20"/>
  <c r="AH16" i="20"/>
  <c r="AG16" i="20"/>
  <c r="AF16" i="20"/>
  <c r="AE16" i="20"/>
  <c r="AD16" i="20"/>
  <c r="AC16" i="20"/>
  <c r="AA16" i="20"/>
  <c r="AB16" i="20" s="1"/>
  <c r="M16" i="20"/>
  <c r="N16" i="20" s="1"/>
  <c r="O16" i="20"/>
  <c r="P16" i="20" s="1"/>
  <c r="Z16" i="20"/>
  <c r="Y16" i="20"/>
  <c r="W16" i="20"/>
  <c r="X16" i="20" s="1"/>
  <c r="U16" i="20"/>
  <c r="V16" i="20" s="1"/>
  <c r="T16" i="20"/>
  <c r="S16" i="20"/>
  <c r="R16" i="20"/>
  <c r="Q16" i="20"/>
  <c r="G11" i="19" l="1"/>
  <c r="G12" i="19" s="1"/>
  <c r="AA54" i="3"/>
  <c r="Y54" i="3"/>
  <c r="W10" i="3" l="1"/>
  <c r="W11" i="3" s="1"/>
  <c r="U10" i="3"/>
  <c r="U11" i="3" s="1"/>
  <c r="S10" i="3"/>
  <c r="S12" i="3" s="1"/>
  <c r="W4" i="3"/>
  <c r="U4" i="3"/>
  <c r="S4" i="3"/>
  <c r="Q10" i="3"/>
  <c r="Q12" i="3" s="1"/>
  <c r="O10" i="3"/>
  <c r="O12" i="3" s="1"/>
  <c r="M10" i="3"/>
  <c r="M12" i="3" s="1"/>
  <c r="Q4" i="3"/>
  <c r="O4" i="3"/>
  <c r="M4" i="3"/>
  <c r="K4" i="3"/>
  <c r="I4" i="3"/>
  <c r="G4" i="3"/>
  <c r="E4" i="3"/>
  <c r="AS7" i="20"/>
  <c r="S12" i="19" l="1"/>
  <c r="S11" i="3"/>
  <c r="S15" i="3" s="1"/>
  <c r="W15" i="3"/>
  <c r="W14" i="3"/>
  <c r="W18" i="3"/>
  <c r="W20" i="3" s="1"/>
  <c r="W12" i="3"/>
  <c r="U14" i="3"/>
  <c r="U18" i="3"/>
  <c r="U20" i="3" s="1"/>
  <c r="U15" i="3"/>
  <c r="U12" i="3"/>
  <c r="S19" i="3"/>
  <c r="S23" i="3" s="1"/>
  <c r="S16" i="3"/>
  <c r="Q11" i="3"/>
  <c r="Q15" i="3" s="1"/>
  <c r="Q19" i="3"/>
  <c r="Q23" i="3" s="1"/>
  <c r="Q16" i="3"/>
  <c r="O16" i="3"/>
  <c r="O19" i="3"/>
  <c r="O23" i="3" s="1"/>
  <c r="O11" i="3"/>
  <c r="M16" i="3"/>
  <c r="M19" i="3"/>
  <c r="M23" i="3" s="1"/>
  <c r="M11" i="3"/>
  <c r="U8" i="3"/>
  <c r="K8" i="3"/>
  <c r="I8" i="3"/>
  <c r="G8" i="3"/>
  <c r="E8" i="3"/>
  <c r="O37" i="19"/>
  <c r="M37" i="19"/>
  <c r="K37" i="19"/>
  <c r="I37" i="19"/>
  <c r="G37" i="19"/>
  <c r="E37" i="19"/>
  <c r="AS55" i="20"/>
  <c r="AS57" i="20" s="1"/>
  <c r="AS60" i="20" s="1"/>
  <c r="AS52" i="20"/>
  <c r="AS51" i="20"/>
  <c r="AS58" i="20" s="1"/>
  <c r="AS50" i="20"/>
  <c r="AS66" i="20" s="1"/>
  <c r="AS45" i="20"/>
  <c r="AS46" i="20" s="1"/>
  <c r="AS53" i="20" s="1"/>
  <c r="AS70" i="20"/>
  <c r="I6" i="3" l="1"/>
  <c r="O6" i="3"/>
  <c r="W6" i="3"/>
  <c r="K3" i="3"/>
  <c r="E6" i="3"/>
  <c r="G6" i="3"/>
  <c r="K6" i="3"/>
  <c r="M6" i="3"/>
  <c r="Q6" i="3"/>
  <c r="S6" i="3"/>
  <c r="U6" i="3"/>
  <c r="G3" i="3"/>
  <c r="G58" i="3" s="1"/>
  <c r="E7" i="3"/>
  <c r="G7" i="3"/>
  <c r="I7" i="3"/>
  <c r="K7" i="3"/>
  <c r="M7" i="3"/>
  <c r="O7" i="3"/>
  <c r="Q7" i="3"/>
  <c r="S7" i="3"/>
  <c r="U7" i="3"/>
  <c r="W7" i="3"/>
  <c r="I3" i="3"/>
  <c r="I58" i="3" s="1"/>
  <c r="E3" i="3"/>
  <c r="M8" i="3"/>
  <c r="O8" i="3"/>
  <c r="Q8" i="3"/>
  <c r="S8" i="3"/>
  <c r="W8" i="3"/>
  <c r="S14" i="3"/>
  <c r="S18" i="3"/>
  <c r="S20" i="3" s="1"/>
  <c r="Q14" i="3"/>
  <c r="Q3" i="3"/>
  <c r="Q58" i="3" s="1"/>
  <c r="W3" i="3"/>
  <c r="W58" i="3" s="1"/>
  <c r="S3" i="3"/>
  <c r="S58" i="3" s="1"/>
  <c r="M3" i="3"/>
  <c r="M58" i="3" s="1"/>
  <c r="O3" i="3"/>
  <c r="O58" i="3" s="1"/>
  <c r="U3" i="3"/>
  <c r="U58" i="3" s="1"/>
  <c r="W16" i="3"/>
  <c r="W19" i="3"/>
  <c r="W23" i="3" s="1"/>
  <c r="W21" i="3"/>
  <c r="W22" i="3" s="1"/>
  <c r="U21" i="3"/>
  <c r="U22" i="3" s="1"/>
  <c r="U19" i="3"/>
  <c r="U23" i="3" s="1"/>
  <c r="U16" i="3"/>
  <c r="S21" i="3"/>
  <c r="S22" i="3" s="1"/>
  <c r="Q18" i="3"/>
  <c r="Q20" i="3" s="1"/>
  <c r="Q21" i="3" s="1"/>
  <c r="Q22" i="3" s="1"/>
  <c r="O18" i="3"/>
  <c r="O20" i="3" s="1"/>
  <c r="O15" i="3"/>
  <c r="O14" i="3"/>
  <c r="M18" i="3"/>
  <c r="M20" i="3" s="1"/>
  <c r="M15" i="3"/>
  <c r="M14" i="3"/>
  <c r="AS63" i="20"/>
  <c r="AS68" i="20" s="1"/>
  <c r="AS61" i="20"/>
  <c r="AS64" i="20" s="1"/>
  <c r="AS59" i="20"/>
  <c r="AS54" i="20"/>
  <c r="G3" i="20"/>
  <c r="I3" i="20" s="1"/>
  <c r="K3" i="20" s="1"/>
  <c r="M3" i="20" s="1"/>
  <c r="O3" i="20" s="1"/>
  <c r="Q3" i="20" s="1"/>
  <c r="S3" i="20" s="1"/>
  <c r="U3" i="20" s="1"/>
  <c r="W3" i="20" s="1"/>
  <c r="Y3" i="20" s="1"/>
  <c r="AA3" i="20" s="1"/>
  <c r="AC3" i="20" s="1"/>
  <c r="AE3" i="20" s="1"/>
  <c r="AG3" i="20" s="1"/>
  <c r="AI3" i="20" s="1"/>
  <c r="AK3" i="20" s="1"/>
  <c r="AM3" i="20" s="1"/>
  <c r="AO3" i="20" s="1"/>
  <c r="AQ3" i="20" s="1"/>
  <c r="AS3" i="20" s="1"/>
  <c r="O21" i="3" l="1"/>
  <c r="O22" i="3" s="1"/>
  <c r="M21" i="3"/>
  <c r="M22" i="3" s="1"/>
  <c r="AS67" i="20"/>
  <c r="AS69" i="20"/>
  <c r="AS65" i="20"/>
  <c r="AS41" i="20"/>
  <c r="AU3" i="20"/>
  <c r="Y70" i="20" l="1"/>
  <c r="Y52" i="20"/>
  <c r="Y60" i="20" s="1"/>
  <c r="Y51" i="20"/>
  <c r="Y58" i="20" s="1"/>
  <c r="Y50" i="20"/>
  <c r="Y45" i="20"/>
  <c r="Y46" i="20" s="1"/>
  <c r="Y53" i="20" s="1"/>
  <c r="Y41" i="20"/>
  <c r="U70" i="20"/>
  <c r="U52" i="20"/>
  <c r="U60" i="20" s="1"/>
  <c r="U51" i="20"/>
  <c r="U58" i="20" s="1"/>
  <c r="U50" i="20"/>
  <c r="U45" i="20"/>
  <c r="U46" i="20" s="1"/>
  <c r="U53" i="20" s="1"/>
  <c r="U41" i="20"/>
  <c r="U7" i="20"/>
  <c r="U55" i="20" l="1"/>
  <c r="U57" i="20" s="1"/>
  <c r="Y55" i="20"/>
  <c r="Y57" i="20" s="1"/>
  <c r="Y61" i="20" s="1"/>
  <c r="U66" i="20"/>
  <c r="Y66" i="20"/>
  <c r="Y63" i="20"/>
  <c r="Y59" i="20"/>
  <c r="Y54" i="20"/>
  <c r="U63" i="20"/>
  <c r="U61" i="20"/>
  <c r="U64" i="20" s="1"/>
  <c r="U65" i="20" s="1"/>
  <c r="U59" i="20"/>
  <c r="U54" i="20"/>
  <c r="Y64" i="20" l="1"/>
  <c r="Y67" i="20" s="1"/>
  <c r="Y65" i="20"/>
  <c r="Y69" i="20" s="1"/>
  <c r="U68" i="20"/>
  <c r="Y68" i="20"/>
  <c r="U67" i="20"/>
  <c r="U69" i="20"/>
  <c r="Y7" i="20" l="1"/>
  <c r="AC70" i="20" l="1"/>
  <c r="AC60" i="20"/>
  <c r="AC52" i="20"/>
  <c r="AC55" i="20" s="1"/>
  <c r="AC57" i="20" s="1"/>
  <c r="AC51" i="20"/>
  <c r="AC58" i="20" s="1"/>
  <c r="AC50" i="20"/>
  <c r="AC45" i="20"/>
  <c r="AC46" i="20" s="1"/>
  <c r="AC53" i="20" s="1"/>
  <c r="AC41" i="20"/>
  <c r="AD8" i="20"/>
  <c r="AC7" i="20" s="1"/>
  <c r="AC66" i="20" l="1"/>
  <c r="AC61" i="20"/>
  <c r="AC64" i="20" s="1"/>
  <c r="AC65" i="20"/>
  <c r="AC63" i="20"/>
  <c r="AC68" i="20" s="1"/>
  <c r="AC54" i="20"/>
  <c r="AC59" i="20"/>
  <c r="AC69" i="20" l="1"/>
  <c r="AC67" i="20"/>
  <c r="AM70" i="20" l="1"/>
  <c r="AM52" i="20"/>
  <c r="AM51" i="20"/>
  <c r="AM58" i="20" s="1"/>
  <c r="AM50" i="20"/>
  <c r="AM45" i="20"/>
  <c r="AM46" i="20" s="1"/>
  <c r="AM53" i="20" s="1"/>
  <c r="AM41" i="20"/>
  <c r="AI70" i="20"/>
  <c r="AI52" i="20"/>
  <c r="AI51" i="20"/>
  <c r="AI58" i="20" s="1"/>
  <c r="AI50" i="20"/>
  <c r="AI45" i="20"/>
  <c r="AI46" i="20" s="1"/>
  <c r="AI53" i="20" s="1"/>
  <c r="AI41" i="20"/>
  <c r="AE70" i="20"/>
  <c r="AE52" i="20"/>
  <c r="AE60" i="20" s="1"/>
  <c r="AE51" i="20"/>
  <c r="AE58" i="20" s="1"/>
  <c r="AE50" i="20"/>
  <c r="AE45" i="20"/>
  <c r="AE46" i="20" s="1"/>
  <c r="AE53" i="20" s="1"/>
  <c r="AE41" i="20"/>
  <c r="W70" i="20"/>
  <c r="W52" i="20"/>
  <c r="W60" i="20" s="1"/>
  <c r="W51" i="20"/>
  <c r="W58" i="20" s="1"/>
  <c r="W50" i="20"/>
  <c r="W45" i="20"/>
  <c r="W46" i="20" s="1"/>
  <c r="W53" i="20" s="1"/>
  <c r="W41" i="20"/>
  <c r="W66" i="20" l="1"/>
  <c r="W7" i="20"/>
  <c r="AM7" i="20"/>
  <c r="AE66" i="20"/>
  <c r="AI66" i="20"/>
  <c r="AM66" i="20"/>
  <c r="AM63" i="20"/>
  <c r="AM68" i="20" s="1"/>
  <c r="AM54" i="20"/>
  <c r="AM59" i="20"/>
  <c r="AM55" i="20"/>
  <c r="AM57" i="20" s="1"/>
  <c r="AM60" i="20" s="1"/>
  <c r="AI63" i="20"/>
  <c r="AI54" i="20"/>
  <c r="AI59" i="20"/>
  <c r="AI55" i="20"/>
  <c r="AI57" i="20" s="1"/>
  <c r="AI60" i="20" s="1"/>
  <c r="AE63" i="20"/>
  <c r="AE54" i="20"/>
  <c r="AE59" i="20"/>
  <c r="AE55" i="20"/>
  <c r="AE57" i="20" s="1"/>
  <c r="W63" i="20"/>
  <c r="W68" i="20" s="1"/>
  <c r="W54" i="20"/>
  <c r="W59" i="20"/>
  <c r="W55" i="20"/>
  <c r="W57" i="20" s="1"/>
  <c r="W61" i="20" s="1"/>
  <c r="AF8" i="20"/>
  <c r="AM61" i="20" l="1"/>
  <c r="AI61" i="20"/>
  <c r="AI68" i="20"/>
  <c r="AE68" i="20"/>
  <c r="AE61" i="20"/>
  <c r="W64" i="20"/>
  <c r="W65" i="20" s="1"/>
  <c r="W69" i="20" s="1"/>
  <c r="AM64" i="20" l="1"/>
  <c r="AI64" i="20"/>
  <c r="AI65" i="20"/>
  <c r="AI69" i="20" s="1"/>
  <c r="W67" i="20"/>
  <c r="AE64" i="20"/>
  <c r="AE65" i="20"/>
  <c r="AE69" i="20" s="1"/>
  <c r="AM65" i="20" l="1"/>
  <c r="AM69" i="20" s="1"/>
  <c r="AI67" i="20"/>
  <c r="AE67" i="20"/>
  <c r="AM67" i="20" l="1"/>
  <c r="K10" i="3" l="1"/>
  <c r="K11" i="3" s="1"/>
  <c r="K58" i="3"/>
  <c r="E58" i="3"/>
  <c r="E2" i="3"/>
  <c r="D3" i="16"/>
  <c r="C3" i="16"/>
  <c r="C3" i="3"/>
  <c r="C4" i="3"/>
  <c r="E2" i="29" l="1"/>
  <c r="E2" i="27"/>
  <c r="E2" i="26"/>
  <c r="E2" i="25"/>
  <c r="E2" i="24"/>
  <c r="D3" i="27"/>
  <c r="D3" i="29"/>
  <c r="C3" i="29"/>
  <c r="C4" i="29"/>
  <c r="C4" i="26"/>
  <c r="C4" i="27"/>
  <c r="C3" i="26"/>
  <c r="C3" i="27"/>
  <c r="D3" i="25"/>
  <c r="D3" i="26"/>
  <c r="C4" i="24"/>
  <c r="C4" i="25"/>
  <c r="C3" i="24"/>
  <c r="C3" i="25"/>
  <c r="D3" i="19"/>
  <c r="D3" i="24"/>
  <c r="C3" i="19"/>
  <c r="C4" i="19"/>
  <c r="K12" i="3"/>
  <c r="K19" i="3" s="1"/>
  <c r="K23" i="3" s="1"/>
  <c r="K14" i="3"/>
  <c r="K18" i="3"/>
  <c r="K20" i="3" s="1"/>
  <c r="K15" i="3"/>
  <c r="K16" i="3" l="1"/>
  <c r="K21" i="3"/>
  <c r="K22" i="3" l="1"/>
  <c r="AQ70" i="20" l="1"/>
  <c r="AQ52" i="20"/>
  <c r="AQ51" i="20"/>
  <c r="AQ58" i="20" s="1"/>
  <c r="AQ50" i="20"/>
  <c r="AQ45" i="20"/>
  <c r="AQ46" i="20" s="1"/>
  <c r="AQ53" i="20" s="1"/>
  <c r="AQ41" i="20"/>
  <c r="AA70" i="20"/>
  <c r="AK70" i="20"/>
  <c r="AK52" i="20"/>
  <c r="AK55" i="20" s="1"/>
  <c r="AK57" i="20" s="1"/>
  <c r="AK51" i="20"/>
  <c r="AK50" i="20"/>
  <c r="AK45" i="20"/>
  <c r="AK46" i="20" s="1"/>
  <c r="AK53" i="20" s="1"/>
  <c r="AK63" i="20" s="1"/>
  <c r="AK41" i="20"/>
  <c r="AA52" i="20"/>
  <c r="AA60" i="20" s="1"/>
  <c r="AA51" i="20"/>
  <c r="AA58" i="20" s="1"/>
  <c r="AA50" i="20"/>
  <c r="AA45" i="20"/>
  <c r="AA46" i="20" s="1"/>
  <c r="AA53" i="20" s="1"/>
  <c r="AA41" i="20"/>
  <c r="E70" i="20"/>
  <c r="E52" i="20"/>
  <c r="E55" i="20" s="1"/>
  <c r="E57" i="20" s="1"/>
  <c r="E51" i="20"/>
  <c r="E50" i="20"/>
  <c r="E45" i="20"/>
  <c r="E46" i="20" s="1"/>
  <c r="E53" i="20" s="1"/>
  <c r="AQ7" i="20" l="1"/>
  <c r="AQ66" i="20"/>
  <c r="AK54" i="20"/>
  <c r="AQ63" i="20"/>
  <c r="AQ54" i="20"/>
  <c r="AQ59" i="20"/>
  <c r="AQ55" i="20"/>
  <c r="AQ57" i="20" s="1"/>
  <c r="AQ60" i="20" s="1"/>
  <c r="AK61" i="20"/>
  <c r="AK60" i="20"/>
  <c r="AK58" i="20"/>
  <c r="AK59" i="20" s="1"/>
  <c r="AA59" i="20"/>
  <c r="AA63" i="20"/>
  <c r="AA54" i="20"/>
  <c r="AA66" i="20"/>
  <c r="AA55" i="20"/>
  <c r="AA57" i="20" s="1"/>
  <c r="AA68" i="20" s="1"/>
  <c r="E63" i="20"/>
  <c r="E61" i="20"/>
  <c r="E64" i="20" s="1"/>
  <c r="E54" i="20"/>
  <c r="E60" i="20"/>
  <c r="E58" i="20"/>
  <c r="E59" i="20" s="1"/>
  <c r="M7" i="20"/>
  <c r="K7" i="20"/>
  <c r="I7" i="20"/>
  <c r="AK7" i="20"/>
  <c r="AA7" i="20"/>
  <c r="N31" i="20"/>
  <c r="AU7" i="20"/>
  <c r="AO7" i="20"/>
  <c r="AG7" i="20"/>
  <c r="S7" i="20"/>
  <c r="G7" i="20"/>
  <c r="E7" i="20"/>
  <c r="R19" i="20"/>
  <c r="E41" i="20"/>
  <c r="AA61" i="20" l="1"/>
  <c r="AA64" i="20" s="1"/>
  <c r="O7" i="20"/>
  <c r="Q7" i="20"/>
  <c r="AQ68" i="20"/>
  <c r="AQ61" i="20"/>
  <c r="AQ64" i="20" s="1"/>
  <c r="AK64" i="20"/>
  <c r="AK65" i="20" s="1"/>
  <c r="AK66" i="20"/>
  <c r="AK68" i="20"/>
  <c r="AA65" i="20"/>
  <c r="AA67" i="20" s="1"/>
  <c r="E68" i="20"/>
  <c r="E66" i="20"/>
  <c r="E65" i="20"/>
  <c r="AU70" i="20"/>
  <c r="AO70" i="20"/>
  <c r="AG70" i="20"/>
  <c r="S70" i="20"/>
  <c r="Q70" i="20"/>
  <c r="O70" i="20"/>
  <c r="M70" i="20"/>
  <c r="K70" i="20"/>
  <c r="I70" i="20"/>
  <c r="G70" i="20"/>
  <c r="AU52" i="20"/>
  <c r="AO52" i="20"/>
  <c r="AG52" i="20"/>
  <c r="AG55" i="20" s="1"/>
  <c r="AG57" i="20" s="1"/>
  <c r="AG60" i="20" s="1"/>
  <c r="S52" i="20"/>
  <c r="S60" i="20" s="1"/>
  <c r="Q52" i="20"/>
  <c r="O52" i="20"/>
  <c r="M52" i="20"/>
  <c r="M55" i="20" s="1"/>
  <c r="M57" i="20" s="1"/>
  <c r="K52" i="20"/>
  <c r="K55" i="20" s="1"/>
  <c r="I52" i="20"/>
  <c r="G52" i="20"/>
  <c r="AU51" i="20"/>
  <c r="AU58" i="20" s="1"/>
  <c r="AO51" i="20"/>
  <c r="AO58" i="20" s="1"/>
  <c r="AG51" i="20"/>
  <c r="S51" i="20"/>
  <c r="S58" i="20" s="1"/>
  <c r="Q51" i="20"/>
  <c r="Q58" i="20" s="1"/>
  <c r="O51" i="20"/>
  <c r="O58" i="20" s="1"/>
  <c r="M51" i="20"/>
  <c r="K51" i="20"/>
  <c r="I51" i="20"/>
  <c r="I58" i="20" s="1"/>
  <c r="G51" i="20"/>
  <c r="G58" i="20" s="1"/>
  <c r="AU50" i="20"/>
  <c r="AU54" i="20" s="1"/>
  <c r="AO50" i="20"/>
  <c r="AG50" i="20"/>
  <c r="S50" i="20"/>
  <c r="Q50" i="20"/>
  <c r="Q66" i="20" s="1"/>
  <c r="O50" i="20"/>
  <c r="M50" i="20"/>
  <c r="K50" i="20"/>
  <c r="I50" i="20"/>
  <c r="I54" i="20" s="1"/>
  <c r="G50" i="20"/>
  <c r="AU45" i="20"/>
  <c r="AU46" i="20" s="1"/>
  <c r="AU53" i="20" s="1"/>
  <c r="AO45" i="20"/>
  <c r="AO46" i="20" s="1"/>
  <c r="AO53" i="20" s="1"/>
  <c r="AG45" i="20"/>
  <c r="AG46" i="20" s="1"/>
  <c r="AG53" i="20" s="1"/>
  <c r="S45" i="20"/>
  <c r="S46" i="20" s="1"/>
  <c r="S53" i="20" s="1"/>
  <c r="Q45" i="20"/>
  <c r="Q46" i="20" s="1"/>
  <c r="Q53" i="20" s="1"/>
  <c r="O45" i="20"/>
  <c r="O46" i="20" s="1"/>
  <c r="O53" i="20" s="1"/>
  <c r="M45" i="20"/>
  <c r="M46" i="20" s="1"/>
  <c r="M53" i="20" s="1"/>
  <c r="K45" i="20"/>
  <c r="K46" i="20" s="1"/>
  <c r="K53" i="20" s="1"/>
  <c r="I45" i="20"/>
  <c r="I46" i="20" s="1"/>
  <c r="I53" i="20" s="1"/>
  <c r="G45" i="20"/>
  <c r="G46" i="20" s="1"/>
  <c r="G53" i="20" s="1"/>
  <c r="AU41" i="20"/>
  <c r="AO41" i="20"/>
  <c r="AG41" i="20"/>
  <c r="S41" i="20"/>
  <c r="Q41" i="20"/>
  <c r="O41" i="20"/>
  <c r="M41" i="20"/>
  <c r="K41" i="20"/>
  <c r="I41" i="20"/>
  <c r="G41" i="20"/>
  <c r="AK67" i="20" l="1"/>
  <c r="S55" i="20"/>
  <c r="S57" i="20" s="1"/>
  <c r="S61" i="20" s="1"/>
  <c r="S64" i="20" s="1"/>
  <c r="S66" i="20"/>
  <c r="E67" i="20"/>
  <c r="AQ65" i="20"/>
  <c r="AQ67" i="20" s="1"/>
  <c r="AK69" i="20"/>
  <c r="AA69" i="20"/>
  <c r="E69" i="20"/>
  <c r="M61" i="20"/>
  <c r="M64" i="20" s="1"/>
  <c r="M65" i="20" s="1"/>
  <c r="M63" i="20"/>
  <c r="O63" i="20"/>
  <c r="S63" i="20"/>
  <c r="O59" i="20"/>
  <c r="Q63" i="20"/>
  <c r="AU63" i="20"/>
  <c r="AG61" i="20"/>
  <c r="AG64" i="20" s="1"/>
  <c r="AG63" i="20"/>
  <c r="I59" i="20"/>
  <c r="Q59" i="20"/>
  <c r="AU59" i="20"/>
  <c r="G63" i="20"/>
  <c r="AO63" i="20"/>
  <c r="G59" i="20"/>
  <c r="AO59" i="20"/>
  <c r="I63" i="20"/>
  <c r="K63" i="20"/>
  <c r="G54" i="20"/>
  <c r="O66" i="20"/>
  <c r="AO54" i="20"/>
  <c r="O54" i="20"/>
  <c r="K58" i="20"/>
  <c r="K59" i="20" s="1"/>
  <c r="G66" i="20"/>
  <c r="AO66" i="20"/>
  <c r="Q54" i="20"/>
  <c r="M58" i="20"/>
  <c r="M59" i="20" s="1"/>
  <c r="I66" i="20"/>
  <c r="AU66" i="20"/>
  <c r="K54" i="20"/>
  <c r="S54" i="20"/>
  <c r="G55" i="20"/>
  <c r="G57" i="20" s="1"/>
  <c r="O55" i="20"/>
  <c r="O57" i="20" s="1"/>
  <c r="AO55" i="20"/>
  <c r="AO57" i="20" s="1"/>
  <c r="AO60" i="20" s="1"/>
  <c r="K57" i="20"/>
  <c r="K60" i="20" s="1"/>
  <c r="S59" i="20"/>
  <c r="AG58" i="20"/>
  <c r="AG68" i="20" s="1"/>
  <c r="M60" i="20"/>
  <c r="M54" i="20"/>
  <c r="AG54" i="20"/>
  <c r="I55" i="20"/>
  <c r="I57" i="20" s="1"/>
  <c r="I68" i="20" s="1"/>
  <c r="Q55" i="20"/>
  <c r="Q57" i="20" s="1"/>
  <c r="Q61" i="20" s="1"/>
  <c r="AU55" i="20"/>
  <c r="AU57" i="20" s="1"/>
  <c r="AU68" i="20" s="1"/>
  <c r="G68" i="20" l="1"/>
  <c r="S68" i="20"/>
  <c r="I61" i="20"/>
  <c r="I64" i="20" s="1"/>
  <c r="AG59" i="20"/>
  <c r="M66" i="20"/>
  <c r="M67" i="20" s="1"/>
  <c r="AU61" i="20"/>
  <c r="AU64" i="20" s="1"/>
  <c r="AG65" i="20"/>
  <c r="AG69" i="20" s="1"/>
  <c r="O61" i="20"/>
  <c r="K61" i="20"/>
  <c r="K64" i="20" s="1"/>
  <c r="O68" i="20"/>
  <c r="G61" i="20"/>
  <c r="AQ69" i="20"/>
  <c r="Q64" i="20"/>
  <c r="Q65" i="20" s="1"/>
  <c r="Q69" i="20" s="1"/>
  <c r="O64" i="20"/>
  <c r="O65" i="20"/>
  <c r="O60" i="20"/>
  <c r="AU60" i="20"/>
  <c r="S65" i="20"/>
  <c r="S69" i="20" s="1"/>
  <c r="AO68" i="20"/>
  <c r="AO61" i="20"/>
  <c r="Q68" i="20"/>
  <c r="M69" i="20"/>
  <c r="M68" i="20"/>
  <c r="K68" i="20"/>
  <c r="G60" i="20"/>
  <c r="K66" i="20"/>
  <c r="Q60" i="20"/>
  <c r="AG66" i="20"/>
  <c r="I60" i="20"/>
  <c r="Q67" i="20" l="1"/>
  <c r="AG67" i="20"/>
  <c r="K65" i="20"/>
  <c r="K67" i="20" s="1"/>
  <c r="I65" i="20"/>
  <c r="I69" i="20" s="1"/>
  <c r="G64" i="20"/>
  <c r="G65" i="20" s="1"/>
  <c r="G69" i="20" s="1"/>
  <c r="AU65" i="20"/>
  <c r="AU67" i="20" s="1"/>
  <c r="O67" i="20"/>
  <c r="O69" i="20"/>
  <c r="I67" i="20"/>
  <c r="S67" i="20"/>
  <c r="AO64" i="20"/>
  <c r="K69" i="20" l="1"/>
  <c r="AU69" i="20"/>
  <c r="G67" i="20"/>
  <c r="AO65" i="20"/>
  <c r="AO69" i="20" s="1"/>
  <c r="AO67" i="20" l="1"/>
  <c r="E66" i="16" l="1"/>
  <c r="E62" i="16"/>
  <c r="O7" i="16"/>
  <c r="E52" i="16"/>
  <c r="M47" i="16"/>
  <c r="K47" i="16"/>
  <c r="I47" i="16"/>
  <c r="G47" i="16"/>
  <c r="E47" i="16"/>
  <c r="H85" i="16" l="1"/>
  <c r="E2" i="19" l="1"/>
  <c r="AA26" i="3"/>
  <c r="AA49" i="3" s="1"/>
  <c r="D3" i="3"/>
  <c r="I27" i="13" l="1"/>
  <c r="I26" i="13"/>
  <c r="O28" i="13"/>
  <c r="G8" i="13"/>
  <c r="G10" i="13" s="1"/>
  <c r="G11" i="13" s="1"/>
  <c r="E7" i="13"/>
  <c r="G12" i="13" l="1"/>
  <c r="Q9" i="19"/>
  <c r="Q9" i="24"/>
  <c r="T11" i="19"/>
  <c r="T11" i="24"/>
  <c r="T9" i="19"/>
  <c r="T9" i="24"/>
  <c r="Q11" i="19"/>
  <c r="Q11" i="24"/>
  <c r="K28" i="13"/>
  <c r="K30" i="13" s="1"/>
  <c r="I28" i="13"/>
  <c r="I30" i="13" s="1"/>
  <c r="M28" i="13"/>
  <c r="M30" i="13" s="1"/>
  <c r="K8" i="13"/>
  <c r="K10" i="13" s="1"/>
  <c r="K11" i="13" s="1"/>
  <c r="E28" i="13"/>
  <c r="G28" i="13"/>
  <c r="G30" i="13" s="1"/>
  <c r="E8" i="13"/>
  <c r="I8" i="13"/>
  <c r="M8" i="13"/>
  <c r="M10" i="13" s="1"/>
  <c r="M11" i="13" s="1"/>
  <c r="H86" i="16"/>
  <c r="G13" i="13" l="1"/>
  <c r="H15" i="13" s="1"/>
  <c r="M12" i="13"/>
  <c r="K12" i="13"/>
  <c r="G14" i="13"/>
  <c r="H16" i="13" s="1"/>
  <c r="E10" i="13"/>
  <c r="E11" i="13" s="1"/>
  <c r="E30" i="13"/>
  <c r="E40" i="13"/>
  <c r="F40" i="13" s="1"/>
  <c r="G40" i="13"/>
  <c r="H40" i="13" s="1"/>
  <c r="I40" i="13"/>
  <c r="J40" i="13" s="1"/>
  <c r="K40" i="13"/>
  <c r="L40" i="13" s="1"/>
  <c r="M40" i="13"/>
  <c r="N40" i="13" s="1"/>
  <c r="K20" i="13"/>
  <c r="L20" i="13" s="1"/>
  <c r="E20" i="13"/>
  <c r="F20" i="13" s="1"/>
  <c r="M20" i="13"/>
  <c r="N20" i="13" s="1"/>
  <c r="I10" i="13"/>
  <c r="I11" i="13" s="1"/>
  <c r="I20" i="13"/>
  <c r="J20" i="13" s="1"/>
  <c r="G20" i="13"/>
  <c r="H20" i="13" s="1"/>
  <c r="K13" i="13" l="1"/>
  <c r="L15" i="13" s="1"/>
  <c r="M13" i="13"/>
  <c r="N15" i="13" s="1"/>
  <c r="K14" i="13"/>
  <c r="L16" i="13" s="1"/>
  <c r="I12" i="13"/>
  <c r="E12" i="13"/>
  <c r="E13" i="13" s="1"/>
  <c r="F15" i="13" s="1"/>
  <c r="M14" i="13"/>
  <c r="N16" i="13" s="1"/>
  <c r="F37" i="13"/>
  <c r="F42" i="13" s="1"/>
  <c r="N11" i="29"/>
  <c r="E14" i="13" l="1"/>
  <c r="F16" i="13" s="1"/>
  <c r="I13" i="13"/>
  <c r="J15" i="13" s="1"/>
  <c r="I14" i="13"/>
  <c r="J16" i="13" s="1"/>
  <c r="R11" i="26"/>
  <c r="R11" i="25"/>
  <c r="N37" i="13"/>
  <c r="N42" i="13" s="1"/>
  <c r="H37" i="13"/>
  <c r="H42" i="13" s="1"/>
  <c r="J37" i="13"/>
  <c r="J42" i="13" s="1"/>
  <c r="R11" i="19"/>
  <c r="R11" i="24"/>
  <c r="R9" i="25" l="1"/>
  <c r="R9" i="24"/>
  <c r="R9" i="19"/>
  <c r="N9" i="29"/>
  <c r="R9" i="26"/>
  <c r="L17" i="13"/>
  <c r="L22" i="13" s="1"/>
  <c r="N17" i="13"/>
  <c r="N22" i="13" s="1"/>
  <c r="O10" i="29" s="1"/>
  <c r="N10" i="29"/>
  <c r="E14" i="29" s="1"/>
  <c r="H17" i="13"/>
  <c r="H22" i="13" s="1"/>
  <c r="L37" i="13"/>
  <c r="L42" i="13" s="1"/>
  <c r="O11" i="29" s="1"/>
  <c r="F17" i="13"/>
  <c r="F22" i="13" s="1"/>
  <c r="J17" i="13"/>
  <c r="J22" i="13" s="1"/>
  <c r="O9" i="29" s="1"/>
  <c r="R10" i="24"/>
  <c r="R10" i="26"/>
  <c r="R10" i="19"/>
  <c r="M14" i="19" s="1"/>
  <c r="R10" i="25"/>
  <c r="S26" i="3"/>
  <c r="W26" i="3"/>
  <c r="I26" i="3"/>
  <c r="Q26" i="3"/>
  <c r="M26" i="3"/>
  <c r="O26" i="3"/>
  <c r="G26" i="3"/>
  <c r="K14" i="26" l="1"/>
  <c r="E14" i="24"/>
  <c r="I14" i="29"/>
  <c r="G14" i="29"/>
  <c r="I14" i="26"/>
  <c r="O14" i="19"/>
  <c r="J14" i="29"/>
  <c r="J34" i="29" s="1"/>
  <c r="J35" i="29" s="1"/>
  <c r="J36" i="29" s="1"/>
  <c r="F14" i="29"/>
  <c r="L14" i="29"/>
  <c r="L34" i="29" s="1"/>
  <c r="L35" i="29" s="1"/>
  <c r="L36" i="29" s="1"/>
  <c r="H14" i="29"/>
  <c r="H34" i="29" s="1"/>
  <c r="H35" i="29" s="1"/>
  <c r="H36" i="29" s="1"/>
  <c r="S9" i="26"/>
  <c r="K14" i="29"/>
  <c r="S10" i="26"/>
  <c r="G14" i="19"/>
  <c r="E14" i="26"/>
  <c r="G14" i="26"/>
  <c r="M14" i="26"/>
  <c r="O14" i="26"/>
  <c r="G14" i="24"/>
  <c r="M14" i="24"/>
  <c r="K14" i="24"/>
  <c r="I14" i="24"/>
  <c r="O14" i="24"/>
  <c r="S11" i="24"/>
  <c r="S11" i="26"/>
  <c r="E14" i="19"/>
  <c r="S11" i="25"/>
  <c r="S11" i="19"/>
  <c r="I14" i="19"/>
  <c r="S9" i="19"/>
  <c r="S9" i="24"/>
  <c r="S9" i="25"/>
  <c r="S10" i="19"/>
  <c r="S10" i="24"/>
  <c r="S10" i="25"/>
  <c r="K14" i="19"/>
  <c r="E14" i="25"/>
  <c r="O14" i="25"/>
  <c r="M14" i="25"/>
  <c r="K14" i="25"/>
  <c r="I14" i="25"/>
  <c r="G14" i="25"/>
  <c r="K26" i="3"/>
  <c r="U26" i="3"/>
  <c r="T14" i="29" l="1"/>
  <c r="L14" i="26"/>
  <c r="L34" i="26" s="1"/>
  <c r="L35" i="26" s="1"/>
  <c r="L36" i="26" s="1"/>
  <c r="F34" i="29"/>
  <c r="N14" i="26"/>
  <c r="N34" i="26" s="1"/>
  <c r="N35" i="26" s="1"/>
  <c r="N36" i="26" s="1"/>
  <c r="J14" i="26"/>
  <c r="J34" i="26" s="1"/>
  <c r="J35" i="26" s="1"/>
  <c r="J36" i="26" s="1"/>
  <c r="P14" i="26"/>
  <c r="P34" i="26" s="1"/>
  <c r="P35" i="26" s="1"/>
  <c r="P36" i="26" s="1"/>
  <c r="F14" i="26"/>
  <c r="F34" i="26" s="1"/>
  <c r="F35" i="26" s="1"/>
  <c r="F36" i="26" s="1"/>
  <c r="H14" i="26"/>
  <c r="H34" i="26" s="1"/>
  <c r="H35" i="26" s="1"/>
  <c r="H36" i="26" s="1"/>
  <c r="H14" i="19"/>
  <c r="H34" i="19" s="1"/>
  <c r="P14" i="19"/>
  <c r="P34" i="19" s="1"/>
  <c r="N14" i="19"/>
  <c r="N34" i="19" s="1"/>
  <c r="P14" i="25"/>
  <c r="P34" i="25" s="1"/>
  <c r="P35" i="25" s="1"/>
  <c r="P36" i="25" s="1"/>
  <c r="N14" i="25"/>
  <c r="N34" i="25" s="1"/>
  <c r="N35" i="25" s="1"/>
  <c r="N36" i="25" s="1"/>
  <c r="F14" i="25"/>
  <c r="F34" i="25" s="1"/>
  <c r="J14" i="25"/>
  <c r="J34" i="25" s="1"/>
  <c r="H14" i="25"/>
  <c r="H34" i="25" s="1"/>
  <c r="L14" i="25"/>
  <c r="L34" i="25" s="1"/>
  <c r="L14" i="19"/>
  <c r="L34" i="19" s="1"/>
  <c r="J14" i="19"/>
  <c r="J34" i="19" s="1"/>
  <c r="N14" i="24"/>
  <c r="N34" i="24" s="1"/>
  <c r="N35" i="24" s="1"/>
  <c r="N36" i="24" s="1"/>
  <c r="L14" i="24"/>
  <c r="L34" i="24" s="1"/>
  <c r="L35" i="24" s="1"/>
  <c r="L36" i="24" s="1"/>
  <c r="P14" i="24"/>
  <c r="P34" i="24" s="1"/>
  <c r="P35" i="24" s="1"/>
  <c r="P36" i="24" s="1"/>
  <c r="F14" i="24"/>
  <c r="F34" i="24" s="1"/>
  <c r="F35" i="24" s="1"/>
  <c r="F36" i="24" s="1"/>
  <c r="H14" i="24"/>
  <c r="H34" i="24" s="1"/>
  <c r="H35" i="24" s="1"/>
  <c r="H36" i="24" s="1"/>
  <c r="J14" i="24"/>
  <c r="J34" i="24" s="1"/>
  <c r="J35" i="24" s="1"/>
  <c r="J36" i="24" s="1"/>
  <c r="F14" i="19"/>
  <c r="F34" i="19" s="1"/>
  <c r="F35" i="29" l="1"/>
  <c r="T35" i="29" s="1"/>
  <c r="J35" i="25"/>
  <c r="J36" i="25" s="1"/>
  <c r="L35" i="25"/>
  <c r="L36" i="25" s="1"/>
  <c r="F35" i="25"/>
  <c r="F36" i="25" s="1"/>
  <c r="H35" i="25"/>
  <c r="H36" i="25" s="1"/>
  <c r="F36" i="29" l="1"/>
  <c r="T36" i="29" s="1"/>
  <c r="I27" i="16" l="1"/>
  <c r="I44" i="16" l="1"/>
  <c r="H83" i="16" l="1"/>
  <c r="M27" i="16" l="1"/>
  <c r="K27" i="16"/>
  <c r="G27" i="16"/>
  <c r="E27" i="16"/>
  <c r="H101" i="16"/>
  <c r="H77" i="16"/>
  <c r="H76" i="16"/>
  <c r="H74" i="16"/>
  <c r="F59" i="16"/>
  <c r="P50" i="16"/>
  <c r="P49" i="16"/>
  <c r="P48" i="16"/>
  <c r="I37" i="16"/>
  <c r="O32" i="16"/>
  <c r="O31" i="16"/>
  <c r="O30" i="16"/>
  <c r="O34" i="16"/>
  <c r="I23" i="16"/>
  <c r="O13" i="16"/>
  <c r="O11" i="16"/>
  <c r="F61" i="16" l="1"/>
  <c r="G44" i="16"/>
  <c r="K44" i="16"/>
  <c r="M44" i="16"/>
  <c r="E44" i="16"/>
  <c r="G52" i="16" l="1"/>
  <c r="E26" i="3" l="1"/>
  <c r="Y28" i="3" l="1"/>
  <c r="Y27" i="3"/>
  <c r="W27" i="3" l="1"/>
  <c r="U27" i="3"/>
  <c r="U47" i="3" s="1"/>
  <c r="U49" i="3" s="1"/>
  <c r="U51" i="3" s="1"/>
  <c r="U53" i="3" s="1"/>
  <c r="Q28" i="3"/>
  <c r="S28" i="3"/>
  <c r="M28" i="3"/>
  <c r="M27" i="3"/>
  <c r="S27" i="3"/>
  <c r="Q27" i="3"/>
  <c r="U28" i="3"/>
  <c r="U48" i="3" s="1"/>
  <c r="U50" i="3" s="1"/>
  <c r="U52" i="3" s="1"/>
  <c r="U56" i="3" s="1"/>
  <c r="V56" i="3" s="1"/>
  <c r="O28" i="3"/>
  <c r="O48" i="3" s="1"/>
  <c r="O50" i="3" s="1"/>
  <c r="O52" i="3" s="1"/>
  <c r="O56" i="3" s="1"/>
  <c r="P56" i="3" s="1"/>
  <c r="K28" i="3"/>
  <c r="K48" i="3" s="1"/>
  <c r="K50" i="3" s="1"/>
  <c r="K52" i="3" s="1"/>
  <c r="K56" i="3" s="1"/>
  <c r="L56" i="3" s="1"/>
  <c r="O27" i="3"/>
  <c r="O47" i="3" s="1"/>
  <c r="O49" i="3" s="1"/>
  <c r="O51" i="3" s="1"/>
  <c r="O53" i="3" s="1"/>
  <c r="K27" i="3"/>
  <c r="K47" i="3" s="1"/>
  <c r="K49" i="3" s="1"/>
  <c r="K51" i="3" s="1"/>
  <c r="K53" i="3" s="1"/>
  <c r="G27" i="3"/>
  <c r="G28" i="3"/>
  <c r="G48" i="3" s="1"/>
  <c r="G50" i="3" s="1"/>
  <c r="G52" i="3" s="1"/>
  <c r="G56" i="3" s="1"/>
  <c r="H56" i="3" s="1"/>
  <c r="O54" i="3" l="1"/>
  <c r="O55" i="3" s="1"/>
  <c r="P53" i="3"/>
  <c r="U54" i="3"/>
  <c r="U55" i="3" s="1"/>
  <c r="V53" i="3"/>
  <c r="K54" i="3"/>
  <c r="K55" i="3" s="1"/>
  <c r="L53" i="3"/>
  <c r="Q47" i="3"/>
  <c r="Q49" i="3" s="1"/>
  <c r="Q51" i="3" s="1"/>
  <c r="Q53" i="3" s="1"/>
  <c r="Q36" i="3"/>
  <c r="Q40" i="3"/>
  <c r="Q42" i="3" s="1"/>
  <c r="Q37" i="3"/>
  <c r="M36" i="3"/>
  <c r="M37" i="3"/>
  <c r="M40" i="3"/>
  <c r="M42" i="3" s="1"/>
  <c r="M47" i="3"/>
  <c r="M49" i="3" s="1"/>
  <c r="M51" i="3" s="1"/>
  <c r="M53" i="3" s="1"/>
  <c r="M38" i="3"/>
  <c r="M41" i="3"/>
  <c r="M45" i="3" s="1"/>
  <c r="N45" i="3" s="1"/>
  <c r="M48" i="3"/>
  <c r="M50" i="3" s="1"/>
  <c r="M52" i="3" s="1"/>
  <c r="M56" i="3" s="1"/>
  <c r="N56" i="3" s="1"/>
  <c r="S41" i="3"/>
  <c r="S45" i="3" s="1"/>
  <c r="T45" i="3" s="1"/>
  <c r="S48" i="3"/>
  <c r="S50" i="3" s="1"/>
  <c r="S52" i="3" s="1"/>
  <c r="S56" i="3" s="1"/>
  <c r="T56" i="3" s="1"/>
  <c r="S38" i="3"/>
  <c r="S47" i="3"/>
  <c r="S49" i="3" s="1"/>
  <c r="S51" i="3" s="1"/>
  <c r="S53" i="3" s="1"/>
  <c r="S37" i="3"/>
  <c r="S36" i="3"/>
  <c r="S40" i="3"/>
  <c r="S42" i="3" s="1"/>
  <c r="Q38" i="3"/>
  <c r="Q41" i="3"/>
  <c r="Q45" i="3" s="1"/>
  <c r="R45" i="3" s="1"/>
  <c r="Q48" i="3"/>
  <c r="Q50" i="3" s="1"/>
  <c r="Q52" i="3" s="1"/>
  <c r="Q56" i="3" s="1"/>
  <c r="R56" i="3" s="1"/>
  <c r="G40" i="3"/>
  <c r="G42" i="3" s="1"/>
  <c r="G47" i="3"/>
  <c r="G49" i="3" s="1"/>
  <c r="G51" i="3" s="1"/>
  <c r="G53" i="3" s="1"/>
  <c r="K38" i="3"/>
  <c r="K41" i="3"/>
  <c r="K45" i="3" s="1"/>
  <c r="L45" i="3" s="1"/>
  <c r="O38" i="3"/>
  <c r="O41" i="3"/>
  <c r="O45" i="3" s="1"/>
  <c r="P45" i="3" s="1"/>
  <c r="U38" i="3"/>
  <c r="U41" i="3"/>
  <c r="U45" i="3" s="1"/>
  <c r="V45" i="3" s="1"/>
  <c r="K37" i="3"/>
  <c r="K40" i="3"/>
  <c r="K42" i="3" s="1"/>
  <c r="L42" i="3" s="1"/>
  <c r="K36" i="3"/>
  <c r="O37" i="3"/>
  <c r="O36" i="3"/>
  <c r="O40" i="3"/>
  <c r="O42" i="3" s="1"/>
  <c r="P42" i="3" s="1"/>
  <c r="U37" i="3"/>
  <c r="U40" i="3"/>
  <c r="U42" i="3" s="1"/>
  <c r="V42" i="3" s="1"/>
  <c r="U36" i="3"/>
  <c r="G38" i="3"/>
  <c r="G41" i="3"/>
  <c r="G45" i="3" s="1"/>
  <c r="H45" i="3" s="1"/>
  <c r="G36" i="3"/>
  <c r="G37" i="3"/>
  <c r="G54" i="3" l="1"/>
  <c r="G55" i="3" s="1"/>
  <c r="H53" i="3"/>
  <c r="N53" i="3"/>
  <c r="M54" i="3"/>
  <c r="M55" i="3" s="1"/>
  <c r="S54" i="3"/>
  <c r="S55" i="3" s="1"/>
  <c r="T53" i="3"/>
  <c r="Q54" i="3"/>
  <c r="Q55" i="3" s="1"/>
  <c r="R53" i="3"/>
  <c r="L57" i="3"/>
  <c r="P57" i="3"/>
  <c r="H35" i="19" s="1"/>
  <c r="H36" i="19" s="1"/>
  <c r="T42" i="3"/>
  <c r="T57" i="3" s="1"/>
  <c r="L35" i="19" s="1"/>
  <c r="L36" i="19" s="1"/>
  <c r="S43" i="3"/>
  <c r="S44" i="3" s="1"/>
  <c r="M43" i="3"/>
  <c r="M44" i="3" s="1"/>
  <c r="N42" i="3"/>
  <c r="N57" i="3" s="1"/>
  <c r="Q43" i="3"/>
  <c r="Q44" i="3" s="1"/>
  <c r="R42" i="3"/>
  <c r="R57" i="3" s="1"/>
  <c r="J35" i="19" s="1"/>
  <c r="J36" i="19" s="1"/>
  <c r="V57" i="3"/>
  <c r="G43" i="3"/>
  <c r="G44" i="3" s="1"/>
  <c r="H42" i="3"/>
  <c r="H57" i="3" s="1"/>
  <c r="O43" i="3"/>
  <c r="O44" i="3" s="1"/>
  <c r="K43" i="3"/>
  <c r="U43" i="3"/>
  <c r="N35" i="19" l="1"/>
  <c r="N36" i="19" s="1"/>
  <c r="F35" i="19"/>
  <c r="F36" i="19" s="1"/>
  <c r="U44" i="3"/>
  <c r="K44" i="3"/>
  <c r="I27" i="3" l="1"/>
  <c r="I47" i="3" s="1"/>
  <c r="I49" i="3" s="1"/>
  <c r="I51" i="3" s="1"/>
  <c r="I53" i="3" s="1"/>
  <c r="W28" i="3"/>
  <c r="W48" i="3" s="1"/>
  <c r="W50" i="3" s="1"/>
  <c r="W52" i="3" s="1"/>
  <c r="W56" i="3" s="1"/>
  <c r="X56" i="3" s="1"/>
  <c r="E27" i="3"/>
  <c r="E47" i="3" s="1"/>
  <c r="E49" i="3" s="1"/>
  <c r="E51" i="3" s="1"/>
  <c r="E53" i="3" s="1"/>
  <c r="I54" i="3" l="1"/>
  <c r="I55" i="3" s="1"/>
  <c r="J53" i="3"/>
  <c r="F53" i="3"/>
  <c r="E54" i="3"/>
  <c r="E55" i="3" s="1"/>
  <c r="I28" i="3"/>
  <c r="I48" i="3" s="1"/>
  <c r="I50" i="3" s="1"/>
  <c r="I52" i="3" s="1"/>
  <c r="I56" i="3" s="1"/>
  <c r="J56" i="3" s="1"/>
  <c r="E28" i="3"/>
  <c r="E48" i="3" s="1"/>
  <c r="E50" i="3" s="1"/>
  <c r="E52" i="3" s="1"/>
  <c r="E56" i="3" s="1"/>
  <c r="F56" i="3" s="1"/>
  <c r="W47" i="3"/>
  <c r="W49" i="3" s="1"/>
  <c r="W51" i="3" s="1"/>
  <c r="W53" i="3" s="1"/>
  <c r="W54" i="3" l="1"/>
  <c r="W55" i="3" s="1"/>
  <c r="X53" i="3"/>
  <c r="E10" i="3"/>
  <c r="E11" i="3" s="1"/>
  <c r="E18" i="3" s="1"/>
  <c r="E20" i="3" s="1"/>
  <c r="E40" i="3"/>
  <c r="E42" i="3" s="1"/>
  <c r="F42" i="3" s="1"/>
  <c r="W40" i="3"/>
  <c r="W42" i="3" s="1"/>
  <c r="X42" i="3" s="1"/>
  <c r="I10" i="3" l="1"/>
  <c r="I11" i="3" s="1"/>
  <c r="I18" i="3" s="1"/>
  <c r="I20" i="3" s="1"/>
  <c r="I21" i="3" s="1"/>
  <c r="E12" i="3"/>
  <c r="E19" i="3" s="1"/>
  <c r="E23" i="3" s="1"/>
  <c r="W43" i="3"/>
  <c r="E43" i="3"/>
  <c r="W38" i="3"/>
  <c r="W41" i="3"/>
  <c r="E38" i="3"/>
  <c r="F38" i="3" s="1"/>
  <c r="E41" i="3"/>
  <c r="E45" i="3" s="1"/>
  <c r="F45" i="3" s="1"/>
  <c r="E21" i="3"/>
  <c r="E22" i="3" s="1"/>
  <c r="W37" i="3"/>
  <c r="W36" i="3"/>
  <c r="E15" i="3"/>
  <c r="E14" i="3"/>
  <c r="E37" i="3"/>
  <c r="F37" i="3" s="1"/>
  <c r="E36" i="3"/>
  <c r="F36" i="3" s="1"/>
  <c r="I40" i="3"/>
  <c r="I42" i="3" s="1"/>
  <c r="F57" i="3" l="1"/>
  <c r="I43" i="3"/>
  <c r="I44" i="3" s="1"/>
  <c r="J42" i="3"/>
  <c r="W45" i="3"/>
  <c r="X45" i="3" s="1"/>
  <c r="X57" i="3" s="1"/>
  <c r="P35" i="19" s="1"/>
  <c r="P36" i="19" s="1"/>
  <c r="E44" i="3"/>
  <c r="I12" i="3"/>
  <c r="I19" i="3" s="1"/>
  <c r="I23" i="3" s="1"/>
  <c r="E16" i="3"/>
  <c r="W44" i="3"/>
  <c r="I38" i="3"/>
  <c r="I41" i="3"/>
  <c r="I22" i="3"/>
  <c r="I14" i="3"/>
  <c r="I15" i="3"/>
  <c r="I37" i="3"/>
  <c r="I36" i="3"/>
  <c r="I45" i="3" l="1"/>
  <c r="J45" i="3" s="1"/>
  <c r="J57" i="3" s="1"/>
  <c r="I16" i="3"/>
  <c r="AI7" i="20" l="1"/>
  <c r="AE7" i="20"/>
</calcChain>
</file>

<file path=xl/comments1.xml><?xml version="1.0" encoding="utf-8"?>
<comments xmlns="http://schemas.openxmlformats.org/spreadsheetml/2006/main">
  <authors>
    <author>Richard Spencer</author>
  </authors>
  <commentList>
    <comment ref="G10" authorId="0">
      <text>
        <r>
          <rPr>
            <b/>
            <sz val="9"/>
            <color indexed="81"/>
            <rFont val="Tahoma"/>
            <family val="2"/>
          </rPr>
          <t>Richard Spencer:</t>
        </r>
        <r>
          <rPr>
            <sz val="9"/>
            <color indexed="81"/>
            <rFont val="Tahoma"/>
            <family val="2"/>
          </rPr>
          <t xml:space="preserve">
Emirates changing one daily service to an A380 in early CY 2015.</t>
        </r>
      </text>
    </comment>
    <comment ref="G11" authorId="0">
      <text>
        <r>
          <rPr>
            <b/>
            <sz val="9"/>
            <color indexed="81"/>
            <rFont val="Tahoma"/>
            <family val="2"/>
          </rPr>
          <t>Richard Spencer:</t>
        </r>
        <r>
          <rPr>
            <sz val="9"/>
            <color indexed="81"/>
            <rFont val="Tahoma"/>
            <family val="2"/>
          </rPr>
          <t xml:space="preserve">
One current Code E stand requirement upgraded to a Code F.</t>
        </r>
      </text>
    </comment>
    <comment ref="I11" authorId="0">
      <text>
        <r>
          <rPr>
            <b/>
            <sz val="9"/>
            <color indexed="81"/>
            <rFont val="Tahoma"/>
            <family val="2"/>
          </rPr>
          <t>Richard Spencer:</t>
        </r>
        <r>
          <rPr>
            <sz val="9"/>
            <color indexed="81"/>
            <rFont val="Tahoma"/>
            <family val="2"/>
          </rPr>
          <t xml:space="preserve">
Additional WB stand now a Code E as Code F introduced in FY 2015.</t>
        </r>
      </text>
    </comment>
  </commentList>
</comments>
</file>

<file path=xl/comments2.xml><?xml version="1.0" encoding="utf-8"?>
<comments xmlns="http://schemas.openxmlformats.org/spreadsheetml/2006/main">
  <authors>
    <author>Richard Spencer</author>
  </authors>
  <commentList>
    <comment ref="K16" authorId="0">
      <text>
        <r>
          <rPr>
            <b/>
            <sz val="9"/>
            <color indexed="81"/>
            <rFont val="Tahoma"/>
            <family val="2"/>
          </rPr>
          <t>Richard Spencer:</t>
        </r>
        <r>
          <rPr>
            <sz val="9"/>
            <color indexed="81"/>
            <rFont val="Tahoma"/>
            <family val="2"/>
          </rPr>
          <t xml:space="preserve">
Adjacent to Intl ADG VI MARS stands.</t>
        </r>
      </text>
    </comment>
    <comment ref="E24" authorId="0">
      <text>
        <r>
          <rPr>
            <b/>
            <sz val="9"/>
            <color indexed="81"/>
            <rFont val="Tahoma"/>
            <family val="2"/>
          </rPr>
          <t>Richard Spencer:</t>
        </r>
        <r>
          <rPr>
            <sz val="9"/>
            <color indexed="81"/>
            <rFont val="Tahoma"/>
            <family val="2"/>
          </rPr>
          <t xml:space="preserve">
Between B6 &amp; DL on BAC.</t>
        </r>
      </text>
    </comment>
    <comment ref="F24" authorId="0">
      <text>
        <r>
          <rPr>
            <b/>
            <sz val="9"/>
            <color indexed="81"/>
            <rFont val="Tahoma"/>
            <family val="2"/>
          </rPr>
          <t>Richard Spencer:</t>
        </r>
        <r>
          <rPr>
            <sz val="9"/>
            <color indexed="81"/>
            <rFont val="Tahoma"/>
            <family val="2"/>
          </rPr>
          <t xml:space="preserve">
Between DL &amp; B6 on BAC.</t>
        </r>
      </text>
    </comment>
    <comment ref="G24" authorId="0">
      <text>
        <r>
          <rPr>
            <b/>
            <sz val="9"/>
            <color indexed="81"/>
            <rFont val="Tahoma"/>
            <family val="2"/>
          </rPr>
          <t>Richard Spencer:</t>
        </r>
        <r>
          <rPr>
            <sz val="9"/>
            <color indexed="81"/>
            <rFont val="Tahoma"/>
            <family val="2"/>
          </rPr>
          <t xml:space="preserve">
Between BAA and BAB (the 'Orphan')</t>
        </r>
      </text>
    </comment>
  </commentList>
</comments>
</file>

<file path=xl/sharedStrings.xml><?xml version="1.0" encoding="utf-8"?>
<sst xmlns="http://schemas.openxmlformats.org/spreadsheetml/2006/main" count="2827" uniqueCount="828">
  <si>
    <t>Project:</t>
  </si>
  <si>
    <t>Assumptions</t>
  </si>
  <si>
    <t>Base Data</t>
  </si>
  <si>
    <t>International Arrivals Busy Hour</t>
  </si>
  <si>
    <t>MPPA</t>
  </si>
  <si>
    <t>Pax</t>
  </si>
  <si>
    <t>International Departures Busy Hour</t>
  </si>
  <si>
    <t>Departures Process</t>
  </si>
  <si>
    <t>Units</t>
  </si>
  <si>
    <t>No.</t>
  </si>
  <si>
    <t>RCS</t>
  </si>
  <si>
    <t>Arrivals Meeters &amp; Greeters</t>
  </si>
  <si>
    <t>Arrivals Process</t>
  </si>
  <si>
    <t>Baggage Reclaim</t>
  </si>
  <si>
    <t>Seats</t>
  </si>
  <si>
    <t>Number of Seats on Reference Aircraft</t>
  </si>
  <si>
    <t>Departing Pax at Load Factor</t>
  </si>
  <si>
    <t>Reference Aircraft</t>
  </si>
  <si>
    <t>Utilization Factor:</t>
  </si>
  <si>
    <t>%</t>
  </si>
  <si>
    <t>Coincidence of Peaks</t>
  </si>
  <si>
    <t>Processing rate per lane</t>
  </si>
  <si>
    <t>pax/hr</t>
  </si>
  <si>
    <t>Maximum queuing time</t>
  </si>
  <si>
    <t>min</t>
  </si>
  <si>
    <t>Check-In Process</t>
  </si>
  <si>
    <t>Conventional Check-In, carry-on only:</t>
  </si>
  <si>
    <t>Conventional Check-In, economy or all:</t>
  </si>
  <si>
    <t>Maximum queuing time (min)</t>
  </si>
  <si>
    <t>sec</t>
  </si>
  <si>
    <t>Assume that this remains constant over time.</t>
  </si>
  <si>
    <t>Presume that this increases over time</t>
  </si>
  <si>
    <t>Allows for equipment malfunction and unplanned staff absence - effectively adds a contingency/margin of:</t>
  </si>
  <si>
    <t>Departure cards required:</t>
  </si>
  <si>
    <t>Oversize bags (of all hold bags)</t>
  </si>
  <si>
    <t>Boarding Process</t>
  </si>
  <si>
    <t>Process time per pax (sec):</t>
  </si>
  <si>
    <t>Landing cards required:</t>
  </si>
  <si>
    <t>Proportion of Premium passengers</t>
  </si>
  <si>
    <t>Premium</t>
  </si>
  <si>
    <t>Economy</t>
  </si>
  <si>
    <t>People</t>
  </si>
  <si>
    <t>Total Busy Hour Occupancy</t>
  </si>
  <si>
    <t>Men</t>
  </si>
  <si>
    <t>Women</t>
  </si>
  <si>
    <t>Gender Split (allow for inbalance)</t>
  </si>
  <si>
    <t>Men's toilet cubicles</t>
  </si>
  <si>
    <t>Men's urinals</t>
  </si>
  <si>
    <t>Women's toilet cubicles</t>
  </si>
  <si>
    <t>Australian BCA Calculation - minimum provision per above Occupancy</t>
  </si>
  <si>
    <t>Perth Airport Toilet Study Method</t>
  </si>
  <si>
    <t>Number of Women using Toilets in BH</t>
  </si>
  <si>
    <t>Number of Men using Toilets in BH</t>
  </si>
  <si>
    <t>minutes dwell time (men)</t>
  </si>
  <si>
    <t>minutes dwell time (women)</t>
  </si>
  <si>
    <t>Number of Fixtures required for Men</t>
  </si>
  <si>
    <t>Number of WCs required for Women</t>
  </si>
  <si>
    <t>Proportion of occupants using toilets in this area at any time</t>
  </si>
  <si>
    <t>Number of WCs required for Men</t>
  </si>
  <si>
    <t>Number of Urinals required</t>
  </si>
  <si>
    <t>Australian BCA Calculation</t>
  </si>
  <si>
    <t>See Outbound Process page</t>
  </si>
  <si>
    <t>Convenient real world example with survey date &amp; detailed study for comparison.</t>
  </si>
  <si>
    <t>Heavy Usage</t>
  </si>
  <si>
    <t>Medium (average) Usage</t>
  </si>
  <si>
    <t>Light/Medium Usage</t>
  </si>
  <si>
    <t>Less than adequate provision</t>
  </si>
  <si>
    <t>Adequate provision</t>
  </si>
  <si>
    <t>More than adequate provision</t>
  </si>
  <si>
    <t>Ratio of Usage to Fixtures</t>
  </si>
  <si>
    <t>Approx. one third of total fittings required for men.</t>
  </si>
  <si>
    <t>As above, allowing more than 100% total, possible gender imbalances are allowed for.  This also allows some contingency for disrupt scenarios.</t>
  </si>
  <si>
    <t>Allowing more than 100% total, possible gender imbalances are allowed for.  This also allows some contingency for disrupt scenarios.</t>
  </si>
  <si>
    <t>Conventional Check-In, premium:</t>
  </si>
  <si>
    <t>Max. queuing time (min).</t>
  </si>
  <si>
    <t>Process rate per desk (pax/hr):</t>
  </si>
  <si>
    <t>Boarding pass scanning rate @ Gate</t>
  </si>
  <si>
    <t>Yes</t>
  </si>
  <si>
    <t>Terminal Access</t>
  </si>
  <si>
    <t>Option 2 - Separate Gate Lounges</t>
  </si>
  <si>
    <t>Service Desk</t>
  </si>
  <si>
    <t>Boarding Card Reader Desks &amp; Queues</t>
  </si>
  <si>
    <t>Width per Airline Staff position</t>
  </si>
  <si>
    <t>Extra area per Special Needs Pax.</t>
  </si>
  <si>
    <t>Special Needs Passengers Extra Space</t>
  </si>
  <si>
    <t>Empirical, if required</t>
  </si>
  <si>
    <t>Option 2 - Separate Gate Lounges Cont.</t>
  </si>
  <si>
    <t>Vertical Circulation</t>
  </si>
  <si>
    <t>Unit Area</t>
  </si>
  <si>
    <t>WB Terminal Program Generator</t>
  </si>
  <si>
    <t>International Departures 'Busy Hour'</t>
  </si>
  <si>
    <t>International Arrivals 'Busy Hour'</t>
  </si>
  <si>
    <t>Hold bags/pax (of pax with hold bags)</t>
  </si>
  <si>
    <t>Online/remote/mobile C-I no hold bags</t>
  </si>
  <si>
    <t>Average Load Factor (Busy Hour)</t>
  </si>
  <si>
    <t>Pax with no hold baggage</t>
  </si>
  <si>
    <t>Online/remote/mobile C-I with hold bags</t>
  </si>
  <si>
    <t>International Security Screening</t>
  </si>
  <si>
    <t>Processing time for AUS/NZ passports</t>
  </si>
  <si>
    <t>Smart Gate processing time</t>
  </si>
  <si>
    <t>Use of Smart Gates (% of all pax)</t>
  </si>
  <si>
    <t>Process rate per gate (pax/hr):</t>
  </si>
  <si>
    <t>Check-In spread factor International:</t>
  </si>
  <si>
    <t>Bag drop process (tagged at kiosk):</t>
  </si>
  <si>
    <t>Customs Control &amp; Quarantine</t>
  </si>
  <si>
    <t>Boarding pass check rate</t>
  </si>
  <si>
    <t>Ratio of Crew to Pax (international flights)</t>
  </si>
  <si>
    <t>Processing time for other passports</t>
  </si>
  <si>
    <t>Source:</t>
  </si>
  <si>
    <t>These passengers need to clear international security screening and outbound passport control; bags can have been checked through.</t>
  </si>
  <si>
    <t>Departures Farewellers</t>
  </si>
  <si>
    <t>Negotiate revolving door or access lobby</t>
  </si>
  <si>
    <t>Remote Bag Drop</t>
  </si>
  <si>
    <t>Arrivals Hall</t>
  </si>
  <si>
    <t>Landing Card Inspection Rate (CCP)</t>
  </si>
  <si>
    <t>Pax for Customs Inspection (Typ. BH)</t>
  </si>
  <si>
    <t>Pax for Fast Track exit (Green Stamp)</t>
  </si>
  <si>
    <t>Pre-selection within reclaim hall</t>
  </si>
  <si>
    <t>Transfer Pax International to International</t>
  </si>
  <si>
    <t>Passengers need to clear international security screening, bags checked through.</t>
  </si>
  <si>
    <t>Ratio of Absolute Peak Hour to BH</t>
  </si>
  <si>
    <t>Boarding Card Check / Access Control to Emmigration</t>
  </si>
  <si>
    <t>All years are Financial Years</t>
  </si>
  <si>
    <t>FY</t>
  </si>
  <si>
    <t>Bag drop &amp; residual check-in</t>
  </si>
  <si>
    <t>Availability of kiosks</t>
  </si>
  <si>
    <t>Availability of self-bag-drop stations</t>
  </si>
  <si>
    <t>Pax checked-in online/remote/mobile</t>
  </si>
  <si>
    <t>Of those who need to check-in, amend or drop bags</t>
  </si>
  <si>
    <t>Pax needing to bag-drop only</t>
  </si>
  <si>
    <t>Pax who would self-bag-drop</t>
  </si>
  <si>
    <t>Pax needing to check-in without bags</t>
  </si>
  <si>
    <t>Pax needing to check-in with bags</t>
  </si>
  <si>
    <t>Pax already checked-in &amp; no bags</t>
  </si>
  <si>
    <t>Check total</t>
  </si>
  <si>
    <t>Assume all would use kiosks if available</t>
  </si>
  <si>
    <t>Availability relative to flights/airlines</t>
  </si>
  <si>
    <t>All would then use self-bag-drop if available.</t>
  </si>
  <si>
    <t>Assume all would use kiosks for bag tag printing if available</t>
  </si>
  <si>
    <t>Pax w. bags who would check-in at kiosk</t>
  </si>
  <si>
    <t>Pax checking-in at kiosks without bags</t>
  </si>
  <si>
    <t>Pax checking-in at kiosks with bags</t>
  </si>
  <si>
    <t>Pax printing bag tags at kiosks</t>
  </si>
  <si>
    <t>Total pax using kiosks</t>
  </si>
  <si>
    <t>Not factored in at present !</t>
  </si>
  <si>
    <t>For check-in or bag drop</t>
  </si>
  <si>
    <t>EG Qantas dongle, becomes ubiquitous</t>
  </si>
  <si>
    <t>No bags plus remote bag drop</t>
  </si>
  <si>
    <t>Arrive at airport not checked-in.</t>
  </si>
  <si>
    <t>Pax preferring staffed check-in desk</t>
  </si>
  <si>
    <t>Bag-dropping pax without pre-printed tags or dongles x availability</t>
  </si>
  <si>
    <t>Pax bag drop at staffed check-in desk</t>
  </si>
  <si>
    <t>Pax using self-bag-drop stations</t>
  </si>
  <si>
    <t>Total pax using staffed check-in desk</t>
  </si>
  <si>
    <t>For check-in or bag tag printing</t>
  </si>
  <si>
    <t>•</t>
  </si>
  <si>
    <t>Pax check-in at staffed desk no bags</t>
  </si>
  <si>
    <r>
      <t>Check total (</t>
    </r>
    <r>
      <rPr>
        <sz val="12"/>
        <color theme="1"/>
        <rFont val="WBHelveticaNeue"/>
      </rPr>
      <t>•</t>
    </r>
    <r>
      <rPr>
        <i/>
        <sz val="11"/>
        <color theme="1"/>
        <rFont val="WBHelveticaNeue"/>
      </rPr>
      <t>)</t>
    </r>
  </si>
  <si>
    <t>Already checked-in and no bags to drop or kiosk only</t>
  </si>
  <si>
    <t>Carry-on bags screened, Body Scan or WTMD and random ?% ETD.</t>
  </si>
  <si>
    <t>Minutes max queuing time</t>
  </si>
  <si>
    <t>Notes:</t>
  </si>
  <si>
    <t>Additional Circulation Space</t>
  </si>
  <si>
    <t>2 A/C</t>
  </si>
  <si>
    <t>Duty Free</t>
  </si>
  <si>
    <t>Specialist retail</t>
  </si>
  <si>
    <t>WB Assumption</t>
  </si>
  <si>
    <t>Stands</t>
  </si>
  <si>
    <t>Subtotal: Programmed Areas</t>
  </si>
  <si>
    <t>Landside Passenger Areas (Spread over Levels G and 1 - up to Passport Control line)</t>
  </si>
  <si>
    <t>Gender Split (allow for variable inbalance)</t>
  </si>
  <si>
    <t>Light usage on level 0, Medium Usage on level 1 (F&amp;B on level 1)</t>
  </si>
  <si>
    <t>See Consolidated Departure Lounge page.</t>
  </si>
  <si>
    <t>Approx. two thirds of total fittings required</t>
  </si>
  <si>
    <t>Perth Toilet Study Criteria</t>
  </si>
  <si>
    <t>Per meeting at WB 11/Sep/13</t>
  </si>
  <si>
    <t>Used to derive busy hour from current schedule in absence of survey data; also used for holdroom sizing. Stress test at 95%.</t>
  </si>
  <si>
    <t>This is the average number of people meeting an arriving passenger (source ARUP survey May 2011).</t>
  </si>
  <si>
    <t>Business and First class passengers and Frequent Flyers with priority and/or lounge access privileges.</t>
  </si>
  <si>
    <t>Input to baggage system design - using current definition of oversize.</t>
  </si>
  <si>
    <t>What about % of very oversize (bicycles, surf boards, golf bags) ?</t>
  </si>
  <si>
    <t>Flow rate per access doorway</t>
  </si>
  <si>
    <t>Check-in/bag-drop opens before dep.:</t>
  </si>
  <si>
    <t>NB: 30 min is currently feasible but probably not with STEP due to greater distance to gates.</t>
  </si>
  <si>
    <t>Allows for proportion of multiple bag pax.</t>
  </si>
  <si>
    <t>Test at other rates.</t>
  </si>
  <si>
    <t>Event Space – promotions, seasonal events etc.</t>
  </si>
  <si>
    <t>XX</t>
  </si>
  <si>
    <t>Key Input Assumptions</t>
  </si>
  <si>
    <t>Base Scenario Forecast Data</t>
  </si>
  <si>
    <t>Input to baggage system design.           Overall ratio of hold bags to pax:</t>
  </si>
  <si>
    <t>Base Data for Reference</t>
  </si>
  <si>
    <t>IATA propose 3 min as 'Acceptable' and 7 min as 'Long'.</t>
  </si>
  <si>
    <t>Per AirBiz, IATA propose 12 min as 'Acceptable'.</t>
  </si>
  <si>
    <t>Per IATA 'Acceptable', AirBiz use 5 min = IATA 'Long'.</t>
  </si>
  <si>
    <t>Per AirBiz/PAPL 12/Jun/13</t>
  </si>
  <si>
    <t>WB assumption</t>
  </si>
  <si>
    <t>Assume does not change</t>
  </si>
  <si>
    <t>Per AirBiz</t>
  </si>
  <si>
    <t>Counter Users with Foreign Passports</t>
  </si>
  <si>
    <t>Balance</t>
  </si>
  <si>
    <t>Per ACS/AirBiz simulation, Kiosk &amp; Scanner times added</t>
  </si>
  <si>
    <t>Counter Users with AUS/NZ Passports</t>
  </si>
  <si>
    <t>Counter process time AUS/NZ passports</t>
  </si>
  <si>
    <t>Counter process time Foreign passports</t>
  </si>
  <si>
    <t>Max. queuing time (min) per AirBiz; IATA 'Acceptable' is 7 min, 'Long' is 15 min; ACS regulation is 30 min.</t>
  </si>
  <si>
    <t>Passengers with Checked Bags</t>
  </si>
  <si>
    <t>Bags per Passenger</t>
  </si>
  <si>
    <r>
      <t xml:space="preserve">The 'Busy Hour' is the </t>
    </r>
    <r>
      <rPr>
        <u/>
        <sz val="10"/>
        <color rgb="FF002060"/>
        <rFont val="WBHelveticaNeue"/>
      </rPr>
      <t>design</t>
    </r>
    <r>
      <rPr>
        <sz val="10"/>
        <color rgb="FF002060"/>
        <rFont val="WBHelveticaNeue"/>
      </rPr>
      <t xml:space="preserve"> peak not an absolute peak (defined for this project as the 95th Percentile Busy Hour) and was determined on a 'Rolling' rather than 'Clock' hour basis.</t>
    </r>
  </si>
  <si>
    <t>Base Scenario Forecast Data, from Assumptions Summary A</t>
  </si>
  <si>
    <t>Per AirBiz; IATA propose 5 min as 'Acceptable', 10 min as 'Long'.</t>
  </si>
  <si>
    <t>Reclaim Belt Utilization - Code F Average</t>
  </si>
  <si>
    <t>Reclaim Belt Utilization - Code E Average</t>
  </si>
  <si>
    <t>Reclaim Belt Utilization - Code D Average</t>
  </si>
  <si>
    <t>Reclaim Belt Utilization - Code C Average</t>
  </si>
  <si>
    <t xml:space="preserve">First Bag Delivery Time (Wide Bodies) </t>
  </si>
  <si>
    <t xml:space="preserve">First Bag Delivery Time (Narrow Bodies) </t>
  </si>
  <si>
    <t xml:space="preserve">Last Bag Delivery Time (Wide Bodies) </t>
  </si>
  <si>
    <t xml:space="preserve">Last Bag Delivery Time (Narrow Bodies) </t>
  </si>
  <si>
    <t>Per PAPL, June 2008</t>
  </si>
  <si>
    <t>(for single flight operations)</t>
  </si>
  <si>
    <t>Closes prior to dep.:</t>
  </si>
  <si>
    <t>(Better to use aircraft type specific times)</t>
  </si>
  <si>
    <t>Emmigration - Outbound Passport Control</t>
  </si>
  <si>
    <t>Make Up positions per Code F</t>
  </si>
  <si>
    <t>Make Up positions per Code E</t>
  </si>
  <si>
    <t>Make Up positions per Code D</t>
  </si>
  <si>
    <t>Make Up positions per Code C</t>
  </si>
  <si>
    <t>m length per Make Up position</t>
  </si>
  <si>
    <t>Early Bag Store provision</t>
  </si>
  <si>
    <t>Baggage Handling - Outbound</t>
  </si>
  <si>
    <t>min inspection time per pax, per AirBiz</t>
  </si>
  <si>
    <t>Pax Assessed by AQIS Marshall</t>
  </si>
  <si>
    <t>Pax Inspected by AQIS Dogs</t>
  </si>
  <si>
    <t>Pax Inspected by AQIS X-Ray &amp; Released</t>
  </si>
  <si>
    <t>Pax Inspected by AQIS X-Ray &amp; Searched</t>
  </si>
  <si>
    <t>Balance - Pax Direct to AQIS Search</t>
  </si>
  <si>
    <t>Process time per pax (sec), WB Assumption</t>
  </si>
  <si>
    <t>Process time per pax (sec), per AQIS/AirBiz Simulation May 2011</t>
  </si>
  <si>
    <t>Max. queuing time (min):</t>
  </si>
  <si>
    <t>Immigration - Inbound Passport Control</t>
  </si>
  <si>
    <t>min, IATA 'Long' wait.</t>
  </si>
  <si>
    <t>min, IATA 'Acceptable' wait.</t>
  </si>
  <si>
    <t>Meeter Greeters Arriving -10 to +15 min.</t>
  </si>
  <si>
    <t>Meeter Greeters Arriving +16 to +25 min.</t>
  </si>
  <si>
    <t>Meeter Greeters Arriving +26 to +45 min.</t>
  </si>
  <si>
    <t>Relative to flight arrival time, Per AirBiz &amp; Arup Survey May 2011</t>
  </si>
  <si>
    <t>Passenger Dwell Time (min) per PAPL April/2008</t>
  </si>
  <si>
    <t>Meeter &amp; Greeter Dwell Time, per AirBiz simulation May/2011, Averaged.</t>
  </si>
  <si>
    <t>Check-in at Kiosk, no bags</t>
  </si>
  <si>
    <t>Same time applies to stand alone bag tag printing at Kiosk</t>
  </si>
  <si>
    <t>WB Assumptions</t>
  </si>
  <si>
    <t>Check-in at Kiosk + bags, inc. bag tag print</t>
  </si>
  <si>
    <t xml:space="preserve">Bag drop at conventional Check-in </t>
  </si>
  <si>
    <t>Passengers for one flight arrive over more than 1 hour.</t>
  </si>
  <si>
    <t>Better to use a 'turn-up profile' if avail.</t>
  </si>
  <si>
    <t>Turn up period</t>
  </si>
  <si>
    <t>Time one person to next entering</t>
  </si>
  <si>
    <t>Per Airbiz Simulation*</t>
  </si>
  <si>
    <t>(*) No IATA specific data but Immigration is 'Acceptable' at 7 min and 'Long' at 15 min.</t>
  </si>
  <si>
    <t>Total</t>
  </si>
  <si>
    <t>SEATS</t>
  </si>
  <si>
    <r>
      <t xml:space="preserve">Actual traffic in FY 2013 was </t>
    </r>
    <r>
      <rPr>
        <sz val="11"/>
        <color rgb="FF002060"/>
        <rFont val="WBHelveticaNeue Medium"/>
      </rPr>
      <t>3.764 mppa</t>
    </r>
  </si>
  <si>
    <t>This is the average number of people accompanying a departing passenger (source PAPL 08/Oct/12).</t>
  </si>
  <si>
    <t>Surprisingly high !</t>
  </si>
  <si>
    <t>after allowing for pax without hold bags.</t>
  </si>
  <si>
    <t>A</t>
  </si>
  <si>
    <t>B</t>
  </si>
  <si>
    <t>C</t>
  </si>
  <si>
    <t>D</t>
  </si>
  <si>
    <t>'B' pax with pre-printed bag tags/dongles</t>
  </si>
  <si>
    <t>E</t>
  </si>
  <si>
    <t>'B' pax wishing to amend seat or reprint</t>
  </si>
  <si>
    <t>F</t>
  </si>
  <si>
    <t>Annual Passengers (T1 International)</t>
  </si>
  <si>
    <t>Rough &amp; Ready Plug Number (WB assumption)</t>
  </si>
  <si>
    <t>Active Stand Demand Code F Stands</t>
  </si>
  <si>
    <t>Active Stand Demand Code E Stands</t>
  </si>
  <si>
    <t>Active Stand Demand Code C Stands</t>
  </si>
  <si>
    <t>Processing Assumptions - General</t>
  </si>
  <si>
    <t>Pax bypassing check-in/bag-drop</t>
  </si>
  <si>
    <t>Pax check-in at staffed desk + bags</t>
  </si>
  <si>
    <t>Men using Toilets in Departures Lounge</t>
  </si>
  <si>
    <t>Women using Toilets in Departures Lounge</t>
  </si>
  <si>
    <t>Minute lounge dwell time</t>
  </si>
  <si>
    <t>minute av. toilet dwell time</t>
  </si>
  <si>
    <t>ratio of usage to fixture, in the adequate range of 1.5 to 2.5</t>
  </si>
  <si>
    <r>
      <rPr>
        <b/>
        <i/>
        <sz val="11"/>
        <color rgb="FF002060"/>
        <rFont val="WBHelveticaNeue"/>
      </rPr>
      <t>Comment:</t>
    </r>
    <r>
      <rPr>
        <i/>
        <sz val="11"/>
        <color rgb="FF002060"/>
        <rFont val="WBHelveticaNeue"/>
      </rPr>
      <t xml:space="preserve"> This calculation is based on the 'Class 9b' table in the BCA (…). Observing the numbers produced and comparing to real world examples it seems very unlikely that adhering to these minimum standards will produce an appropriate standard of service at an airport.</t>
    </r>
  </si>
  <si>
    <r>
      <rPr>
        <b/>
        <i/>
        <sz val="11"/>
        <color rgb="FF002060"/>
        <rFont val="WBHelveticaNeue"/>
      </rPr>
      <t>Comment:</t>
    </r>
    <r>
      <rPr>
        <i/>
        <sz val="11"/>
        <color rgb="FF002060"/>
        <rFont val="WBHelveticaNeue"/>
      </rPr>
      <t xml:space="preserve"> This is based on the 'Class 9b' table in the BCA (…) Observing the numbers produced and comparing to real world examples it seems very unlikely that adhering to these minimum standards will produce an appropriate standard of service at an airport.</t>
    </r>
  </si>
  <si>
    <t>For structure, walls, m/s pods, ducts etc., (main plant below)</t>
  </si>
  <si>
    <t>Number of Men using Toilets in BH**</t>
  </si>
  <si>
    <t>Number of Women using Toilets in BH**</t>
  </si>
  <si>
    <t>Note (**): '… at any one time.'</t>
  </si>
  <si>
    <t>Proportion of men who will visit toilets once prior to boarding (L/H Intl.)</t>
  </si>
  <si>
    <t>Proportion of women who will visit toilets once prior to boarding (ditto)</t>
  </si>
  <si>
    <t>Use for stress testing - pre-Christmas peak.</t>
  </si>
  <si>
    <t>Surprisingly low !</t>
  </si>
  <si>
    <t>Gross Departures Floor Plate</t>
  </si>
  <si>
    <t>Calculated values</t>
  </si>
  <si>
    <t>International 2-way 'Busy Hour' (Notional)</t>
  </si>
  <si>
    <t>Transfer Pax Domestic to International</t>
  </si>
  <si>
    <t>Transfer Pax International to Domestic</t>
  </si>
  <si>
    <t>These passengers need to clear immigration, collect their bags and clear customs and quarantine before rechecking bags for the onward domestic flight.</t>
  </si>
  <si>
    <t>Proportion of Pax Smartgate Eligible</t>
  </si>
  <si>
    <r>
      <t>Area (m</t>
    </r>
    <r>
      <rPr>
        <vertAlign val="superscript"/>
        <sz val="9"/>
        <color theme="1"/>
        <rFont val="WBHelveticaNeue"/>
      </rPr>
      <t xml:space="preserve">2 </t>
    </r>
    <r>
      <rPr>
        <sz val="9"/>
        <color theme="1"/>
        <rFont val="WBHelveticaNeue"/>
      </rPr>
      <t>)</t>
    </r>
  </si>
  <si>
    <t>TFI 2014 FORECAST (CENTRAL); Extrapolated to 2045 by WB; Busy Hour Forecast by PAPL/CM; Stand Demand by Airbiz (adjusted in 2015/16 per Emirates A380 service commencing Q1 2015)</t>
  </si>
  <si>
    <t>Page 1: Assumptions Summary - All Years</t>
  </si>
  <si>
    <r>
      <t>m</t>
    </r>
    <r>
      <rPr>
        <vertAlign val="superscript"/>
        <sz val="10"/>
        <color theme="1"/>
        <rFont val="WBHelveticaNeue"/>
      </rPr>
      <t>2</t>
    </r>
  </si>
  <si>
    <t>Departures Airside Areas (excluding only Airline lounges)</t>
  </si>
  <si>
    <r>
      <t>No. | m</t>
    </r>
    <r>
      <rPr>
        <vertAlign val="superscript"/>
        <sz val="11"/>
        <color theme="1"/>
        <rFont val="WBHelveticaNeue"/>
      </rPr>
      <t>2</t>
    </r>
  </si>
  <si>
    <t>Define the Departures Area as Medium Usage</t>
  </si>
  <si>
    <t>Proportion of occupants using toilets in this area at one any time</t>
  </si>
  <si>
    <t>ratio of usage to fixtures for men, in the adequate range of 1.5 to 2.5</t>
  </si>
  <si>
    <r>
      <t>Av. m</t>
    </r>
    <r>
      <rPr>
        <vertAlign val="superscript"/>
        <sz val="11"/>
        <color rgb="FF002060"/>
        <rFont val="WBHelveticaNeue"/>
      </rPr>
      <t>2</t>
    </r>
    <r>
      <rPr>
        <sz val="11"/>
        <color rgb="FF002060"/>
        <rFont val="WBHelveticaNeue"/>
      </rPr>
      <t xml:space="preserve"> per Fitting for Men</t>
    </r>
  </si>
  <si>
    <r>
      <t>Av. m</t>
    </r>
    <r>
      <rPr>
        <vertAlign val="superscript"/>
        <sz val="11"/>
        <color rgb="FF002060"/>
        <rFont val="WBHelveticaNeue"/>
      </rPr>
      <t>2</t>
    </r>
    <r>
      <rPr>
        <sz val="11"/>
        <color rgb="FF002060"/>
        <rFont val="WBHelveticaNeue"/>
      </rPr>
      <t xml:space="preserve"> per Fitting for Women</t>
    </r>
  </si>
  <si>
    <t>ratio of usage to fixtures for women, in the adequate range of 1.5 to 2.5</t>
  </si>
  <si>
    <r>
      <t>m</t>
    </r>
    <r>
      <rPr>
        <vertAlign val="superscript"/>
        <sz val="11"/>
        <color theme="1"/>
        <rFont val="WBHelveticaNeue Medium"/>
      </rPr>
      <t>2</t>
    </r>
  </si>
  <si>
    <t>Annual Passenger Traffic Forecast</t>
  </si>
  <si>
    <t>Assumption that Emirates upgrade one flight to A380 in FY2015</t>
  </si>
  <si>
    <t>Four Code F stands required in 2036 &amp; five in 2040.</t>
  </si>
  <si>
    <t>Second Code C stand required in 2044</t>
  </si>
  <si>
    <t>General Departures Lounge Dwell Time</t>
  </si>
  <si>
    <t>Min.</t>
  </si>
  <si>
    <t>Assumption used for STEP Proof of Concept Study, based on preceeding survey work.</t>
  </si>
  <si>
    <t>Provision</t>
  </si>
  <si>
    <t>Universal Access WC</t>
  </si>
  <si>
    <t>Parenting Suite (including a toilet cubicle)</t>
  </si>
  <si>
    <t>Apply Peaking Factor: Men's Toilets</t>
  </si>
  <si>
    <t>Apply Peaking Factor: Women's Toilets</t>
  </si>
  <si>
    <t>Area of Toilet Blocks Required (Max.)</t>
  </si>
  <si>
    <r>
      <t xml:space="preserve">Men's Toilets </t>
    </r>
    <r>
      <rPr>
        <u/>
        <sz val="11"/>
        <color theme="1"/>
        <rFont val="WBHelveticaNeue"/>
      </rPr>
      <t>Average</t>
    </r>
    <r>
      <rPr>
        <sz val="11"/>
        <color theme="1"/>
        <rFont val="WBHelveticaNeue"/>
      </rPr>
      <t xml:space="preserve"> Population in BH**</t>
    </r>
  </si>
  <si>
    <r>
      <t xml:space="preserve">Women's Toilets </t>
    </r>
    <r>
      <rPr>
        <u/>
        <sz val="11"/>
        <color theme="1"/>
        <rFont val="WBHelveticaNeue"/>
      </rPr>
      <t>Average</t>
    </r>
    <r>
      <rPr>
        <sz val="11"/>
        <color theme="1"/>
        <rFont val="WBHelveticaNeue"/>
      </rPr>
      <t xml:space="preserve"> Pop. in BH**</t>
    </r>
  </si>
  <si>
    <t>Peaking Factor</t>
  </si>
  <si>
    <t>Perth Airport Toilet Study Method (per Airbiz)</t>
  </si>
  <si>
    <t>Alternative Departure Lounge Specific Calculation (new WB)</t>
  </si>
  <si>
    <t>Max. pop. using fixture</t>
  </si>
  <si>
    <t>Max. fixtures in use</t>
  </si>
  <si>
    <t>Current provision (2015 Q1) central 2nd floor toilet block</t>
  </si>
  <si>
    <t>2nd Floor east extension will add 1 men's &amp; 1 women's toilet cubicles plus 1 UAWC.</t>
  </si>
  <si>
    <t>1st Floor departures lounge extension toilet block will add 5 men's cubicles, 9 urinals,
10 women's cubicles, 1 UAWC and 1 parenting room.</t>
  </si>
  <si>
    <r>
      <t>Seats | m</t>
    </r>
    <r>
      <rPr>
        <vertAlign val="superscript"/>
        <sz val="10"/>
        <color theme="1"/>
        <rFont val="WBHelveticaNeue"/>
      </rPr>
      <t>2</t>
    </r>
  </si>
  <si>
    <t>(to achieve IATA 'optimum' LoS)</t>
  </si>
  <si>
    <t>Other Passenger Facilities</t>
  </si>
  <si>
    <t>Duty-free: airside departures</t>
  </si>
  <si>
    <t>Food/beverage (incl. seating)</t>
  </si>
  <si>
    <t>News/books + specialty retail</t>
  </si>
  <si>
    <t>International Arrivals Duty Free</t>
  </si>
  <si>
    <t>Open F&amp;F Seating; demand based on BH</t>
  </si>
  <si>
    <r>
      <t>m</t>
    </r>
    <r>
      <rPr>
        <vertAlign val="superscript"/>
        <sz val="11"/>
        <color rgb="FF002060"/>
        <rFont val="WBHelveticaNeue"/>
      </rPr>
      <t>2</t>
    </r>
    <r>
      <rPr>
        <sz val="11"/>
        <color rgb="FF002060"/>
        <rFont val="WBHelveticaNeue"/>
      </rPr>
      <t xml:space="preserve"> per seat average</t>
    </r>
  </si>
  <si>
    <t>Combo Factor (STEP)</t>
  </si>
  <si>
    <t>Numbers taken from Retail Space Planning workbook of 23/Nov/2013</t>
  </si>
  <si>
    <t>) Numbers taken from Retail Space Planning workbook of 23/Nov/2013</t>
  </si>
  <si>
    <t>)</t>
  </si>
  <si>
    <t>International  Airside</t>
  </si>
  <si>
    <t>Specialist Retail</t>
  </si>
  <si>
    <t>Commercial Space; Proposed Provision</t>
  </si>
  <si>
    <t>Structure, Services, Partitions &amp; Envelope</t>
  </si>
  <si>
    <t>Duty Free, Specialist Retail &amp; F&amp;B Total</t>
  </si>
  <si>
    <t>Ancillary PAX facilities @ departures level</t>
  </si>
  <si>
    <t>REVISIONS</t>
  </si>
  <si>
    <t>First Issue</t>
  </si>
  <si>
    <t>Concouse area estimate commenced</t>
  </si>
  <si>
    <t>Number of Group VI MARS Gates</t>
  </si>
  <si>
    <t>Gates</t>
  </si>
  <si>
    <t>Zone 1</t>
  </si>
  <si>
    <t>Zone 1A</t>
  </si>
  <si>
    <t>Zone 2</t>
  </si>
  <si>
    <t>Zone 3</t>
  </si>
  <si>
    <t>Zone 4</t>
  </si>
  <si>
    <t>Total Narrowbody Stand Count</t>
  </si>
  <si>
    <t>Orphan</t>
  </si>
  <si>
    <r>
      <t>Area (ft</t>
    </r>
    <r>
      <rPr>
        <vertAlign val="superscript"/>
        <sz val="9"/>
        <color theme="1"/>
        <rFont val="WBHelveticaNeue"/>
      </rPr>
      <t xml:space="preserve">2 </t>
    </r>
    <r>
      <rPr>
        <sz val="9"/>
        <color theme="1"/>
        <rFont val="WBHelveticaNeue"/>
      </rPr>
      <t>)</t>
    </r>
  </si>
  <si>
    <t>Combined</t>
  </si>
  <si>
    <r>
      <t>ft</t>
    </r>
    <r>
      <rPr>
        <vertAlign val="superscript"/>
        <sz val="10"/>
        <color theme="1"/>
        <rFont val="WBHelveticaNeue"/>
      </rPr>
      <t>2</t>
    </r>
  </si>
  <si>
    <t>Annual Passengers (T1 BAB)</t>
  </si>
  <si>
    <t>Departures Busy Hour</t>
  </si>
  <si>
    <t>Arrivals Busy Hour</t>
  </si>
  <si>
    <t>Total Narrow Body positions across all stands</t>
  </si>
  <si>
    <t>Gate Functional Area including podiums, boarding queue and seating</t>
  </si>
  <si>
    <t>Restrooms, inc. Parenting Rooms</t>
  </si>
  <si>
    <t>Initial estimate based on min. 30' wide concourse.</t>
  </si>
  <si>
    <t>WB assumption: multi-faith room, children’s play area, yoga room etc.</t>
  </si>
  <si>
    <r>
      <t>ft</t>
    </r>
    <r>
      <rPr>
        <vertAlign val="superscript"/>
        <sz val="12"/>
        <rFont val="WBHelveticaNeue"/>
      </rPr>
      <t>2</t>
    </r>
  </si>
  <si>
    <r>
      <t>ft</t>
    </r>
    <r>
      <rPr>
        <vertAlign val="superscript"/>
        <sz val="10"/>
        <rFont val="WBHelveticaNeue"/>
      </rPr>
      <t>2</t>
    </r>
  </si>
  <si>
    <r>
      <t xml:space="preserve">Seats | </t>
    </r>
    <r>
      <rPr>
        <sz val="10"/>
        <color theme="1"/>
        <rFont val="WBHelveticaNeue Medium"/>
      </rPr>
      <t>ft</t>
    </r>
    <r>
      <rPr>
        <vertAlign val="superscript"/>
        <sz val="10"/>
        <color theme="1"/>
        <rFont val="WBHelveticaNeue Medium"/>
      </rPr>
      <t>2</t>
    </r>
  </si>
  <si>
    <t>Vending, ATMs, Internet Kiosks, etc.</t>
  </si>
  <si>
    <t>Custodial, Maintenance, Airline Gate Supplies</t>
  </si>
  <si>
    <t>Option 1 incorporates pre-programming aircraft stand layout.</t>
  </si>
  <si>
    <r>
      <t>ft</t>
    </r>
    <r>
      <rPr>
        <vertAlign val="superscript"/>
        <sz val="10"/>
        <color theme="1"/>
        <rFont val="WBHelveticaNeue Medium"/>
      </rPr>
      <t>2</t>
    </r>
  </si>
  <si>
    <r>
      <t>ft</t>
    </r>
    <r>
      <rPr>
        <vertAlign val="superscript"/>
        <sz val="10"/>
        <rFont val="WBHelveticaNeue Medium"/>
      </rPr>
      <t>2</t>
    </r>
  </si>
  <si>
    <t>Jul. 28th 2015</t>
  </si>
  <si>
    <t>Aug. 7th 2015</t>
  </si>
  <si>
    <t>American A319</t>
  </si>
  <si>
    <t>American A321</t>
  </si>
  <si>
    <t>American B757-200</t>
  </si>
  <si>
    <t>Seat Guru, 150807</t>
  </si>
  <si>
    <t>Alaska B737-900</t>
  </si>
  <si>
    <t>Alaska B737-800</t>
  </si>
  <si>
    <t>Alaska B737-700</t>
  </si>
  <si>
    <t>Alaska CRJ-700</t>
  </si>
  <si>
    <t>Frontier A319</t>
  </si>
  <si>
    <t>Frontier A320</t>
  </si>
  <si>
    <t>Hawaiian A330-200</t>
  </si>
  <si>
    <t>Hawaiian B767-300ER</t>
  </si>
  <si>
    <t>Alternative version with 252 total seats</t>
  </si>
  <si>
    <t>US Airways E-190</t>
  </si>
  <si>
    <t>US Airways A321</t>
  </si>
  <si>
    <t>US Airways 757-200</t>
  </si>
  <si>
    <t>US Airways A330-200</t>
  </si>
  <si>
    <t>Alternative versions with 170 and 182 seats.</t>
  </si>
  <si>
    <t>JetBlue A320</t>
  </si>
  <si>
    <t>JetBlue A321</t>
  </si>
  <si>
    <t>JetBlue E190</t>
  </si>
  <si>
    <t>'Transcon' version 143 econ + 16 Business</t>
  </si>
  <si>
    <t>Air Canada A321</t>
  </si>
  <si>
    <t>Air Canada A319</t>
  </si>
  <si>
    <t>Air Canada E-190</t>
  </si>
  <si>
    <t>Alternative version with 174 total seats</t>
  </si>
  <si>
    <t>Ethihad A380-800</t>
  </si>
  <si>
    <t>Ethihad B777-300ER</t>
  </si>
  <si>
    <t>Emirates A380-800</t>
  </si>
  <si>
    <t>Cathay B777-300ER</t>
  </si>
  <si>
    <t>Alternative domestic version with 184 seat total, 24 in First.</t>
  </si>
  <si>
    <t>Alternative domestic version with 209 seat total, 28 in Business.</t>
  </si>
  <si>
    <t>Alternative version has 215 Economy plus 84 First/Business seats.</t>
  </si>
  <si>
    <t>Alternative 3 class version has 300 Economy and 40 Business seats.</t>
  </si>
  <si>
    <t>Two class version has 384 Economy plus 28 Business seats but unlikely on this route.</t>
  </si>
  <si>
    <t>Alternative version has 399 Economy plus 90 First/Business seats.</t>
  </si>
  <si>
    <t>British B747-400</t>
  </si>
  <si>
    <t>British A380-800</t>
  </si>
  <si>
    <t>A/C Seats</t>
  </si>
  <si>
    <t>Southwest  B737-800</t>
  </si>
  <si>
    <t>F&amp;B Total, including F&amp;B seating</t>
  </si>
  <si>
    <r>
      <t xml:space="preserve">Commercial Space; </t>
    </r>
    <r>
      <rPr>
        <u/>
        <sz val="12"/>
        <rFont val="WBHelveticaNeue Medium"/>
      </rPr>
      <t>Estimated Demand per Base Case Annual Pax</t>
    </r>
  </si>
  <si>
    <t>Plug Numbers based on SFO RDG initial schedule with additions</t>
  </si>
  <si>
    <t>WB pro-tem assumption</t>
  </si>
  <si>
    <t>Plug numbers - to be reviewed against block plans</t>
  </si>
  <si>
    <t>Principal Horizontal Circulation</t>
  </si>
  <si>
    <r>
      <t>ft</t>
    </r>
    <r>
      <rPr>
        <vertAlign val="superscript"/>
        <sz val="12"/>
        <rFont val="WBHelveticaNeue Medium"/>
      </rPr>
      <t>2</t>
    </r>
  </si>
  <si>
    <t>Rounded. Airline lounges, sterile corridor excluded as all on Mezzanine level.</t>
  </si>
  <si>
    <r>
      <t xml:space="preserve"> ft</t>
    </r>
    <r>
      <rPr>
        <vertAlign val="superscript"/>
        <sz val="10"/>
        <color rgb="FF002060"/>
        <rFont val="WBHelveticaNeue"/>
      </rPr>
      <t>2</t>
    </r>
    <r>
      <rPr>
        <sz val="10"/>
        <color rgb="FF002060"/>
        <rFont val="WBHelveticaNeue"/>
      </rPr>
      <t xml:space="preserve"> block per max six gates - quick assumption based on T2/BAE</t>
    </r>
  </si>
  <si>
    <t>Base Data per Zone</t>
  </si>
  <si>
    <t>GSA Seats</t>
  </si>
  <si>
    <r>
      <t>GSA Area (ft</t>
    </r>
    <r>
      <rPr>
        <vertAlign val="superscript"/>
        <sz val="9"/>
        <color theme="1"/>
        <rFont val="WBHelveticaNeue"/>
      </rPr>
      <t xml:space="preserve">2 </t>
    </r>
    <r>
      <rPr>
        <sz val="9"/>
        <color theme="1"/>
        <rFont val="WBHelveticaNeue"/>
      </rPr>
      <t>)</t>
    </r>
  </si>
  <si>
    <t>GSA = Gate Seating Area, inc. boarding podiums, queue space, service desk &amp; special needs space.</t>
  </si>
  <si>
    <t>Option 2 incorporates the alternative aircraft stand layout.</t>
  </si>
  <si>
    <t>HKS-WB-ED2-KYA</t>
  </si>
  <si>
    <t>Austin Webcor Joint Venture</t>
  </si>
  <si>
    <t>Aug. 10th 2015</t>
  </si>
  <si>
    <t>Titles Adjusted</t>
  </si>
  <si>
    <t>Base</t>
  </si>
  <si>
    <t>High</t>
  </si>
  <si>
    <t>Other Aircraft</t>
  </si>
  <si>
    <t>For non-club/lounge airlines</t>
  </si>
  <si>
    <t>Maximum present in Gate Lounge at once</t>
  </si>
  <si>
    <t>For airlines with club/lounge</t>
  </si>
  <si>
    <t>Minimum Standing Area Required</t>
  </si>
  <si>
    <t>Minimum Seating Area Required</t>
  </si>
  <si>
    <t>Width per boarding gate &amp; queue</t>
  </si>
  <si>
    <t>Depth from back wall inc. pax area</t>
  </si>
  <si>
    <t>Small Group III</t>
  </si>
  <si>
    <t>Medium Group III</t>
  </si>
  <si>
    <t>Large Group III</t>
  </si>
  <si>
    <t>Group IV</t>
  </si>
  <si>
    <t>Small Group V</t>
  </si>
  <si>
    <r>
      <t>ft</t>
    </r>
    <r>
      <rPr>
        <vertAlign val="superscript"/>
        <sz val="12"/>
        <color theme="1"/>
        <rFont val="WBHelveticaNeue Medium"/>
      </rPr>
      <t>2</t>
    </r>
  </si>
  <si>
    <r>
      <t>ft</t>
    </r>
    <r>
      <rPr>
        <vertAlign val="superscript"/>
        <sz val="10"/>
        <color theme="1"/>
        <rFont val="WBHelveticaNeue"/>
      </rPr>
      <t>2</t>
    </r>
    <r>
      <rPr>
        <sz val="10"/>
        <color theme="1"/>
        <rFont val="WBHelveticaNeue"/>
      </rPr>
      <t xml:space="preserve"> per seated passenger</t>
    </r>
  </si>
  <si>
    <r>
      <t>ft</t>
    </r>
    <r>
      <rPr>
        <vertAlign val="superscript"/>
        <sz val="10"/>
        <color theme="1"/>
        <rFont val="WBHelveticaNeue"/>
      </rPr>
      <t>2</t>
    </r>
    <r>
      <rPr>
        <sz val="10"/>
        <color theme="1"/>
        <rFont val="WBHelveticaNeue"/>
      </rPr>
      <t xml:space="preserve"> per standing passenger</t>
    </r>
  </si>
  <si>
    <t>Proportion of Special Needs Pax</t>
  </si>
  <si>
    <t>Calculation per IATA ADRM 10th Edition Method</t>
  </si>
  <si>
    <t>Gate Lounge Calculations Adjusted</t>
  </si>
  <si>
    <t>Aug. 11th 2015</t>
  </si>
  <si>
    <t>Medium Group V</t>
  </si>
  <si>
    <t>Large Group V</t>
  </si>
  <si>
    <t>Group VI</t>
  </si>
  <si>
    <t>MARS: 2 x Grp III</t>
  </si>
  <si>
    <t>Small Group V (Dom. config.)</t>
  </si>
  <si>
    <t>Medium Group V (Dom. config.)</t>
  </si>
  <si>
    <t>Large Group V (Intl. config.)</t>
  </si>
  <si>
    <t>Medium Group V (Intl. config.)</t>
  </si>
  <si>
    <t>Airline+A/C Type</t>
  </si>
  <si>
    <t>FS/LC</t>
  </si>
  <si>
    <t>Delta</t>
  </si>
  <si>
    <t>FS</t>
  </si>
  <si>
    <t>LC</t>
  </si>
  <si>
    <t>Air France A380</t>
  </si>
  <si>
    <t>Seat Guru, 150811</t>
  </si>
  <si>
    <t>Premium is Business and First, Economy includes Premium Economy (applies to all).  FS = Full Service (Club/Lounge available to premium pax &amp; frequent fliers with status), LC = Low Cost (no Club/Lounge).</t>
  </si>
  <si>
    <t>Load Factor</t>
  </si>
  <si>
    <t>IATA ADRM 10th Edn. 'Optimum' (see note)</t>
  </si>
  <si>
    <r>
      <t>Note: Optimum LoS is 1.5 to 1.7 m</t>
    </r>
    <r>
      <rPr>
        <vertAlign val="superscript"/>
        <sz val="9"/>
        <color rgb="FF002060"/>
        <rFont val="WBHelveticaNeue"/>
      </rPr>
      <t>2</t>
    </r>
    <r>
      <rPr>
        <sz val="9"/>
        <color rgb="FF002060"/>
        <rFont val="WBHelveticaNeue"/>
      </rPr>
      <t>/seated pax &amp; 1.0 to 1.2 m</t>
    </r>
    <r>
      <rPr>
        <vertAlign val="superscript"/>
        <sz val="9"/>
        <color rgb="FF002060"/>
        <rFont val="WBHelveticaNeue"/>
      </rPr>
      <t>2</t>
    </r>
    <r>
      <rPr>
        <sz val="9"/>
        <color rgb="FF002060"/>
        <rFont val="WBHelveticaNeue"/>
      </rPr>
      <t>/standing pax.</t>
    </r>
  </si>
  <si>
    <t>Aug. 13th 2015</t>
  </si>
  <si>
    <t>Concourse Op4 added; Grp V MARS corrected</t>
  </si>
  <si>
    <t>Saving if open/shared Gate Lounge</t>
  </si>
  <si>
    <t>Seat Ratio Adjustment Factor; IATA ADRM 10th Edn. =  +10%</t>
  </si>
  <si>
    <t>Domestic</t>
  </si>
  <si>
    <t>International</t>
  </si>
  <si>
    <t>Terminal Program Generator</t>
  </si>
  <si>
    <t>Concessions 1, Alternate A/C Parking</t>
  </si>
  <si>
    <t>Concessions 2, Pre-Programming A/C Parking</t>
  </si>
  <si>
    <t>Concessions 2, Alternate A/C Parking</t>
  </si>
  <si>
    <t>Concessions 1, Pre-Programming A/C Parking</t>
  </si>
  <si>
    <t>Number of Group V Non-MARS Gates</t>
  </si>
  <si>
    <t>Number of Group III Gates*</t>
  </si>
  <si>
    <t>Note (*): Group V MARS stands = 2 Group III stands</t>
  </si>
  <si>
    <t>Intl.</t>
  </si>
  <si>
    <t>Dom.</t>
  </si>
  <si>
    <r>
      <t>m</t>
    </r>
    <r>
      <rPr>
        <vertAlign val="superscript"/>
        <sz val="10"/>
        <color theme="1"/>
        <rFont val="WBHelveticaNeue"/>
      </rPr>
      <t>2</t>
    </r>
    <r>
      <rPr>
        <sz val="10"/>
        <color theme="1"/>
        <rFont val="WBHelveticaNeue"/>
      </rPr>
      <t xml:space="preserve"> per seated passenger =</t>
    </r>
  </si>
  <si>
    <r>
      <t>m</t>
    </r>
    <r>
      <rPr>
        <vertAlign val="superscript"/>
        <sz val="10"/>
        <color theme="1"/>
        <rFont val="WBHelveticaNeue"/>
      </rPr>
      <t>2</t>
    </r>
    <r>
      <rPr>
        <sz val="10"/>
        <color theme="1"/>
        <rFont val="WBHelveticaNeue"/>
      </rPr>
      <t xml:space="preserve"> per standing passenger =</t>
    </r>
  </si>
  <si>
    <t>Proportion per IATA ADRM 10th Edn. for Optimum LoS</t>
  </si>
  <si>
    <t>Independent gate areas = 0%, open/shared gate areas = -10%</t>
  </si>
  <si>
    <t>Assumed Depth of Gate Area</t>
  </si>
  <si>
    <t>Total per Gate Area (Optimum LoS)</t>
  </si>
  <si>
    <t>T1 Annual Passengers (BAB &amp; BAC)</t>
  </si>
  <si>
    <t>High Case</t>
  </si>
  <si>
    <t>Base Case</t>
  </si>
  <si>
    <t>2-Way Design Day Peak Hour</t>
  </si>
  <si>
    <t>Departures Design Day Peak Hour</t>
  </si>
  <si>
    <t>Arrivals Design Day Peak Hour</t>
  </si>
  <si>
    <t>Sub-
ADG III Stands</t>
  </si>
  <si>
    <t>Full
ADG III Stands</t>
  </si>
  <si>
    <t>ADG IV Stands</t>
  </si>
  <si>
    <t>ADG V Stands</t>
  </si>
  <si>
    <t>ADG V MARS Stands</t>
  </si>
  <si>
    <t>American Airlines</t>
  </si>
  <si>
    <t>Frontier</t>
  </si>
  <si>
    <t>Alaska</t>
  </si>
  <si>
    <t>AS</t>
  </si>
  <si>
    <t>AA</t>
  </si>
  <si>
    <t>DL</t>
  </si>
  <si>
    <t>F9</t>
  </si>
  <si>
    <t>Air Canada</t>
  </si>
  <si>
    <t>AC</t>
  </si>
  <si>
    <t>Hawaiian</t>
  </si>
  <si>
    <t>JetBlue</t>
  </si>
  <si>
    <t>Southwest</t>
  </si>
  <si>
    <t>WestJet</t>
  </si>
  <si>
    <t>Common Use</t>
  </si>
  <si>
    <t>HA</t>
  </si>
  <si>
    <t>B6</t>
  </si>
  <si>
    <t>WN</t>
  </si>
  <si>
    <t>WS</t>
  </si>
  <si>
    <t>Total Narrow Body Equiv.</t>
  </si>
  <si>
    <t>Gate Allocation Analysis tab added.</t>
  </si>
  <si>
    <t>ADG VI MARS Stands</t>
  </si>
  <si>
    <t>SFO Forecast Updated Scheme 1 (2014) - As Shown</t>
  </si>
  <si>
    <r>
      <t xml:space="preserve">Full
ADG III </t>
    </r>
    <r>
      <rPr>
        <sz val="11"/>
        <color rgb="FFC00000"/>
        <rFont val="WBHelveticaNeue Medium"/>
      </rPr>
      <t>Intl.</t>
    </r>
    <r>
      <rPr>
        <sz val="11"/>
        <color rgb="FF002060"/>
        <rFont val="WBHelveticaNeue Medium"/>
      </rPr>
      <t xml:space="preserve"> Stands</t>
    </r>
  </si>
  <si>
    <r>
      <t xml:space="preserve">ADG VI MARS </t>
    </r>
    <r>
      <rPr>
        <sz val="11"/>
        <color rgb="FFC00000"/>
        <rFont val="WBHelveticaNeue Medium"/>
      </rPr>
      <t>Intl.</t>
    </r>
    <r>
      <rPr>
        <sz val="11"/>
        <color rgb="FF002060"/>
        <rFont val="WBHelveticaNeue Medium"/>
      </rPr>
      <t xml:space="preserve"> Stands</t>
    </r>
  </si>
  <si>
    <t>Pre-Programming Airline Gate Allocation - Analysis</t>
  </si>
  <si>
    <t>BAB</t>
  </si>
  <si>
    <t>BAC</t>
  </si>
  <si>
    <t>X</t>
  </si>
  <si>
    <t>Stand Demand from SFO ADP Aviation Demand Forecasts (July 1st 2015)</t>
  </si>
  <si>
    <t>9 Stands or More</t>
  </si>
  <si>
    <t>8 Stands or More</t>
  </si>
  <si>
    <t>2 Stands or More</t>
  </si>
  <si>
    <t>3 Stands  or More</t>
  </si>
  <si>
    <t>4 Stands or More</t>
  </si>
  <si>
    <t>5 Stands or More</t>
  </si>
  <si>
    <t>6 Stands or More</t>
  </si>
  <si>
    <t>7 Stands or More</t>
  </si>
  <si>
    <t>Sun Country</t>
  </si>
  <si>
    <t>SY</t>
  </si>
  <si>
    <t>10 Stands or More</t>
  </si>
  <si>
    <t>Allocation</t>
  </si>
  <si>
    <t>Regular</t>
  </si>
  <si>
    <t>Short Periods</t>
  </si>
  <si>
    <t>Once a Day</t>
  </si>
  <si>
    <t>Requirement</t>
  </si>
  <si>
    <r>
      <t>Design Day Flight Schedule - Base Case - Hours Per Day -</t>
    </r>
    <r>
      <rPr>
        <sz val="12"/>
        <color rgb="FFC00000"/>
        <rFont val="WBHelveticaNeue Medium"/>
      </rPr>
      <t xml:space="preserve"> Excl 5 min Peaks</t>
    </r>
  </si>
  <si>
    <r>
      <t xml:space="preserve">Design Day Flight Schedule - Base Case - Hours Per Day - </t>
    </r>
    <r>
      <rPr>
        <sz val="12"/>
        <color rgb="FFC00000"/>
        <rFont val="WBHelveticaNeue Medium"/>
      </rPr>
      <t>Max</t>
    </r>
  </si>
  <si>
    <t>Common Use International Swing</t>
  </si>
  <si>
    <t>Aug. 24th 2015</t>
  </si>
  <si>
    <t>1 Stand or More</t>
  </si>
  <si>
    <t>BAB and BAC together comprise 36 Narrow Body Equivalent stands (NBE).  This treats MARS stands as 2, averages the sub-ADG III and the ADG IV stands on BAC and ignores the 'Orphan stand.  BAC comprises 10 NBE stands, i.e. 28% of the total NBE number.</t>
  </si>
  <si>
    <t>For comparison the T2 combined Base Case forecast (Virgin America plus United) is 8.35m passengers per annum, 2-way DDPH of 2,700 pax, departures DDPH of 1,664 pax and Arrivals DDPH of 1,353 pax.</t>
  </si>
  <si>
    <t>Air China 747-800</t>
  </si>
  <si>
    <t>Pax to be seated for Optimum LoS</t>
  </si>
  <si>
    <t>Seats required for Optimum LoS</t>
  </si>
  <si>
    <t>Sep. 15th 2015</t>
  </si>
  <si>
    <t>Gate Seating Tab Updated</t>
  </si>
  <si>
    <t>Minimum Overall Waiting Area</t>
  </si>
  <si>
    <t>Additional Circulation Space / Exit Lane</t>
  </si>
  <si>
    <t>Oct. 19th 2015</t>
  </si>
  <si>
    <t>Programming Layout Areas Tab Added</t>
  </si>
  <si>
    <t>Concessions Flow, Final A/C Parking</t>
  </si>
  <si>
    <t>GSA Seats Base</t>
  </si>
  <si>
    <t>GSA Seats HIGH</t>
  </si>
  <si>
    <t>GSA Area Base</t>
  </si>
  <si>
    <t>Area (ft2 )</t>
  </si>
  <si>
    <t>GSA Area HIGH</t>
  </si>
  <si>
    <t>Orphan*</t>
  </si>
  <si>
    <t>BASE (to achieve IATA 'optimum' LoS)</t>
  </si>
  <si>
    <t>HIGH (to achieve IATA 'optimum' LoS)</t>
  </si>
  <si>
    <t>Numbers based on Developed Programming Concessions Scheme</t>
  </si>
  <si>
    <t>Subtotal: Programmed Areas BASE</t>
  </si>
  <si>
    <t>Subtotal: Programmed Areas HIGH</t>
  </si>
  <si>
    <t>Gross Departures Floor Plate HIGH</t>
  </si>
  <si>
    <t>Gross Departures Floor Plate BASE</t>
  </si>
  <si>
    <t>Design Team Assumption</t>
  </si>
  <si>
    <t>Design Team pro-tem assumption</t>
  </si>
  <si>
    <t>Design Team assumption: multi-faith room, children’s play area, yoga room etc.</t>
  </si>
  <si>
    <t>AIRCRAFT DESIGN GROUP</t>
  </si>
  <si>
    <t>Assumed two 30' wide concourses in zone 1, 40' in Zone 2 (moving walkways) &amp; 30' in Zone 3.</t>
  </si>
  <si>
    <t>Art/Events; promotions, seasonal, exhibits etc.</t>
  </si>
  <si>
    <t>OAG via C DiPrima, 151118</t>
  </si>
  <si>
    <t>Custodial, Maintenance, Airline Stores, Etc.</t>
  </si>
  <si>
    <t>Nov. 19th 2015</t>
  </si>
  <si>
    <t>Space descriptions &amp; support areas updated.</t>
  </si>
  <si>
    <t>ANNUAL PAX; T1 (BAB+BAC)</t>
  </si>
  <si>
    <t xml:space="preserve">DDFS 'Peak Hour' Total Pax </t>
  </si>
  <si>
    <t xml:space="preserve">DDFS 'Peak Hour' Departure Pax </t>
  </si>
  <si>
    <t xml:space="preserve">DDFS 'Peak Hour' Arrival Pax </t>
  </si>
  <si>
    <t>Dec. 21st 2015</t>
  </si>
  <si>
    <t>SD Working Copy</t>
  </si>
  <si>
    <t>Gate Seating Areas, Including Boarding Function (Holdrooms)</t>
  </si>
  <si>
    <t>Seat Guru, 151221</t>
  </si>
  <si>
    <t>150 standard economy + 30 'stretch'; alternative version with 168 seats (132 econ + 36 'stretch')</t>
  </si>
  <si>
    <t>120 standard economy + 24 'stretch'; alternative version with 138 seats (108 econ + 30 'stretch')</t>
  </si>
  <si>
    <t>American Eagle ERJ-175</t>
  </si>
  <si>
    <t>Seat Guru, 150807 / American Way Nov/15</t>
  </si>
  <si>
    <t>American A320</t>
  </si>
  <si>
    <t>American A321T</t>
  </si>
  <si>
    <t>The 'Transcon' version which has 10 flat beds in First and 20 flat beds in Business.</t>
  </si>
  <si>
    <t>There is a 'Transcon' version with 143 economy + 16 Business seats.</t>
  </si>
  <si>
    <t>American ERJ-190</t>
  </si>
  <si>
    <t>American Way Nov/15</t>
  </si>
  <si>
    <t>American B767-300ER</t>
  </si>
  <si>
    <t>International version has 16 Flagship Suites, 37 lie flat seats (B) and 194 economy seats.</t>
  </si>
  <si>
    <t>American B777-200LR</t>
  </si>
  <si>
    <t>Shared gate seating area discount taken (10%).</t>
  </si>
  <si>
    <t>SFO Terminal 1 Reconstruction; Scheme Design Phase</t>
  </si>
  <si>
    <t>B3</t>
  </si>
  <si>
    <t>B5</t>
  </si>
  <si>
    <t>B7</t>
  </si>
  <si>
    <t>B9</t>
  </si>
  <si>
    <t>B11</t>
  </si>
  <si>
    <t>B13</t>
  </si>
  <si>
    <t>B1</t>
  </si>
  <si>
    <t>Gates Boarded from BAB</t>
  </si>
  <si>
    <t>B15</t>
  </si>
  <si>
    <t>B21</t>
  </si>
  <si>
    <t>B23</t>
  </si>
  <si>
    <t>B25</t>
  </si>
  <si>
    <t>B24</t>
  </si>
  <si>
    <t>B22</t>
  </si>
  <si>
    <t>B19</t>
  </si>
  <si>
    <t>B17</t>
  </si>
  <si>
    <t>B20</t>
  </si>
  <si>
    <t>B18</t>
  </si>
  <si>
    <t>B14</t>
  </si>
  <si>
    <t>B10</t>
  </si>
  <si>
    <t>B4</t>
  </si>
  <si>
    <t>B2</t>
  </si>
  <si>
    <t>Full Size Group III</t>
  </si>
  <si>
    <t>Restricted Group V MARS</t>
  </si>
  <si>
    <t>Group VI MARS</t>
  </si>
  <si>
    <t>Restricted Group III</t>
  </si>
  <si>
    <t>Full Size Group III (Part of A1 MARS)</t>
  </si>
  <si>
    <t>B18b</t>
  </si>
  <si>
    <t>B18a</t>
  </si>
  <si>
    <t>B20b</t>
  </si>
  <si>
    <t>B20a</t>
  </si>
  <si>
    <t>MARS</t>
  </si>
  <si>
    <t>Group V MARS</t>
  </si>
  <si>
    <t>B7a</t>
  </si>
  <si>
    <t>B7b</t>
  </si>
  <si>
    <t>B14a</t>
  </si>
  <si>
    <t>B14b</t>
  </si>
  <si>
    <t>B10a</t>
  </si>
  <si>
    <t>B10b</t>
  </si>
  <si>
    <t>B6a</t>
  </si>
  <si>
    <t>B6b</t>
  </si>
  <si>
    <t>Gates Boarded from BAD (T2)</t>
  </si>
  <si>
    <t>51a</t>
  </si>
  <si>
    <t>51b</t>
  </si>
  <si>
    <t>52a</t>
  </si>
  <si>
    <t>52b</t>
  </si>
  <si>
    <t>54a</t>
  </si>
  <si>
    <t>54b</t>
  </si>
  <si>
    <t>58a</t>
  </si>
  <si>
    <t>58b</t>
  </si>
  <si>
    <t>B737-800 (Group III)</t>
  </si>
  <si>
    <t>B757-200 (Group IV)</t>
  </si>
  <si>
    <t>B777-200 (Group V)</t>
  </si>
  <si>
    <t>Stand Size</t>
  </si>
  <si>
    <t>B767-300 (Group IV)</t>
  </si>
  <si>
    <t>T1 Reference Aircraft</t>
  </si>
  <si>
    <t>Gate</t>
  </si>
  <si>
    <t>Seat/Wait</t>
  </si>
  <si>
    <t>Board</t>
  </si>
  <si>
    <t>British Airways B747-400</t>
  </si>
  <si>
    <t>NB</t>
  </si>
  <si>
    <t>Max.</t>
  </si>
  <si>
    <t>WB</t>
  </si>
  <si>
    <t>T1C</t>
  </si>
  <si>
    <t xml:space="preserve">Source: </t>
  </si>
  <si>
    <t>End of concourse comparison to T2 added.</t>
  </si>
  <si>
    <t>Full gate by gate area analysis of options added.</t>
  </si>
  <si>
    <t>Largest Aircraft</t>
  </si>
  <si>
    <t>MAX AIRCRAFT SEATS (Number)</t>
  </si>
  <si>
    <t>Per IATA Optimum LoS</t>
  </si>
  <si>
    <t>A320 / B737-700</t>
  </si>
  <si>
    <t>A321 / B737-900</t>
  </si>
  <si>
    <t>B777-200LR</t>
  </si>
  <si>
    <t>Seat sharing with Adjacent Gates ?</t>
  </si>
  <si>
    <t>YES</t>
  </si>
  <si>
    <t>NO</t>
  </si>
  <si>
    <t>B747-400 / B777-9X</t>
  </si>
  <si>
    <t>A380-800</t>
  </si>
  <si>
    <t>Programming Scope</t>
  </si>
  <si>
    <t>Mid Point Scheme</t>
  </si>
  <si>
    <t>Base Scheme</t>
  </si>
  <si>
    <t>Area Provided</t>
  </si>
  <si>
    <t>Level of Service</t>
  </si>
  <si>
    <r>
      <t>Ft</t>
    </r>
    <r>
      <rPr>
        <vertAlign val="superscript"/>
        <sz val="10"/>
        <color rgb="FF003296"/>
        <rFont val="WBHelveticaNeue Medium"/>
      </rPr>
      <t>2</t>
    </r>
  </si>
  <si>
    <t>Optimum</t>
  </si>
  <si>
    <t>Optimum +</t>
  </si>
  <si>
    <t>Over Design</t>
  </si>
  <si>
    <t>(10th Edn.)</t>
  </si>
  <si>
    <t>Optimum -</t>
  </si>
  <si>
    <t>Sub-Optimum</t>
  </si>
  <si>
    <t>Total Reqd.:</t>
  </si>
  <si>
    <r>
      <t>SEATING &amp; BOARDING (ft</t>
    </r>
    <r>
      <rPr>
        <vertAlign val="superscript"/>
        <sz val="10"/>
        <rFont val="WBHelveticaNeue Medium"/>
      </rPr>
      <t>2</t>
    </r>
    <r>
      <rPr>
        <sz val="10"/>
        <rFont val="WBHelveticaNeue Medium"/>
      </rPr>
      <t>)</t>
    </r>
  </si>
  <si>
    <t>Wide Body</t>
  </si>
  <si>
    <t>Narrow B.</t>
  </si>
  <si>
    <t>Boarding</t>
  </si>
  <si>
    <t>T1 BASE CASE LF (88%)</t>
  </si>
  <si>
    <t>Seated Pax</t>
  </si>
  <si>
    <t>Narrow Body</t>
  </si>
  <si>
    <t>Standing Pax</t>
  </si>
  <si>
    <t>SEATING &amp; BOARDING</t>
  </si>
  <si>
    <t xml:space="preserve">Area at 100% </t>
  </si>
  <si>
    <t>(9th Edn.)</t>
  </si>
  <si>
    <t>Seat/Wait Area</t>
  </si>
  <si>
    <t>Reqd. @ 100% / Provided</t>
  </si>
  <si>
    <t>YES / NO</t>
  </si>
  <si>
    <r>
      <t>Per IATA</t>
    </r>
    <r>
      <rPr>
        <i/>
        <sz val="11"/>
        <color theme="1"/>
        <rFont val="WBHelveticaNeue Medium"/>
      </rPr>
      <t xml:space="preserve"> LoS C</t>
    </r>
  </si>
  <si>
    <t>Exc.
B2 &amp; B4</t>
  </si>
  <si>
    <t>CONCESSIONS PROGRAM IN BAB:</t>
  </si>
  <si>
    <t xml:space="preserve">Gate area seating Calcs reviewed </t>
  </si>
  <si>
    <t>Minimum Area per Passenger</t>
  </si>
  <si>
    <t>IATA ADRM 10th Edn. 'OPTIMUM' LoS</t>
  </si>
  <si>
    <t>Maximum Area per Passenger</t>
  </si>
  <si>
    <r>
      <t>Conversion m</t>
    </r>
    <r>
      <rPr>
        <vertAlign val="superscript"/>
        <sz val="10"/>
        <color theme="1"/>
        <rFont val="WBHelveticaNeue"/>
      </rPr>
      <t>2</t>
    </r>
    <r>
      <rPr>
        <sz val="10"/>
        <color theme="1"/>
        <rFont val="WBHelveticaNeue"/>
      </rPr>
      <t xml:space="preserve"> per ft</t>
    </r>
    <r>
      <rPr>
        <vertAlign val="superscript"/>
        <sz val="10"/>
        <color theme="1"/>
        <rFont val="WBHelveticaNeue"/>
      </rPr>
      <t>2</t>
    </r>
  </si>
  <si>
    <t>Basic Space Standards for Level of Service (LoS)</t>
  </si>
  <si>
    <t>Mid-point Area per Passenger (used for SFO T1 BAB Holdroom Sizing)</t>
  </si>
  <si>
    <t>Example Holdroom Sizing:</t>
  </si>
  <si>
    <t>Load Factor:</t>
  </si>
  <si>
    <t>Pax to be Seated:</t>
  </si>
  <si>
    <t>Seats Required, increase by:</t>
  </si>
  <si>
    <t>Saving if Shared Gate Area:</t>
  </si>
  <si>
    <t>Standing Pax:</t>
  </si>
  <si>
    <r>
      <t>Area (Ft</t>
    </r>
    <r>
      <rPr>
        <vertAlign val="superscript"/>
        <sz val="9"/>
        <color theme="1"/>
        <rFont val="WBHelveticaNeue"/>
      </rPr>
      <t>2</t>
    </r>
    <r>
      <rPr>
        <sz val="9"/>
        <color theme="1"/>
        <rFont val="WBHelveticaNeue"/>
      </rPr>
      <t>)</t>
    </r>
  </si>
  <si>
    <r>
      <rPr>
        <sz val="12"/>
        <color theme="1"/>
        <rFont val="WBHelveticaNeue Medium"/>
      </rPr>
      <t>Gate 7;</t>
    </r>
    <r>
      <rPr>
        <sz val="12"/>
        <color theme="1"/>
        <rFont val="WBHelveticaNeue"/>
      </rPr>
      <t xml:space="preserve"> Restricted ADG V MARS Stand; Lower Limit for Optimum</t>
    </r>
  </si>
  <si>
    <t>Standing Room (Pax):</t>
  </si>
  <si>
    <t>Seats Required (Pax):</t>
  </si>
  <si>
    <r>
      <rPr>
        <sz val="12"/>
        <color theme="1"/>
        <rFont val="WBHelveticaNeue Medium"/>
      </rPr>
      <t>Gate 7;</t>
    </r>
    <r>
      <rPr>
        <sz val="12"/>
        <color theme="1"/>
        <rFont val="WBHelveticaNeue"/>
      </rPr>
      <t xml:space="preserve"> Restricted ADG V MARS Stand; Upper Limit for Optimum</t>
    </r>
  </si>
  <si>
    <r>
      <rPr>
        <sz val="12"/>
        <color theme="1"/>
        <rFont val="WBHelveticaNeue Medium"/>
      </rPr>
      <t>Gate 7;</t>
    </r>
    <r>
      <rPr>
        <sz val="12"/>
        <color theme="1"/>
        <rFont val="WBHelveticaNeue"/>
      </rPr>
      <t xml:space="preserve"> Restricted ADG V MARS Stand; Absolute Minimum if Extensive Concessions Seating Available</t>
    </r>
  </si>
  <si>
    <t>Max Aircraft Seats; 2 x Full Size ADG III @ 190:</t>
  </si>
  <si>
    <t>Optimum' range is thus +/- 7% from designated area.</t>
  </si>
  <si>
    <r>
      <rPr>
        <sz val="12"/>
        <color theme="1"/>
        <rFont val="WBHelveticaNeue Medium"/>
      </rPr>
      <t>Gate 7;</t>
    </r>
    <r>
      <rPr>
        <sz val="12"/>
        <color theme="1"/>
        <rFont val="WBHelveticaNeue"/>
      </rPr>
      <t xml:space="preserve"> Restricted ADG V MARS Stand; in an open holdroom area (shared); Mid-Point</t>
    </r>
  </si>
  <si>
    <t xml:space="preserve">Standing </t>
  </si>
  <si>
    <t>Minimum Overall Seating/Waiting Area</t>
  </si>
  <si>
    <t>of Total pax in Gate Lounge (after open/shared saving if applicable)</t>
  </si>
  <si>
    <t>Over/Under</t>
  </si>
  <si>
    <t>Pax to be Seated (Open/Shared):</t>
  </si>
  <si>
    <t>No</t>
  </si>
  <si>
    <t>Gate Areas Updated to latest plans</t>
  </si>
  <si>
    <t>Page 2; Reference Aircraft</t>
  </si>
  <si>
    <t>GATE</t>
  </si>
  <si>
    <t>B24b</t>
  </si>
  <si>
    <t>B24a</t>
  </si>
  <si>
    <t>T1 BASE CASE Load Factor</t>
  </si>
  <si>
    <t>Airline/Aircraft</t>
  </si>
  <si>
    <t>Aircraft Family</t>
  </si>
  <si>
    <t>LOWEST Aircraft</t>
  </si>
  <si>
    <t>LARGEST Aircraft</t>
  </si>
  <si>
    <t>B737</t>
  </si>
  <si>
    <t>B787</t>
  </si>
  <si>
    <t>Page 3a: Independent Gate Seating Areas - for different aircraft sizes - Base Case</t>
  </si>
  <si>
    <t>Page 3b: Independent Gate Seating Areas - for different aircraft sizes - High Case</t>
  </si>
  <si>
    <t>Page 4a: Background Information for Holdroom Layout Analysis</t>
  </si>
  <si>
    <t>Page 4be: Concourse Gate Seating &amp; Boarding Area Comparisons; Current (10th Edn.) IATA ADRM</t>
  </si>
  <si>
    <t>Page 4c: Concourse Gate Seating &amp; Boarding Area Comparisons; Previous (9th Edn.) IATA ADRM</t>
  </si>
  <si>
    <t>Page 5: Gate Boarding Parameters</t>
  </si>
  <si>
    <t>Page 6: Toilet Calculations; Departures</t>
  </si>
  <si>
    <t>Page 7A: Concourse Floor Plate - Rough Area Calculation - Option 1</t>
  </si>
  <si>
    <t>7b: Concourse Floor Plate - Rough Area Calculation - Option 2</t>
  </si>
  <si>
    <t>Page 7c: Concourse Floor Plate - Rough Area Calculation - Option 3</t>
  </si>
  <si>
    <t>Page 7d: Concourse Floor Plate - Rough Area Calculation - Option 4</t>
  </si>
  <si>
    <t>Page7e: Concourse Floor Plate - Approx. Area Demand - Programming Layout</t>
  </si>
  <si>
    <t>Page 8: Gate Allocation</t>
  </si>
  <si>
    <t>Workbook Restructured, Gate Parameters added.</t>
  </si>
  <si>
    <t>A320</t>
  </si>
  <si>
    <t>Full Size Group III (Part of A1)</t>
  </si>
  <si>
    <t>Full Size Group V MARS</t>
  </si>
  <si>
    <t>Full Size Group VI MARS</t>
  </si>
  <si>
    <t>Height (Ft)</t>
  </si>
  <si>
    <t>1:12</t>
  </si>
  <si>
    <t>NOTES:</t>
  </si>
  <si>
    <t>All levels are 'Above Datum' and the levels for Stands B1, B3 and B5 are with the fully regraded cul-de-sac between BAB and BAC.</t>
  </si>
  <si>
    <t>Apron levels are approximate proposed levels interpolated from the Composite Grading Plan, drwg C02.01.50 dated 04-22-2016.</t>
  </si>
  <si>
    <t>Sill heights for aircraft families are the minimum heights given in the manufacturer's publications.</t>
  </si>
  <si>
    <t>Raw Lengths are a simple multiplication of the overal height difference by the maximum gradient - landings in fixed links need to be added.</t>
  </si>
  <si>
    <t>The height difference between aircraft sill and concourse will be partly addressed by the PBBs and partly by ramped fixed links.</t>
  </si>
  <si>
    <t>In two cases where the apron level is the same an alternative aircraft family has been shown for illustrative purposes only.</t>
  </si>
  <si>
    <t>Gate Seats</t>
  </si>
  <si>
    <t>GATE AREAS</t>
  </si>
  <si>
    <t>Seat numbers added to Gate Parameters</t>
  </si>
  <si>
    <t>Exc. B2 &amp; B4</t>
  </si>
  <si>
    <t>Concourse Level:</t>
  </si>
  <si>
    <t>Raw Length (Ft)</t>
  </si>
  <si>
    <r>
      <t xml:space="preserve">Height </t>
    </r>
    <r>
      <rPr>
        <sz val="10"/>
        <color rgb="FF003296"/>
        <rFont val="Calibri"/>
        <family val="2"/>
      </rPr>
      <t xml:space="preserve">Δ
</t>
    </r>
    <r>
      <rPr>
        <sz val="10"/>
        <color rgb="FF003296"/>
        <rFont val="WBHelveticaNeue Medium"/>
      </rPr>
      <t>(Ft)</t>
    </r>
  </si>
  <si>
    <t>Apron Level @ Nosewheel</t>
  </si>
  <si>
    <t>Aircraft Sill Ht.</t>
  </si>
  <si>
    <t>Max Slope:</t>
  </si>
  <si>
    <t>Journey: Aircraft Sill up to Concourse</t>
  </si>
  <si>
    <t>Landing Across HoS VSR</t>
  </si>
  <si>
    <t>Level</t>
  </si>
  <si>
    <t>VSR Vertical Clearance</t>
  </si>
  <si>
    <t>PBB Length</t>
  </si>
  <si>
    <t>Fixed Ramp Required</t>
  </si>
  <si>
    <t>Ft</t>
  </si>
  <si>
    <t>Fixed Link Calculations Added</t>
  </si>
  <si>
    <r>
      <t>VSR Level under Link</t>
    </r>
    <r>
      <rPr>
        <sz val="10"/>
        <rFont val="WBHelveticaNeue Medium"/>
      </rPr>
      <t xml:space="preserve"> (outer lane)</t>
    </r>
  </si>
  <si>
    <t>OPTION B: LONG PBBs</t>
  </si>
  <si>
    <t>Rotunda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</si>
</sst>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
    <numFmt numFmtId="166" formatCode="&quot;FY &quot;###0"/>
    <numFmt numFmtId="167" formatCode="###0"/>
    <numFmt numFmtId="168" formatCode="[$-C09]dd/mmm/yy;@"/>
    <numFmt numFmtId="169" formatCode="&quot;Ver.&quot;0"/>
    <numFmt numFmtId="170" formatCode="[$-F800]dddd\,\ mmmm\ dd\,\ yyyy"/>
    <numFmt numFmtId="171" formatCode="0.000"/>
    <numFmt numFmtId="172" formatCode="&quot;CY &quot;###0"/>
    <numFmt numFmtId="173" formatCode="#,##0.0"/>
    <numFmt numFmtId="174" formatCode="&quot;Req. &quot;#,##0"/>
    <numFmt numFmtId="175" formatCode="\+#,##0.000"/>
  </numFmts>
  <fonts count="131" x14ac:knownFonts="1">
    <font>
      <sz val="11"/>
      <color theme="1"/>
      <name val="Calibri"/>
      <family val="2"/>
      <scheme val="minor"/>
    </font>
    <font>
      <sz val="11"/>
      <color theme="1"/>
      <name val="Calibri"/>
      <family val="2"/>
      <scheme val="minor"/>
    </font>
    <font>
      <b/>
      <sz val="16"/>
      <color theme="1"/>
      <name val="WBHelveticaNeue"/>
    </font>
    <font>
      <sz val="11"/>
      <color theme="1"/>
      <name val="WBHelveticaNeue"/>
    </font>
    <font>
      <sz val="16"/>
      <color rgb="FF002060"/>
      <name val="WBHelveticaNeue"/>
    </font>
    <font>
      <b/>
      <sz val="12"/>
      <color theme="1"/>
      <name val="WBHelveticaNeue"/>
    </font>
    <font>
      <sz val="11"/>
      <color rgb="FF002060"/>
      <name val="WBHelveticaNeue"/>
    </font>
    <font>
      <sz val="9"/>
      <color theme="1"/>
      <name val="WBHelveticaNeue"/>
    </font>
    <font>
      <sz val="10"/>
      <color rgb="FF002060"/>
      <name val="WBHelveticaNeue"/>
    </font>
    <font>
      <sz val="10"/>
      <color theme="1"/>
      <name val="WBHelveticaNeue"/>
    </font>
    <font>
      <i/>
      <sz val="10"/>
      <color rgb="FF002060"/>
      <name val="WBHelveticaNeue"/>
    </font>
    <font>
      <sz val="12"/>
      <color rgb="FF00682F"/>
      <name val="WBHelveticaNeue"/>
    </font>
    <font>
      <sz val="11"/>
      <color rgb="FFC00000"/>
      <name val="WBHelveticaNeue"/>
    </font>
    <font>
      <sz val="12"/>
      <color rgb="FFC00000"/>
      <name val="WBHelveticaNeue"/>
    </font>
    <font>
      <b/>
      <sz val="14"/>
      <color rgb="FFC00000"/>
      <name val="WBHelveticaNeue"/>
    </font>
    <font>
      <sz val="11"/>
      <color rgb="FF003296"/>
      <name val="WBHelveticaNeue"/>
    </font>
    <font>
      <sz val="16"/>
      <color theme="1"/>
      <name val="WBHelveticaNeue Medium"/>
    </font>
    <font>
      <sz val="12"/>
      <color theme="1"/>
      <name val="WBHelveticaNeue Medium"/>
    </font>
    <font>
      <i/>
      <sz val="11"/>
      <color theme="1"/>
      <name val="WBHelveticaNeue Medium"/>
    </font>
    <font>
      <sz val="12"/>
      <color rgb="FF002060"/>
      <name val="WBHelveticaNeue Medium"/>
    </font>
    <font>
      <b/>
      <sz val="11"/>
      <color theme="1"/>
      <name val="WBHelveticaNeue"/>
    </font>
    <font>
      <b/>
      <sz val="12"/>
      <color rgb="FFC00000"/>
      <name val="WBHelveticaNeue"/>
    </font>
    <font>
      <sz val="11"/>
      <color rgb="FF00682F"/>
      <name val="WBHelveticaNeue"/>
    </font>
    <font>
      <sz val="11"/>
      <color theme="1"/>
      <name val="WBHelveticaNeue Medium"/>
    </font>
    <font>
      <sz val="9"/>
      <color rgb="FF00682F"/>
      <name val="WBHelveticaNeue"/>
    </font>
    <font>
      <sz val="10"/>
      <color theme="1"/>
      <name val="WBHelveticaNeue Medium"/>
    </font>
    <font>
      <sz val="10"/>
      <color rgb="FFC00000"/>
      <name val="WBHelveticaNeue"/>
    </font>
    <font>
      <sz val="10"/>
      <color rgb="FF00682F"/>
      <name val="WBHelveticaNeue"/>
    </font>
    <font>
      <sz val="10"/>
      <color rgb="FFC00000"/>
      <name val="WBHelveticaNeue Medium"/>
    </font>
    <font>
      <sz val="11"/>
      <color theme="1"/>
      <name val="WBHelveticaNeue Condensed"/>
    </font>
    <font>
      <sz val="12"/>
      <color rgb="FF00682F"/>
      <name val="WBHelveticaNeue Medium"/>
    </font>
    <font>
      <sz val="11"/>
      <color rgb="FF00682F"/>
      <name val="WBHelveticaNeue Medium"/>
    </font>
    <font>
      <sz val="12"/>
      <color rgb="FFC00000"/>
      <name val="WBHelveticaNeue Medium"/>
    </font>
    <font>
      <sz val="11"/>
      <color rgb="FFC00000"/>
      <name val="WBHelveticaNeue Medium"/>
    </font>
    <font>
      <i/>
      <sz val="11"/>
      <color theme="1"/>
      <name val="WBHelveticaNeue"/>
    </font>
    <font>
      <i/>
      <sz val="10"/>
      <color theme="1"/>
      <name val="WBHelveticaNeue"/>
    </font>
    <font>
      <sz val="11"/>
      <color theme="0"/>
      <name val="WBHelveticaNeue"/>
    </font>
    <font>
      <sz val="14"/>
      <color rgb="FF003296"/>
      <name val="WBHelveticaNeue"/>
    </font>
    <font>
      <sz val="12"/>
      <color rgb="FF003296"/>
      <name val="WBHelveticaNeue Medium"/>
    </font>
    <font>
      <i/>
      <sz val="12"/>
      <color theme="1"/>
      <name val="WBHelveticaNeue Medium"/>
    </font>
    <font>
      <i/>
      <sz val="12"/>
      <color rgb="FFC00000"/>
      <name val="WBHelveticaNeue"/>
    </font>
    <font>
      <i/>
      <sz val="11"/>
      <color rgb="FF002060"/>
      <name val="WBHelveticaNeue"/>
    </font>
    <font>
      <sz val="11"/>
      <color rgb="FF7030A0"/>
      <name val="WBHelveticaNeue Medium"/>
    </font>
    <font>
      <sz val="11"/>
      <color rgb="FF7030A0"/>
      <name val="WBHelveticaNeue"/>
    </font>
    <font>
      <sz val="14"/>
      <color rgb="FF7030A0"/>
      <name val="WBHelveticaNeue"/>
    </font>
    <font>
      <sz val="16"/>
      <color rgb="FF7030A0"/>
      <name val="WBHelveticaNeue"/>
    </font>
    <font>
      <sz val="18"/>
      <color theme="1"/>
      <name val="WBHelveticaNeue Medium"/>
    </font>
    <font>
      <sz val="12"/>
      <color rgb="FF7030A0"/>
      <name val="WBHelveticaNeue Medium"/>
    </font>
    <font>
      <sz val="14"/>
      <color theme="1"/>
      <name val="WBHelveticaNeue Medium"/>
    </font>
    <font>
      <sz val="14"/>
      <color rgb="FF0070C0"/>
      <name val="WBHelveticaNeue Medium"/>
    </font>
    <font>
      <i/>
      <sz val="10"/>
      <color rgb="FFC00000"/>
      <name val="WBHelveticaNeue"/>
    </font>
    <font>
      <sz val="16"/>
      <color theme="1"/>
      <name val="Calibri"/>
      <family val="2"/>
    </font>
    <font>
      <sz val="16"/>
      <color theme="1"/>
      <name val="WBHelveticaNeue"/>
    </font>
    <font>
      <sz val="12"/>
      <color theme="1"/>
      <name val="WBHelveticaNeue"/>
    </font>
    <font>
      <sz val="12"/>
      <color rgb="FF0070C0"/>
      <name val="WBHelveticaNeue Medium"/>
    </font>
    <font>
      <sz val="10"/>
      <color rgb="FF7030A0"/>
      <name val="WBHelveticaNeue"/>
    </font>
    <font>
      <sz val="8"/>
      <color rgb="FFC00000"/>
      <name val="WBHelveticaNeue"/>
    </font>
    <font>
      <sz val="10"/>
      <color rgb="FF00682F"/>
      <name val="WBHelveticaNeue Medium"/>
    </font>
    <font>
      <sz val="10"/>
      <color rgb="FF7030A0"/>
      <name val="WBHelveticaNeue Medium"/>
    </font>
    <font>
      <sz val="14"/>
      <color rgb="FF7030A0"/>
      <name val="WBHelveticaNeue Medium"/>
    </font>
    <font>
      <sz val="11"/>
      <color rgb="FF002060"/>
      <name val="WBHelveticaNeue Medium"/>
    </font>
    <font>
      <sz val="12"/>
      <name val="WBHelveticaNeue Medium"/>
    </font>
    <font>
      <sz val="11"/>
      <name val="WBHelveticaNeue"/>
    </font>
    <font>
      <sz val="10"/>
      <color rgb="FF002060"/>
      <name val="WBHelveticaNeue Medium"/>
    </font>
    <font>
      <u/>
      <sz val="10"/>
      <color rgb="FF002060"/>
      <name val="WBHelveticaNeue"/>
    </font>
    <font>
      <sz val="12"/>
      <color rgb="FF7030A0"/>
      <name val="WBHelveticaNeue"/>
    </font>
    <font>
      <sz val="14"/>
      <color rgb="FFC00000"/>
      <name val="WBHelveticaNeue"/>
    </font>
    <font>
      <sz val="12"/>
      <color rgb="FFFF0000"/>
      <name val="WBHelveticaNeue"/>
    </font>
    <font>
      <sz val="14"/>
      <color theme="1"/>
      <name val="WBHelveticaNeue"/>
    </font>
    <font>
      <sz val="14"/>
      <color rgb="FFC00000"/>
      <name val="WBHelveticaNeue Medium"/>
    </font>
    <font>
      <i/>
      <sz val="11"/>
      <color rgb="FF00682F"/>
      <name val="WBHelveticaNeue"/>
    </font>
    <font>
      <sz val="12"/>
      <name val="WBHelveticaNeue"/>
    </font>
    <font>
      <b/>
      <sz val="11"/>
      <color rgb="FFC00000"/>
      <name val="WBHelveticaNeue"/>
    </font>
    <font>
      <i/>
      <sz val="11"/>
      <color rgb="FF0070C0"/>
      <name val="WBHelveticaNeue"/>
    </font>
    <font>
      <b/>
      <sz val="11"/>
      <color rgb="FF002060"/>
      <name val="WBHelveticaNeue"/>
    </font>
    <font>
      <sz val="9"/>
      <color rgb="FF002060"/>
      <name val="WBHelveticaNeue"/>
    </font>
    <font>
      <b/>
      <sz val="11"/>
      <color rgb="FF00682F"/>
      <name val="WBHelveticaNeue"/>
    </font>
    <font>
      <b/>
      <i/>
      <sz val="11"/>
      <color rgb="FF002060"/>
      <name val="WBHelveticaNeue"/>
    </font>
    <font>
      <sz val="9"/>
      <name val="WBHelveticaNeue"/>
    </font>
    <font>
      <sz val="18"/>
      <name val="WBHelveticaNeue"/>
    </font>
    <font>
      <sz val="12"/>
      <color rgb="FF002060"/>
      <name val="WBHelveticaNeue"/>
    </font>
    <font>
      <vertAlign val="superscript"/>
      <sz val="12"/>
      <name val="WBHelveticaNeue"/>
    </font>
    <font>
      <i/>
      <sz val="12"/>
      <color rgb="FF00682F"/>
      <name val="WBHelveticaNeue"/>
    </font>
    <font>
      <sz val="14"/>
      <color rgb="FF00682F"/>
      <name val="WBHelveticaNeue Medium"/>
    </font>
    <font>
      <sz val="10"/>
      <name val="WBHelveticaNeue"/>
    </font>
    <font>
      <vertAlign val="superscript"/>
      <sz val="10"/>
      <name val="WBHelveticaNeue"/>
    </font>
    <font>
      <sz val="14"/>
      <color rgb="FF002060"/>
      <name val="WBHelveticaNeue"/>
    </font>
    <font>
      <vertAlign val="superscript"/>
      <sz val="9"/>
      <color theme="1"/>
      <name val="WBHelveticaNeue"/>
    </font>
    <font>
      <sz val="9"/>
      <color indexed="81"/>
      <name val="Tahoma"/>
      <family val="2"/>
    </font>
    <font>
      <b/>
      <sz val="9"/>
      <color indexed="81"/>
      <name val="Tahoma"/>
      <family val="2"/>
    </font>
    <font>
      <vertAlign val="superscript"/>
      <sz val="10"/>
      <color theme="1"/>
      <name val="WBHelveticaNeue"/>
    </font>
    <font>
      <vertAlign val="superscript"/>
      <sz val="10"/>
      <color theme="1"/>
      <name val="WBHelveticaNeue Medium"/>
    </font>
    <font>
      <vertAlign val="superscript"/>
      <sz val="11"/>
      <color theme="1"/>
      <name val="WBHelveticaNeue"/>
    </font>
    <font>
      <vertAlign val="superscript"/>
      <sz val="11"/>
      <color rgb="FF002060"/>
      <name val="WBHelveticaNeue"/>
    </font>
    <font>
      <vertAlign val="superscript"/>
      <sz val="11"/>
      <color theme="1"/>
      <name val="WBHelveticaNeue Medium"/>
    </font>
    <font>
      <sz val="14"/>
      <name val="WBHelveticaNeue Medium"/>
    </font>
    <font>
      <sz val="11"/>
      <name val="WBHelveticaNeue Medium"/>
    </font>
    <font>
      <u/>
      <sz val="11"/>
      <color theme="1"/>
      <name val="WBHelveticaNeue"/>
    </font>
    <font>
      <i/>
      <sz val="12"/>
      <name val="WBHelveticaNeue"/>
    </font>
    <font>
      <i/>
      <sz val="11"/>
      <color rgb="FFC00000"/>
      <name val="WBHelveticaNeue"/>
    </font>
    <font>
      <i/>
      <sz val="12"/>
      <color rgb="FF002060"/>
      <name val="WBHelveticaNeue"/>
    </font>
    <font>
      <i/>
      <sz val="12"/>
      <color rgb="FF7030A0"/>
      <name val="WBHelveticaNeue"/>
    </font>
    <font>
      <sz val="10"/>
      <name val="WBHelveticaNeue Medium"/>
    </font>
    <font>
      <vertAlign val="superscript"/>
      <sz val="10"/>
      <name val="WBHelveticaNeue Medium"/>
    </font>
    <font>
      <u/>
      <sz val="12"/>
      <name val="WBHelveticaNeue Medium"/>
    </font>
    <font>
      <sz val="8"/>
      <color theme="1"/>
      <name val="WBHelveticaNeue"/>
    </font>
    <font>
      <vertAlign val="superscript"/>
      <sz val="12"/>
      <name val="WBHelveticaNeue Medium"/>
    </font>
    <font>
      <vertAlign val="superscript"/>
      <sz val="10"/>
      <color rgb="FF002060"/>
      <name val="WBHelveticaNeue"/>
    </font>
    <font>
      <sz val="11"/>
      <color rgb="FF0070C0"/>
      <name val="WBHelveticaNeue Medium"/>
    </font>
    <font>
      <sz val="12"/>
      <color rgb="FF0070C0"/>
      <name val="WBHelveticaNeue"/>
    </font>
    <font>
      <sz val="14"/>
      <color rgb="FF0070C0"/>
      <name val="WBHelveticaNeue"/>
    </font>
    <font>
      <vertAlign val="superscript"/>
      <sz val="12"/>
      <color theme="1"/>
      <name val="WBHelveticaNeue Medium"/>
    </font>
    <font>
      <vertAlign val="superscript"/>
      <sz val="9"/>
      <color rgb="FF002060"/>
      <name val="WBHelveticaNeue"/>
    </font>
    <font>
      <sz val="14"/>
      <color rgb="FF002060"/>
      <name val="WBHelveticaNeue Medium"/>
    </font>
    <font>
      <sz val="10"/>
      <color rgb="FF003296"/>
      <name val="WBHelveticaNeue Medium"/>
    </font>
    <font>
      <vertAlign val="superscript"/>
      <sz val="10"/>
      <color rgb="FF003296"/>
      <name val="WBHelveticaNeue Medium"/>
    </font>
    <font>
      <sz val="10"/>
      <color rgb="FF003296"/>
      <name val="WBHelveticaNeue"/>
    </font>
    <font>
      <i/>
      <sz val="11"/>
      <color rgb="FF003296"/>
      <name val="WBHelveticaNeue"/>
    </font>
    <font>
      <sz val="12"/>
      <color rgb="FF003296"/>
      <name val="WBHelveticaNeue"/>
    </font>
    <font>
      <sz val="11"/>
      <color rgb="FF003296"/>
      <name val="WBHelveticaNeue Medium"/>
    </font>
    <font>
      <sz val="10"/>
      <color theme="0"/>
      <name val="WBHelveticaNeue Medium"/>
    </font>
    <font>
      <sz val="16"/>
      <color rgb="FFC00000"/>
      <name val="WBHelveticaNeue"/>
    </font>
    <font>
      <b/>
      <i/>
      <sz val="12"/>
      <color theme="1"/>
      <name val="WBHelveticaNeue"/>
    </font>
    <font>
      <sz val="14"/>
      <color theme="0"/>
      <name val="WBHelveticaNeue Medium"/>
    </font>
    <font>
      <i/>
      <sz val="12"/>
      <color theme="0"/>
      <name val="WBHelveticaNeue Medium"/>
    </font>
    <font>
      <sz val="12"/>
      <color theme="0"/>
      <name val="WBHelveticaNeue Medium"/>
    </font>
    <font>
      <sz val="12"/>
      <color theme="9" tint="-0.249977111117893"/>
      <name val="WBHelveticaNeue Medium"/>
    </font>
    <font>
      <sz val="12"/>
      <color theme="9" tint="-0.249977111117893"/>
      <name val="WBHelveticaNeue"/>
    </font>
    <font>
      <sz val="14"/>
      <color rgb="FF003296"/>
      <name val="WBHelveticaNeue Medium"/>
    </font>
    <font>
      <sz val="10"/>
      <color rgb="FF003296"/>
      <name val="Calibri"/>
      <family val="2"/>
    </font>
    <font>
      <i/>
      <sz val="10"/>
      <color rgb="FF003296"/>
      <name val="WBHelveticaNeue Medium"/>
    </font>
  </fonts>
  <fills count="20">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F2DCDB"/>
        <bgColor indexed="64"/>
      </patternFill>
    </fill>
    <fill>
      <patternFill patternType="solid">
        <fgColor theme="4"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2" tint="-9.9978637043366805E-2"/>
        <bgColor indexed="64"/>
      </patternFill>
    </fill>
  </fills>
  <borders count="17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rgb="FFC00000"/>
      </left>
      <right style="medium">
        <color rgb="FFC00000"/>
      </right>
      <top style="medium">
        <color rgb="FFC00000"/>
      </top>
      <bottom/>
      <diagonal/>
    </border>
    <border>
      <left style="medium">
        <color rgb="FFC00000"/>
      </left>
      <right style="medium">
        <color rgb="FFC00000"/>
      </right>
      <top/>
      <bottom style="medium">
        <color rgb="FFC00000"/>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auto="1"/>
      </left>
      <right/>
      <top/>
      <bottom style="medium">
        <color rgb="FFC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00000"/>
      </left>
      <right style="medium">
        <color rgb="FFC00000"/>
      </right>
      <top/>
      <bottom/>
      <diagonal/>
    </border>
    <border>
      <left style="medium">
        <color rgb="FFC00000"/>
      </left>
      <right style="medium">
        <color rgb="FFC00000"/>
      </right>
      <top style="medium">
        <color rgb="FFC00000"/>
      </top>
      <bottom style="medium">
        <color rgb="FFC00000"/>
      </bottom>
      <diagonal/>
    </border>
    <border>
      <left style="medium">
        <color indexed="64"/>
      </left>
      <right/>
      <top/>
      <bottom/>
      <diagonal/>
    </border>
    <border>
      <left/>
      <right style="medium">
        <color indexed="64"/>
      </right>
      <top style="thin">
        <color indexed="64"/>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rgb="FF002060"/>
      </right>
      <top/>
      <bottom/>
      <diagonal/>
    </border>
    <border>
      <left/>
      <right style="thin">
        <color rgb="FF002060"/>
      </right>
      <top/>
      <bottom style="thin">
        <color indexed="64"/>
      </bottom>
      <diagonal/>
    </border>
    <border>
      <left/>
      <right style="thick">
        <color rgb="FF00682F"/>
      </right>
      <top style="thin">
        <color indexed="64"/>
      </top>
      <bottom style="thin">
        <color indexed="64"/>
      </bottom>
      <diagonal/>
    </border>
    <border>
      <left/>
      <right style="thick">
        <color rgb="FF00682F"/>
      </right>
      <top/>
      <bottom/>
      <diagonal/>
    </border>
    <border>
      <left/>
      <right style="thick">
        <color rgb="FF00682F"/>
      </right>
      <top/>
      <bottom style="thin">
        <color indexed="64"/>
      </bottom>
      <diagonal/>
    </border>
    <border>
      <left/>
      <right style="thick">
        <color rgb="FF00682F"/>
      </right>
      <top style="thin">
        <color indexed="64"/>
      </top>
      <bottom/>
      <diagonal/>
    </border>
    <border>
      <left/>
      <right/>
      <top style="thin">
        <color rgb="FF002060"/>
      </top>
      <bottom style="thin">
        <color indexed="64"/>
      </bottom>
      <diagonal/>
    </border>
    <border>
      <left style="thick">
        <color rgb="FF00682F"/>
      </left>
      <right/>
      <top/>
      <bottom/>
      <diagonal/>
    </border>
    <border>
      <left style="thick">
        <color rgb="FF00682F"/>
      </left>
      <right/>
      <top/>
      <bottom style="thin">
        <color indexed="64"/>
      </bottom>
      <diagonal/>
    </border>
    <border>
      <left style="medium">
        <color rgb="FFC00000"/>
      </left>
      <right style="medium">
        <color rgb="FFC00000"/>
      </right>
      <top/>
      <bottom style="thin">
        <color indexed="64"/>
      </bottom>
      <diagonal/>
    </border>
    <border>
      <left style="thin">
        <color indexed="64"/>
      </left>
      <right/>
      <top style="medium">
        <color rgb="FFC00000"/>
      </top>
      <bottom/>
      <diagonal/>
    </border>
    <border>
      <left style="thin">
        <color auto="1"/>
      </left>
      <right/>
      <top style="thin">
        <color rgb="FF002060"/>
      </top>
      <bottom style="thin">
        <color indexed="64"/>
      </bottom>
      <diagonal/>
    </border>
    <border>
      <left/>
      <right/>
      <top style="thin">
        <color indexed="64"/>
      </top>
      <bottom style="medium">
        <color indexed="64"/>
      </bottom>
      <diagonal/>
    </border>
    <border>
      <left style="thick">
        <color rgb="FF00682F"/>
      </left>
      <right/>
      <top/>
      <bottom style="thick">
        <color rgb="FF00682F"/>
      </bottom>
      <diagonal/>
    </border>
    <border>
      <left/>
      <right/>
      <top/>
      <bottom style="thick">
        <color rgb="FF00682F"/>
      </bottom>
      <diagonal/>
    </border>
    <border>
      <left/>
      <right style="thick">
        <color rgb="FF00682F"/>
      </right>
      <top/>
      <bottom style="thick">
        <color rgb="FF00682F"/>
      </bottom>
      <diagonal/>
    </border>
    <border>
      <left style="thick">
        <color rgb="FF00682F"/>
      </left>
      <right/>
      <top style="thick">
        <color rgb="FF00682F"/>
      </top>
      <bottom style="thin">
        <color rgb="FF00682F"/>
      </bottom>
      <diagonal/>
    </border>
    <border>
      <left/>
      <right/>
      <top style="thick">
        <color rgb="FF00682F"/>
      </top>
      <bottom style="thin">
        <color rgb="FF00682F"/>
      </bottom>
      <diagonal/>
    </border>
    <border>
      <left/>
      <right style="thick">
        <color rgb="FF00682F"/>
      </right>
      <top style="thick">
        <color rgb="FF00682F"/>
      </top>
      <bottom style="thin">
        <color rgb="FF00682F"/>
      </bottom>
      <diagonal/>
    </border>
    <border>
      <left/>
      <right style="thin">
        <color auto="1"/>
      </right>
      <top style="thin">
        <color rgb="FF002060"/>
      </top>
      <bottom style="thin">
        <color indexed="64"/>
      </bottom>
      <diagonal/>
    </border>
    <border>
      <left style="thin">
        <color indexed="64"/>
      </left>
      <right/>
      <top style="thin">
        <color indexed="64"/>
      </top>
      <bottom style="medium">
        <color rgb="FFC00000"/>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medium">
        <color indexed="64"/>
      </left>
      <right/>
      <top style="thin">
        <color indexed="64"/>
      </top>
      <bottom style="thin">
        <color indexed="64"/>
      </bottom>
      <diagonal/>
    </border>
    <border>
      <left style="thin">
        <color rgb="FF00682F"/>
      </left>
      <right style="thin">
        <color rgb="FF00682F"/>
      </right>
      <top style="medium">
        <color rgb="FFC00000"/>
      </top>
      <bottom style="thin">
        <color rgb="FF00682F"/>
      </bottom>
      <diagonal/>
    </border>
    <border>
      <left style="thin">
        <color rgb="FF00682F"/>
      </left>
      <right style="thin">
        <color rgb="FF00682F"/>
      </right>
      <top style="thin">
        <color rgb="FF00682F"/>
      </top>
      <bottom style="thin">
        <color rgb="FF00682F"/>
      </bottom>
      <diagonal/>
    </border>
    <border>
      <left style="thick">
        <color rgb="FF00682F"/>
      </left>
      <right/>
      <top style="thin">
        <color indexed="64"/>
      </top>
      <bottom style="thin">
        <color indexed="64"/>
      </bottom>
      <diagonal/>
    </border>
    <border>
      <left style="thick">
        <color rgb="FF00682F"/>
      </left>
      <right/>
      <top style="thin">
        <color indexed="64"/>
      </top>
      <bottom/>
      <diagonal/>
    </border>
    <border>
      <left style="thick">
        <color rgb="FF00682F"/>
      </left>
      <right style="medium">
        <color rgb="FFC00000"/>
      </right>
      <top style="medium">
        <color rgb="FFC00000"/>
      </top>
      <bottom style="medium">
        <color rgb="FFC00000"/>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rgb="FF00682F"/>
      </left>
      <right style="thin">
        <color indexed="64"/>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top/>
      <bottom/>
      <diagonal/>
    </border>
    <border>
      <left style="double">
        <color auto="1"/>
      </left>
      <right/>
      <top style="medium">
        <color rgb="FFC00000"/>
      </top>
      <bottom/>
      <diagonal/>
    </border>
    <border>
      <left style="double">
        <color auto="1"/>
      </left>
      <right/>
      <top style="medium">
        <color rgb="FFC00000"/>
      </top>
      <bottom style="medium">
        <color rgb="FFC00000"/>
      </bottom>
      <diagonal/>
    </border>
    <border>
      <left style="double">
        <color auto="1"/>
      </left>
      <right style="thin">
        <color rgb="FF00682F"/>
      </right>
      <top style="thin">
        <color rgb="FF00682F"/>
      </top>
      <bottom style="thin">
        <color indexed="64"/>
      </bottom>
      <diagonal/>
    </border>
    <border>
      <left style="double">
        <color indexed="64"/>
      </left>
      <right/>
      <top/>
      <bottom style="thin">
        <color indexed="64"/>
      </bottom>
      <diagonal/>
    </border>
    <border>
      <left style="double">
        <color auto="1"/>
      </left>
      <right style="thin">
        <color indexed="64"/>
      </right>
      <top style="thin">
        <color indexed="64"/>
      </top>
      <bottom style="thin">
        <color indexed="64"/>
      </bottom>
      <diagonal/>
    </border>
    <border>
      <left style="double">
        <color auto="1"/>
      </left>
      <right style="medium">
        <color rgb="FFC00000"/>
      </right>
      <top style="medium">
        <color rgb="FFC00000"/>
      </top>
      <bottom style="medium">
        <color rgb="FFC00000"/>
      </bottom>
      <diagonal/>
    </border>
    <border>
      <left style="double">
        <color auto="1"/>
      </left>
      <right/>
      <top style="thin">
        <color rgb="FF002060"/>
      </top>
      <bottom style="thin">
        <color indexed="64"/>
      </bottom>
      <diagonal/>
    </border>
    <border>
      <left/>
      <right style="double">
        <color auto="1"/>
      </right>
      <top style="thin">
        <color rgb="FF002060"/>
      </top>
      <bottom style="thin">
        <color indexed="64"/>
      </bottom>
      <diagonal/>
    </border>
    <border>
      <left/>
      <right style="double">
        <color indexed="64"/>
      </right>
      <top/>
      <bottom/>
      <diagonal/>
    </border>
    <border>
      <left/>
      <right style="double">
        <color indexed="64"/>
      </right>
      <top/>
      <bottom style="thin">
        <color indexed="64"/>
      </bottom>
      <diagonal/>
    </border>
    <border>
      <left style="thin">
        <color indexed="64"/>
      </left>
      <right/>
      <top style="thin">
        <color rgb="FF00682F"/>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style="thick">
        <color rgb="FFC00000"/>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n">
        <color indexed="64"/>
      </bottom>
      <diagonal/>
    </border>
    <border>
      <left/>
      <right style="thick">
        <color rgb="FFC00000"/>
      </right>
      <top/>
      <bottom style="thin">
        <color indexed="64"/>
      </bottom>
      <diagonal/>
    </border>
    <border>
      <left style="thick">
        <color rgb="FFC00000"/>
      </left>
      <right/>
      <top style="thin">
        <color indexed="64"/>
      </top>
      <bottom style="thick">
        <color rgb="FFC00000"/>
      </bottom>
      <diagonal/>
    </border>
    <border>
      <left/>
      <right style="thick">
        <color rgb="FFC00000"/>
      </right>
      <top style="thin">
        <color indexed="64"/>
      </top>
      <bottom style="thick">
        <color rgb="FFC00000"/>
      </bottom>
      <diagonal/>
    </border>
    <border>
      <left/>
      <right style="medium">
        <color rgb="FFC00000"/>
      </right>
      <top/>
      <bottom style="thin">
        <color indexed="64"/>
      </bottom>
      <diagonal/>
    </border>
    <border>
      <left/>
      <right style="medium">
        <color rgb="FFC00000"/>
      </right>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thin">
        <color indexed="64"/>
      </bottom>
      <diagonal/>
    </border>
    <border>
      <left style="medium">
        <color indexed="64"/>
      </left>
      <right/>
      <top style="dotted">
        <color indexed="64"/>
      </top>
      <bottom style="thin">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thick">
        <color indexed="64"/>
      </left>
      <right/>
      <top style="thin">
        <color indexed="64"/>
      </top>
      <bottom style="thin">
        <color indexed="64"/>
      </bottom>
      <diagonal/>
    </border>
    <border>
      <left style="thick">
        <color indexed="64"/>
      </left>
      <right/>
      <top style="thin">
        <color indexed="64"/>
      </top>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medium">
        <color indexed="64"/>
      </bottom>
      <diagonal/>
    </border>
    <border>
      <left/>
      <right style="thick">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thick">
        <color indexed="64"/>
      </bottom>
      <diagonal/>
    </border>
    <border>
      <left/>
      <right style="thin">
        <color indexed="64"/>
      </right>
      <top/>
      <bottom style="thick">
        <color indexed="64"/>
      </bottom>
      <diagonal/>
    </border>
    <border>
      <left style="thick">
        <color indexed="64"/>
      </left>
      <right/>
      <top style="thin">
        <color indexed="64"/>
      </top>
      <bottom style="medium">
        <color indexed="64"/>
      </bottom>
      <diagonal/>
    </border>
    <border>
      <left/>
      <right style="thick">
        <color indexed="64"/>
      </right>
      <top style="thin">
        <color indexed="64"/>
      </top>
      <bottom style="medium">
        <color indexed="64"/>
      </bottom>
      <diagonal/>
    </border>
    <border>
      <left/>
      <right style="thin">
        <color indexed="64"/>
      </right>
      <top style="medium">
        <color indexed="64"/>
      </top>
      <bottom style="thick">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style="thick">
        <color indexed="64"/>
      </bottom>
      <diagonal/>
    </border>
    <border>
      <left style="thick">
        <color indexed="64"/>
      </left>
      <right/>
      <top style="medium">
        <color indexed="64"/>
      </top>
      <bottom style="thick">
        <color indexed="64"/>
      </bottom>
      <diagonal/>
    </border>
    <border>
      <left/>
      <right style="thick">
        <color indexed="64"/>
      </right>
      <top style="medium">
        <color indexed="64"/>
      </top>
      <bottom style="thick">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style="thick">
        <color indexed="64"/>
      </right>
      <top/>
      <bottom style="double">
        <color indexed="64"/>
      </bottom>
      <diagonal/>
    </border>
    <border>
      <left style="thick">
        <color indexed="64"/>
      </left>
      <right/>
      <top/>
      <bottom style="double">
        <color indexed="64"/>
      </bottom>
      <diagonal/>
    </border>
  </borders>
  <cellStyleXfs count="2">
    <xf numFmtId="0" fontId="0" fillId="0" borderId="0"/>
    <xf numFmtId="9" fontId="1" fillId="0" borderId="0" applyFont="0" applyFill="0" applyBorder="0" applyAlignment="0" applyProtection="0"/>
  </cellStyleXfs>
  <cellXfs count="2122">
    <xf numFmtId="0" fontId="0" fillId="0" borderId="0" xfId="0"/>
    <xf numFmtId="0" fontId="0" fillId="0" borderId="1" xfId="0" applyBorder="1"/>
    <xf numFmtId="0" fontId="0" fillId="0" borderId="0" xfId="0" applyAlignment="1">
      <alignment horizontal="center"/>
    </xf>
    <xf numFmtId="0" fontId="0" fillId="0" borderId="4" xfId="0" applyBorder="1"/>
    <xf numFmtId="0" fontId="0" fillId="0" borderId="0" xfId="0" applyBorder="1"/>
    <xf numFmtId="0" fontId="3" fillId="0" borderId="0" xfId="0" applyFont="1"/>
    <xf numFmtId="0" fontId="3" fillId="0" borderId="0" xfId="0" applyFont="1" applyAlignment="1">
      <alignment horizontal="center"/>
    </xf>
    <xf numFmtId="0" fontId="3" fillId="0" borderId="0" xfId="0" applyFont="1" applyBorder="1"/>
    <xf numFmtId="1" fontId="26" fillId="0" borderId="5" xfId="0" applyNumberFormat="1" applyFont="1" applyFill="1" applyBorder="1" applyAlignment="1">
      <alignment horizontal="center" vertical="center"/>
    </xf>
    <xf numFmtId="0" fontId="27" fillId="0" borderId="4" xfId="0" applyNumberFormat="1" applyFont="1" applyBorder="1" applyAlignment="1">
      <alignment horizontal="center" vertical="center"/>
    </xf>
    <xf numFmtId="1" fontId="26" fillId="0" borderId="4" xfId="0" applyNumberFormat="1" applyFont="1" applyBorder="1" applyAlignment="1">
      <alignment horizontal="center" vertical="center"/>
    </xf>
    <xf numFmtId="0" fontId="3" fillId="0" borderId="4"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2" fontId="31" fillId="4" borderId="23" xfId="0" applyNumberFormat="1" applyFont="1" applyFill="1" applyBorder="1" applyAlignment="1">
      <alignment horizontal="center" vertical="center"/>
    </xf>
    <xf numFmtId="0" fontId="3" fillId="0" borderId="5" xfId="0" applyFont="1" applyBorder="1" applyAlignment="1">
      <alignment vertical="center"/>
    </xf>
    <xf numFmtId="0" fontId="10" fillId="0" borderId="0" xfId="0" applyFont="1" applyBorder="1" applyAlignment="1">
      <alignment vertical="center"/>
    </xf>
    <xf numFmtId="0" fontId="3" fillId="0" borderId="0" xfId="0" applyFont="1" applyFill="1" applyBorder="1" applyAlignment="1">
      <alignment vertical="center"/>
    </xf>
    <xf numFmtId="0" fontId="3" fillId="0" borderId="5" xfId="0" applyFont="1" applyFill="1" applyBorder="1" applyAlignment="1">
      <alignment vertical="center"/>
    </xf>
    <xf numFmtId="0" fontId="3" fillId="0" borderId="0" xfId="0" applyFont="1" applyAlignment="1">
      <alignment vertical="center"/>
    </xf>
    <xf numFmtId="1" fontId="24" fillId="0" borderId="5" xfId="0" applyNumberFormat="1" applyFont="1" applyBorder="1" applyAlignment="1">
      <alignment horizontal="center" vertical="center"/>
    </xf>
    <xf numFmtId="0" fontId="3" fillId="0" borderId="6" xfId="0" applyFont="1" applyBorder="1" applyAlignment="1">
      <alignment vertical="center"/>
    </xf>
    <xf numFmtId="0" fontId="3" fillId="0" borderId="1" xfId="0" applyFont="1" applyBorder="1" applyAlignment="1">
      <alignment vertical="center"/>
    </xf>
    <xf numFmtId="0" fontId="3" fillId="0" borderId="7" xfId="0" applyFont="1" applyBorder="1" applyAlignment="1">
      <alignment vertical="center"/>
    </xf>
    <xf numFmtId="0" fontId="51" fillId="0" borderId="0" xfId="0" applyFont="1" applyBorder="1" applyAlignment="1">
      <alignment horizontal="center" vertical="center"/>
    </xf>
    <xf numFmtId="0" fontId="16" fillId="0" borderId="30" xfId="0" applyFont="1" applyBorder="1"/>
    <xf numFmtId="0" fontId="2" fillId="0" borderId="31" xfId="0" applyFont="1" applyBorder="1"/>
    <xf numFmtId="0" fontId="3" fillId="0" borderId="31" xfId="0" applyFont="1" applyBorder="1"/>
    <xf numFmtId="0" fontId="3" fillId="0" borderId="31" xfId="0" applyFont="1" applyBorder="1" applyAlignment="1">
      <alignment horizontal="center"/>
    </xf>
    <xf numFmtId="0" fontId="16" fillId="0" borderId="31" xfId="0" applyFont="1" applyBorder="1" applyAlignment="1">
      <alignment horizontal="left"/>
    </xf>
    <xf numFmtId="0" fontId="16" fillId="0" borderId="31" xfId="0" applyFont="1" applyBorder="1"/>
    <xf numFmtId="0" fontId="3" fillId="0" borderId="32" xfId="0" applyFont="1" applyBorder="1"/>
    <xf numFmtId="0" fontId="0" fillId="0" borderId="26" xfId="0" applyBorder="1"/>
    <xf numFmtId="0" fontId="62" fillId="0" borderId="0" xfId="0" applyFont="1" applyBorder="1"/>
    <xf numFmtId="0" fontId="3" fillId="0" borderId="24" xfId="0" applyFont="1" applyBorder="1" applyAlignment="1">
      <alignment vertical="center"/>
    </xf>
    <xf numFmtId="0" fontId="43" fillId="0" borderId="0" xfId="0" applyFont="1" applyAlignment="1">
      <alignment vertical="center"/>
    </xf>
    <xf numFmtId="0" fontId="3" fillId="0" borderId="0" xfId="0" applyFont="1" applyBorder="1" applyAlignment="1">
      <alignment horizontal="right" vertical="center"/>
    </xf>
    <xf numFmtId="0" fontId="45" fillId="0" borderId="0" xfId="0" applyFont="1" applyBorder="1" applyAlignment="1">
      <alignment horizontal="left" vertical="center"/>
    </xf>
    <xf numFmtId="0" fontId="3" fillId="0" borderId="26" xfId="0" applyFont="1" applyBorder="1" applyAlignment="1">
      <alignment vertical="center"/>
    </xf>
    <xf numFmtId="0" fontId="61" fillId="0" borderId="27" xfId="0" applyFont="1" applyBorder="1" applyAlignment="1">
      <alignment vertical="center"/>
    </xf>
    <xf numFmtId="0" fontId="36" fillId="0" borderId="1" xfId="0" applyFont="1" applyBorder="1" applyAlignment="1">
      <alignment vertical="center"/>
    </xf>
    <xf numFmtId="0" fontId="43" fillId="0" borderId="0" xfId="0"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3" fillId="0" borderId="9" xfId="0" applyFont="1" applyBorder="1" applyAlignment="1">
      <alignment vertical="center"/>
    </xf>
    <xf numFmtId="0" fontId="6" fillId="0" borderId="9" xfId="0" applyFont="1" applyBorder="1" applyAlignment="1">
      <alignment vertical="center"/>
    </xf>
    <xf numFmtId="0" fontId="6" fillId="0" borderId="9" xfId="0" applyFont="1" applyBorder="1" applyAlignment="1">
      <alignment horizontal="center" vertical="center"/>
    </xf>
    <xf numFmtId="0" fontId="6" fillId="0" borderId="0" xfId="0" applyFont="1" applyBorder="1" applyAlignment="1">
      <alignment vertical="center"/>
    </xf>
    <xf numFmtId="0" fontId="6" fillId="0" borderId="0" xfId="0" applyFont="1" applyBorder="1" applyAlignment="1">
      <alignment horizontal="center" vertical="center"/>
    </xf>
    <xf numFmtId="0" fontId="7" fillId="0" borderId="2"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3" xfId="0" applyFont="1" applyFill="1" applyBorder="1" applyAlignment="1">
      <alignment horizontal="center" vertical="center"/>
    </xf>
    <xf numFmtId="0" fontId="17" fillId="0" borderId="24" xfId="0" applyFont="1" applyFill="1" applyBorder="1" applyAlignment="1">
      <alignment vertical="center"/>
    </xf>
    <xf numFmtId="0" fontId="9" fillId="0" borderId="0" xfId="0" applyFont="1" applyBorder="1" applyAlignment="1">
      <alignment vertical="center"/>
    </xf>
    <xf numFmtId="0" fontId="9" fillId="0" borderId="0" xfId="0" applyFont="1" applyBorder="1" applyAlignment="1">
      <alignment horizontal="center" vertical="center"/>
    </xf>
    <xf numFmtId="0" fontId="9" fillId="0" borderId="0" xfId="0" applyFont="1" applyFill="1" applyBorder="1" applyAlignment="1">
      <alignment vertical="center"/>
    </xf>
    <xf numFmtId="0" fontId="3" fillId="0" borderId="25" xfId="0" applyFont="1" applyBorder="1" applyAlignment="1">
      <alignment vertical="center"/>
    </xf>
    <xf numFmtId="0" fontId="8" fillId="0" borderId="0" xfId="0" applyFont="1" applyBorder="1" applyAlignment="1">
      <alignment vertical="center"/>
    </xf>
    <xf numFmtId="0" fontId="9" fillId="0" borderId="1" xfId="0" applyFont="1" applyBorder="1" applyAlignment="1">
      <alignment vertical="center"/>
    </xf>
    <xf numFmtId="0" fontId="9" fillId="0" borderId="1" xfId="0" applyFont="1" applyBorder="1" applyAlignment="1">
      <alignment horizontal="center" vertical="center"/>
    </xf>
    <xf numFmtId="0" fontId="9" fillId="0" borderId="1" xfId="0" applyFont="1" applyFill="1" applyBorder="1" applyAlignment="1">
      <alignment vertical="center"/>
    </xf>
    <xf numFmtId="0" fontId="34" fillId="0" borderId="0" xfId="0" applyFont="1" applyBorder="1" applyAlignment="1">
      <alignment vertical="center"/>
    </xf>
    <xf numFmtId="0" fontId="0" fillId="0" borderId="0" xfId="0" applyAlignment="1">
      <alignment vertical="center"/>
    </xf>
    <xf numFmtId="0" fontId="9" fillId="0" borderId="0" xfId="0" applyFont="1" applyBorder="1" applyAlignment="1">
      <alignment horizontal="right" vertical="center"/>
    </xf>
    <xf numFmtId="0" fontId="9" fillId="0" borderId="7" xfId="0" applyFont="1" applyBorder="1" applyAlignment="1">
      <alignment horizontal="center" vertical="center"/>
    </xf>
    <xf numFmtId="0" fontId="5" fillId="0" borderId="0" xfId="0" applyFont="1" applyFill="1" applyBorder="1" applyAlignment="1">
      <alignment vertical="center"/>
    </xf>
    <xf numFmtId="0" fontId="9" fillId="0" borderId="0" xfId="0" applyFont="1" applyFill="1" applyBorder="1" applyAlignment="1">
      <alignment horizontal="center" vertical="center"/>
    </xf>
    <xf numFmtId="0" fontId="3" fillId="0" borderId="27" xfId="0" applyFont="1" applyBorder="1" applyAlignment="1">
      <alignment vertical="center"/>
    </xf>
    <xf numFmtId="0" fontId="9" fillId="0" borderId="1" xfId="0" applyFont="1" applyFill="1" applyBorder="1" applyAlignment="1">
      <alignment horizontal="center" vertical="center"/>
    </xf>
    <xf numFmtId="0" fontId="25" fillId="0" borderId="0" xfId="0" applyFont="1" applyBorder="1" applyAlignment="1">
      <alignment vertical="center"/>
    </xf>
    <xf numFmtId="0" fontId="10" fillId="0" borderId="9" xfId="0" applyFont="1" applyBorder="1" applyAlignment="1">
      <alignment vertical="center"/>
    </xf>
    <xf numFmtId="0" fontId="3" fillId="0" borderId="37" xfId="0" applyFont="1" applyBorder="1" applyAlignment="1">
      <alignment vertical="center"/>
    </xf>
    <xf numFmtId="0" fontId="3" fillId="0" borderId="0" xfId="0" applyFont="1" applyAlignment="1">
      <alignment horizontal="center" vertical="center"/>
    </xf>
    <xf numFmtId="0" fontId="31" fillId="4" borderId="23" xfId="0" applyFont="1" applyFill="1" applyBorder="1" applyAlignment="1">
      <alignment horizontal="center" vertical="center"/>
    </xf>
    <xf numFmtId="0" fontId="17" fillId="0" borderId="6" xfId="0" applyFont="1" applyBorder="1" applyAlignment="1">
      <alignment vertical="center"/>
    </xf>
    <xf numFmtId="0" fontId="5" fillId="0" borderId="1" xfId="0" applyFont="1" applyBorder="1" applyAlignment="1">
      <alignment vertical="center"/>
    </xf>
    <xf numFmtId="0" fontId="3" fillId="0" borderId="8" xfId="0" applyFont="1" applyBorder="1" applyAlignment="1">
      <alignment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5" fillId="0" borderId="9" xfId="0" applyFont="1" applyBorder="1" applyAlignment="1">
      <alignment horizontal="left" vertical="center"/>
    </xf>
    <xf numFmtId="0" fontId="5" fillId="0" borderId="0" xfId="0" applyFont="1" applyBorder="1" applyAlignment="1">
      <alignment horizontal="left" vertical="center"/>
    </xf>
    <xf numFmtId="0" fontId="3" fillId="0" borderId="4" xfId="0" applyFont="1" applyBorder="1" applyAlignment="1">
      <alignment horizontal="center" vertical="center"/>
    </xf>
    <xf numFmtId="9" fontId="11" fillId="2" borderId="4" xfId="0" applyNumberFormat="1" applyFont="1" applyFill="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vertical="center"/>
    </xf>
    <xf numFmtId="0" fontId="39" fillId="0" borderId="0" xfId="0" applyFont="1" applyFill="1" applyBorder="1" applyAlignment="1">
      <alignment vertical="center"/>
    </xf>
    <xf numFmtId="0" fontId="3" fillId="0" borderId="0" xfId="0" applyFont="1" applyBorder="1" applyAlignment="1">
      <alignment horizontal="left" vertical="center"/>
    </xf>
    <xf numFmtId="0" fontId="8" fillId="0" borderId="5" xfId="0" applyFont="1" applyBorder="1" applyAlignment="1">
      <alignment vertical="center"/>
    </xf>
    <xf numFmtId="165" fontId="13" fillId="0" borderId="4" xfId="0" applyNumberFormat="1" applyFont="1" applyFill="1" applyBorder="1" applyAlignment="1">
      <alignment horizontal="center" vertical="center"/>
    </xf>
    <xf numFmtId="0" fontId="6" fillId="0" borderId="0" xfId="0" applyFont="1" applyBorder="1" applyAlignment="1">
      <alignment horizontal="left" vertical="center"/>
    </xf>
    <xf numFmtId="0" fontId="6" fillId="0" borderId="0" xfId="0" applyFont="1" applyBorder="1" applyAlignment="1">
      <alignment horizontal="right" vertical="center"/>
    </xf>
    <xf numFmtId="165" fontId="13" fillId="0" borderId="0" xfId="0" applyNumberFormat="1" applyFont="1" applyFill="1" applyBorder="1" applyAlignment="1">
      <alignment horizontal="center" vertical="center"/>
    </xf>
    <xf numFmtId="2" fontId="11" fillId="2" borderId="4" xfId="0" applyNumberFormat="1" applyFont="1" applyFill="1" applyBorder="1" applyAlignment="1" applyProtection="1">
      <alignment horizontal="center" vertical="center"/>
      <protection locked="0"/>
    </xf>
    <xf numFmtId="0" fontId="48" fillId="0" borderId="0" xfId="0" applyFont="1" applyBorder="1" applyAlignment="1">
      <alignment horizontal="center" vertical="center"/>
    </xf>
    <xf numFmtId="0" fontId="34" fillId="0" borderId="0" xfId="0" applyFont="1" applyFill="1" applyBorder="1" applyAlignment="1">
      <alignment vertical="center"/>
    </xf>
    <xf numFmtId="165" fontId="40" fillId="0" borderId="4" xfId="0" applyNumberFormat="1" applyFont="1" applyFill="1" applyBorder="1" applyAlignment="1">
      <alignment horizontal="center" vertical="center"/>
    </xf>
    <xf numFmtId="0" fontId="41" fillId="0" borderId="0" xfId="0" applyFont="1" applyBorder="1" applyAlignment="1">
      <alignment horizontal="left" vertical="center"/>
    </xf>
    <xf numFmtId="0" fontId="41" fillId="0" borderId="0" xfId="0" applyFont="1" applyBorder="1" applyAlignment="1">
      <alignment horizontal="right" vertical="center"/>
    </xf>
    <xf numFmtId="0" fontId="34" fillId="0" borderId="0" xfId="0" applyFont="1" applyBorder="1" applyAlignment="1">
      <alignment horizontal="left" vertical="center"/>
    </xf>
    <xf numFmtId="0" fontId="3" fillId="0" borderId="1" xfId="0" applyFont="1" applyFill="1" applyBorder="1" applyAlignment="1">
      <alignment vertical="center"/>
    </xf>
    <xf numFmtId="9" fontId="11" fillId="2" borderId="6" xfId="0" applyNumberFormat="1" applyFont="1" applyFill="1" applyBorder="1" applyAlignment="1" applyProtection="1">
      <alignment horizontal="center" vertical="center"/>
      <protection locked="0"/>
    </xf>
    <xf numFmtId="0" fontId="41" fillId="0" borderId="1" xfId="0" applyFont="1" applyBorder="1" applyAlignment="1">
      <alignment horizontal="left" vertical="center"/>
    </xf>
    <xf numFmtId="0" fontId="6" fillId="0" borderId="1" xfId="0" applyFont="1" applyBorder="1" applyAlignment="1">
      <alignment horizontal="right" vertical="center"/>
    </xf>
    <xf numFmtId="9" fontId="13" fillId="0" borderId="4" xfId="0" applyNumberFormat="1" applyFont="1" applyFill="1" applyBorder="1" applyAlignment="1">
      <alignment horizontal="center" vertical="center"/>
    </xf>
    <xf numFmtId="0" fontId="34" fillId="0" borderId="1" xfId="0" applyFont="1" applyBorder="1" applyAlignment="1">
      <alignment vertical="center"/>
    </xf>
    <xf numFmtId="9" fontId="13" fillId="0" borderId="6" xfId="0" applyNumberFormat="1" applyFont="1" applyFill="1" applyBorder="1" applyAlignment="1">
      <alignment horizontal="center" vertical="center"/>
    </xf>
    <xf numFmtId="0" fontId="35" fillId="0" borderId="11" xfId="0" applyFont="1" applyBorder="1" applyAlignment="1">
      <alignment vertical="center"/>
    </xf>
    <xf numFmtId="0" fontId="9" fillId="0" borderId="11" xfId="0" applyFont="1" applyBorder="1" applyAlignment="1">
      <alignment horizontal="center" vertical="center"/>
    </xf>
    <xf numFmtId="9" fontId="50" fillId="0" borderId="2" xfId="0" applyNumberFormat="1" applyFont="1" applyFill="1" applyBorder="1" applyAlignment="1">
      <alignment horizontal="center" vertical="center"/>
    </xf>
    <xf numFmtId="0" fontId="9" fillId="0" borderId="3" xfId="0" applyFont="1" applyBorder="1" applyAlignment="1">
      <alignment vertical="center"/>
    </xf>
    <xf numFmtId="0" fontId="6" fillId="0" borderId="5" xfId="0" applyFont="1" applyBorder="1" applyAlignment="1">
      <alignment horizontal="left" vertical="center"/>
    </xf>
    <xf numFmtId="0" fontId="23" fillId="0" borderId="0" xfId="0" applyFont="1" applyFill="1" applyBorder="1" applyAlignment="1">
      <alignment vertical="center"/>
    </xf>
    <xf numFmtId="165" fontId="32" fillId="0" borderId="4" xfId="0" applyNumberFormat="1" applyFont="1" applyFill="1" applyBorder="1" applyAlignment="1">
      <alignment horizontal="center" vertical="center"/>
    </xf>
    <xf numFmtId="9" fontId="32" fillId="0" borderId="4" xfId="0" applyNumberFormat="1" applyFont="1" applyFill="1" applyBorder="1" applyAlignment="1">
      <alignment horizontal="center" vertical="center"/>
    </xf>
    <xf numFmtId="0" fontId="52" fillId="0" borderId="0" xfId="0" applyFont="1" applyBorder="1" applyAlignment="1">
      <alignment vertical="center"/>
    </xf>
    <xf numFmtId="0" fontId="23" fillId="0" borderId="1" xfId="0" applyFont="1" applyFill="1" applyBorder="1" applyAlignment="1">
      <alignment vertical="center"/>
    </xf>
    <xf numFmtId="165" fontId="32" fillId="0" borderId="6" xfId="0" applyNumberFormat="1" applyFont="1" applyFill="1" applyBorder="1" applyAlignment="1">
      <alignment horizontal="center" vertical="center"/>
    </xf>
    <xf numFmtId="0" fontId="6" fillId="0" borderId="1" xfId="0" applyFont="1" applyBorder="1" applyAlignment="1">
      <alignment horizontal="left" vertical="center"/>
    </xf>
    <xf numFmtId="9" fontId="32" fillId="0" borderId="6" xfId="0" applyNumberFormat="1" applyFont="1" applyFill="1" applyBorder="1" applyAlignment="1">
      <alignment horizontal="center" vertical="center"/>
    </xf>
    <xf numFmtId="0" fontId="6" fillId="0" borderId="7" xfId="0" applyFont="1" applyBorder="1" applyAlignment="1">
      <alignment horizontal="left" vertical="center"/>
    </xf>
    <xf numFmtId="0" fontId="34" fillId="0" borderId="11" xfId="0" applyFont="1" applyBorder="1" applyAlignment="1">
      <alignment vertical="center"/>
    </xf>
    <xf numFmtId="0" fontId="3" fillId="0" borderId="11" xfId="0" applyFont="1" applyBorder="1" applyAlignment="1">
      <alignment horizontal="center" vertical="center"/>
    </xf>
    <xf numFmtId="0" fontId="6" fillId="0" borderId="3" xfId="0" applyFont="1" applyBorder="1" applyAlignment="1">
      <alignment horizontal="left" vertical="center"/>
    </xf>
    <xf numFmtId="0" fontId="34" fillId="0" borderId="1" xfId="0" applyFont="1" applyFill="1" applyBorder="1" applyAlignment="1">
      <alignment vertical="center"/>
    </xf>
    <xf numFmtId="0" fontId="8" fillId="0" borderId="1" xfId="0" applyFont="1" applyBorder="1" applyAlignment="1">
      <alignment vertical="center"/>
    </xf>
    <xf numFmtId="0" fontId="3" fillId="0" borderId="0" xfId="0" applyFont="1" applyAlignment="1"/>
    <xf numFmtId="3" fontId="24" fillId="0" borderId="5" xfId="0" applyNumberFormat="1" applyFont="1" applyBorder="1" applyAlignment="1">
      <alignment horizontal="center" vertical="center"/>
    </xf>
    <xf numFmtId="3" fontId="31" fillId="4" borderId="12" xfId="0" applyNumberFormat="1" applyFont="1" applyFill="1" applyBorder="1" applyAlignment="1">
      <alignment horizontal="center" vertical="center"/>
    </xf>
    <xf numFmtId="3" fontId="3" fillId="0" borderId="5" xfId="0" applyNumberFormat="1" applyFont="1" applyBorder="1" applyAlignment="1">
      <alignment vertical="center"/>
    </xf>
    <xf numFmtId="3" fontId="3" fillId="0" borderId="0" xfId="0" applyNumberFormat="1" applyFont="1" applyBorder="1" applyAlignment="1">
      <alignment vertical="center"/>
    </xf>
    <xf numFmtId="3" fontId="31" fillId="4" borderId="13" xfId="0" applyNumberFormat="1" applyFont="1" applyFill="1" applyBorder="1" applyAlignment="1">
      <alignment horizontal="center" vertical="center"/>
    </xf>
    <xf numFmtId="3" fontId="3" fillId="0" borderId="7" xfId="0" applyNumberFormat="1" applyFont="1" applyBorder="1" applyAlignment="1">
      <alignment vertical="center"/>
    </xf>
    <xf numFmtId="3" fontId="3" fillId="0" borderId="1" xfId="0" applyNumberFormat="1" applyFont="1" applyBorder="1" applyAlignment="1">
      <alignment vertical="center"/>
    </xf>
    <xf numFmtId="3" fontId="12" fillId="0" borderId="1" xfId="0" applyNumberFormat="1" applyFont="1" applyFill="1" applyBorder="1" applyAlignment="1">
      <alignment horizontal="center" vertical="center"/>
    </xf>
    <xf numFmtId="0" fontId="3" fillId="0" borderId="34" xfId="0" applyFont="1" applyBorder="1" applyAlignment="1">
      <alignment vertical="center"/>
    </xf>
    <xf numFmtId="0" fontId="9" fillId="0" borderId="38" xfId="0" applyFont="1" applyFill="1" applyBorder="1" applyAlignment="1">
      <alignment vertical="center"/>
    </xf>
    <xf numFmtId="0" fontId="9" fillId="0" borderId="39" xfId="0" applyFont="1" applyFill="1" applyBorder="1" applyAlignment="1">
      <alignment vertical="center"/>
    </xf>
    <xf numFmtId="0" fontId="3" fillId="0" borderId="31" xfId="0" applyFont="1" applyBorder="1" applyAlignment="1"/>
    <xf numFmtId="0" fontId="16" fillId="0" borderId="31" xfId="0" applyFont="1" applyBorder="1" applyAlignment="1"/>
    <xf numFmtId="0" fontId="3" fillId="0" borderId="32" xfId="0" applyFont="1" applyBorder="1" applyAlignment="1"/>
    <xf numFmtId="0" fontId="8" fillId="0" borderId="0" xfId="0" applyFont="1" applyBorder="1" applyAlignment="1">
      <alignment horizontal="left" vertical="center"/>
    </xf>
    <xf numFmtId="0" fontId="28" fillId="0" borderId="0" xfId="0" applyFont="1" applyBorder="1" applyAlignment="1">
      <alignment horizontal="left" vertical="center"/>
    </xf>
    <xf numFmtId="1" fontId="24" fillId="0" borderId="0" xfId="0" applyNumberFormat="1" applyFont="1" applyBorder="1" applyAlignment="1">
      <alignment horizontal="center" vertical="center"/>
    </xf>
    <xf numFmtId="0" fontId="5" fillId="0" borderId="9" xfId="0" applyFont="1" applyFill="1" applyBorder="1" applyAlignment="1">
      <alignment vertical="center"/>
    </xf>
    <xf numFmtId="1" fontId="12" fillId="0" borderId="8" xfId="0" applyNumberFormat="1" applyFont="1" applyBorder="1" applyAlignment="1">
      <alignment horizontal="center" vertical="center"/>
    </xf>
    <xf numFmtId="1" fontId="12" fillId="0" borderId="9" xfId="0" applyNumberFormat="1" applyFont="1" applyBorder="1" applyAlignment="1">
      <alignment horizontal="center" vertical="center"/>
    </xf>
    <xf numFmtId="1" fontId="12" fillId="0" borderId="0" xfId="0" applyNumberFormat="1" applyFont="1" applyBorder="1" applyAlignment="1">
      <alignment horizontal="center" vertical="center"/>
    </xf>
    <xf numFmtId="0" fontId="39" fillId="0" borderId="0" xfId="0" applyFont="1" applyBorder="1" applyAlignment="1">
      <alignment vertical="center"/>
    </xf>
    <xf numFmtId="1" fontId="12" fillId="0" borderId="4" xfId="0" applyNumberFormat="1" applyFont="1" applyBorder="1" applyAlignment="1">
      <alignment horizontal="center" vertical="center"/>
    </xf>
    <xf numFmtId="1" fontId="11" fillId="2" borderId="4" xfId="0" applyNumberFormat="1" applyFont="1" applyFill="1" applyBorder="1" applyAlignment="1" applyProtection="1">
      <alignment horizontal="center" vertical="center"/>
      <protection locked="0"/>
    </xf>
    <xf numFmtId="1" fontId="11" fillId="2" borderId="0" xfId="0" applyNumberFormat="1" applyFont="1" applyFill="1" applyBorder="1" applyAlignment="1" applyProtection="1">
      <alignment horizontal="center" vertical="center"/>
      <protection locked="0"/>
    </xf>
    <xf numFmtId="0" fontId="13" fillId="3" borderId="0" xfId="0" applyFont="1" applyFill="1" applyBorder="1" applyAlignment="1">
      <alignment horizontal="center" vertical="center"/>
    </xf>
    <xf numFmtId="1" fontId="14" fillId="0" borderId="4" xfId="0" applyNumberFormat="1" applyFont="1" applyBorder="1" applyAlignment="1" applyProtection="1">
      <alignment horizontal="center" vertical="center"/>
      <protection locked="0"/>
    </xf>
    <xf numFmtId="0" fontId="9" fillId="0" borderId="0" xfId="0" applyFont="1" applyBorder="1" applyAlignment="1" applyProtection="1">
      <alignment vertical="center"/>
      <protection locked="0"/>
    </xf>
    <xf numFmtId="0" fontId="3" fillId="0" borderId="0" xfId="0" applyFont="1" applyFill="1" applyBorder="1" applyAlignment="1">
      <alignment horizontal="center" vertical="center"/>
    </xf>
    <xf numFmtId="1" fontId="13" fillId="3" borderId="0" xfId="0" applyNumberFormat="1" applyFont="1" applyFill="1" applyBorder="1" applyAlignment="1">
      <alignment horizontal="center" vertical="center"/>
    </xf>
    <xf numFmtId="1" fontId="11" fillId="0" borderId="4" xfId="0" applyNumberFormat="1" applyFont="1" applyFill="1" applyBorder="1" applyAlignment="1" applyProtection="1">
      <alignment horizontal="center" vertical="center"/>
      <protection locked="0"/>
    </xf>
    <xf numFmtId="1" fontId="11" fillId="0" borderId="0" xfId="0" applyNumberFormat="1" applyFont="1" applyFill="1" applyBorder="1" applyAlignment="1" applyProtection="1">
      <alignment horizontal="center" vertical="center"/>
      <protection locked="0"/>
    </xf>
    <xf numFmtId="0" fontId="29" fillId="0" borderId="0" xfId="0" applyFont="1" applyBorder="1" applyAlignment="1">
      <alignment vertical="center"/>
    </xf>
    <xf numFmtId="0" fontId="3" fillId="0" borderId="0" xfId="0" applyFont="1" applyBorder="1" applyAlignment="1" applyProtection="1">
      <alignment vertical="center"/>
      <protection locked="0"/>
    </xf>
    <xf numFmtId="0" fontId="13" fillId="0" borderId="0" xfId="0" applyFont="1" applyFill="1" applyBorder="1" applyAlignment="1">
      <alignment horizontal="center" vertical="center"/>
    </xf>
    <xf numFmtId="0" fontId="3" fillId="0" borderId="4" xfId="0" applyFont="1" applyBorder="1" applyAlignment="1" applyProtection="1">
      <alignment vertical="center"/>
      <protection locked="0"/>
    </xf>
    <xf numFmtId="0" fontId="9" fillId="0" borderId="0" xfId="0" applyFont="1" applyBorder="1" applyAlignment="1">
      <alignment horizontal="left" vertical="center"/>
    </xf>
    <xf numFmtId="0" fontId="3" fillId="0" borderId="4" xfId="0" applyFont="1" applyBorder="1" applyAlignment="1" applyProtection="1">
      <alignment horizontal="center" vertical="center"/>
      <protection locked="0"/>
    </xf>
    <xf numFmtId="0" fontId="18" fillId="0" borderId="0" xfId="0" applyFont="1" applyBorder="1" applyAlignment="1">
      <alignment horizontal="center" vertical="center"/>
    </xf>
    <xf numFmtId="0" fontId="29" fillId="0" borderId="0" xfId="0" applyFont="1" applyBorder="1" applyAlignment="1">
      <alignment horizontal="right" vertical="center"/>
    </xf>
    <xf numFmtId="1" fontId="13" fillId="0" borderId="0" xfId="0" applyNumberFormat="1" applyFont="1" applyFill="1" applyBorder="1" applyAlignment="1">
      <alignment horizontal="center" vertical="center"/>
    </xf>
    <xf numFmtId="0" fontId="29" fillId="0" borderId="0" xfId="0" applyFont="1" applyFill="1" applyBorder="1" applyAlignment="1">
      <alignment vertical="center"/>
    </xf>
    <xf numFmtId="9" fontId="3" fillId="0" borderId="0" xfId="0" applyNumberFormat="1" applyFont="1" applyBorder="1" applyAlignment="1">
      <alignment vertical="center"/>
    </xf>
    <xf numFmtId="9" fontId="30" fillId="2" borderId="4" xfId="0" applyNumberFormat="1" applyFont="1" applyFill="1" applyBorder="1" applyAlignment="1" applyProtection="1">
      <alignment horizontal="center" vertical="center"/>
      <protection locked="0"/>
    </xf>
    <xf numFmtId="0" fontId="15" fillId="0" borderId="0" xfId="0" applyFont="1" applyBorder="1" applyAlignment="1" applyProtection="1">
      <alignment vertical="center"/>
      <protection locked="0"/>
    </xf>
    <xf numFmtId="0" fontId="15" fillId="0" borderId="0" xfId="0" applyFont="1" applyBorder="1" applyAlignment="1">
      <alignment vertical="center"/>
    </xf>
    <xf numFmtId="0" fontId="15" fillId="0" borderId="5" xfId="0" applyFont="1" applyBorder="1" applyAlignment="1">
      <alignment vertical="center"/>
    </xf>
    <xf numFmtId="0" fontId="18" fillId="0" borderId="0" xfId="0" applyFont="1" applyBorder="1" applyAlignment="1">
      <alignment vertical="center"/>
    </xf>
    <xf numFmtId="164" fontId="13" fillId="3" borderId="0" xfId="0" applyNumberFormat="1" applyFont="1" applyFill="1" applyBorder="1" applyAlignment="1">
      <alignment horizontal="center" vertical="center"/>
    </xf>
    <xf numFmtId="0" fontId="9" fillId="0" borderId="5" xfId="0" applyFont="1" applyBorder="1" applyAlignment="1">
      <alignment vertical="center"/>
    </xf>
    <xf numFmtId="0" fontId="8" fillId="0" borderId="17" xfId="0" applyFont="1" applyBorder="1" applyAlignment="1">
      <alignment vertical="center"/>
    </xf>
    <xf numFmtId="0" fontId="42" fillId="4" borderId="23" xfId="0" applyFont="1" applyFill="1" applyBorder="1" applyAlignment="1">
      <alignment horizontal="center" vertical="center"/>
    </xf>
    <xf numFmtId="9" fontId="13" fillId="3" borderId="4" xfId="0" applyNumberFormat="1" applyFont="1" applyFill="1" applyBorder="1" applyAlignment="1" applyProtection="1">
      <alignment horizontal="center" vertical="center"/>
      <protection locked="0"/>
    </xf>
    <xf numFmtId="9" fontId="65" fillId="3" borderId="4" xfId="0" applyNumberFormat="1" applyFont="1" applyFill="1" applyBorder="1" applyAlignment="1" applyProtection="1">
      <alignment horizontal="center" vertical="center"/>
      <protection locked="0"/>
    </xf>
    <xf numFmtId="0" fontId="65" fillId="3" borderId="0" xfId="0" applyFont="1" applyFill="1" applyBorder="1" applyAlignment="1">
      <alignment horizontal="center" vertical="center"/>
    </xf>
    <xf numFmtId="0" fontId="8" fillId="0" borderId="4" xfId="0" applyFont="1" applyBorder="1" applyAlignment="1">
      <alignment vertical="center"/>
    </xf>
    <xf numFmtId="0" fontId="8" fillId="0" borderId="0" xfId="0" applyFont="1" applyBorder="1" applyAlignment="1">
      <alignment horizontal="right" vertical="center"/>
    </xf>
    <xf numFmtId="0" fontId="8" fillId="0" borderId="0" xfId="0" quotePrefix="1" applyFont="1" applyBorder="1" applyAlignment="1">
      <alignment vertical="center"/>
    </xf>
    <xf numFmtId="0" fontId="8" fillId="0" borderId="0" xfId="0" applyFont="1" applyFill="1" applyBorder="1" applyAlignment="1">
      <alignment vertical="center"/>
    </xf>
    <xf numFmtId="9" fontId="13" fillId="3" borderId="6" xfId="0" applyNumberFormat="1" applyFont="1" applyFill="1" applyBorder="1" applyAlignment="1" applyProtection="1">
      <alignment horizontal="center" vertical="center"/>
      <protection locked="0"/>
    </xf>
    <xf numFmtId="0" fontId="15" fillId="0" borderId="1" xfId="0" applyFont="1" applyBorder="1" applyAlignment="1" applyProtection="1">
      <alignment vertical="center"/>
      <protection locked="0"/>
    </xf>
    <xf numFmtId="0" fontId="15" fillId="0" borderId="1" xfId="0" applyFont="1" applyBorder="1" applyAlignment="1">
      <alignment vertical="center"/>
    </xf>
    <xf numFmtId="0" fontId="15" fillId="0" borderId="7" xfId="0" applyFont="1" applyBorder="1" applyAlignment="1">
      <alignment vertical="center"/>
    </xf>
    <xf numFmtId="1" fontId="19" fillId="2" borderId="6" xfId="0" applyNumberFormat="1" applyFont="1" applyFill="1" applyBorder="1" applyAlignment="1">
      <alignment horizontal="center" vertical="center"/>
    </xf>
    <xf numFmtId="9" fontId="11" fillId="2" borderId="8" xfId="0" applyNumberFormat="1" applyFont="1" applyFill="1" applyBorder="1" applyAlignment="1" applyProtection="1">
      <alignment horizontal="center" vertical="center"/>
      <protection locked="0"/>
    </xf>
    <xf numFmtId="0" fontId="3" fillId="0" borderId="9" xfId="0" applyFont="1" applyBorder="1" applyAlignment="1" applyProtection="1">
      <alignment vertical="center"/>
      <protection locked="0"/>
    </xf>
    <xf numFmtId="0" fontId="3" fillId="0" borderId="1" xfId="0" applyFont="1" applyBorder="1" applyAlignment="1" applyProtection="1">
      <alignment vertical="center"/>
      <protection locked="0"/>
    </xf>
    <xf numFmtId="0" fontId="39" fillId="0" borderId="8" xfId="0" applyFont="1" applyBorder="1" applyAlignment="1">
      <alignment vertical="center"/>
    </xf>
    <xf numFmtId="0" fontId="8" fillId="0" borderId="10" xfId="0" applyFont="1" applyBorder="1" applyAlignment="1">
      <alignment vertical="center"/>
    </xf>
    <xf numFmtId="9" fontId="11" fillId="2" borderId="4" xfId="1" applyFont="1" applyFill="1" applyBorder="1" applyAlignment="1" applyProtection="1">
      <alignment horizontal="center" vertical="center"/>
      <protection locked="0"/>
    </xf>
    <xf numFmtId="164" fontId="11" fillId="2" borderId="6" xfId="0" applyNumberFormat="1" applyFont="1" applyFill="1" applyBorder="1" applyAlignment="1" applyProtection="1">
      <alignment horizontal="center" vertical="center"/>
      <protection locked="0"/>
    </xf>
    <xf numFmtId="0" fontId="8" fillId="0" borderId="7" xfId="0" applyFont="1" applyBorder="1" applyAlignment="1">
      <alignment vertical="center"/>
    </xf>
    <xf numFmtId="164" fontId="13" fillId="3" borderId="0" xfId="0" applyNumberFormat="1" applyFont="1" applyFill="1" applyBorder="1" applyAlignment="1" applyProtection="1">
      <alignment horizontal="center" vertical="center"/>
      <protection locked="0"/>
    </xf>
    <xf numFmtId="9" fontId="26" fillId="0" borderId="4" xfId="0" applyNumberFormat="1" applyFont="1" applyBorder="1" applyAlignment="1">
      <alignment horizontal="center" vertical="center"/>
    </xf>
    <xf numFmtId="0" fontId="23" fillId="0" borderId="0" xfId="0" applyFont="1" applyBorder="1" applyAlignment="1">
      <alignment vertical="center"/>
    </xf>
    <xf numFmtId="0" fontId="3" fillId="0" borderId="4" xfId="0" applyFont="1" applyFill="1" applyBorder="1" applyAlignment="1">
      <alignment horizontal="center" vertical="center"/>
    </xf>
    <xf numFmtId="9" fontId="11" fillId="0" borderId="0" xfId="0" applyNumberFormat="1" applyFont="1" applyFill="1" applyBorder="1" applyAlignment="1">
      <alignment horizontal="center" vertical="center"/>
    </xf>
    <xf numFmtId="1" fontId="12" fillId="0" borderId="4" xfId="0" applyNumberFormat="1" applyFont="1" applyFill="1" applyBorder="1" applyAlignment="1">
      <alignment horizontal="center" vertical="center"/>
    </xf>
    <xf numFmtId="0" fontId="53" fillId="0" borderId="0" xfId="0" applyFont="1" applyBorder="1" applyAlignment="1">
      <alignment vertical="center"/>
    </xf>
    <xf numFmtId="0" fontId="3" fillId="0" borderId="6" xfId="0" applyFont="1" applyFill="1" applyBorder="1" applyAlignment="1">
      <alignment vertical="center"/>
    </xf>
    <xf numFmtId="0" fontId="3" fillId="0" borderId="4" xfId="0" applyFont="1" applyFill="1" applyBorder="1" applyAlignment="1">
      <alignment vertical="center"/>
    </xf>
    <xf numFmtId="0" fontId="3" fillId="0" borderId="7" xfId="0" applyFont="1" applyFill="1" applyBorder="1" applyAlignment="1">
      <alignment vertical="center"/>
    </xf>
    <xf numFmtId="0" fontId="3" fillId="0" borderId="10" xfId="0" applyFont="1" applyFill="1" applyBorder="1" applyAlignment="1">
      <alignment vertical="center"/>
    </xf>
    <xf numFmtId="1" fontId="12" fillId="0" borderId="0" xfId="0" applyNumberFormat="1" applyFont="1" applyFill="1" applyBorder="1" applyAlignment="1">
      <alignment horizontal="center" vertical="center"/>
    </xf>
    <xf numFmtId="1" fontId="12" fillId="0" borderId="5" xfId="0" applyNumberFormat="1" applyFont="1" applyFill="1" applyBorder="1" applyAlignment="1">
      <alignment horizontal="center" vertical="center"/>
    </xf>
    <xf numFmtId="0" fontId="17" fillId="0" borderId="0" xfId="0" applyFont="1" applyBorder="1" applyAlignment="1">
      <alignment vertical="center"/>
    </xf>
    <xf numFmtId="0" fontId="5" fillId="0" borderId="0" xfId="0" applyFont="1" applyBorder="1" applyAlignment="1">
      <alignment vertical="center"/>
    </xf>
    <xf numFmtId="0" fontId="0" fillId="0" borderId="0" xfId="0" applyBorder="1" applyAlignment="1">
      <alignment vertical="center"/>
    </xf>
    <xf numFmtId="0" fontId="0" fillId="0" borderId="26"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32" fillId="0" borderId="0" xfId="0" applyFont="1" applyBorder="1" applyAlignment="1">
      <alignment horizontal="right" vertical="center"/>
    </xf>
    <xf numFmtId="1" fontId="32" fillId="3" borderId="0" xfId="0" applyNumberFormat="1" applyFont="1" applyFill="1" applyBorder="1" applyAlignment="1">
      <alignment horizontal="center" vertical="center"/>
    </xf>
    <xf numFmtId="0" fontId="17" fillId="0" borderId="4" xfId="0" applyFont="1" applyBorder="1" applyAlignment="1">
      <alignment vertical="center"/>
    </xf>
    <xf numFmtId="0" fontId="3" fillId="0" borderId="1" xfId="0" applyFont="1" applyBorder="1" applyAlignment="1">
      <alignment horizontal="center" vertical="center"/>
    </xf>
    <xf numFmtId="0" fontId="46" fillId="0" borderId="30" xfId="0" applyFont="1" applyBorder="1" applyAlignment="1"/>
    <xf numFmtId="0" fontId="2" fillId="0" borderId="31" xfId="0" applyFont="1" applyBorder="1" applyAlignment="1"/>
    <xf numFmtId="0" fontId="4" fillId="0" borderId="0" xfId="0" applyFont="1" applyBorder="1" applyAlignment="1">
      <alignment horizontal="left" vertical="center"/>
    </xf>
    <xf numFmtId="0" fontId="61" fillId="0" borderId="24" xfId="0" applyFont="1" applyBorder="1" applyAlignment="1">
      <alignment vertical="center"/>
    </xf>
    <xf numFmtId="0" fontId="5" fillId="0" borderId="28" xfId="0" applyFont="1" applyBorder="1" applyAlignment="1">
      <alignment vertical="center"/>
    </xf>
    <xf numFmtId="0" fontId="5" fillId="0" borderId="25" xfId="0" applyFont="1" applyBorder="1" applyAlignment="1">
      <alignment horizontal="left" vertical="center"/>
    </xf>
    <xf numFmtId="0" fontId="6" fillId="0" borderId="17" xfId="0" applyFont="1" applyBorder="1" applyAlignment="1">
      <alignment vertical="center"/>
    </xf>
    <xf numFmtId="0" fontId="3" fillId="0" borderId="26" xfId="0" applyFont="1" applyFill="1" applyBorder="1" applyAlignment="1">
      <alignment vertical="center"/>
    </xf>
    <xf numFmtId="0" fontId="6" fillId="0" borderId="0" xfId="0" applyFont="1" applyBorder="1" applyAlignment="1">
      <alignment horizontal="left" vertical="top" wrapText="1"/>
    </xf>
    <xf numFmtId="0" fontId="6" fillId="0" borderId="26" xfId="0" applyFont="1" applyBorder="1" applyAlignment="1">
      <alignment horizontal="left" vertical="top" wrapText="1"/>
    </xf>
    <xf numFmtId="0" fontId="5" fillId="0" borderId="24" xfId="0" applyFont="1" applyFill="1" applyBorder="1" applyAlignment="1">
      <alignment vertical="center"/>
    </xf>
    <xf numFmtId="0" fontId="8" fillId="0" borderId="26" xfId="0" applyFont="1" applyBorder="1" applyAlignment="1">
      <alignment vertical="center"/>
    </xf>
    <xf numFmtId="0" fontId="32" fillId="0" borderId="0" xfId="0" applyFont="1" applyBorder="1" applyAlignment="1">
      <alignment horizontal="left" vertical="center"/>
    </xf>
    <xf numFmtId="0" fontId="32" fillId="0" borderId="26" xfId="0" applyFont="1" applyBorder="1" applyAlignment="1">
      <alignment horizontal="left" vertical="center"/>
    </xf>
    <xf numFmtId="165" fontId="32" fillId="0" borderId="0" xfId="0" applyNumberFormat="1" applyFont="1" applyFill="1" applyBorder="1" applyAlignment="1">
      <alignment horizontal="left" vertical="center"/>
    </xf>
    <xf numFmtId="0" fontId="18" fillId="0" borderId="0" xfId="0" applyFont="1" applyFill="1" applyBorder="1" applyAlignment="1">
      <alignment horizontal="center" vertical="center"/>
    </xf>
    <xf numFmtId="0" fontId="6" fillId="0" borderId="4" xfId="0" applyFont="1" applyBorder="1" applyAlignment="1">
      <alignment horizontal="left" vertical="center"/>
    </xf>
    <xf numFmtId="0" fontId="41" fillId="0" borderId="5" xfId="0" applyFont="1" applyBorder="1" applyAlignment="1">
      <alignment horizontal="left" vertical="center"/>
    </xf>
    <xf numFmtId="0" fontId="3" fillId="0" borderId="0" xfId="0" quotePrefix="1" applyFont="1" applyFill="1" applyBorder="1" applyAlignment="1">
      <alignment vertical="center"/>
    </xf>
    <xf numFmtId="0" fontId="41" fillId="0" borderId="7" xfId="0" applyFont="1" applyBorder="1" applyAlignment="1">
      <alignment horizontal="left" vertical="center"/>
    </xf>
    <xf numFmtId="0" fontId="35" fillId="0" borderId="3" xfId="0" applyFont="1" applyBorder="1" applyAlignment="1">
      <alignment vertical="center"/>
    </xf>
    <xf numFmtId="0" fontId="3" fillId="0" borderId="33" xfId="0" applyFont="1" applyBorder="1" applyAlignment="1">
      <alignment vertical="center"/>
    </xf>
    <xf numFmtId="9" fontId="56" fillId="0" borderId="5" xfId="1" applyFont="1" applyBorder="1" applyAlignment="1">
      <alignment horizontal="center" vertical="center"/>
    </xf>
    <xf numFmtId="3" fontId="26" fillId="0" borderId="17" xfId="0" applyNumberFormat="1" applyFont="1" applyFill="1" applyBorder="1" applyAlignment="1">
      <alignment horizontal="center" vertical="center"/>
    </xf>
    <xf numFmtId="3" fontId="27" fillId="0" borderId="0" xfId="0" applyNumberFormat="1" applyFont="1" applyBorder="1" applyAlignment="1">
      <alignment horizontal="center" vertical="center"/>
    </xf>
    <xf numFmtId="3" fontId="27" fillId="0" borderId="5" xfId="0" applyNumberFormat="1" applyFont="1" applyBorder="1" applyAlignment="1">
      <alignment horizontal="center" vertical="center"/>
    </xf>
    <xf numFmtId="9" fontId="12" fillId="3" borderId="0" xfId="1" applyFont="1" applyFill="1" applyBorder="1" applyAlignment="1">
      <alignment horizontal="center" vertical="center"/>
    </xf>
    <xf numFmtId="3" fontId="70" fillId="0" borderId="0" xfId="0" applyNumberFormat="1" applyFont="1" applyBorder="1" applyAlignment="1">
      <alignment vertical="center"/>
    </xf>
    <xf numFmtId="3" fontId="30" fillId="4" borderId="4" xfId="0" applyNumberFormat="1" applyFont="1" applyFill="1" applyBorder="1" applyAlignment="1">
      <alignment horizontal="center" vertical="center"/>
    </xf>
    <xf numFmtId="3" fontId="30" fillId="4" borderId="6" xfId="0" applyNumberFormat="1" applyFont="1" applyFill="1" applyBorder="1" applyAlignment="1">
      <alignment horizontal="center" vertical="center"/>
    </xf>
    <xf numFmtId="0" fontId="5" fillId="4" borderId="0" xfId="0" applyFont="1" applyFill="1" applyBorder="1" applyAlignment="1">
      <alignment vertical="center"/>
    </xf>
    <xf numFmtId="0" fontId="3" fillId="4" borderId="0" xfId="0" applyFont="1" applyFill="1" applyBorder="1" applyAlignment="1">
      <alignment vertical="center"/>
    </xf>
    <xf numFmtId="0" fontId="3" fillId="4" borderId="0" xfId="0" applyFont="1" applyFill="1" applyBorder="1" applyAlignment="1">
      <alignment horizontal="center" vertical="center"/>
    </xf>
    <xf numFmtId="0" fontId="3" fillId="4" borderId="4" xfId="0" applyFont="1" applyFill="1" applyBorder="1" applyAlignment="1">
      <alignment horizontal="center" vertical="center"/>
    </xf>
    <xf numFmtId="3" fontId="30" fillId="4" borderId="48" xfId="0" applyNumberFormat="1" applyFont="1" applyFill="1" applyBorder="1" applyAlignment="1">
      <alignment horizontal="center" vertical="center"/>
    </xf>
    <xf numFmtId="0" fontId="3" fillId="0" borderId="47" xfId="0" applyFont="1" applyBorder="1" applyAlignment="1">
      <alignment horizontal="center" vertical="center"/>
    </xf>
    <xf numFmtId="0" fontId="6" fillId="0" borderId="1" xfId="0" applyFont="1" applyBorder="1" applyAlignment="1">
      <alignment vertical="center"/>
    </xf>
    <xf numFmtId="0" fontId="6" fillId="0" borderId="7" xfId="0" applyFont="1" applyBorder="1" applyAlignment="1">
      <alignment horizontal="center" vertical="center"/>
    </xf>
    <xf numFmtId="0" fontId="43" fillId="0" borderId="0" xfId="0" applyFont="1" applyBorder="1" applyAlignment="1">
      <alignment vertical="center"/>
    </xf>
    <xf numFmtId="0" fontId="36" fillId="0" borderId="0" xfId="0" applyFont="1" applyBorder="1" applyAlignment="1">
      <alignment vertical="center"/>
    </xf>
    <xf numFmtId="0" fontId="71" fillId="0" borderId="24" xfId="0" applyFont="1" applyBorder="1" applyAlignment="1">
      <alignment vertical="center"/>
    </xf>
    <xf numFmtId="0" fontId="5" fillId="0" borderId="26" xfId="0" applyFont="1" applyBorder="1" applyAlignment="1">
      <alignment vertical="center"/>
    </xf>
    <xf numFmtId="1" fontId="67" fillId="4" borderId="4" xfId="0" applyNumberFormat="1" applyFont="1" applyFill="1" applyBorder="1" applyAlignment="1">
      <alignment horizontal="center" vertical="center"/>
    </xf>
    <xf numFmtId="1" fontId="3" fillId="0" borderId="5" xfId="0" applyNumberFormat="1" applyFont="1" applyBorder="1" applyAlignment="1">
      <alignment vertical="center"/>
    </xf>
    <xf numFmtId="1" fontId="3" fillId="0" borderId="0" xfId="0" applyNumberFormat="1" applyFont="1" applyBorder="1" applyAlignment="1">
      <alignment vertical="center"/>
    </xf>
    <xf numFmtId="1" fontId="12" fillId="0" borderId="6" xfId="0" applyNumberFormat="1" applyFont="1" applyBorder="1" applyAlignment="1">
      <alignment horizontal="center" vertical="center"/>
    </xf>
    <xf numFmtId="0" fontId="8" fillId="0" borderId="4" xfId="0" applyFont="1" applyFill="1" applyBorder="1" applyAlignment="1">
      <alignment vertical="center"/>
    </xf>
    <xf numFmtId="1" fontId="72" fillId="0" borderId="4" xfId="0" applyNumberFormat="1" applyFont="1" applyBorder="1" applyAlignment="1">
      <alignment horizontal="center" vertical="center"/>
    </xf>
    <xf numFmtId="0" fontId="20" fillId="0" borderId="0" xfId="0" applyFont="1" applyBorder="1" applyAlignment="1">
      <alignment vertical="center"/>
    </xf>
    <xf numFmtId="0" fontId="73" fillId="0" borderId="4" xfId="0" applyFont="1" applyBorder="1" applyAlignment="1">
      <alignment vertical="center"/>
    </xf>
    <xf numFmtId="0" fontId="74" fillId="0" borderId="4" xfId="0" applyFont="1" applyBorder="1" applyAlignment="1">
      <alignment vertical="center"/>
    </xf>
    <xf numFmtId="165" fontId="11" fillId="2" borderId="4" xfId="0" applyNumberFormat="1" applyFont="1" applyFill="1" applyBorder="1" applyAlignment="1" applyProtection="1">
      <alignment horizontal="center" vertical="center"/>
      <protection locked="0"/>
    </xf>
    <xf numFmtId="164" fontId="11" fillId="2" borderId="4" xfId="0" applyNumberFormat="1" applyFont="1" applyFill="1" applyBorder="1" applyAlignment="1" applyProtection="1">
      <alignment horizontal="center" vertical="center"/>
      <protection locked="0"/>
    </xf>
    <xf numFmtId="0" fontId="75" fillId="0" borderId="0" xfId="0" applyFont="1" applyBorder="1" applyAlignment="1">
      <alignment vertical="center"/>
    </xf>
    <xf numFmtId="164" fontId="11" fillId="2" borderId="0" xfId="0" applyNumberFormat="1" applyFont="1" applyFill="1" applyBorder="1" applyAlignment="1" applyProtection="1">
      <alignment horizontal="center" vertical="center"/>
      <protection locked="0"/>
    </xf>
    <xf numFmtId="0" fontId="75" fillId="0" borderId="26" xfId="0" applyFont="1" applyBorder="1" applyAlignment="1">
      <alignment vertical="center"/>
    </xf>
    <xf numFmtId="1" fontId="21" fillId="0" borderId="4" xfId="0" applyNumberFormat="1" applyFont="1" applyBorder="1" applyAlignment="1">
      <alignment horizontal="center" vertical="center"/>
    </xf>
    <xf numFmtId="1" fontId="11" fillId="0" borderId="4" xfId="0" applyNumberFormat="1" applyFont="1" applyFill="1" applyBorder="1" applyAlignment="1">
      <alignment horizontal="center" vertical="center"/>
    </xf>
    <xf numFmtId="0" fontId="76" fillId="0" borderId="54" xfId="0" applyFont="1" applyBorder="1" applyAlignment="1">
      <alignment vertical="center"/>
    </xf>
    <xf numFmtId="0" fontId="76" fillId="0" borderId="55" xfId="0" applyFont="1" applyBorder="1" applyAlignment="1">
      <alignment vertical="center"/>
    </xf>
    <xf numFmtId="0" fontId="22" fillId="0" borderId="55" xfId="0" applyFont="1" applyBorder="1" applyAlignment="1">
      <alignment vertical="center"/>
    </xf>
    <xf numFmtId="0" fontId="76" fillId="0" borderId="56" xfId="0" applyFont="1" applyBorder="1" applyAlignment="1">
      <alignment vertical="center"/>
    </xf>
    <xf numFmtId="9" fontId="11" fillId="2" borderId="45" xfId="0" applyNumberFormat="1" applyFont="1" applyFill="1" applyBorder="1" applyAlignment="1">
      <alignment horizontal="center" vertical="center"/>
    </xf>
    <xf numFmtId="164" fontId="11" fillId="2" borderId="0" xfId="0" applyNumberFormat="1" applyFont="1" applyFill="1" applyBorder="1" applyAlignment="1">
      <alignment horizontal="center" vertical="center"/>
    </xf>
    <xf numFmtId="0" fontId="6" fillId="0" borderId="41" xfId="0" applyFont="1" applyBorder="1" applyAlignment="1">
      <alignment vertical="center"/>
    </xf>
    <xf numFmtId="9" fontId="11" fillId="2" borderId="51" xfId="0" applyNumberFormat="1" applyFont="1" applyFill="1" applyBorder="1" applyAlignment="1">
      <alignment horizontal="center" vertical="center"/>
    </xf>
    <xf numFmtId="0" fontId="6" fillId="0" borderId="52" xfId="0" applyFont="1" applyBorder="1" applyAlignment="1">
      <alignment vertical="center"/>
    </xf>
    <xf numFmtId="164" fontId="11" fillId="2" borderId="52" xfId="0" applyNumberFormat="1" applyFont="1" applyFill="1" applyBorder="1" applyAlignment="1">
      <alignment horizontal="center" vertical="center"/>
    </xf>
    <xf numFmtId="0" fontId="6" fillId="0" borderId="53" xfId="0" applyFont="1" applyBorder="1" applyAlignment="1">
      <alignment vertical="center"/>
    </xf>
    <xf numFmtId="1" fontId="78" fillId="0" borderId="4" xfId="0" applyNumberFormat="1" applyFont="1" applyFill="1" applyBorder="1" applyAlignment="1" applyProtection="1">
      <alignment horizontal="center" vertical="center"/>
    </xf>
    <xf numFmtId="1" fontId="78" fillId="0" borderId="0" xfId="0" applyNumberFormat="1" applyFont="1" applyFill="1" applyBorder="1" applyAlignment="1" applyProtection="1">
      <alignment horizontal="center" vertical="center"/>
    </xf>
    <xf numFmtId="0" fontId="78" fillId="0" borderId="26" xfId="0" applyFont="1" applyFill="1" applyBorder="1" applyAlignment="1">
      <alignment vertical="center"/>
    </xf>
    <xf numFmtId="0" fontId="3" fillId="0" borderId="34" xfId="0" applyFont="1" applyBorder="1" applyAlignment="1">
      <alignment horizontal="center" vertical="center"/>
    </xf>
    <xf numFmtId="0" fontId="33" fillId="0" borderId="4" xfId="0" applyFont="1" applyBorder="1" applyAlignment="1">
      <alignment horizontal="center" vertical="center"/>
    </xf>
    <xf numFmtId="0" fontId="23" fillId="0" borderId="0" xfId="0" applyFont="1" applyBorder="1" applyAlignment="1">
      <alignment horizontal="center" vertical="center"/>
    </xf>
    <xf numFmtId="0" fontId="60" fillId="0" borderId="4" xfId="0" applyFont="1" applyBorder="1" applyAlignment="1">
      <alignment vertical="center"/>
    </xf>
    <xf numFmtId="1" fontId="32" fillId="0" borderId="4" xfId="0" applyNumberFormat="1" applyFont="1" applyBorder="1" applyAlignment="1">
      <alignment horizontal="center" vertical="center"/>
    </xf>
    <xf numFmtId="1" fontId="32" fillId="0" borderId="0" xfId="0" applyNumberFormat="1" applyFont="1" applyBorder="1" applyAlignment="1">
      <alignment horizontal="center" vertical="center"/>
    </xf>
    <xf numFmtId="0" fontId="33" fillId="0" borderId="0" xfId="0" applyFont="1" applyBorder="1" applyAlignment="1">
      <alignment horizontal="center" vertical="center"/>
    </xf>
    <xf numFmtId="0" fontId="3" fillId="0" borderId="41" xfId="0" applyFont="1" applyBorder="1" applyAlignment="1">
      <alignment vertical="center"/>
    </xf>
    <xf numFmtId="0" fontId="3" fillId="0" borderId="42" xfId="0" applyFont="1" applyBorder="1" applyAlignment="1">
      <alignment vertical="center"/>
    </xf>
    <xf numFmtId="0" fontId="3" fillId="0" borderId="41" xfId="0" applyFont="1" applyBorder="1" applyAlignment="1">
      <alignment horizontal="center" vertical="center"/>
    </xf>
    <xf numFmtId="0" fontId="23" fillId="0" borderId="41" xfId="0" applyFont="1" applyBorder="1" applyAlignment="1">
      <alignment horizontal="center" vertical="center"/>
    </xf>
    <xf numFmtId="1" fontId="32" fillId="0" borderId="6" xfId="0" applyNumberFormat="1" applyFont="1" applyBorder="1" applyAlignment="1">
      <alignment horizontal="center" vertical="center"/>
    </xf>
    <xf numFmtId="1" fontId="32" fillId="0" borderId="1" xfId="0" applyNumberFormat="1" applyFont="1" applyBorder="1" applyAlignment="1">
      <alignment horizontal="center" vertical="center"/>
    </xf>
    <xf numFmtId="0" fontId="41" fillId="0" borderId="0" xfId="0" applyFont="1" applyBorder="1" applyAlignment="1">
      <alignment vertical="top" wrapText="1"/>
    </xf>
    <xf numFmtId="0" fontId="41" fillId="0" borderId="26" xfId="0" applyFont="1" applyBorder="1" applyAlignment="1">
      <alignment vertical="top" wrapText="1"/>
    </xf>
    <xf numFmtId="0" fontId="75" fillId="0" borderId="0" xfId="0" applyFont="1" applyFill="1" applyBorder="1" applyAlignment="1">
      <alignment vertical="center"/>
    </xf>
    <xf numFmtId="0" fontId="6" fillId="0" borderId="26" xfId="0" applyFont="1" applyBorder="1" applyAlignment="1">
      <alignment vertical="center"/>
    </xf>
    <xf numFmtId="0" fontId="47" fillId="4" borderId="0" xfId="0" applyFont="1" applyFill="1" applyBorder="1" applyAlignment="1" applyProtection="1">
      <alignment horizontal="center" vertical="center"/>
      <protection locked="0"/>
    </xf>
    <xf numFmtId="164" fontId="11" fillId="2" borderId="4" xfId="0" applyNumberFormat="1" applyFont="1" applyFill="1" applyBorder="1" applyAlignment="1" applyProtection="1">
      <alignment horizontal="center" vertical="center"/>
    </xf>
    <xf numFmtId="0" fontId="32" fillId="4" borderId="0" xfId="0" applyFont="1" applyFill="1" applyBorder="1" applyAlignment="1" applyProtection="1">
      <alignment horizontal="center" vertical="center"/>
      <protection locked="0"/>
    </xf>
    <xf numFmtId="164" fontId="11" fillId="2" borderId="0" xfId="0" applyNumberFormat="1" applyFont="1" applyFill="1" applyBorder="1" applyAlignment="1" applyProtection="1">
      <alignment horizontal="center" vertical="center"/>
    </xf>
    <xf numFmtId="0" fontId="13" fillId="0" borderId="5" xfId="0" applyFont="1" applyBorder="1" applyAlignment="1">
      <alignment horizontal="center" vertical="center"/>
    </xf>
    <xf numFmtId="0" fontId="13" fillId="0" borderId="7" xfId="0" applyFont="1" applyBorder="1" applyAlignment="1">
      <alignment horizontal="center" vertical="center"/>
    </xf>
    <xf numFmtId="0" fontId="13" fillId="0" borderId="41" xfId="0" applyFont="1" applyBorder="1" applyAlignment="1">
      <alignment horizontal="center" vertical="center"/>
    </xf>
    <xf numFmtId="0" fontId="3" fillId="0" borderId="7" xfId="0" applyFont="1" applyBorder="1" applyAlignment="1">
      <alignment horizontal="center" vertical="center"/>
    </xf>
    <xf numFmtId="1" fontId="13" fillId="0" borderId="5" xfId="0" applyNumberFormat="1" applyFont="1" applyBorder="1" applyAlignment="1">
      <alignment horizontal="center" vertical="center"/>
    </xf>
    <xf numFmtId="1" fontId="13" fillId="0" borderId="7" xfId="0" applyNumberFormat="1" applyFont="1" applyBorder="1" applyAlignment="1">
      <alignment horizontal="center" vertical="center"/>
    </xf>
    <xf numFmtId="1" fontId="13" fillId="0" borderId="42" xfId="0" applyNumberFormat="1" applyFont="1" applyBorder="1" applyAlignment="1">
      <alignment horizontal="center" vertical="center"/>
    </xf>
    <xf numFmtId="0" fontId="62" fillId="0" borderId="0" xfId="0" applyFont="1"/>
    <xf numFmtId="3" fontId="3" fillId="0" borderId="47" xfId="0" applyNumberFormat="1" applyFont="1" applyBorder="1" applyAlignment="1">
      <alignment vertical="center"/>
    </xf>
    <xf numFmtId="0" fontId="62" fillId="0" borderId="0" xfId="0" applyFont="1" applyBorder="1" applyAlignment="1">
      <alignment vertical="center"/>
    </xf>
    <xf numFmtId="0" fontId="3" fillId="0" borderId="1" xfId="0" applyFont="1" applyBorder="1" applyAlignment="1">
      <alignment horizontal="center" vertical="center"/>
    </xf>
    <xf numFmtId="1" fontId="33" fillId="0" borderId="6" xfId="0" applyNumberFormat="1" applyFont="1" applyBorder="1" applyAlignment="1">
      <alignment horizontal="center" vertical="center"/>
    </xf>
    <xf numFmtId="0" fontId="23" fillId="0" borderId="42" xfId="0" applyFont="1" applyBorder="1" applyAlignment="1">
      <alignment vertical="center"/>
    </xf>
    <xf numFmtId="1" fontId="33" fillId="0" borderId="1" xfId="0" applyNumberFormat="1" applyFont="1" applyBorder="1" applyAlignment="1">
      <alignment horizontal="center" vertical="center"/>
    </xf>
    <xf numFmtId="0" fontId="23" fillId="0" borderId="1" xfId="0" applyFont="1" applyBorder="1" applyAlignment="1">
      <alignment vertical="center"/>
    </xf>
    <xf numFmtId="164" fontId="11" fillId="2" borderId="6" xfId="0" applyNumberFormat="1" applyFont="1" applyFill="1" applyBorder="1" applyAlignment="1" applyProtection="1">
      <alignment horizontal="center" vertical="center"/>
    </xf>
    <xf numFmtId="0" fontId="3" fillId="0" borderId="1" xfId="0" applyFont="1" applyBorder="1" applyAlignment="1">
      <alignment horizontal="center" vertical="center"/>
    </xf>
    <xf numFmtId="1" fontId="42" fillId="4" borderId="4" xfId="0" applyNumberFormat="1" applyFont="1" applyFill="1" applyBorder="1" applyAlignment="1">
      <alignment horizontal="center" vertical="center"/>
    </xf>
    <xf numFmtId="1" fontId="42" fillId="4" borderId="6" xfId="0" applyNumberFormat="1" applyFont="1" applyFill="1" applyBorder="1" applyAlignment="1">
      <alignment horizontal="center" vertical="center"/>
    </xf>
    <xf numFmtId="3" fontId="11" fillId="2" borderId="4" xfId="0" applyNumberFormat="1" applyFont="1" applyFill="1" applyBorder="1" applyAlignment="1" applyProtection="1">
      <alignment horizontal="center" vertical="center"/>
      <protection locked="0"/>
    </xf>
    <xf numFmtId="0" fontId="65" fillId="0" borderId="0" xfId="0" applyFont="1" applyBorder="1" applyAlignment="1">
      <alignment vertical="center"/>
    </xf>
    <xf numFmtId="0" fontId="71" fillId="0" borderId="0" xfId="0" applyFont="1" applyBorder="1" applyAlignment="1">
      <alignment horizontal="right" vertical="center"/>
    </xf>
    <xf numFmtId="0" fontId="48" fillId="0" borderId="24" xfId="0" applyFont="1" applyFill="1" applyBorder="1" applyAlignment="1">
      <alignment vertical="center"/>
    </xf>
    <xf numFmtId="0" fontId="12" fillId="0" borderId="0" xfId="0" applyFont="1" applyBorder="1" applyAlignment="1">
      <alignment horizontal="center" vertical="center"/>
    </xf>
    <xf numFmtId="0" fontId="39" fillId="0" borderId="1" xfId="0" applyFont="1" applyBorder="1" applyAlignment="1">
      <alignment vertical="center"/>
    </xf>
    <xf numFmtId="0" fontId="46" fillId="0" borderId="30" xfId="0" applyFont="1" applyBorder="1"/>
    <xf numFmtId="0" fontId="8" fillId="0" borderId="25" xfId="0" applyFont="1" applyBorder="1" applyAlignment="1">
      <alignment vertical="center"/>
    </xf>
    <xf numFmtId="0" fontId="29" fillId="0" borderId="26" xfId="0" applyFont="1" applyBorder="1" applyAlignment="1">
      <alignment vertical="center"/>
    </xf>
    <xf numFmtId="0" fontId="9" fillId="0" borderId="26" xfId="0" applyFont="1" applyBorder="1" applyAlignment="1">
      <alignment vertical="center"/>
    </xf>
    <xf numFmtId="9" fontId="11" fillId="2" borderId="9" xfId="0" applyNumberFormat="1" applyFont="1" applyFill="1" applyBorder="1" applyAlignment="1" applyProtection="1">
      <alignment horizontal="center" vertical="center"/>
      <protection locked="0"/>
    </xf>
    <xf numFmtId="0" fontId="3" fillId="0" borderId="11" xfId="0" applyFont="1" applyBorder="1" applyAlignment="1">
      <alignment vertical="center"/>
    </xf>
    <xf numFmtId="0" fontId="8" fillId="0" borderId="6" xfId="0" applyFont="1" applyBorder="1" applyAlignment="1">
      <alignment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56" fillId="0" borderId="0" xfId="1" applyFont="1" applyBorder="1" applyAlignment="1">
      <alignment horizontal="center" vertical="center"/>
    </xf>
    <xf numFmtId="0" fontId="17" fillId="0" borderId="58" xfId="0" applyFont="1" applyFill="1" applyBorder="1" applyAlignment="1">
      <alignment vertical="center"/>
    </xf>
    <xf numFmtId="0" fontId="3" fillId="4" borderId="10" xfId="0" applyFont="1" applyFill="1" applyBorder="1" applyAlignment="1">
      <alignment horizontal="center" vertical="center"/>
    </xf>
    <xf numFmtId="0" fontId="3" fillId="4" borderId="10" xfId="0" applyFont="1" applyFill="1" applyBorder="1" applyAlignment="1">
      <alignment vertical="center"/>
    </xf>
    <xf numFmtId="0" fontId="3" fillId="0" borderId="10" xfId="0" applyFont="1" applyFill="1" applyBorder="1" applyAlignment="1">
      <alignment horizontal="center" vertical="center"/>
    </xf>
    <xf numFmtId="3" fontId="30" fillId="10" borderId="63" xfId="0" applyNumberFormat="1" applyFont="1" applyFill="1" applyBorder="1" applyAlignment="1">
      <alignment horizontal="center" vertical="center"/>
    </xf>
    <xf numFmtId="3" fontId="30" fillId="10" borderId="64" xfId="0" applyNumberFormat="1" applyFont="1" applyFill="1" applyBorder="1" applyAlignment="1">
      <alignment horizontal="center" vertical="center"/>
    </xf>
    <xf numFmtId="2" fontId="42" fillId="4" borderId="8" xfId="0" applyNumberFormat="1" applyFont="1" applyFill="1" applyBorder="1" applyAlignment="1">
      <alignment horizontal="center" vertical="center"/>
    </xf>
    <xf numFmtId="0" fontId="7" fillId="0" borderId="65" xfId="0" applyFont="1" applyFill="1" applyBorder="1" applyAlignment="1">
      <alignment horizontal="center" vertical="center"/>
    </xf>
    <xf numFmtId="2" fontId="42" fillId="4" borderId="66" xfId="0" applyNumberFormat="1" applyFont="1" applyFill="1" applyBorder="1" applyAlignment="1">
      <alignment horizontal="center" vertical="center"/>
    </xf>
    <xf numFmtId="0" fontId="9" fillId="0" borderId="34" xfId="0" applyFont="1" applyBorder="1" applyAlignment="1">
      <alignment vertical="center"/>
    </xf>
    <xf numFmtId="0" fontId="9" fillId="0" borderId="34" xfId="0" applyFont="1" applyFill="1" applyBorder="1" applyAlignment="1">
      <alignment horizontal="center" vertical="center"/>
    </xf>
    <xf numFmtId="0" fontId="7" fillId="0" borderId="72" xfId="0" applyFont="1" applyBorder="1" applyAlignment="1">
      <alignment horizontal="center" vertical="center"/>
    </xf>
    <xf numFmtId="0" fontId="3" fillId="0" borderId="73" xfId="0" applyFont="1" applyBorder="1" applyAlignment="1">
      <alignment vertical="center"/>
    </xf>
    <xf numFmtId="3" fontId="26" fillId="0" borderId="75" xfId="0" applyNumberFormat="1" applyFont="1" applyFill="1" applyBorder="1" applyAlignment="1">
      <alignment horizontal="center" vertical="center"/>
    </xf>
    <xf numFmtId="3" fontId="30" fillId="4" borderId="74" xfId="0" applyNumberFormat="1" applyFont="1" applyFill="1" applyBorder="1" applyAlignment="1">
      <alignment horizontal="center" vertical="center"/>
    </xf>
    <xf numFmtId="3" fontId="30" fillId="4" borderId="73" xfId="0" applyNumberFormat="1" applyFont="1" applyFill="1" applyBorder="1" applyAlignment="1">
      <alignment horizontal="center" vertical="center"/>
    </xf>
    <xf numFmtId="3" fontId="30" fillId="10" borderId="76" xfId="0" applyNumberFormat="1" applyFont="1" applyFill="1" applyBorder="1" applyAlignment="1">
      <alignment horizontal="center" vertical="center"/>
    </xf>
    <xf numFmtId="0" fontId="7" fillId="0" borderId="72" xfId="0" applyFont="1" applyFill="1" applyBorder="1" applyAlignment="1">
      <alignment horizontal="center" vertical="center"/>
    </xf>
    <xf numFmtId="2" fontId="42" fillId="4" borderId="71" xfId="0" applyNumberFormat="1" applyFont="1" applyFill="1" applyBorder="1" applyAlignment="1">
      <alignment horizontal="center" vertical="center"/>
    </xf>
    <xf numFmtId="1" fontId="42" fillId="4" borderId="23" xfId="0" applyNumberFormat="1" applyFont="1" applyFill="1" applyBorder="1" applyAlignment="1">
      <alignment horizontal="center" vertical="center"/>
    </xf>
    <xf numFmtId="1" fontId="42" fillId="4" borderId="45" xfId="0" applyNumberFormat="1" applyFont="1" applyFill="1" applyBorder="1" applyAlignment="1">
      <alignment horizontal="center" vertical="center"/>
    </xf>
    <xf numFmtId="1" fontId="42" fillId="4" borderId="46" xfId="0" applyNumberFormat="1" applyFont="1" applyFill="1" applyBorder="1" applyAlignment="1">
      <alignment horizontal="center" vertical="center"/>
    </xf>
    <xf numFmtId="0" fontId="3" fillId="0" borderId="45" xfId="0" applyFont="1" applyBorder="1" applyAlignment="1">
      <alignment horizontal="center" vertical="center"/>
    </xf>
    <xf numFmtId="1" fontId="67" fillId="4" borderId="45" xfId="0" applyNumberFormat="1" applyFont="1" applyFill="1" applyBorder="1" applyAlignment="1">
      <alignment horizontal="center" vertical="center"/>
    </xf>
    <xf numFmtId="1" fontId="12" fillId="0" borderId="45" xfId="0" applyNumberFormat="1" applyFont="1" applyBorder="1" applyAlignment="1">
      <alignment horizontal="center" vertical="center"/>
    </xf>
    <xf numFmtId="1" fontId="12" fillId="0" borderId="46" xfId="0" applyNumberFormat="1" applyFont="1" applyBorder="1" applyAlignment="1">
      <alignment horizontal="center" vertical="center"/>
    </xf>
    <xf numFmtId="0" fontId="3" fillId="0" borderId="45" xfId="0" applyFont="1" applyBorder="1" applyAlignment="1">
      <alignment vertical="center"/>
    </xf>
    <xf numFmtId="1" fontId="72" fillId="0" borderId="45" xfId="0" applyNumberFormat="1" applyFont="1" applyBorder="1" applyAlignment="1">
      <alignment horizontal="center" vertical="center"/>
    </xf>
    <xf numFmtId="0" fontId="73" fillId="0" borderId="45" xfId="0" applyFont="1" applyBorder="1" applyAlignment="1">
      <alignment vertical="center"/>
    </xf>
    <xf numFmtId="1" fontId="21" fillId="0" borderId="45" xfId="0" applyNumberFormat="1" applyFont="1" applyBorder="1" applyAlignment="1">
      <alignment horizontal="center" vertical="center"/>
    </xf>
    <xf numFmtId="0" fontId="3" fillId="0" borderId="46" xfId="0" applyFont="1" applyBorder="1" applyAlignment="1">
      <alignment horizontal="center" vertical="center"/>
    </xf>
    <xf numFmtId="1" fontId="42" fillId="4" borderId="67" xfId="0" applyNumberFormat="1" applyFont="1" applyFill="1" applyBorder="1" applyAlignment="1">
      <alignment horizontal="center" vertical="center"/>
    </xf>
    <xf numFmtId="0" fontId="13" fillId="0" borderId="0" xfId="0" applyFont="1" applyBorder="1" applyAlignment="1">
      <alignment horizontal="center" vertical="center"/>
    </xf>
    <xf numFmtId="0" fontId="13" fillId="0" borderId="1" xfId="0" applyFont="1" applyBorder="1" applyAlignment="1">
      <alignment horizontal="center" vertical="center"/>
    </xf>
    <xf numFmtId="1" fontId="42" fillId="4" borderId="73" xfId="0" applyNumberFormat="1" applyFont="1" applyFill="1" applyBorder="1" applyAlignment="1">
      <alignment horizontal="center" vertical="center"/>
    </xf>
    <xf numFmtId="1" fontId="42" fillId="4" borderId="77" xfId="0" applyNumberFormat="1" applyFont="1" applyFill="1" applyBorder="1" applyAlignment="1">
      <alignment horizontal="center" vertical="center"/>
    </xf>
    <xf numFmtId="0" fontId="3" fillId="0" borderId="73" xfId="0" applyFont="1" applyBorder="1" applyAlignment="1">
      <alignment horizontal="center" vertical="center"/>
    </xf>
    <xf numFmtId="1" fontId="67" fillId="4" borderId="73" xfId="0" applyNumberFormat="1" applyFont="1" applyFill="1" applyBorder="1" applyAlignment="1">
      <alignment horizontal="center" vertical="center"/>
    </xf>
    <xf numFmtId="1" fontId="12" fillId="0" borderId="73" xfId="0" applyNumberFormat="1" applyFont="1" applyBorder="1" applyAlignment="1">
      <alignment horizontal="center" vertical="center"/>
    </xf>
    <xf numFmtId="1" fontId="12" fillId="0" borderId="77" xfId="0" applyNumberFormat="1" applyFont="1" applyBorder="1" applyAlignment="1">
      <alignment horizontal="center" vertical="center"/>
    </xf>
    <xf numFmtId="0" fontId="3" fillId="0" borderId="42" xfId="0" applyFont="1" applyBorder="1" applyAlignment="1">
      <alignment horizontal="center" vertical="center"/>
    </xf>
    <xf numFmtId="1" fontId="72" fillId="0" borderId="73" xfId="0" applyNumberFormat="1" applyFont="1" applyBorder="1" applyAlignment="1">
      <alignment horizontal="center" vertical="center"/>
    </xf>
    <xf numFmtId="0" fontId="73" fillId="0" borderId="73" xfId="0" applyFont="1" applyBorder="1" applyAlignment="1">
      <alignment vertical="center"/>
    </xf>
    <xf numFmtId="1" fontId="21" fillId="0" borderId="73" xfId="0" applyNumberFormat="1" applyFont="1" applyBorder="1" applyAlignment="1">
      <alignment horizontal="center" vertical="center"/>
    </xf>
    <xf numFmtId="0" fontId="3" fillId="0" borderId="77" xfId="0" applyFont="1" applyBorder="1" applyAlignment="1">
      <alignment horizontal="center" vertical="center"/>
    </xf>
    <xf numFmtId="1" fontId="42" fillId="4" borderId="79" xfId="0" applyNumberFormat="1" applyFont="1" applyFill="1" applyBorder="1" applyAlignment="1">
      <alignment horizontal="center" vertical="center"/>
    </xf>
    <xf numFmtId="1" fontId="33" fillId="0" borderId="77" xfId="0" applyNumberFormat="1" applyFont="1" applyBorder="1" applyAlignment="1">
      <alignment horizontal="center" vertical="center"/>
    </xf>
    <xf numFmtId="1" fontId="32" fillId="0" borderId="73" xfId="0" applyNumberFormat="1" applyFont="1" applyBorder="1" applyAlignment="1">
      <alignment horizontal="center" vertical="center"/>
    </xf>
    <xf numFmtId="1" fontId="32" fillId="0" borderId="77" xfId="0" applyNumberFormat="1" applyFont="1" applyBorder="1" applyAlignment="1">
      <alignment horizontal="center" vertical="center"/>
    </xf>
    <xf numFmtId="0" fontId="33" fillId="0" borderId="73" xfId="0" applyFont="1" applyBorder="1" applyAlignment="1">
      <alignment horizontal="center" vertical="center"/>
    </xf>
    <xf numFmtId="1" fontId="13" fillId="0" borderId="1" xfId="0" applyNumberFormat="1" applyFont="1" applyBorder="1" applyAlignment="1">
      <alignment horizontal="center" vertical="center"/>
    </xf>
    <xf numFmtId="1" fontId="32" fillId="11" borderId="0" xfId="0" applyNumberFormat="1" applyFont="1" applyFill="1" applyBorder="1" applyAlignment="1">
      <alignment horizontal="center" vertical="center"/>
    </xf>
    <xf numFmtId="1" fontId="32" fillId="11" borderId="41" xfId="0" applyNumberFormat="1" applyFont="1" applyFill="1" applyBorder="1" applyAlignment="1">
      <alignment horizontal="center" vertical="center"/>
    </xf>
    <xf numFmtId="0" fontId="95" fillId="0" borderId="0" xfId="0" applyFont="1" applyFill="1" applyBorder="1" applyAlignment="1">
      <alignment horizontal="left" vertical="center" wrapText="1" readingOrder="1"/>
    </xf>
    <xf numFmtId="0" fontId="62" fillId="0" borderId="0" xfId="0" applyFont="1" applyAlignment="1"/>
    <xf numFmtId="0" fontId="62" fillId="0" borderId="1" xfId="0" applyFont="1" applyBorder="1"/>
    <xf numFmtId="0" fontId="95" fillId="0" borderId="1" xfId="0" applyFont="1" applyFill="1" applyBorder="1" applyAlignment="1">
      <alignment horizontal="left" vertical="center"/>
    </xf>
    <xf numFmtId="0" fontId="95" fillId="0" borderId="1" xfId="0" applyFont="1" applyFill="1" applyBorder="1" applyAlignment="1">
      <alignment horizontal="left" vertical="center" wrapText="1" readingOrder="1"/>
    </xf>
    <xf numFmtId="0" fontId="47" fillId="0" borderId="9" xfId="0" applyFont="1" applyBorder="1" applyAlignment="1">
      <alignment horizontal="center" vertical="center" wrapText="1" readingOrder="1"/>
    </xf>
    <xf numFmtId="167" fontId="47" fillId="0" borderId="0" xfId="0" applyNumberFormat="1" applyFont="1" applyBorder="1" applyAlignment="1">
      <alignment horizontal="center" vertical="center" wrapText="1" readingOrder="1"/>
    </xf>
    <xf numFmtId="0" fontId="17" fillId="4" borderId="24" xfId="0" applyFont="1" applyFill="1" applyBorder="1" applyAlignment="1">
      <alignment vertical="center"/>
    </xf>
    <xf numFmtId="2" fontId="42" fillId="4" borderId="4" xfId="0" applyNumberFormat="1" applyFont="1" applyFill="1" applyBorder="1" applyAlignment="1">
      <alignment horizontal="center" vertical="center"/>
    </xf>
    <xf numFmtId="0" fontId="47" fillId="0" borderId="10" xfId="0" applyFont="1" applyBorder="1" applyAlignment="1">
      <alignment horizontal="center" vertical="center" wrapText="1" readingOrder="1"/>
    </xf>
    <xf numFmtId="167" fontId="47" fillId="0" borderId="5" xfId="0" applyNumberFormat="1" applyFont="1" applyBorder="1" applyAlignment="1">
      <alignment horizontal="center" vertical="center" wrapText="1" readingOrder="1"/>
    </xf>
    <xf numFmtId="0" fontId="62" fillId="0" borderId="31" xfId="0" applyFont="1" applyBorder="1"/>
    <xf numFmtId="0" fontId="62" fillId="0" borderId="32" xfId="0" applyFont="1" applyBorder="1"/>
    <xf numFmtId="0" fontId="62" fillId="0" borderId="26" xfId="0" applyFont="1" applyBorder="1"/>
    <xf numFmtId="0" fontId="62" fillId="0" borderId="24" xfId="0" applyFont="1" applyBorder="1"/>
    <xf numFmtId="0" fontId="62" fillId="0" borderId="27" xfId="0" applyFont="1" applyBorder="1"/>
    <xf numFmtId="0" fontId="62" fillId="0" borderId="24" xfId="0" applyFont="1" applyBorder="1" applyAlignment="1">
      <alignment vertical="center"/>
    </xf>
    <xf numFmtId="0" fontId="62" fillId="0" borderId="26" xfId="0" applyFont="1" applyBorder="1" applyAlignment="1">
      <alignment vertical="center"/>
    </xf>
    <xf numFmtId="0" fontId="62" fillId="0" borderId="33" xfId="0" applyFont="1" applyBorder="1" applyAlignment="1">
      <alignment vertical="center"/>
    </xf>
    <xf numFmtId="0" fontId="62" fillId="0" borderId="34" xfId="0" applyFont="1" applyBorder="1" applyAlignment="1">
      <alignment vertical="center"/>
    </xf>
    <xf numFmtId="3" fontId="62" fillId="0" borderId="34" xfId="0" applyNumberFormat="1" applyFont="1" applyBorder="1" applyAlignment="1">
      <alignment horizontal="center" vertical="center"/>
    </xf>
    <xf numFmtId="0" fontId="62" fillId="0" borderId="37" xfId="0" applyFont="1" applyBorder="1" applyAlignment="1">
      <alignment vertical="center"/>
    </xf>
    <xf numFmtId="3" fontId="62" fillId="0" borderId="0" xfId="0" applyNumberFormat="1" applyFont="1" applyBorder="1" applyAlignment="1">
      <alignment horizontal="center" vertical="center"/>
    </xf>
    <xf numFmtId="0" fontId="3" fillId="0" borderId="1" xfId="0" applyFont="1" applyBorder="1" applyAlignment="1">
      <alignment horizontal="center" vertical="center"/>
    </xf>
    <xf numFmtId="0" fontId="6" fillId="0" borderId="0" xfId="0" applyFont="1" applyBorder="1" applyAlignment="1">
      <alignment horizontal="left" vertical="center" wrapText="1"/>
    </xf>
    <xf numFmtId="0" fontId="6" fillId="0" borderId="1" xfId="0" applyFont="1" applyBorder="1" applyAlignment="1">
      <alignment horizontal="left" vertical="center" wrapText="1"/>
    </xf>
    <xf numFmtId="0" fontId="6" fillId="0" borderId="26" xfId="0" applyFont="1" applyBorder="1" applyAlignment="1">
      <alignment horizontal="left" vertical="center" wrapText="1"/>
    </xf>
    <xf numFmtId="0" fontId="6" fillId="0" borderId="28" xfId="0" applyFont="1" applyBorder="1" applyAlignment="1">
      <alignment horizontal="left" vertical="center" wrapText="1"/>
    </xf>
    <xf numFmtId="0" fontId="6" fillId="0" borderId="6" xfId="0" applyFont="1" applyBorder="1" applyAlignment="1">
      <alignment horizontal="left" vertical="center"/>
    </xf>
    <xf numFmtId="1" fontId="11" fillId="2" borderId="4" xfId="1" applyNumberFormat="1" applyFont="1" applyFill="1" applyBorder="1" applyAlignment="1" applyProtection="1">
      <alignment horizontal="center" vertical="center"/>
      <protection locked="0"/>
    </xf>
    <xf numFmtId="1" fontId="22" fillId="0" borderId="4" xfId="0" applyNumberFormat="1" applyFont="1" applyBorder="1" applyAlignment="1">
      <alignment horizontal="center" vertical="center"/>
    </xf>
    <xf numFmtId="0" fontId="22" fillId="0" borderId="0" xfId="0" applyFont="1" applyBorder="1" applyAlignment="1">
      <alignment vertical="center"/>
    </xf>
    <xf numFmtId="1" fontId="22" fillId="0" borderId="73" xfId="0" applyNumberFormat="1" applyFont="1" applyBorder="1" applyAlignment="1">
      <alignment horizontal="center" vertical="center"/>
    </xf>
    <xf numFmtId="0" fontId="22" fillId="0" borderId="41" xfId="0" applyFont="1" applyBorder="1" applyAlignment="1">
      <alignment vertical="center"/>
    </xf>
    <xf numFmtId="1" fontId="22" fillId="0" borderId="0" xfId="0" applyNumberFormat="1" applyFont="1" applyBorder="1" applyAlignment="1">
      <alignment horizontal="center" vertical="center"/>
    </xf>
    <xf numFmtId="1" fontId="22" fillId="0" borderId="6" xfId="0" applyNumberFormat="1" applyFont="1" applyBorder="1" applyAlignment="1">
      <alignment horizontal="center" vertical="center"/>
    </xf>
    <xf numFmtId="0" fontId="22" fillId="0" borderId="1" xfId="0" applyFont="1" applyBorder="1" applyAlignment="1">
      <alignment vertical="center"/>
    </xf>
    <xf numFmtId="1" fontId="22" fillId="0" borderId="77" xfId="0" applyNumberFormat="1" applyFont="1" applyBorder="1" applyAlignment="1">
      <alignment horizontal="center" vertical="center"/>
    </xf>
    <xf numFmtId="0" fontId="22" fillId="0" borderId="42" xfId="0" applyFont="1" applyBorder="1" applyAlignment="1">
      <alignment vertical="center"/>
    </xf>
    <xf numFmtId="1" fontId="22" fillId="0" borderId="1" xfId="0" applyNumberFormat="1" applyFont="1" applyBorder="1" applyAlignment="1">
      <alignment horizontal="center" vertical="center"/>
    </xf>
    <xf numFmtId="1" fontId="31" fillId="0" borderId="4" xfId="0" applyNumberFormat="1" applyFont="1" applyBorder="1" applyAlignment="1">
      <alignment horizontal="center" vertical="center"/>
    </xf>
    <xf numFmtId="0" fontId="31" fillId="0" borderId="0" xfId="0" applyFont="1" applyBorder="1" applyAlignment="1">
      <alignment vertical="center"/>
    </xf>
    <xf numFmtId="1" fontId="31" fillId="0" borderId="73" xfId="0" applyNumberFormat="1" applyFont="1" applyBorder="1" applyAlignment="1">
      <alignment horizontal="center" vertical="center"/>
    </xf>
    <xf numFmtId="1" fontId="31" fillId="0" borderId="6" xfId="0" applyNumberFormat="1" applyFont="1" applyBorder="1" applyAlignment="1">
      <alignment horizontal="center" vertical="center"/>
    </xf>
    <xf numFmtId="0" fontId="31" fillId="0" borderId="1" xfId="0" applyFont="1" applyBorder="1" applyAlignment="1">
      <alignment vertical="center"/>
    </xf>
    <xf numFmtId="1" fontId="31" fillId="0" borderId="77" xfId="0" applyNumberFormat="1" applyFont="1" applyBorder="1" applyAlignment="1">
      <alignment horizontal="center" vertical="center"/>
    </xf>
    <xf numFmtId="0" fontId="33" fillId="0" borderId="45" xfId="0" applyFont="1" applyBorder="1" applyAlignment="1">
      <alignment horizontal="center" vertical="center"/>
    </xf>
    <xf numFmtId="9" fontId="11" fillId="2" borderId="0" xfId="0" applyNumberFormat="1" applyFont="1" applyFill="1" applyBorder="1" applyAlignment="1" applyProtection="1">
      <alignment horizontal="center" vertical="center"/>
      <protection locked="0"/>
    </xf>
    <xf numFmtId="0" fontId="6" fillId="0" borderId="4" xfId="0" applyFont="1" applyBorder="1" applyAlignment="1">
      <alignment vertical="center"/>
    </xf>
    <xf numFmtId="164" fontId="13" fillId="2" borderId="4" xfId="0" applyNumberFormat="1" applyFont="1" applyFill="1" applyBorder="1" applyAlignment="1" applyProtection="1">
      <alignment horizontal="center" vertical="center"/>
    </xf>
    <xf numFmtId="164" fontId="13" fillId="2" borderId="0" xfId="0" applyNumberFormat="1" applyFont="1" applyFill="1" applyBorder="1" applyAlignment="1" applyProtection="1">
      <alignment horizontal="center" vertical="center"/>
    </xf>
    <xf numFmtId="0" fontId="33" fillId="0" borderId="6" xfId="0" applyFont="1" applyBorder="1" applyAlignment="1">
      <alignment horizontal="center" vertical="center"/>
    </xf>
    <xf numFmtId="0" fontId="12" fillId="0" borderId="83" xfId="0" applyFont="1" applyBorder="1" applyAlignment="1">
      <alignment horizontal="center" vertical="center"/>
    </xf>
    <xf numFmtId="0" fontId="12" fillId="0" borderId="82" xfId="0" applyFont="1" applyBorder="1" applyAlignment="1">
      <alignment horizontal="center" vertical="center"/>
    </xf>
    <xf numFmtId="0" fontId="12" fillId="0" borderId="1" xfId="0" applyFont="1" applyBorder="1" applyAlignment="1">
      <alignment horizontal="center" vertical="center"/>
    </xf>
    <xf numFmtId="0" fontId="12" fillId="0" borderId="41" xfId="0" applyFont="1" applyBorder="1" applyAlignment="1">
      <alignment horizontal="center" vertical="center"/>
    </xf>
    <xf numFmtId="0" fontId="12" fillId="0" borderId="42" xfId="0" applyFont="1" applyBorder="1" applyAlignment="1">
      <alignment horizontal="center" vertical="center"/>
    </xf>
    <xf numFmtId="0" fontId="33" fillId="0" borderId="46" xfId="0" applyFont="1" applyBorder="1" applyAlignment="1">
      <alignment horizontal="center" vertical="center"/>
    </xf>
    <xf numFmtId="0" fontId="3" fillId="0" borderId="82" xfId="0" applyFont="1" applyBorder="1" applyAlignment="1">
      <alignment horizontal="center" vertical="center"/>
    </xf>
    <xf numFmtId="0" fontId="33" fillId="0" borderId="77" xfId="0" applyFont="1" applyBorder="1" applyAlignment="1">
      <alignment horizontal="center" vertical="center"/>
    </xf>
    <xf numFmtId="0" fontId="12" fillId="0" borderId="7" xfId="0" applyFont="1" applyBorder="1" applyAlignment="1">
      <alignment horizontal="center" vertical="center"/>
    </xf>
    <xf numFmtId="0" fontId="8" fillId="0" borderId="26" xfId="0" applyFont="1" applyFill="1" applyBorder="1" applyAlignment="1">
      <alignment horizontal="left" vertical="center" wrapText="1" indent="1"/>
    </xf>
    <xf numFmtId="0" fontId="62" fillId="0" borderId="11" xfId="0" applyFont="1" applyFill="1" applyBorder="1" applyAlignment="1">
      <alignment horizontal="left" vertical="center"/>
    </xf>
    <xf numFmtId="0" fontId="19" fillId="0" borderId="5" xfId="0" applyFont="1" applyFill="1" applyBorder="1" applyAlignment="1">
      <alignment horizontal="center" vertical="center" wrapText="1" readingOrder="1"/>
    </xf>
    <xf numFmtId="0" fontId="69" fillId="0" borderId="5" xfId="0" applyFont="1" applyFill="1" applyBorder="1" applyAlignment="1">
      <alignment horizontal="center" vertical="center" wrapText="1" readingOrder="1"/>
    </xf>
    <xf numFmtId="0" fontId="19" fillId="0" borderId="7" xfId="0" applyFont="1" applyFill="1" applyBorder="1" applyAlignment="1">
      <alignment horizontal="center" vertical="center" wrapText="1" readingOrder="1"/>
    </xf>
    <xf numFmtId="0" fontId="19" fillId="0" borderId="3" xfId="0" applyFont="1" applyFill="1" applyBorder="1" applyAlignment="1">
      <alignment horizontal="center" vertical="center" wrapText="1" readingOrder="1"/>
    </xf>
    <xf numFmtId="0" fontId="8" fillId="0" borderId="8" xfId="0" applyFont="1" applyBorder="1" applyAlignment="1">
      <alignment vertical="center"/>
    </xf>
    <xf numFmtId="0" fontId="84" fillId="0" borderId="0" xfId="0" applyFont="1" applyBorder="1" applyAlignment="1">
      <alignment horizontal="center" vertical="center" wrapText="1" readingOrder="1"/>
    </xf>
    <xf numFmtId="0" fontId="84" fillId="0" borderId="11" xfId="0" applyFont="1" applyFill="1" applyBorder="1" applyAlignment="1">
      <alignment horizontal="center" vertical="center" wrapText="1" readingOrder="1"/>
    </xf>
    <xf numFmtId="0" fontId="62" fillId="12" borderId="24" xfId="0" applyFont="1" applyFill="1" applyBorder="1"/>
    <xf numFmtId="0" fontId="62" fillId="12" borderId="0" xfId="0" applyFont="1" applyFill="1" applyBorder="1"/>
    <xf numFmtId="0" fontId="79" fillId="12" borderId="0" xfId="0" applyFont="1" applyFill="1" applyBorder="1" applyAlignment="1">
      <alignment horizontal="center" vertical="center" wrapText="1"/>
    </xf>
    <xf numFmtId="0" fontId="79" fillId="12" borderId="8" xfId="0" applyFont="1" applyFill="1" applyBorder="1" applyAlignment="1">
      <alignment vertical="center"/>
    </xf>
    <xf numFmtId="0" fontId="79" fillId="12" borderId="10" xfId="0" applyFont="1" applyFill="1" applyBorder="1" applyAlignment="1">
      <alignment vertical="center"/>
    </xf>
    <xf numFmtId="0" fontId="8" fillId="12" borderId="26" xfId="0" applyFont="1" applyFill="1" applyBorder="1" applyAlignment="1">
      <alignment horizontal="left" vertical="center" wrapText="1" indent="1"/>
    </xf>
    <xf numFmtId="0" fontId="9" fillId="12" borderId="0" xfId="0" applyFont="1" applyFill="1" applyBorder="1" applyAlignment="1">
      <alignment horizontal="center" vertical="center"/>
    </xf>
    <xf numFmtId="3" fontId="43" fillId="12" borderId="4" xfId="0" applyNumberFormat="1" applyFont="1" applyFill="1" applyBorder="1" applyAlignment="1">
      <alignment horizontal="center" vertical="center"/>
    </xf>
    <xf numFmtId="3" fontId="65" fillId="12" borderId="0" xfId="0" applyNumberFormat="1" applyFont="1" applyFill="1" applyBorder="1" applyAlignment="1">
      <alignment horizontal="center" vertical="center"/>
    </xf>
    <xf numFmtId="0" fontId="62" fillId="2" borderId="24" xfId="0" applyFont="1" applyFill="1" applyBorder="1"/>
    <xf numFmtId="0" fontId="62" fillId="2" borderId="0" xfId="0" applyFont="1" applyFill="1" applyBorder="1"/>
    <xf numFmtId="0" fontId="8" fillId="2" borderId="26" xfId="0" applyFont="1" applyFill="1" applyBorder="1" applyAlignment="1">
      <alignment horizontal="left" vertical="center" wrapText="1" indent="1"/>
    </xf>
    <xf numFmtId="0" fontId="9" fillId="4" borderId="0" xfId="0" applyFont="1" applyFill="1" applyBorder="1" applyAlignment="1">
      <alignment horizontal="center" vertical="center"/>
    </xf>
    <xf numFmtId="0" fontId="60" fillId="0" borderId="0" xfId="0" applyFont="1" applyFill="1" applyBorder="1" applyAlignment="1">
      <alignment horizontal="center" vertical="center" wrapText="1"/>
    </xf>
    <xf numFmtId="0" fontId="8" fillId="0" borderId="0" xfId="0" applyFont="1" applyBorder="1" applyAlignment="1">
      <alignment horizontal="left" vertical="center" indent="1" readingOrder="1"/>
    </xf>
    <xf numFmtId="0" fontId="8" fillId="0" borderId="28" xfId="0" applyFont="1" applyFill="1" applyBorder="1" applyAlignment="1">
      <alignment horizontal="left" vertical="center" wrapText="1" indent="1" readingOrder="1"/>
    </xf>
    <xf numFmtId="3" fontId="47" fillId="12" borderId="0" xfId="0" applyNumberFormat="1" applyFont="1" applyFill="1" applyBorder="1" applyAlignment="1">
      <alignment horizontal="center" vertical="center"/>
    </xf>
    <xf numFmtId="3" fontId="47" fillId="12" borderId="5" xfId="0" applyNumberFormat="1" applyFont="1" applyFill="1" applyBorder="1" applyAlignment="1">
      <alignment horizontal="center" vertical="center"/>
    </xf>
    <xf numFmtId="0" fontId="62" fillId="12" borderId="0" xfId="0" applyFont="1" applyFill="1" applyBorder="1" applyAlignment="1">
      <alignment horizontal="left" vertical="center"/>
    </xf>
    <xf numFmtId="0" fontId="61" fillId="12" borderId="0" xfId="0" applyFont="1" applyFill="1" applyBorder="1" applyAlignment="1">
      <alignment horizontal="left" vertical="center"/>
    </xf>
    <xf numFmtId="0" fontId="59" fillId="12" borderId="0" xfId="0" applyFont="1" applyFill="1" applyBorder="1" applyAlignment="1">
      <alignment horizontal="center" vertical="center"/>
    </xf>
    <xf numFmtId="0" fontId="62" fillId="9" borderId="1" xfId="0" applyFont="1" applyFill="1" applyBorder="1" applyAlignment="1">
      <alignment horizontal="left" vertical="center"/>
    </xf>
    <xf numFmtId="3" fontId="82" fillId="9" borderId="1" xfId="0" applyNumberFormat="1" applyFont="1" applyFill="1" applyBorder="1" applyAlignment="1">
      <alignment horizontal="center" vertical="center" wrapText="1" readingOrder="1"/>
    </xf>
    <xf numFmtId="0" fontId="61" fillId="5" borderId="0" xfId="0" applyFont="1" applyFill="1" applyBorder="1" applyAlignment="1">
      <alignment vertical="center"/>
    </xf>
    <xf numFmtId="0" fontId="62" fillId="8" borderId="24" xfId="0" applyFont="1" applyFill="1" applyBorder="1"/>
    <xf numFmtId="0" fontId="62" fillId="8" borderId="0" xfId="0" applyFont="1" applyFill="1" applyBorder="1"/>
    <xf numFmtId="0" fontId="61" fillId="8" borderId="0" xfId="0" applyFont="1" applyFill="1" applyBorder="1" applyAlignment="1">
      <alignment vertical="center"/>
    </xf>
    <xf numFmtId="0" fontId="62" fillId="8" borderId="0" xfId="0" applyFont="1" applyFill="1" applyBorder="1" applyAlignment="1">
      <alignment horizontal="left" vertical="center"/>
    </xf>
    <xf numFmtId="0" fontId="71" fillId="8" borderId="0" xfId="0" applyFont="1" applyFill="1" applyBorder="1" applyAlignment="1">
      <alignment horizontal="center" vertical="center" wrapText="1" readingOrder="1"/>
    </xf>
    <xf numFmtId="0" fontId="8" fillId="8" borderId="26" xfId="0" applyFont="1" applyFill="1" applyBorder="1" applyAlignment="1">
      <alignment horizontal="left" vertical="center" wrapText="1" indent="1"/>
    </xf>
    <xf numFmtId="3" fontId="11" fillId="8" borderId="4" xfId="0" applyNumberFormat="1" applyFont="1" applyFill="1" applyBorder="1" applyAlignment="1">
      <alignment horizontal="center" vertical="center" wrapText="1" readingOrder="1"/>
    </xf>
    <xf numFmtId="0" fontId="62" fillId="5" borderId="24" xfId="0" applyFont="1" applyFill="1" applyBorder="1"/>
    <xf numFmtId="0" fontId="62" fillId="5" borderId="0" xfId="0" applyFont="1" applyFill="1" applyBorder="1"/>
    <xf numFmtId="0" fontId="62" fillId="5" borderId="0" xfId="0" applyFont="1" applyFill="1"/>
    <xf numFmtId="0" fontId="62" fillId="5" borderId="0" xfId="0" applyFont="1" applyFill="1" applyBorder="1" applyAlignment="1">
      <alignment horizontal="left" vertical="center"/>
    </xf>
    <xf numFmtId="3" fontId="65" fillId="5" borderId="0" xfId="0" applyNumberFormat="1" applyFont="1" applyFill="1" applyBorder="1" applyAlignment="1">
      <alignment horizontal="center" vertical="center" wrapText="1"/>
    </xf>
    <xf numFmtId="3" fontId="65" fillId="5" borderId="4" xfId="0" applyNumberFormat="1" applyFont="1" applyFill="1" applyBorder="1" applyAlignment="1">
      <alignment vertical="center" wrapText="1"/>
    </xf>
    <xf numFmtId="0" fontId="62" fillId="5" borderId="10" xfId="0" applyFont="1" applyFill="1" applyBorder="1"/>
    <xf numFmtId="0" fontId="62" fillId="5" borderId="8" xfId="0" applyFont="1" applyFill="1" applyBorder="1"/>
    <xf numFmtId="0" fontId="62" fillId="5" borderId="27" xfId="0" applyFont="1" applyFill="1" applyBorder="1"/>
    <xf numFmtId="0" fontId="62" fillId="5" borderId="1" xfId="0" applyFont="1" applyFill="1" applyBorder="1"/>
    <xf numFmtId="0" fontId="62" fillId="5" borderId="1" xfId="0" applyFont="1" applyFill="1" applyBorder="1" applyAlignment="1">
      <alignment horizontal="left" vertical="center"/>
    </xf>
    <xf numFmtId="3" fontId="11" fillId="5" borderId="6" xfId="0" applyNumberFormat="1" applyFont="1" applyFill="1" applyBorder="1" applyAlignment="1">
      <alignment horizontal="center" vertical="center" wrapText="1" readingOrder="1"/>
    </xf>
    <xf numFmtId="3" fontId="11" fillId="5" borderId="1" xfId="0" applyNumberFormat="1" applyFont="1" applyFill="1" applyBorder="1" applyAlignment="1">
      <alignment horizontal="center" vertical="center" wrapText="1" readingOrder="1"/>
    </xf>
    <xf numFmtId="3" fontId="11" fillId="5" borderId="7" xfId="0" applyNumberFormat="1" applyFont="1" applyFill="1" applyBorder="1" applyAlignment="1">
      <alignment horizontal="center" vertical="center" wrapText="1" readingOrder="1"/>
    </xf>
    <xf numFmtId="3" fontId="82" fillId="5" borderId="1" xfId="0" applyNumberFormat="1" applyFont="1" applyFill="1" applyBorder="1" applyAlignment="1">
      <alignment horizontal="center" vertical="center" wrapText="1" readingOrder="1"/>
    </xf>
    <xf numFmtId="3" fontId="11" fillId="9" borderId="1" xfId="0" applyNumberFormat="1" applyFont="1" applyFill="1" applyBorder="1" applyAlignment="1">
      <alignment horizontal="center" vertical="center" wrapText="1" readingOrder="1"/>
    </xf>
    <xf numFmtId="3" fontId="11" fillId="9" borderId="6" xfId="0" applyNumberFormat="1" applyFont="1" applyFill="1" applyBorder="1" applyAlignment="1">
      <alignment horizontal="center" vertical="center" wrapText="1" readingOrder="1"/>
    </xf>
    <xf numFmtId="3" fontId="11" fillId="9" borderId="7" xfId="0" applyNumberFormat="1" applyFont="1" applyFill="1" applyBorder="1" applyAlignment="1">
      <alignment horizontal="center" vertical="center" wrapText="1" readingOrder="1"/>
    </xf>
    <xf numFmtId="3" fontId="30" fillId="4" borderId="0" xfId="0" applyNumberFormat="1" applyFont="1" applyFill="1" applyBorder="1" applyAlignment="1">
      <alignment horizontal="center" vertical="center"/>
    </xf>
    <xf numFmtId="0" fontId="6" fillId="0" borderId="1" xfId="0" applyFont="1" applyBorder="1" applyAlignment="1">
      <alignment horizontal="left" vertical="top" wrapText="1"/>
    </xf>
    <xf numFmtId="0" fontId="6" fillId="0" borderId="28" xfId="0" applyFont="1" applyBorder="1" applyAlignment="1">
      <alignment horizontal="left" vertical="top" wrapText="1"/>
    </xf>
    <xf numFmtId="3" fontId="30" fillId="4" borderId="1" xfId="0" applyNumberFormat="1" applyFont="1" applyFill="1" applyBorder="1" applyAlignment="1">
      <alignment horizontal="center" vertical="center"/>
    </xf>
    <xf numFmtId="3" fontId="30" fillId="4" borderId="84" xfId="0" applyNumberFormat="1" applyFont="1" applyFill="1" applyBorder="1" applyAlignment="1">
      <alignment horizontal="center" vertical="center"/>
    </xf>
    <xf numFmtId="0" fontId="8" fillId="0" borderId="9" xfId="0" applyFont="1" applyBorder="1" applyAlignment="1">
      <alignment horizontal="center" vertical="center"/>
    </xf>
    <xf numFmtId="0" fontId="25" fillId="0" borderId="0" xfId="0" applyFont="1" applyBorder="1" applyAlignment="1">
      <alignment horizontal="center" vertical="center"/>
    </xf>
    <xf numFmtId="3" fontId="22" fillId="0" borderId="10" xfId="0" applyNumberFormat="1" applyFont="1" applyBorder="1" applyAlignment="1">
      <alignment horizontal="center" vertical="center"/>
    </xf>
    <xf numFmtId="3" fontId="22" fillId="0" borderId="9" xfId="0" applyNumberFormat="1" applyFont="1" applyBorder="1" applyAlignment="1">
      <alignment horizontal="center" vertical="center"/>
    </xf>
    <xf numFmtId="3" fontId="22" fillId="0" borderId="5" xfId="0" applyNumberFormat="1" applyFont="1" applyBorder="1" applyAlignment="1">
      <alignment horizontal="center" vertical="center"/>
    </xf>
    <xf numFmtId="3" fontId="22" fillId="0" borderId="0" xfId="0" applyNumberFormat="1" applyFont="1" applyBorder="1" applyAlignment="1">
      <alignment horizontal="center" vertical="center"/>
    </xf>
    <xf numFmtId="3" fontId="22" fillId="0" borderId="7" xfId="0" applyNumberFormat="1" applyFont="1" applyBorder="1" applyAlignment="1">
      <alignment horizontal="center" vertical="center"/>
    </xf>
    <xf numFmtId="0" fontId="22" fillId="0" borderId="0" xfId="0" applyFont="1" applyBorder="1" applyAlignment="1">
      <alignment horizontal="center" vertical="center"/>
    </xf>
    <xf numFmtId="3" fontId="32" fillId="4" borderId="0" xfId="0" applyNumberFormat="1" applyFont="1" applyFill="1" applyBorder="1" applyAlignment="1">
      <alignment horizontal="center" vertical="center"/>
    </xf>
    <xf numFmtId="3" fontId="12" fillId="0" borderId="5" xfId="0" applyNumberFormat="1" applyFont="1" applyBorder="1" applyAlignment="1">
      <alignment horizontal="center" vertical="center"/>
    </xf>
    <xf numFmtId="164" fontId="22" fillId="0" borderId="0" xfId="0" applyNumberFormat="1" applyFont="1" applyBorder="1" applyAlignment="1">
      <alignment horizontal="center" vertical="center"/>
    </xf>
    <xf numFmtId="3" fontId="12" fillId="0" borderId="0" xfId="0" applyNumberFormat="1" applyFont="1" applyBorder="1" applyAlignment="1">
      <alignment horizontal="center" vertical="center"/>
    </xf>
    <xf numFmtId="3" fontId="22" fillId="0" borderId="1" xfId="0" applyNumberFormat="1" applyFont="1" applyBorder="1" applyAlignment="1">
      <alignment horizontal="center" vertical="center"/>
    </xf>
    <xf numFmtId="3" fontId="30" fillId="4" borderId="71" xfId="0" applyNumberFormat="1" applyFont="1" applyFill="1" applyBorder="1" applyAlignment="1">
      <alignment horizontal="center" vertical="center"/>
    </xf>
    <xf numFmtId="3" fontId="32" fillId="4" borderId="73" xfId="0" applyNumberFormat="1" applyFont="1" applyFill="1" applyBorder="1" applyAlignment="1">
      <alignment horizontal="center" vertical="center"/>
    </xf>
    <xf numFmtId="3" fontId="30" fillId="4" borderId="77" xfId="0" applyNumberFormat="1" applyFont="1" applyFill="1" applyBorder="1" applyAlignment="1">
      <alignment horizontal="center" vertical="center"/>
    </xf>
    <xf numFmtId="0" fontId="75" fillId="0" borderId="0" xfId="0" applyFont="1" applyBorder="1" applyAlignment="1">
      <alignment horizontal="left" vertical="center" wrapText="1"/>
    </xf>
    <xf numFmtId="0" fontId="84" fillId="8" borderId="0" xfId="0" applyFont="1" applyFill="1" applyBorder="1" applyAlignment="1">
      <alignment horizontal="center" vertical="center" wrapText="1" readingOrder="1"/>
    </xf>
    <xf numFmtId="3" fontId="11" fillId="8" borderId="0" xfId="0" applyNumberFormat="1" applyFont="1" applyFill="1" applyBorder="1" applyAlignment="1">
      <alignment horizontal="center" vertical="center" wrapText="1" readingOrder="1"/>
    </xf>
    <xf numFmtId="0" fontId="98" fillId="2" borderId="0" xfId="0" applyFont="1" applyFill="1" applyBorder="1" applyAlignment="1">
      <alignment horizontal="center" vertical="center" wrapText="1"/>
    </xf>
    <xf numFmtId="0" fontId="100" fillId="2" borderId="0" xfId="0" quotePrefix="1" applyFont="1" applyFill="1" applyBorder="1" applyAlignment="1">
      <alignment horizontal="center" vertical="center" wrapText="1" readingOrder="1"/>
    </xf>
    <xf numFmtId="2" fontId="99" fillId="2" borderId="4" xfId="0" applyNumberFormat="1" applyFont="1" applyFill="1" applyBorder="1" applyAlignment="1">
      <alignment horizontal="center" vertical="center" wrapText="1" readingOrder="1"/>
    </xf>
    <xf numFmtId="0" fontId="100" fillId="2" borderId="5" xfId="0" applyFont="1" applyFill="1" applyBorder="1" applyAlignment="1">
      <alignment horizontal="center" vertical="center" wrapText="1" readingOrder="1"/>
    </xf>
    <xf numFmtId="0" fontId="80" fillId="2" borderId="0" xfId="0" applyFont="1" applyFill="1" applyBorder="1" applyAlignment="1">
      <alignment horizontal="center" vertical="center" wrapText="1" readingOrder="1"/>
    </xf>
    <xf numFmtId="0" fontId="8" fillId="2" borderId="26" xfId="0" applyFont="1" applyFill="1" applyBorder="1" applyAlignment="1">
      <alignment vertical="center" wrapText="1" readingOrder="1"/>
    </xf>
    <xf numFmtId="3" fontId="101" fillId="2" borderId="0" xfId="0" applyNumberFormat="1" applyFont="1" applyFill="1" applyBorder="1" applyAlignment="1">
      <alignment horizontal="center" vertical="center" wrapText="1" readingOrder="1"/>
    </xf>
    <xf numFmtId="3" fontId="82" fillId="2" borderId="4" xfId="0" applyNumberFormat="1" applyFont="1" applyFill="1" applyBorder="1" applyAlignment="1">
      <alignment horizontal="center" vertical="center" wrapText="1" readingOrder="1"/>
    </xf>
    <xf numFmtId="3" fontId="101" fillId="2" borderId="5" xfId="0" applyNumberFormat="1" applyFont="1" applyFill="1" applyBorder="1" applyAlignment="1">
      <alignment horizontal="center" vertical="center" wrapText="1" readingOrder="1"/>
    </xf>
    <xf numFmtId="3" fontId="11" fillId="2" borderId="0" xfId="0" applyNumberFormat="1" applyFont="1" applyFill="1" applyBorder="1" applyAlignment="1">
      <alignment horizontal="center" vertical="center" wrapText="1" readingOrder="1"/>
    </xf>
    <xf numFmtId="3" fontId="101" fillId="2" borderId="4" xfId="0" applyNumberFormat="1" applyFont="1" applyFill="1" applyBorder="1" applyAlignment="1">
      <alignment horizontal="center" vertical="center" wrapText="1" readingOrder="1"/>
    </xf>
    <xf numFmtId="3" fontId="11" fillId="8" borderId="5" xfId="0" applyNumberFormat="1" applyFont="1" applyFill="1" applyBorder="1" applyAlignment="1">
      <alignment horizontal="center" vertical="center" wrapText="1" readingOrder="1"/>
    </xf>
    <xf numFmtId="3" fontId="13" fillId="8" borderId="0" xfId="0" applyNumberFormat="1" applyFont="1" applyFill="1" applyBorder="1" applyAlignment="1">
      <alignment horizontal="center" vertical="center" wrapText="1" readingOrder="1"/>
    </xf>
    <xf numFmtId="9" fontId="11" fillId="8" borderId="0" xfId="1" applyFont="1" applyFill="1" applyBorder="1" applyAlignment="1">
      <alignment horizontal="center" vertical="center" wrapText="1" readingOrder="1"/>
    </xf>
    <xf numFmtId="3" fontId="13" fillId="8" borderId="5" xfId="0" applyNumberFormat="1" applyFont="1" applyFill="1" applyBorder="1" applyAlignment="1">
      <alignment horizontal="center" vertical="center" wrapText="1" readingOrder="1"/>
    </xf>
    <xf numFmtId="3" fontId="11" fillId="5" borderId="10" xfId="0" applyNumberFormat="1" applyFont="1" applyFill="1" applyBorder="1" applyAlignment="1">
      <alignment horizontal="center" vertical="center" wrapText="1"/>
    </xf>
    <xf numFmtId="3" fontId="82" fillId="5" borderId="8" xfId="0" applyNumberFormat="1" applyFont="1" applyFill="1" applyBorder="1" applyAlignment="1">
      <alignment vertical="center" wrapText="1"/>
    </xf>
    <xf numFmtId="0" fontId="62" fillId="5" borderId="29" xfId="0" applyFont="1" applyFill="1" applyBorder="1"/>
    <xf numFmtId="0" fontId="62" fillId="5" borderId="9" xfId="0" applyFont="1" applyFill="1" applyBorder="1"/>
    <xf numFmtId="0" fontId="62" fillId="5" borderId="9" xfId="0" applyFont="1" applyFill="1" applyBorder="1" applyAlignment="1">
      <alignment horizontal="left" vertical="center"/>
    </xf>
    <xf numFmtId="3" fontId="82" fillId="5" borderId="9" xfId="0" applyNumberFormat="1" applyFont="1" applyFill="1" applyBorder="1" applyAlignment="1">
      <alignment horizontal="center" vertical="center" wrapText="1"/>
    </xf>
    <xf numFmtId="3" fontId="11" fillId="5" borderId="6" xfId="0" applyNumberFormat="1" applyFont="1" applyFill="1" applyBorder="1" applyAlignment="1">
      <alignment horizontal="center" vertical="center" wrapText="1"/>
    </xf>
    <xf numFmtId="3" fontId="82" fillId="5" borderId="1" xfId="0" applyNumberFormat="1" applyFont="1" applyFill="1" applyBorder="1" applyAlignment="1">
      <alignment horizontal="center" vertical="center" wrapText="1"/>
    </xf>
    <xf numFmtId="3" fontId="82" fillId="5" borderId="6" xfId="0" applyNumberFormat="1" applyFont="1" applyFill="1" applyBorder="1" applyAlignment="1">
      <alignment horizontal="center" vertical="center" wrapText="1"/>
    </xf>
    <xf numFmtId="3" fontId="82" fillId="5" borderId="6" xfId="0" applyNumberFormat="1" applyFont="1" applyFill="1" applyBorder="1" applyAlignment="1">
      <alignment vertical="center" wrapText="1"/>
    </xf>
    <xf numFmtId="0" fontId="62" fillId="7" borderId="24" xfId="0" applyFont="1" applyFill="1" applyBorder="1"/>
    <xf numFmtId="0" fontId="62" fillId="7" borderId="0" xfId="0" applyFont="1" applyFill="1" applyBorder="1"/>
    <xf numFmtId="0" fontId="62" fillId="7" borderId="0" xfId="0" applyFont="1" applyFill="1" applyBorder="1" applyAlignment="1">
      <alignment horizontal="left" vertical="center"/>
    </xf>
    <xf numFmtId="3" fontId="26" fillId="7" borderId="4" xfId="0" applyNumberFormat="1" applyFont="1" applyFill="1" applyBorder="1" applyAlignment="1">
      <alignment horizontal="center" vertical="center" wrapText="1"/>
    </xf>
    <xf numFmtId="3" fontId="13" fillId="7" borderId="0" xfId="0" applyNumberFormat="1" applyFont="1" applyFill="1" applyBorder="1" applyAlignment="1">
      <alignment horizontal="center" vertical="center" wrapText="1"/>
    </xf>
    <xf numFmtId="3" fontId="13" fillId="7" borderId="5" xfId="0" applyNumberFormat="1" applyFont="1" applyFill="1" applyBorder="1" applyAlignment="1">
      <alignment horizontal="center" vertical="center" wrapText="1"/>
    </xf>
    <xf numFmtId="0" fontId="8" fillId="7" borderId="26" xfId="0" applyFont="1" applyFill="1" applyBorder="1" applyAlignment="1">
      <alignment horizontal="left" vertical="center" wrapText="1" indent="1"/>
    </xf>
    <xf numFmtId="1" fontId="26" fillId="7" borderId="4" xfId="0" applyNumberFormat="1" applyFont="1" applyFill="1" applyBorder="1" applyAlignment="1">
      <alignment horizontal="center" vertical="center" wrapText="1"/>
    </xf>
    <xf numFmtId="9" fontId="11" fillId="7" borderId="0" xfId="1" applyFont="1" applyFill="1" applyBorder="1" applyAlignment="1">
      <alignment horizontal="center" vertical="center" wrapText="1"/>
    </xf>
    <xf numFmtId="0" fontId="62" fillId="7" borderId="27" xfId="0" applyFont="1" applyFill="1" applyBorder="1"/>
    <xf numFmtId="0" fontId="62" fillId="7" borderId="1" xfId="0" applyFont="1" applyFill="1" applyBorder="1"/>
    <xf numFmtId="3" fontId="26" fillId="7" borderId="6" xfId="0" applyNumberFormat="1" applyFont="1" applyFill="1" applyBorder="1" applyAlignment="1">
      <alignment horizontal="center" vertical="center" wrapText="1"/>
    </xf>
    <xf numFmtId="3" fontId="32" fillId="7" borderId="1" xfId="0" applyNumberFormat="1" applyFont="1" applyFill="1" applyBorder="1" applyAlignment="1">
      <alignment horizontal="center" vertical="center" wrapText="1"/>
    </xf>
    <xf numFmtId="0" fontId="8" fillId="7" borderId="28" xfId="0" applyFont="1" applyFill="1" applyBorder="1" applyAlignment="1">
      <alignment horizontal="left" vertical="center" wrapText="1" indent="1" readingOrder="1"/>
    </xf>
    <xf numFmtId="0" fontId="62" fillId="2" borderId="27" xfId="0" applyFont="1" applyFill="1" applyBorder="1"/>
    <xf numFmtId="0" fontId="62" fillId="2" borderId="1" xfId="0" applyFont="1" applyFill="1" applyBorder="1"/>
    <xf numFmtId="0" fontId="84" fillId="5" borderId="0" xfId="0" applyFont="1" applyFill="1" applyBorder="1" applyAlignment="1">
      <alignment horizontal="center" vertical="center" wrapText="1" readingOrder="1"/>
    </xf>
    <xf numFmtId="0" fontId="84" fillId="5" borderId="1" xfId="0" applyFont="1" applyFill="1" applyBorder="1" applyAlignment="1">
      <alignment horizontal="center" vertical="center" wrapText="1" readingOrder="1"/>
    </xf>
    <xf numFmtId="0" fontId="84" fillId="7" borderId="0" xfId="0" applyFont="1" applyFill="1" applyBorder="1" applyAlignment="1">
      <alignment horizontal="center" vertical="center" wrapText="1" readingOrder="1"/>
    </xf>
    <xf numFmtId="3" fontId="12" fillId="8" borderId="4" xfId="0" applyNumberFormat="1" applyFont="1" applyFill="1" applyBorder="1" applyAlignment="1">
      <alignment horizontal="center" vertical="center" wrapText="1" readingOrder="1"/>
    </xf>
    <xf numFmtId="3" fontId="32" fillId="8" borderId="0" xfId="0" applyNumberFormat="1" applyFont="1" applyFill="1" applyBorder="1" applyAlignment="1">
      <alignment horizontal="center" vertical="center" wrapText="1" readingOrder="1"/>
    </xf>
    <xf numFmtId="3" fontId="32" fillId="8" borderId="5" xfId="0" applyNumberFormat="1" applyFont="1" applyFill="1" applyBorder="1" applyAlignment="1">
      <alignment horizontal="center" vertical="center" wrapText="1" readingOrder="1"/>
    </xf>
    <xf numFmtId="0" fontId="6" fillId="9" borderId="28" xfId="0" applyFont="1" applyFill="1" applyBorder="1" applyAlignment="1">
      <alignment horizontal="left" vertical="center" wrapText="1" readingOrder="1"/>
    </xf>
    <xf numFmtId="0" fontId="8" fillId="5" borderId="26" xfId="0" applyFont="1" applyFill="1" applyBorder="1" applyAlignment="1">
      <alignment horizontal="left" vertical="center" wrapText="1"/>
    </xf>
    <xf numFmtId="0" fontId="8" fillId="5" borderId="28" xfId="0" applyFont="1" applyFill="1" applyBorder="1" applyAlignment="1">
      <alignment horizontal="left" vertical="center" readingOrder="1"/>
    </xf>
    <xf numFmtId="166" fontId="32" fillId="0" borderId="0" xfId="0" applyNumberFormat="1" applyFont="1" applyFill="1" applyBorder="1" applyAlignment="1">
      <alignment horizontal="center" vertical="center" wrapText="1"/>
    </xf>
    <xf numFmtId="0" fontId="62" fillId="5" borderId="25" xfId="0" applyFont="1" applyFill="1" applyBorder="1"/>
    <xf numFmtId="169" fontId="37" fillId="0" borderId="1" xfId="0" applyNumberFormat="1" applyFont="1" applyBorder="1" applyAlignment="1">
      <alignment horizontal="center" vertical="center"/>
    </xf>
    <xf numFmtId="170" fontId="44" fillId="0" borderId="1" xfId="0" applyNumberFormat="1" applyFont="1" applyBorder="1" applyAlignment="1">
      <alignment vertical="center"/>
    </xf>
    <xf numFmtId="170" fontId="66" fillId="0" borderId="1" xfId="0" applyNumberFormat="1" applyFont="1" applyBorder="1" applyAlignment="1">
      <alignment vertical="center"/>
    </xf>
    <xf numFmtId="0" fontId="17" fillId="0" borderId="0" xfId="0" applyFont="1" applyAlignment="1">
      <alignment horizontal="right" vertical="center"/>
    </xf>
    <xf numFmtId="0" fontId="26" fillId="0" borderId="0" xfId="0" applyFont="1" applyAlignment="1">
      <alignment horizontal="right" vertical="center"/>
    </xf>
    <xf numFmtId="169" fontId="44" fillId="0" borderId="1" xfId="0" applyNumberFormat="1" applyFont="1" applyBorder="1" applyAlignment="1">
      <alignment horizontal="center" vertical="center"/>
    </xf>
    <xf numFmtId="0" fontId="55" fillId="0" borderId="0" xfId="0" applyFont="1" applyBorder="1" applyAlignment="1">
      <alignment horizontal="right" vertical="top"/>
    </xf>
    <xf numFmtId="0" fontId="17" fillId="0" borderId="0" xfId="0" applyFont="1" applyBorder="1" applyAlignment="1">
      <alignment horizontal="right" vertical="center"/>
    </xf>
    <xf numFmtId="0" fontId="16" fillId="0" borderId="30" xfId="0" applyFont="1" applyBorder="1" applyAlignment="1">
      <alignment vertical="center"/>
    </xf>
    <xf numFmtId="0" fontId="2" fillId="0" borderId="31" xfId="0" applyFont="1" applyBorder="1" applyAlignment="1">
      <alignment vertical="center"/>
    </xf>
    <xf numFmtId="0" fontId="3" fillId="0" borderId="31" xfId="0" applyFont="1" applyBorder="1" applyAlignment="1">
      <alignment vertical="center"/>
    </xf>
    <xf numFmtId="0" fontId="3" fillId="0" borderId="31" xfId="0" applyFont="1" applyBorder="1" applyAlignment="1">
      <alignment horizontal="center" vertical="center"/>
    </xf>
    <xf numFmtId="0" fontId="16" fillId="0" borderId="31" xfId="0" applyFont="1" applyBorder="1" applyAlignment="1">
      <alignment horizontal="left" vertical="center"/>
    </xf>
    <xf numFmtId="0" fontId="43" fillId="0" borderId="0" xfId="0" applyFont="1" applyAlignment="1">
      <alignment horizontal="right" vertical="center"/>
    </xf>
    <xf numFmtId="0" fontId="55" fillId="0" borderId="0" xfId="0" applyFont="1" applyAlignment="1">
      <alignment horizontal="right" vertical="top"/>
    </xf>
    <xf numFmtId="3" fontId="47" fillId="0" borderId="0" xfId="0" applyNumberFormat="1" applyFont="1" applyFill="1" applyBorder="1" applyAlignment="1">
      <alignment horizontal="center" vertical="center" wrapText="1" readingOrder="1"/>
    </xf>
    <xf numFmtId="0" fontId="32" fillId="0" borderId="2" xfId="0" applyFont="1" applyFill="1" applyBorder="1" applyAlignment="1">
      <alignment horizontal="center" vertical="center" wrapText="1" readingOrder="1"/>
    </xf>
    <xf numFmtId="0" fontId="32" fillId="0" borderId="1" xfId="0" applyFont="1" applyFill="1" applyBorder="1" applyAlignment="1">
      <alignment horizontal="center" vertical="center" wrapText="1" readingOrder="1"/>
    </xf>
    <xf numFmtId="3" fontId="32" fillId="12" borderId="5" xfId="0" applyNumberFormat="1" applyFont="1" applyFill="1" applyBorder="1" applyAlignment="1">
      <alignment horizontal="center" vertical="center"/>
    </xf>
    <xf numFmtId="3" fontId="30" fillId="2" borderId="0" xfId="0" applyNumberFormat="1" applyFont="1" applyFill="1" applyBorder="1" applyAlignment="1">
      <alignment horizontal="center" vertical="center" wrapText="1" readingOrder="1"/>
    </xf>
    <xf numFmtId="3" fontId="30" fillId="2" borderId="5" xfId="0" applyNumberFormat="1" applyFont="1" applyFill="1" applyBorder="1" applyAlignment="1">
      <alignment horizontal="center" vertical="center" wrapText="1" readingOrder="1"/>
    </xf>
    <xf numFmtId="0" fontId="100" fillId="2" borderId="5" xfId="0" quotePrefix="1" applyFont="1" applyFill="1" applyBorder="1" applyAlignment="1">
      <alignment horizontal="center" vertical="center" wrapText="1" readingOrder="1"/>
    </xf>
    <xf numFmtId="3" fontId="30" fillId="5" borderId="8" xfId="0" applyNumberFormat="1" applyFont="1" applyFill="1" applyBorder="1" applyAlignment="1">
      <alignment vertical="center" wrapText="1"/>
    </xf>
    <xf numFmtId="3" fontId="22" fillId="8" borderId="4" xfId="0" applyNumberFormat="1" applyFont="1" applyFill="1" applyBorder="1" applyAlignment="1">
      <alignment horizontal="center" vertical="center" wrapText="1" readingOrder="1"/>
    </xf>
    <xf numFmtId="0" fontId="84" fillId="2" borderId="0" xfId="0" applyFont="1" applyFill="1" applyBorder="1" applyAlignment="1">
      <alignment horizontal="center" vertical="center" readingOrder="1"/>
    </xf>
    <xf numFmtId="0" fontId="47" fillId="0" borderId="0" xfId="0" applyFont="1" applyBorder="1" applyAlignment="1">
      <alignment horizontal="center" vertical="center" wrapText="1" readingOrder="1"/>
    </xf>
    <xf numFmtId="0" fontId="47" fillId="0" borderId="5" xfId="0" applyFont="1" applyBorder="1" applyAlignment="1">
      <alignment horizontal="center" vertical="center" wrapText="1" readingOrder="1"/>
    </xf>
    <xf numFmtId="0" fontId="8" fillId="5" borderId="25" xfId="0" applyFont="1" applyFill="1" applyBorder="1" applyAlignment="1">
      <alignment vertical="center" wrapText="1"/>
    </xf>
    <xf numFmtId="0" fontId="8" fillId="5" borderId="28" xfId="0" applyFont="1" applyFill="1" applyBorder="1" applyAlignment="1">
      <alignment vertical="center" wrapText="1"/>
    </xf>
    <xf numFmtId="3" fontId="11" fillId="5" borderId="0" xfId="0" applyNumberFormat="1" applyFont="1" applyFill="1" applyBorder="1" applyAlignment="1">
      <alignment horizontal="center" vertical="center" wrapText="1"/>
    </xf>
    <xf numFmtId="3" fontId="11" fillId="5" borderId="4" xfId="0" applyNumberFormat="1" applyFont="1" applyFill="1" applyBorder="1" applyAlignment="1">
      <alignment vertical="center" wrapText="1"/>
    </xf>
    <xf numFmtId="3" fontId="11" fillId="5" borderId="5" xfId="0" applyNumberFormat="1" applyFont="1" applyFill="1" applyBorder="1" applyAlignment="1">
      <alignment horizontal="center" vertical="center" wrapText="1"/>
    </xf>
    <xf numFmtId="3" fontId="11" fillId="5" borderId="4" xfId="0" applyNumberFormat="1" applyFont="1" applyFill="1" applyBorder="1" applyAlignment="1">
      <alignment horizontal="center" vertical="center" wrapText="1"/>
    </xf>
    <xf numFmtId="3" fontId="82" fillId="5" borderId="0" xfId="0" applyNumberFormat="1" applyFont="1" applyFill="1" applyBorder="1" applyAlignment="1">
      <alignment horizontal="center" vertical="center" wrapText="1"/>
    </xf>
    <xf numFmtId="3" fontId="82" fillId="5" borderId="4" xfId="0" applyNumberFormat="1" applyFont="1" applyFill="1" applyBorder="1" applyAlignment="1">
      <alignment horizontal="center" vertical="center" wrapText="1"/>
    </xf>
    <xf numFmtId="3" fontId="30" fillId="5" borderId="0" xfId="0" applyNumberFormat="1" applyFont="1" applyFill="1" applyBorder="1" applyAlignment="1">
      <alignment horizontal="center" vertical="center" wrapText="1"/>
    </xf>
    <xf numFmtId="3" fontId="30" fillId="5" borderId="4" xfId="0" applyNumberFormat="1" applyFont="1" applyFill="1" applyBorder="1" applyAlignment="1">
      <alignment horizontal="center" vertical="center" wrapText="1"/>
    </xf>
    <xf numFmtId="3" fontId="82" fillId="5" borderId="4" xfId="0" applyNumberFormat="1" applyFont="1" applyFill="1" applyBorder="1" applyAlignment="1">
      <alignment vertical="center" wrapText="1"/>
    </xf>
    <xf numFmtId="0" fontId="8" fillId="5" borderId="26" xfId="0" applyFont="1" applyFill="1" applyBorder="1" applyAlignment="1">
      <alignment vertical="center" wrapText="1"/>
    </xf>
    <xf numFmtId="3" fontId="30" fillId="5" borderId="5" xfId="0" applyNumberFormat="1" applyFont="1" applyFill="1" applyBorder="1" applyAlignment="1">
      <alignment horizontal="center" vertical="center" wrapText="1"/>
    </xf>
    <xf numFmtId="3" fontId="11" fillId="5" borderId="1" xfId="0" applyNumberFormat="1" applyFont="1" applyFill="1" applyBorder="1" applyAlignment="1">
      <alignment horizontal="center" vertical="center" wrapText="1"/>
    </xf>
    <xf numFmtId="0" fontId="30" fillId="0" borderId="5" xfId="0" applyFont="1" applyFill="1" applyBorder="1" applyAlignment="1">
      <alignment horizontal="center" vertical="center" wrapText="1" readingOrder="1"/>
    </xf>
    <xf numFmtId="0" fontId="30" fillId="0" borderId="7" xfId="0" applyFont="1" applyFill="1" applyBorder="1" applyAlignment="1">
      <alignment horizontal="center" vertical="center" wrapText="1" readingOrder="1"/>
    </xf>
    <xf numFmtId="3" fontId="30" fillId="0" borderId="4" xfId="0" applyNumberFormat="1" applyFont="1" applyFill="1" applyBorder="1" applyAlignment="1">
      <alignment horizontal="center" vertical="center" wrapText="1" readingOrder="1"/>
    </xf>
    <xf numFmtId="3" fontId="30" fillId="0" borderId="6" xfId="0" applyNumberFormat="1" applyFont="1" applyFill="1" applyBorder="1" applyAlignment="1">
      <alignment horizontal="center" vertical="center" wrapText="1" readingOrder="1"/>
    </xf>
    <xf numFmtId="3" fontId="47" fillId="0" borderId="1" xfId="0" applyNumberFormat="1" applyFont="1" applyFill="1" applyBorder="1" applyAlignment="1">
      <alignment horizontal="center" vertical="center" wrapText="1" readingOrder="1"/>
    </xf>
    <xf numFmtId="0" fontId="102" fillId="2" borderId="0" xfId="0" applyFont="1" applyFill="1" applyBorder="1" applyAlignment="1">
      <alignment horizontal="center" vertical="center" readingOrder="1"/>
    </xf>
    <xf numFmtId="0" fontId="102" fillId="5" borderId="0" xfId="0" applyFont="1" applyFill="1" applyBorder="1" applyAlignment="1">
      <alignment horizontal="center" vertical="center" wrapText="1" readingOrder="1"/>
    </xf>
    <xf numFmtId="0" fontId="61" fillId="2" borderId="0" xfId="0" applyFont="1" applyFill="1" applyBorder="1" applyAlignment="1">
      <alignment vertical="center"/>
    </xf>
    <xf numFmtId="0" fontId="62" fillId="2" borderId="0" xfId="0" applyFont="1" applyFill="1" applyBorder="1" applyAlignment="1">
      <alignment horizontal="left" vertical="center"/>
    </xf>
    <xf numFmtId="0" fontId="19" fillId="0" borderId="1" xfId="0" applyFont="1" applyFill="1" applyBorder="1" applyAlignment="1">
      <alignment horizontal="center" vertical="center" wrapText="1" readingOrder="1"/>
    </xf>
    <xf numFmtId="0" fontId="79" fillId="12" borderId="0" xfId="0" applyFont="1" applyFill="1" applyBorder="1" applyAlignment="1">
      <alignment vertical="center"/>
    </xf>
    <xf numFmtId="3" fontId="32" fillId="12" borderId="0" xfId="0" applyNumberFormat="1" applyFont="1" applyFill="1" applyBorder="1" applyAlignment="1">
      <alignment horizontal="center" vertical="center"/>
    </xf>
    <xf numFmtId="0" fontId="100" fillId="2" borderId="0" xfId="0" applyFont="1" applyFill="1" applyBorder="1" applyAlignment="1">
      <alignment horizontal="center" vertical="center" wrapText="1" readingOrder="1"/>
    </xf>
    <xf numFmtId="3" fontId="11" fillId="5" borderId="9" xfId="0" applyNumberFormat="1" applyFont="1" applyFill="1" applyBorder="1" applyAlignment="1">
      <alignment horizontal="center" vertical="center" wrapText="1"/>
    </xf>
    <xf numFmtId="3" fontId="12" fillId="12" borderId="4" xfId="0" applyNumberFormat="1" applyFont="1" applyFill="1" applyBorder="1" applyAlignment="1">
      <alignment horizontal="center" vertical="center"/>
    </xf>
    <xf numFmtId="0" fontId="84" fillId="2" borderId="1" xfId="0" applyFont="1" applyFill="1" applyBorder="1" applyAlignment="1">
      <alignment horizontal="center" vertical="center" readingOrder="1"/>
    </xf>
    <xf numFmtId="3" fontId="30" fillId="5" borderId="4" xfId="0" applyNumberFormat="1" applyFont="1" applyFill="1" applyBorder="1" applyAlignment="1">
      <alignment vertical="center" wrapText="1"/>
    </xf>
    <xf numFmtId="3" fontId="30" fillId="5" borderId="6" xfId="0" applyNumberFormat="1" applyFont="1" applyFill="1" applyBorder="1" applyAlignment="1">
      <alignment vertical="center" wrapText="1"/>
    </xf>
    <xf numFmtId="3" fontId="11" fillId="5" borderId="7" xfId="0" applyNumberFormat="1" applyFont="1" applyFill="1" applyBorder="1" applyAlignment="1">
      <alignment horizontal="center" vertical="center" wrapText="1"/>
    </xf>
    <xf numFmtId="0" fontId="55" fillId="0" borderId="26" xfId="0" applyFont="1" applyFill="1" applyBorder="1" applyAlignment="1">
      <alignment horizontal="left" vertical="center" wrapText="1" indent="1"/>
    </xf>
    <xf numFmtId="0" fontId="55" fillId="0" borderId="26" xfId="0" applyFont="1" applyFill="1" applyBorder="1" applyAlignment="1">
      <alignment horizontal="left" vertical="center" indent="1"/>
    </xf>
    <xf numFmtId="0" fontId="55" fillId="0" borderId="28" xfId="0" applyFont="1" applyFill="1" applyBorder="1" applyAlignment="1">
      <alignment horizontal="left" vertical="center" wrapText="1" indent="1"/>
    </xf>
    <xf numFmtId="0" fontId="47" fillId="0" borderId="4" xfId="0" applyFont="1" applyBorder="1" applyAlignment="1">
      <alignment horizontal="center" vertical="center" wrapText="1" readingOrder="1"/>
    </xf>
    <xf numFmtId="167" fontId="47" fillId="0" borderId="4" xfId="0" applyNumberFormat="1" applyFont="1" applyBorder="1" applyAlignment="1">
      <alignment horizontal="center" vertical="center" wrapText="1" readingOrder="1"/>
    </xf>
    <xf numFmtId="1" fontId="65" fillId="0" borderId="4" xfId="0" applyNumberFormat="1" applyFont="1" applyFill="1" applyBorder="1" applyAlignment="1">
      <alignment horizontal="center" vertical="center" wrapText="1" readingOrder="1"/>
    </xf>
    <xf numFmtId="1" fontId="65" fillId="0" borderId="6" xfId="0" applyNumberFormat="1" applyFont="1" applyFill="1" applyBorder="1" applyAlignment="1">
      <alignment horizontal="center" vertical="center" wrapText="1" readingOrder="1"/>
    </xf>
    <xf numFmtId="0" fontId="105" fillId="0" borderId="2" xfId="0" applyFont="1" applyFill="1" applyBorder="1" applyAlignment="1">
      <alignment horizontal="center" vertical="center" wrapText="1"/>
    </xf>
    <xf numFmtId="0" fontId="105" fillId="0" borderId="1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8" fillId="2" borderId="26" xfId="0" applyFont="1" applyFill="1" applyBorder="1" applyAlignment="1">
      <alignment horizontal="left" vertical="center" indent="1"/>
    </xf>
    <xf numFmtId="0" fontId="62" fillId="5" borderId="8" xfId="0" applyFont="1" applyFill="1" applyBorder="1" applyAlignment="1">
      <alignment readingOrder="1"/>
    </xf>
    <xf numFmtId="0" fontId="8" fillId="5" borderId="4" xfId="0" applyFont="1" applyFill="1" applyBorder="1" applyAlignment="1">
      <alignment horizontal="left" vertical="center" readingOrder="1"/>
    </xf>
    <xf numFmtId="0" fontId="8" fillId="5" borderId="6" xfId="0" applyFont="1" applyFill="1" applyBorder="1" applyAlignment="1">
      <alignment horizontal="left" vertical="center" readingOrder="1"/>
    </xf>
    <xf numFmtId="0" fontId="8" fillId="5" borderId="8" xfId="0" applyFont="1" applyFill="1" applyBorder="1" applyAlignment="1">
      <alignment vertical="center" readingOrder="1"/>
    </xf>
    <xf numFmtId="0" fontId="8" fillId="5" borderId="4" xfId="0" applyFont="1" applyFill="1" applyBorder="1" applyAlignment="1">
      <alignment vertical="center" readingOrder="1"/>
    </xf>
    <xf numFmtId="0" fontId="8" fillId="5" borderId="6" xfId="0" applyFont="1" applyFill="1" applyBorder="1" applyAlignment="1">
      <alignment vertical="center" readingOrder="1"/>
    </xf>
    <xf numFmtId="0" fontId="8" fillId="7" borderId="26" xfId="0" applyFont="1" applyFill="1" applyBorder="1" applyAlignment="1">
      <alignment horizontal="left" vertical="center" indent="1"/>
    </xf>
    <xf numFmtId="0" fontId="8" fillId="7" borderId="28" xfId="0" applyFont="1" applyFill="1" applyBorder="1" applyAlignment="1">
      <alignment horizontal="left" vertical="center" indent="1" readingOrder="1"/>
    </xf>
    <xf numFmtId="0" fontId="8" fillId="5" borderId="0" xfId="0" applyFont="1" applyFill="1" applyBorder="1" applyAlignment="1">
      <alignment horizontal="left" vertical="center" readingOrder="1"/>
    </xf>
    <xf numFmtId="3" fontId="13" fillId="5" borderId="5" xfId="0" applyNumberFormat="1" applyFont="1" applyFill="1" applyBorder="1" applyAlignment="1">
      <alignment horizontal="center" vertical="center" wrapText="1"/>
    </xf>
    <xf numFmtId="0" fontId="84" fillId="5" borderId="1" xfId="0" applyFont="1" applyFill="1" applyBorder="1" applyAlignment="1">
      <alignment horizontal="left" vertical="center"/>
    </xf>
    <xf numFmtId="0" fontId="84" fillId="5" borderId="0" xfId="0" applyFont="1" applyFill="1" applyBorder="1" applyAlignment="1">
      <alignment horizontal="left" vertical="center"/>
    </xf>
    <xf numFmtId="0" fontId="96" fillId="7" borderId="0" xfId="0" applyFont="1" applyFill="1" applyBorder="1" applyAlignment="1">
      <alignment horizontal="left" vertical="center"/>
    </xf>
    <xf numFmtId="0" fontId="61" fillId="7" borderId="1" xfId="0" applyFont="1" applyFill="1" applyBorder="1" applyAlignment="1">
      <alignment horizontal="left" vertical="center"/>
    </xf>
    <xf numFmtId="0" fontId="61" fillId="7" borderId="1" xfId="0" applyFont="1" applyFill="1" applyBorder="1" applyAlignment="1">
      <alignment horizontal="center" vertical="center" wrapText="1" readingOrder="1"/>
    </xf>
    <xf numFmtId="0" fontId="84" fillId="0" borderId="1" xfId="0" applyFont="1" applyBorder="1" applyAlignment="1">
      <alignment horizontal="center" vertical="center" wrapText="1" readingOrder="1"/>
    </xf>
    <xf numFmtId="167" fontId="47" fillId="0" borderId="7" xfId="0" applyNumberFormat="1" applyFont="1" applyBorder="1" applyAlignment="1">
      <alignment horizontal="center" vertical="center" wrapText="1" readingOrder="1"/>
    </xf>
    <xf numFmtId="167" fontId="47" fillId="0" borderId="1" xfId="0" applyNumberFormat="1" applyFont="1" applyBorder="1" applyAlignment="1">
      <alignment horizontal="center" vertical="center" wrapText="1" readingOrder="1"/>
    </xf>
    <xf numFmtId="167" fontId="47" fillId="0" borderId="6" xfId="0" applyNumberFormat="1" applyFont="1" applyBorder="1" applyAlignment="1">
      <alignment horizontal="center" vertical="center" wrapText="1" readingOrder="1"/>
    </xf>
    <xf numFmtId="0" fontId="8" fillId="0" borderId="1" xfId="0" applyFont="1" applyBorder="1" applyAlignment="1">
      <alignment horizontal="left" vertical="center" indent="1" readingOrder="1"/>
    </xf>
    <xf numFmtId="0" fontId="62" fillId="0" borderId="28" xfId="0" applyFont="1" applyBorder="1"/>
    <xf numFmtId="3" fontId="57" fillId="5" borderId="4" xfId="0" applyNumberFormat="1" applyFont="1" applyFill="1" applyBorder="1" applyAlignment="1">
      <alignment horizontal="center" vertical="center" wrapText="1"/>
    </xf>
    <xf numFmtId="3" fontId="69" fillId="7" borderId="7" xfId="0" applyNumberFormat="1" applyFont="1" applyFill="1" applyBorder="1" applyAlignment="1">
      <alignment horizontal="center" vertical="center" wrapText="1"/>
    </xf>
    <xf numFmtId="3" fontId="66" fillId="7" borderId="6" xfId="0" applyNumberFormat="1" applyFont="1" applyFill="1" applyBorder="1" applyAlignment="1">
      <alignment horizontal="center" vertical="center" wrapText="1"/>
    </xf>
    <xf numFmtId="0" fontId="3" fillId="0" borderId="32" xfId="0" applyFont="1" applyBorder="1" applyAlignment="1">
      <alignment vertical="center"/>
    </xf>
    <xf numFmtId="0" fontId="23" fillId="0" borderId="29" xfId="0" applyFont="1" applyBorder="1" applyAlignment="1">
      <alignment vertical="center"/>
    </xf>
    <xf numFmtId="0" fontId="20" fillId="0" borderId="9" xfId="0" applyFont="1" applyBorder="1" applyAlignment="1">
      <alignment vertical="center"/>
    </xf>
    <xf numFmtId="0" fontId="25" fillId="0" borderId="8" xfId="0" applyFont="1" applyFill="1" applyBorder="1" applyAlignment="1">
      <alignment vertical="center"/>
    </xf>
    <xf numFmtId="0" fontId="9" fillId="0" borderId="9" xfId="0" applyFont="1" applyFill="1" applyBorder="1" applyAlignment="1">
      <alignment vertical="center"/>
    </xf>
    <xf numFmtId="0" fontId="3" fillId="0" borderId="25" xfId="0" applyFont="1" applyFill="1" applyBorder="1" applyAlignment="1">
      <alignment vertical="center"/>
    </xf>
    <xf numFmtId="0" fontId="20" fillId="0" borderId="24" xfId="0" applyFont="1" applyBorder="1" applyAlignment="1">
      <alignment vertical="center"/>
    </xf>
    <xf numFmtId="1" fontId="55" fillId="2" borderId="4" xfId="0" applyNumberFormat="1" applyFont="1" applyFill="1" applyBorder="1" applyAlignment="1" applyProtection="1">
      <alignment horizontal="center" vertical="center"/>
      <protection locked="0"/>
    </xf>
    <xf numFmtId="0" fontId="55" fillId="0" borderId="5" xfId="0" applyFont="1" applyBorder="1" applyAlignment="1">
      <alignment vertical="center"/>
    </xf>
    <xf numFmtId="0" fontId="9" fillId="0" borderId="4" xfId="0" applyFont="1" applyBorder="1" applyAlignment="1">
      <alignment vertical="center"/>
    </xf>
    <xf numFmtId="0" fontId="3" fillId="0" borderId="28" xfId="0" applyFont="1" applyFill="1" applyBorder="1" applyAlignment="1">
      <alignment vertical="center"/>
    </xf>
    <xf numFmtId="1" fontId="26" fillId="0" borderId="6" xfId="0" applyNumberFormat="1" applyFont="1" applyFill="1" applyBorder="1" applyAlignment="1">
      <alignment horizontal="center" vertical="center"/>
    </xf>
    <xf numFmtId="0" fontId="9" fillId="0" borderId="7" xfId="0" applyFont="1" applyBorder="1" applyAlignment="1">
      <alignment vertical="center"/>
    </xf>
    <xf numFmtId="9" fontId="11" fillId="0" borderId="4" xfId="0" applyNumberFormat="1" applyFont="1" applyFill="1" applyBorder="1" applyAlignment="1">
      <alignment horizontal="center" vertical="center"/>
    </xf>
    <xf numFmtId="1" fontId="26" fillId="0" borderId="4" xfId="0" applyNumberFormat="1" applyFont="1" applyFill="1" applyBorder="1" applyAlignment="1">
      <alignment horizontal="center" vertical="center"/>
    </xf>
    <xf numFmtId="9" fontId="57" fillId="2" borderId="4" xfId="0" applyNumberFormat="1" applyFont="1" applyFill="1" applyBorder="1" applyAlignment="1" applyProtection="1">
      <alignment horizontal="center" vertical="center"/>
      <protection locked="0"/>
    </xf>
    <xf numFmtId="1" fontId="33" fillId="0" borderId="4" xfId="0" applyNumberFormat="1" applyFont="1" applyFill="1" applyBorder="1" applyAlignment="1">
      <alignment horizontal="center" vertical="center"/>
    </xf>
    <xf numFmtId="0" fontId="23" fillId="0" borderId="5" xfId="0" applyFont="1" applyBorder="1" applyAlignment="1">
      <alignment vertical="center"/>
    </xf>
    <xf numFmtId="1" fontId="12" fillId="0" borderId="6" xfId="0" applyNumberFormat="1" applyFont="1" applyFill="1" applyBorder="1" applyAlignment="1">
      <alignment horizontal="center" vertical="center"/>
    </xf>
    <xf numFmtId="9" fontId="57" fillId="2" borderId="6" xfId="0" applyNumberFormat="1" applyFont="1" applyFill="1" applyBorder="1" applyAlignment="1" applyProtection="1">
      <alignment horizontal="center" vertical="center"/>
      <protection locked="0"/>
    </xf>
    <xf numFmtId="0" fontId="9" fillId="0" borderId="4" xfId="0" applyFont="1" applyBorder="1" applyAlignment="1">
      <alignment horizontal="center" vertical="center"/>
    </xf>
    <xf numFmtId="1" fontId="33" fillId="0" borderId="5" xfId="0" applyNumberFormat="1" applyFont="1" applyFill="1" applyBorder="1" applyAlignment="1">
      <alignment horizontal="center" vertical="center"/>
    </xf>
    <xf numFmtId="0" fontId="9" fillId="0" borderId="6" xfId="0" applyFont="1" applyBorder="1" applyAlignment="1">
      <alignment horizontal="center" vertical="center"/>
    </xf>
    <xf numFmtId="0" fontId="57" fillId="2" borderId="4" xfId="0" applyFont="1" applyFill="1" applyBorder="1" applyAlignment="1" applyProtection="1">
      <alignment horizontal="center" vertical="center"/>
      <protection locked="0"/>
    </xf>
    <xf numFmtId="0" fontId="57" fillId="2" borderId="0" xfId="0" applyFont="1" applyFill="1" applyBorder="1" applyAlignment="1" applyProtection="1">
      <alignment horizontal="center" vertical="center"/>
      <protection locked="0"/>
    </xf>
    <xf numFmtId="9" fontId="57" fillId="2" borderId="0" xfId="1" applyFont="1" applyFill="1" applyBorder="1" applyAlignment="1" applyProtection="1">
      <alignment horizontal="center" vertical="center"/>
      <protection locked="0"/>
    </xf>
    <xf numFmtId="1" fontId="27" fillId="0" borderId="7" xfId="0" applyNumberFormat="1" applyFont="1" applyFill="1" applyBorder="1" applyAlignment="1">
      <alignment horizontal="center" vertical="center"/>
    </xf>
    <xf numFmtId="0" fontId="27" fillId="0" borderId="1" xfId="0" applyFont="1" applyBorder="1" applyAlignment="1">
      <alignment vertical="center"/>
    </xf>
    <xf numFmtId="9" fontId="28" fillId="0" borderId="4" xfId="0" applyNumberFormat="1" applyFont="1" applyFill="1" applyBorder="1" applyAlignment="1">
      <alignment horizontal="center" vertical="center"/>
    </xf>
    <xf numFmtId="1" fontId="21" fillId="0" borderId="0" xfId="0" applyNumberFormat="1" applyFont="1" applyFill="1" applyBorder="1" applyAlignment="1">
      <alignment horizontal="center" vertical="center"/>
    </xf>
    <xf numFmtId="0" fontId="9" fillId="0" borderId="35" xfId="0" applyFont="1" applyBorder="1" applyAlignment="1">
      <alignment horizontal="center" vertical="center"/>
    </xf>
    <xf numFmtId="1" fontId="26" fillId="0" borderId="36" xfId="0" applyNumberFormat="1" applyFont="1" applyFill="1" applyBorder="1" applyAlignment="1">
      <alignment horizontal="center" vertical="center"/>
    </xf>
    <xf numFmtId="0" fontId="9" fillId="0" borderId="35" xfId="0" applyFont="1" applyBorder="1" applyAlignment="1">
      <alignment vertical="center"/>
    </xf>
    <xf numFmtId="9" fontId="26" fillId="0" borderId="35" xfId="0" applyNumberFormat="1" applyFont="1" applyFill="1" applyBorder="1" applyAlignment="1">
      <alignment horizontal="center" vertical="center"/>
    </xf>
    <xf numFmtId="0" fontId="16" fillId="0" borderId="30" xfId="0" applyFont="1" applyBorder="1" applyAlignment="1"/>
    <xf numFmtId="0" fontId="6" fillId="0" borderId="0" xfId="0" quotePrefix="1" applyFont="1" applyBorder="1" applyAlignment="1">
      <alignment vertical="center"/>
    </xf>
    <xf numFmtId="0" fontId="57" fillId="2" borderId="6" xfId="0" applyFont="1" applyFill="1" applyBorder="1" applyAlignment="1" applyProtection="1">
      <alignment horizontal="center" vertical="center"/>
      <protection locked="0"/>
    </xf>
    <xf numFmtId="0" fontId="108" fillId="0" borderId="26" xfId="0" applyFont="1" applyBorder="1" applyAlignment="1">
      <alignment horizontal="center" vertical="center"/>
    </xf>
    <xf numFmtId="0" fontId="109" fillId="0" borderId="1" xfId="0" applyFont="1" applyBorder="1" applyAlignment="1">
      <alignment horizontal="center" vertical="center"/>
    </xf>
    <xf numFmtId="166" fontId="19" fillId="0" borderId="6" xfId="0" applyNumberFormat="1" applyFont="1" applyFill="1" applyBorder="1" applyAlignment="1">
      <alignment horizontal="center" vertical="center"/>
    </xf>
    <xf numFmtId="166" fontId="19" fillId="0" borderId="1" xfId="0" applyNumberFormat="1" applyFont="1" applyFill="1" applyBorder="1" applyAlignment="1">
      <alignment horizontal="center" vertical="center"/>
    </xf>
    <xf numFmtId="166" fontId="47" fillId="0" borderId="1" xfId="0" applyNumberFormat="1" applyFont="1" applyFill="1" applyBorder="1" applyAlignment="1">
      <alignment horizontal="center" vertical="center"/>
    </xf>
    <xf numFmtId="0" fontId="110" fillId="0" borderId="1" xfId="0" applyFont="1" applyBorder="1" applyAlignment="1">
      <alignment horizontal="center" vertical="center"/>
    </xf>
    <xf numFmtId="0" fontId="110" fillId="0" borderId="28" xfId="0" applyFont="1" applyBorder="1" applyAlignment="1">
      <alignment horizontal="center" vertical="center"/>
    </xf>
    <xf numFmtId="0" fontId="0" fillId="0" borderId="24" xfId="0" applyBorder="1"/>
    <xf numFmtId="0" fontId="0" fillId="0" borderId="33" xfId="0" applyBorder="1"/>
    <xf numFmtId="0" fontId="0" fillId="0" borderId="34" xfId="0" applyBorder="1"/>
    <xf numFmtId="0" fontId="0" fillId="0" borderId="37" xfId="0" applyBorder="1"/>
    <xf numFmtId="0" fontId="3" fillId="0" borderId="1" xfId="0" applyFont="1" applyBorder="1" applyAlignment="1">
      <alignment horizontal="center" vertical="center"/>
    </xf>
    <xf numFmtId="164" fontId="57" fillId="2" borderId="0" xfId="0" applyNumberFormat="1" applyFont="1" applyFill="1" applyBorder="1" applyAlignment="1" applyProtection="1">
      <alignment horizontal="center" vertical="center"/>
      <protection locked="0"/>
    </xf>
    <xf numFmtId="164" fontId="57" fillId="2" borderId="1" xfId="0" applyNumberFormat="1" applyFont="1" applyFill="1" applyBorder="1" applyAlignment="1" applyProtection="1">
      <alignment horizontal="center" vertical="center"/>
      <protection locked="0"/>
    </xf>
    <xf numFmtId="171" fontId="57" fillId="11" borderId="18" xfId="0" applyNumberFormat="1" applyFont="1" applyFill="1" applyBorder="1" applyAlignment="1">
      <alignment horizontal="center" vertical="center"/>
    </xf>
    <xf numFmtId="9" fontId="58" fillId="0" borderId="4" xfId="1" applyFont="1" applyFill="1" applyBorder="1" applyAlignment="1" applyProtection="1">
      <alignment horizontal="center" vertical="center"/>
      <protection locked="0"/>
    </xf>
    <xf numFmtId="9" fontId="55" fillId="0" borderId="4" xfId="1" applyFont="1" applyFill="1" applyBorder="1" applyAlignment="1" applyProtection="1">
      <alignment horizontal="center" vertical="center"/>
      <protection locked="0"/>
    </xf>
    <xf numFmtId="0" fontId="9" fillId="0" borderId="11" xfId="0" applyFont="1" applyBorder="1" applyAlignment="1">
      <alignment vertical="center"/>
    </xf>
    <xf numFmtId="0" fontId="17" fillId="11" borderId="11" xfId="0" applyFont="1" applyFill="1" applyBorder="1" applyAlignment="1">
      <alignment horizontal="center" vertical="center"/>
    </xf>
    <xf numFmtId="0" fontId="9" fillId="0" borderId="2" xfId="0" applyFont="1" applyBorder="1" applyAlignment="1">
      <alignment horizontal="center" vertical="center"/>
    </xf>
    <xf numFmtId="1" fontId="32" fillId="0" borderId="3" xfId="0" applyNumberFormat="1" applyFont="1" applyFill="1" applyBorder="1" applyAlignment="1">
      <alignment horizontal="center" vertical="center"/>
    </xf>
    <xf numFmtId="0" fontId="17" fillId="0" borderId="11" xfId="0" applyFont="1" applyBorder="1" applyAlignment="1">
      <alignment vertical="center"/>
    </xf>
    <xf numFmtId="0" fontId="8" fillId="4" borderId="0" xfId="0" quotePrefix="1" applyFont="1" applyFill="1" applyBorder="1" applyAlignment="1">
      <alignment vertical="center"/>
    </xf>
    <xf numFmtId="0" fontId="8" fillId="5" borderId="0" xfId="0" quotePrefix="1" applyFont="1" applyFill="1" applyBorder="1" applyAlignment="1">
      <alignment vertical="center"/>
    </xf>
    <xf numFmtId="0" fontId="3" fillId="5" borderId="26" xfId="0" applyFont="1" applyFill="1" applyBorder="1" applyAlignment="1">
      <alignment vertical="center"/>
    </xf>
    <xf numFmtId="0" fontId="28" fillId="2" borderId="0" xfId="0" applyFont="1" applyFill="1" applyBorder="1" applyAlignment="1" applyProtection="1">
      <alignment horizontal="center" vertical="center"/>
      <protection locked="0"/>
    </xf>
    <xf numFmtId="9" fontId="28" fillId="2" borderId="0" xfId="1" applyFont="1" applyFill="1" applyBorder="1" applyAlignment="1" applyProtection="1">
      <alignment horizontal="center" vertical="center"/>
      <protection locked="0"/>
    </xf>
    <xf numFmtId="0" fontId="8" fillId="12" borderId="4" xfId="0" applyFont="1" applyFill="1" applyBorder="1" applyAlignment="1">
      <alignment horizontal="left" vertical="center" indent="1"/>
    </xf>
    <xf numFmtId="0" fontId="0" fillId="0" borderId="34" xfId="0" applyBorder="1" applyAlignment="1">
      <alignment horizontal="center"/>
    </xf>
    <xf numFmtId="0" fontId="75" fillId="0" borderId="34" xfId="0" applyFont="1" applyBorder="1" applyAlignment="1">
      <alignment vertical="center"/>
    </xf>
    <xf numFmtId="0" fontId="23" fillId="0" borderId="24" xfId="0" applyFont="1" applyBorder="1" applyAlignment="1">
      <alignment vertical="center"/>
    </xf>
    <xf numFmtId="0" fontId="25" fillId="0" borderId="4" xfId="0" applyFont="1" applyFill="1" applyBorder="1" applyAlignment="1">
      <alignment vertical="center"/>
    </xf>
    <xf numFmtId="0" fontId="7" fillId="13" borderId="2" xfId="0" applyFont="1" applyFill="1" applyBorder="1" applyAlignment="1">
      <alignment horizontal="center" vertical="center"/>
    </xf>
    <xf numFmtId="0" fontId="7" fillId="13" borderId="3" xfId="0" applyFont="1" applyFill="1" applyBorder="1" applyAlignment="1">
      <alignment horizontal="center" vertical="center"/>
    </xf>
    <xf numFmtId="2" fontId="42" fillId="13" borderId="4" xfId="0" applyNumberFormat="1" applyFont="1" applyFill="1" applyBorder="1" applyAlignment="1">
      <alignment horizontal="center" vertical="center"/>
    </xf>
    <xf numFmtId="0" fontId="47" fillId="13" borderId="9" xfId="0" applyFont="1" applyFill="1" applyBorder="1" applyAlignment="1">
      <alignment horizontal="center" vertical="center" wrapText="1" readingOrder="1"/>
    </xf>
    <xf numFmtId="0" fontId="47" fillId="13" borderId="0" xfId="0" applyFont="1" applyFill="1" applyBorder="1" applyAlignment="1">
      <alignment horizontal="center" vertical="center" wrapText="1" readingOrder="1"/>
    </xf>
    <xf numFmtId="1" fontId="42" fillId="13" borderId="6" xfId="0" applyNumberFormat="1" applyFont="1" applyFill="1" applyBorder="1" applyAlignment="1">
      <alignment horizontal="center" vertical="center"/>
    </xf>
    <xf numFmtId="167" fontId="47" fillId="13" borderId="1" xfId="0" applyNumberFormat="1" applyFont="1" applyFill="1" applyBorder="1" applyAlignment="1">
      <alignment horizontal="center" vertical="center" wrapText="1" readingOrder="1"/>
    </xf>
    <xf numFmtId="3" fontId="30" fillId="13" borderId="4" xfId="0" applyNumberFormat="1" applyFont="1" applyFill="1" applyBorder="1" applyAlignment="1">
      <alignment horizontal="center" vertical="center" wrapText="1" readingOrder="1"/>
    </xf>
    <xf numFmtId="0" fontId="30" fillId="13" borderId="5" xfId="0" applyFont="1" applyFill="1" applyBorder="1" applyAlignment="1">
      <alignment horizontal="center" vertical="center" wrapText="1" readingOrder="1"/>
    </xf>
    <xf numFmtId="3" fontId="30" fillId="13" borderId="6" xfId="0" applyNumberFormat="1" applyFont="1" applyFill="1" applyBorder="1" applyAlignment="1">
      <alignment horizontal="center" vertical="center" wrapText="1" readingOrder="1"/>
    </xf>
    <xf numFmtId="0" fontId="30" fillId="13" borderId="7" xfId="0" applyFont="1" applyFill="1" applyBorder="1" applyAlignment="1">
      <alignment horizontal="center" vertical="center" wrapText="1" readingOrder="1"/>
    </xf>
    <xf numFmtId="0" fontId="32" fillId="13" borderId="2" xfId="0" applyFont="1" applyFill="1" applyBorder="1" applyAlignment="1">
      <alignment horizontal="center" vertical="center" wrapText="1" readingOrder="1"/>
    </xf>
    <xf numFmtId="0" fontId="19" fillId="13" borderId="3" xfId="0" applyFont="1" applyFill="1" applyBorder="1" applyAlignment="1">
      <alignment horizontal="center" vertical="center" wrapText="1" readingOrder="1"/>
    </xf>
    <xf numFmtId="0" fontId="79" fillId="13" borderId="8" xfId="0" applyFont="1" applyFill="1" applyBorder="1" applyAlignment="1">
      <alignment vertical="center"/>
    </xf>
    <xf numFmtId="0" fontId="79" fillId="13" borderId="10" xfId="0" applyFont="1" applyFill="1" applyBorder="1" applyAlignment="1">
      <alignment vertical="center"/>
    </xf>
    <xf numFmtId="3" fontId="12" fillId="13" borderId="4" xfId="0" applyNumberFormat="1" applyFont="1" applyFill="1" applyBorder="1" applyAlignment="1">
      <alignment horizontal="center" vertical="center"/>
    </xf>
    <xf numFmtId="3" fontId="32" fillId="13" borderId="5" xfId="0" applyNumberFormat="1" applyFont="1" applyFill="1" applyBorder="1" applyAlignment="1">
      <alignment horizontal="center" vertical="center"/>
    </xf>
    <xf numFmtId="3" fontId="43" fillId="13" borderId="4" xfId="0" applyNumberFormat="1" applyFont="1" applyFill="1" applyBorder="1" applyAlignment="1">
      <alignment horizontal="center" vertical="center"/>
    </xf>
    <xf numFmtId="3" fontId="47" fillId="13" borderId="0" xfId="0" applyNumberFormat="1" applyFont="1" applyFill="1" applyBorder="1" applyAlignment="1">
      <alignment horizontal="center" vertical="center"/>
    </xf>
    <xf numFmtId="2" fontId="99" fillId="13" borderId="4" xfId="0" applyNumberFormat="1" applyFont="1" applyFill="1" applyBorder="1" applyAlignment="1">
      <alignment horizontal="center" vertical="center" wrapText="1" readingOrder="1"/>
    </xf>
    <xf numFmtId="0" fontId="100" fillId="13" borderId="0" xfId="0" quotePrefix="1" applyFont="1" applyFill="1" applyBorder="1" applyAlignment="1">
      <alignment horizontal="center" vertical="center" wrapText="1" readingOrder="1"/>
    </xf>
    <xf numFmtId="3" fontId="82" fillId="13" borderId="4" xfId="0" applyNumberFormat="1" applyFont="1" applyFill="1" applyBorder="1" applyAlignment="1">
      <alignment horizontal="center" vertical="center" wrapText="1" readingOrder="1"/>
    </xf>
    <xf numFmtId="3" fontId="101" fillId="13" borderId="0" xfId="0" applyNumberFormat="1" applyFont="1" applyFill="1" applyBorder="1" applyAlignment="1">
      <alignment horizontal="center" vertical="center" wrapText="1" readingOrder="1"/>
    </xf>
    <xf numFmtId="3" fontId="101" fillId="13" borderId="4" xfId="0" applyNumberFormat="1" applyFont="1" applyFill="1" applyBorder="1" applyAlignment="1">
      <alignment horizontal="center" vertical="center" wrapText="1" readingOrder="1"/>
    </xf>
    <xf numFmtId="3" fontId="30" fillId="13" borderId="0" xfId="0" applyNumberFormat="1" applyFont="1" applyFill="1" applyBorder="1" applyAlignment="1">
      <alignment horizontal="center" vertical="center" wrapText="1" readingOrder="1"/>
    </xf>
    <xf numFmtId="3" fontId="11" fillId="13" borderId="4" xfId="0" applyNumberFormat="1" applyFont="1" applyFill="1" applyBorder="1" applyAlignment="1">
      <alignment horizontal="center" vertical="center" wrapText="1" readingOrder="1"/>
    </xf>
    <xf numFmtId="3" fontId="11" fillId="13" borderId="0" xfId="0" applyNumberFormat="1" applyFont="1" applyFill="1" applyBorder="1" applyAlignment="1">
      <alignment horizontal="center" vertical="center" wrapText="1" readingOrder="1"/>
    </xf>
    <xf numFmtId="3" fontId="13" fillId="13" borderId="0" xfId="0" applyNumberFormat="1" applyFont="1" applyFill="1" applyBorder="1" applyAlignment="1">
      <alignment horizontal="center" vertical="center" wrapText="1" readingOrder="1"/>
    </xf>
    <xf numFmtId="3" fontId="12" fillId="13" borderId="4" xfId="0" applyNumberFormat="1" applyFont="1" applyFill="1" applyBorder="1" applyAlignment="1">
      <alignment horizontal="center" vertical="center" wrapText="1" readingOrder="1"/>
    </xf>
    <xf numFmtId="3" fontId="32" fillId="13" borderId="0" xfId="0" applyNumberFormat="1" applyFont="1" applyFill="1" applyBorder="1" applyAlignment="1">
      <alignment horizontal="center" vertical="center" wrapText="1" readingOrder="1"/>
    </xf>
    <xf numFmtId="3" fontId="11" fillId="13" borderId="6" xfId="0" applyNumberFormat="1" applyFont="1" applyFill="1" applyBorder="1" applyAlignment="1">
      <alignment horizontal="center" vertical="center" wrapText="1" readingOrder="1"/>
    </xf>
    <xf numFmtId="3" fontId="11" fillId="13" borderId="1" xfId="0" applyNumberFormat="1" applyFont="1" applyFill="1" applyBorder="1" applyAlignment="1">
      <alignment horizontal="center" vertical="center" wrapText="1" readingOrder="1"/>
    </xf>
    <xf numFmtId="0" fontId="62" fillId="13" borderId="8" xfId="0" applyFont="1" applyFill="1" applyBorder="1"/>
    <xf numFmtId="0" fontId="62" fillId="13" borderId="10" xfId="0" applyFont="1" applyFill="1" applyBorder="1"/>
    <xf numFmtId="3" fontId="11" fillId="13" borderId="4" xfId="0" applyNumberFormat="1" applyFont="1" applyFill="1" applyBorder="1" applyAlignment="1">
      <alignment horizontal="center" vertical="center" wrapText="1"/>
    </xf>
    <xf numFmtId="3" fontId="13" fillId="13" borderId="5" xfId="0" applyNumberFormat="1" applyFont="1" applyFill="1" applyBorder="1" applyAlignment="1">
      <alignment horizontal="center" vertical="center" wrapText="1"/>
    </xf>
    <xf numFmtId="3" fontId="65" fillId="13" borderId="4" xfId="0" applyNumberFormat="1" applyFont="1" applyFill="1" applyBorder="1" applyAlignment="1">
      <alignment vertical="center" wrapText="1"/>
    </xf>
    <xf numFmtId="3" fontId="11" fillId="13" borderId="0" xfId="0" applyNumberFormat="1" applyFont="1" applyFill="1" applyBorder="1" applyAlignment="1">
      <alignment horizontal="center" vertical="center" wrapText="1"/>
    </xf>
    <xf numFmtId="3" fontId="11" fillId="13" borderId="7" xfId="0" applyNumberFormat="1" applyFont="1" applyFill="1" applyBorder="1" applyAlignment="1">
      <alignment horizontal="center" vertical="center" wrapText="1" readingOrder="1"/>
    </xf>
    <xf numFmtId="3" fontId="82" fillId="13" borderId="8" xfId="0" applyNumberFormat="1" applyFont="1" applyFill="1" applyBorder="1" applyAlignment="1">
      <alignment vertical="center" wrapText="1"/>
    </xf>
    <xf numFmtId="3" fontId="11" fillId="13" borderId="10" xfId="0" applyNumberFormat="1" applyFont="1" applyFill="1" applyBorder="1" applyAlignment="1">
      <alignment horizontal="center" vertical="center" wrapText="1"/>
    </xf>
    <xf numFmtId="3" fontId="82" fillId="13" borderId="4" xfId="0" applyNumberFormat="1" applyFont="1" applyFill="1" applyBorder="1" applyAlignment="1">
      <alignment horizontal="center" vertical="center" wrapText="1"/>
    </xf>
    <xf numFmtId="3" fontId="30" fillId="13" borderId="5" xfId="0" applyNumberFormat="1" applyFont="1" applyFill="1" applyBorder="1" applyAlignment="1">
      <alignment horizontal="center" vertical="center" wrapText="1"/>
    </xf>
    <xf numFmtId="3" fontId="82" fillId="13" borderId="6" xfId="0" applyNumberFormat="1" applyFont="1" applyFill="1" applyBorder="1" applyAlignment="1">
      <alignment horizontal="center" vertical="center" wrapText="1"/>
    </xf>
    <xf numFmtId="3" fontId="11" fillId="13" borderId="1" xfId="0" applyNumberFormat="1" applyFont="1" applyFill="1" applyBorder="1" applyAlignment="1">
      <alignment horizontal="center" vertical="center" wrapText="1"/>
    </xf>
    <xf numFmtId="3" fontId="26" fillId="13" borderId="4" xfId="0" applyNumberFormat="1" applyFont="1" applyFill="1" applyBorder="1" applyAlignment="1">
      <alignment horizontal="center" vertical="center" wrapText="1"/>
    </xf>
    <xf numFmtId="3" fontId="13" fillId="13" borderId="0" xfId="0" applyNumberFormat="1" applyFont="1" applyFill="1" applyBorder="1" applyAlignment="1">
      <alignment horizontal="center" vertical="center" wrapText="1"/>
    </xf>
    <xf numFmtId="1" fontId="26" fillId="13" borderId="4" xfId="0" applyNumberFormat="1" applyFont="1" applyFill="1" applyBorder="1" applyAlignment="1">
      <alignment horizontal="center" vertical="center" wrapText="1"/>
    </xf>
    <xf numFmtId="3" fontId="66" fillId="13" borderId="6" xfId="0" applyNumberFormat="1" applyFont="1" applyFill="1" applyBorder="1" applyAlignment="1">
      <alignment horizontal="center" vertical="center" wrapText="1"/>
    </xf>
    <xf numFmtId="3" fontId="69" fillId="13" borderId="7" xfId="0" applyNumberFormat="1" applyFont="1" applyFill="1" applyBorder="1" applyAlignment="1">
      <alignment horizontal="center" vertical="center" wrapText="1"/>
    </xf>
    <xf numFmtId="0" fontId="78" fillId="0" borderId="26" xfId="0" applyFont="1" applyBorder="1"/>
    <xf numFmtId="0" fontId="6" fillId="0" borderId="0" xfId="0" applyFont="1" applyAlignment="1">
      <alignment horizontal="center" vertical="center"/>
    </xf>
    <xf numFmtId="0" fontId="6" fillId="0" borderId="1" xfId="0" applyFont="1" applyBorder="1" applyAlignment="1">
      <alignment horizontal="center" vertical="center"/>
    </xf>
    <xf numFmtId="3" fontId="31" fillId="4" borderId="6" xfId="0" applyNumberFormat="1" applyFont="1" applyFill="1" applyBorder="1" applyAlignment="1">
      <alignment horizontal="center" vertical="center"/>
    </xf>
    <xf numFmtId="0" fontId="30" fillId="0" borderId="1" xfId="0" applyFont="1" applyBorder="1" applyAlignment="1">
      <alignment horizontal="center" vertical="center" wrapText="1" readingOrder="1"/>
    </xf>
    <xf numFmtId="0" fontId="95" fillId="0" borderId="24" xfId="0" applyFont="1" applyBorder="1" applyAlignment="1">
      <alignment horizontal="center" vertical="center" textRotation="90" wrapText="1"/>
    </xf>
    <xf numFmtId="0" fontId="95" fillId="0" borderId="0" xfId="0" applyFont="1" applyBorder="1" applyAlignment="1">
      <alignment horizontal="center" vertical="center" textRotation="90" wrapText="1"/>
    </xf>
    <xf numFmtId="0" fontId="84" fillId="0" borderId="11" xfId="0" applyFont="1" applyBorder="1" applyAlignment="1">
      <alignment horizontal="center" vertical="center" wrapText="1" readingOrder="1"/>
    </xf>
    <xf numFmtId="2" fontId="42" fillId="4" borderId="2" xfId="0" applyNumberFormat="1" applyFont="1" applyFill="1" applyBorder="1" applyAlignment="1">
      <alignment horizontal="center" vertical="center"/>
    </xf>
    <xf numFmtId="0" fontId="47" fillId="0" borderId="3" xfId="0" applyFont="1" applyBorder="1" applyAlignment="1">
      <alignment horizontal="center" vertical="center" wrapText="1" readingOrder="1"/>
    </xf>
    <xf numFmtId="0" fontId="47" fillId="0" borderId="11" xfId="0" applyFont="1" applyBorder="1" applyAlignment="1">
      <alignment horizontal="center" vertical="center" wrapText="1" readingOrder="1"/>
    </xf>
    <xf numFmtId="2" fontId="31" fillId="4" borderId="2" xfId="0" applyNumberFormat="1" applyFont="1" applyFill="1" applyBorder="1" applyAlignment="1">
      <alignment horizontal="center" vertical="center"/>
    </xf>
    <xf numFmtId="0" fontId="30" fillId="0" borderId="11" xfId="0" applyFont="1" applyBorder="1" applyAlignment="1">
      <alignment horizontal="center" vertical="center" wrapText="1" readingOrder="1"/>
    </xf>
    <xf numFmtId="0" fontId="30" fillId="0" borderId="0" xfId="0" applyFont="1" applyFill="1" applyBorder="1" applyAlignment="1">
      <alignment horizontal="center" vertical="center" wrapText="1" readingOrder="1"/>
    </xf>
    <xf numFmtId="2" fontId="31" fillId="4" borderId="11" xfId="0" applyNumberFormat="1" applyFont="1" applyFill="1" applyBorder="1" applyAlignment="1">
      <alignment horizontal="center" vertical="center"/>
    </xf>
    <xf numFmtId="3" fontId="31" fillId="4" borderId="1" xfId="0" applyNumberFormat="1" applyFont="1" applyFill="1" applyBorder="1" applyAlignment="1">
      <alignment horizontal="center" vertical="center"/>
    </xf>
    <xf numFmtId="3" fontId="30" fillId="0" borderId="0" xfId="0" applyNumberFormat="1" applyFont="1" applyFill="1" applyBorder="1" applyAlignment="1">
      <alignment horizontal="center" vertical="center" wrapText="1" readingOrder="1"/>
    </xf>
    <xf numFmtId="0" fontId="7" fillId="5" borderId="62" xfId="0" applyFont="1" applyFill="1" applyBorder="1" applyAlignment="1">
      <alignment horizontal="center" vertical="center"/>
    </xf>
    <xf numFmtId="0" fontId="7" fillId="5" borderId="89" xfId="0" applyFont="1" applyFill="1" applyBorder="1" applyAlignment="1">
      <alignment horizontal="center" vertical="center"/>
    </xf>
    <xf numFmtId="2" fontId="31" fillId="5" borderId="62" xfId="0" applyNumberFormat="1" applyFont="1" applyFill="1" applyBorder="1" applyAlignment="1">
      <alignment horizontal="center" vertical="center"/>
    </xf>
    <xf numFmtId="0" fontId="30" fillId="5" borderId="89" xfId="0" applyFont="1" applyFill="1" applyBorder="1" applyAlignment="1">
      <alignment horizontal="center" vertical="center" wrapText="1" readingOrder="1"/>
    </xf>
    <xf numFmtId="0" fontId="62" fillId="0" borderId="24" xfId="0" applyFont="1" applyFill="1" applyBorder="1"/>
    <xf numFmtId="0" fontId="62" fillId="0" borderId="0" xfId="0" applyFont="1" applyFill="1" applyBorder="1"/>
    <xf numFmtId="0" fontId="79" fillId="0" borderId="31" xfId="0" applyFont="1" applyFill="1" applyBorder="1" applyAlignment="1">
      <alignment vertical="center"/>
    </xf>
    <xf numFmtId="0" fontId="62" fillId="0" borderId="0" xfId="0" applyFont="1" applyFill="1" applyBorder="1" applyAlignment="1">
      <alignment horizontal="left" vertical="center"/>
    </xf>
    <xf numFmtId="3" fontId="12" fillId="0" borderId="0" xfId="0" applyNumberFormat="1" applyFont="1" applyFill="1" applyBorder="1" applyAlignment="1">
      <alignment horizontal="center" vertical="center"/>
    </xf>
    <xf numFmtId="3" fontId="32" fillId="0" borderId="0" xfId="0" applyNumberFormat="1" applyFont="1" applyFill="1" applyBorder="1" applyAlignment="1">
      <alignment horizontal="center" vertical="center"/>
    </xf>
    <xf numFmtId="3" fontId="60" fillId="0" borderId="0" xfId="0" applyNumberFormat="1" applyFont="1" applyFill="1" applyBorder="1" applyAlignment="1">
      <alignment horizontal="center" vertical="center" wrapText="1"/>
    </xf>
    <xf numFmtId="3" fontId="47" fillId="0" borderId="0" xfId="0" applyNumberFormat="1" applyFont="1" applyFill="1" applyBorder="1" applyAlignment="1">
      <alignment horizontal="center" vertical="center"/>
    </xf>
    <xf numFmtId="2" fontId="99" fillId="0" borderId="0" xfId="0" applyNumberFormat="1" applyFont="1" applyFill="1" applyBorder="1" applyAlignment="1">
      <alignment horizontal="center" vertical="center" wrapText="1" readingOrder="1"/>
    </xf>
    <xf numFmtId="0" fontId="100" fillId="0" borderId="0" xfId="0" quotePrefix="1" applyFont="1" applyFill="1" applyBorder="1" applyAlignment="1">
      <alignment horizontal="center" vertical="center" wrapText="1" readingOrder="1"/>
    </xf>
    <xf numFmtId="0" fontId="100" fillId="0" borderId="0" xfId="0" applyFont="1" applyFill="1" applyBorder="1" applyAlignment="1">
      <alignment horizontal="center" vertical="center" wrapText="1" readingOrder="1"/>
    </xf>
    <xf numFmtId="0" fontId="8" fillId="0" borderId="26" xfId="0" applyFont="1" applyFill="1" applyBorder="1" applyAlignment="1">
      <alignment vertical="center" wrapText="1" readingOrder="1"/>
    </xf>
    <xf numFmtId="3" fontId="82" fillId="0" borderId="0" xfId="0" applyNumberFormat="1" applyFont="1" applyFill="1" applyBorder="1" applyAlignment="1">
      <alignment horizontal="center" vertical="center" wrapText="1" readingOrder="1"/>
    </xf>
    <xf numFmtId="3" fontId="101" fillId="0" borderId="0" xfId="0" applyNumberFormat="1" applyFont="1" applyFill="1" applyBorder="1" applyAlignment="1">
      <alignment horizontal="center" vertical="center" wrapText="1" readingOrder="1"/>
    </xf>
    <xf numFmtId="3" fontId="11" fillId="0" borderId="0" xfId="0" applyNumberFormat="1" applyFont="1" applyFill="1" applyBorder="1" applyAlignment="1">
      <alignment horizontal="center" vertical="center" wrapText="1" readingOrder="1"/>
    </xf>
    <xf numFmtId="3" fontId="22" fillId="0" borderId="0" xfId="0" applyNumberFormat="1" applyFont="1" applyFill="1" applyBorder="1" applyAlignment="1">
      <alignment horizontal="center" vertical="center" wrapText="1" readingOrder="1"/>
    </xf>
    <xf numFmtId="3" fontId="12" fillId="0" borderId="0" xfId="0" applyNumberFormat="1" applyFont="1" applyFill="1" applyBorder="1" applyAlignment="1">
      <alignment horizontal="center" vertical="center" wrapText="1" readingOrder="1"/>
    </xf>
    <xf numFmtId="3" fontId="32" fillId="0" borderId="0" xfId="0" applyNumberFormat="1" applyFont="1" applyFill="1" applyBorder="1" applyAlignment="1">
      <alignment horizontal="center" vertical="center" wrapText="1" readingOrder="1"/>
    </xf>
    <xf numFmtId="3" fontId="60" fillId="0" borderId="6" xfId="0" applyNumberFormat="1" applyFont="1" applyFill="1" applyBorder="1" applyAlignment="1">
      <alignment horizontal="center" vertical="center" wrapText="1"/>
    </xf>
    <xf numFmtId="3" fontId="60" fillId="0" borderId="1" xfId="0" applyNumberFormat="1" applyFont="1" applyFill="1" applyBorder="1" applyAlignment="1">
      <alignment horizontal="center" vertical="center" wrapText="1"/>
    </xf>
    <xf numFmtId="3" fontId="60" fillId="6" borderId="1" xfId="0" applyNumberFormat="1" applyFont="1" applyFill="1" applyBorder="1" applyAlignment="1">
      <alignment horizontal="center" vertical="center" wrapText="1"/>
    </xf>
    <xf numFmtId="3" fontId="60" fillId="6" borderId="7" xfId="0" applyNumberFormat="1" applyFont="1" applyFill="1" applyBorder="1" applyAlignment="1">
      <alignment horizontal="center" vertical="center" wrapText="1"/>
    </xf>
    <xf numFmtId="0" fontId="62" fillId="0" borderId="30" xfId="0" applyFont="1" applyFill="1" applyBorder="1"/>
    <xf numFmtId="0" fontId="62" fillId="0" borderId="31" xfId="0" applyFont="1" applyFill="1" applyBorder="1"/>
    <xf numFmtId="0" fontId="79" fillId="0" borderId="31" xfId="0" applyFont="1" applyFill="1" applyBorder="1" applyAlignment="1">
      <alignment horizontal="center" vertical="center" wrapText="1"/>
    </xf>
    <xf numFmtId="0" fontId="62" fillId="0" borderId="33" xfId="0" applyFont="1" applyFill="1" applyBorder="1"/>
    <xf numFmtId="0" fontId="62" fillId="0" borderId="34" xfId="0" applyFont="1" applyFill="1" applyBorder="1"/>
    <xf numFmtId="0" fontId="62" fillId="0" borderId="34" xfId="0" applyFont="1" applyFill="1" applyBorder="1" applyAlignment="1">
      <alignment horizontal="left" vertical="center"/>
    </xf>
    <xf numFmtId="0" fontId="84" fillId="0" borderId="34" xfId="0" applyFont="1" applyFill="1" applyBorder="1" applyAlignment="1">
      <alignment horizontal="center" vertical="center" readingOrder="1"/>
    </xf>
    <xf numFmtId="3" fontId="60" fillId="0" borderId="21" xfId="0" applyNumberFormat="1" applyFont="1" applyFill="1" applyBorder="1" applyAlignment="1">
      <alignment horizontal="center" vertical="center" wrapText="1"/>
    </xf>
    <xf numFmtId="3" fontId="11" fillId="0" borderId="34" xfId="0" applyNumberFormat="1" applyFont="1" applyFill="1" applyBorder="1" applyAlignment="1">
      <alignment horizontal="center" vertical="center" wrapText="1" readingOrder="1"/>
    </xf>
    <xf numFmtId="0" fontId="6" fillId="0" borderId="37" xfId="0" applyFont="1" applyFill="1" applyBorder="1" applyAlignment="1">
      <alignment horizontal="left" vertical="center" wrapText="1" readingOrder="1"/>
    </xf>
    <xf numFmtId="0" fontId="8" fillId="0" borderId="0" xfId="0" applyFont="1" applyFill="1" applyBorder="1" applyAlignment="1">
      <alignment horizontal="left" vertical="center" indent="1"/>
    </xf>
    <xf numFmtId="0" fontId="8" fillId="0" borderId="34" xfId="0" applyFont="1" applyFill="1" applyBorder="1" applyAlignment="1">
      <alignment horizontal="left" vertical="center" indent="1"/>
    </xf>
    <xf numFmtId="0" fontId="62" fillId="0" borderId="0" xfId="0" applyFont="1" applyFill="1"/>
    <xf numFmtId="0" fontId="62" fillId="0" borderId="26" xfId="0" applyFont="1" applyFill="1" applyBorder="1"/>
    <xf numFmtId="3" fontId="13" fillId="0" borderId="0" xfId="0" applyNumberFormat="1" applyFont="1" applyFill="1" applyBorder="1" applyAlignment="1">
      <alignment horizontal="center" vertical="center" wrapText="1"/>
    </xf>
    <xf numFmtId="0" fontId="8" fillId="0" borderId="0" xfId="0" applyFont="1" applyFill="1" applyBorder="1" applyAlignment="1">
      <alignment horizontal="left" vertical="center" readingOrder="1"/>
    </xf>
    <xf numFmtId="3" fontId="65" fillId="0" borderId="0" xfId="0" applyNumberFormat="1" applyFont="1" applyFill="1" applyBorder="1" applyAlignment="1">
      <alignment horizontal="center" vertical="center" wrapText="1"/>
    </xf>
    <xf numFmtId="0" fontId="8" fillId="0" borderId="26" xfId="0" applyFont="1" applyFill="1" applyBorder="1" applyAlignment="1">
      <alignment horizontal="left" vertical="center" wrapText="1"/>
    </xf>
    <xf numFmtId="3" fontId="30" fillId="0" borderId="0" xfId="0" applyNumberFormat="1" applyFont="1" applyFill="1" applyBorder="1" applyAlignment="1">
      <alignment horizontal="center" vertical="center" wrapText="1"/>
    </xf>
    <xf numFmtId="3" fontId="82" fillId="0" borderId="0" xfId="0" applyNumberFormat="1" applyFont="1" applyFill="1" applyBorder="1" applyAlignment="1">
      <alignment horizontal="center" vertical="center" wrapText="1"/>
    </xf>
    <xf numFmtId="3" fontId="30" fillId="0" borderId="5" xfId="0" applyNumberFormat="1" applyFont="1" applyFill="1" applyBorder="1" applyAlignment="1">
      <alignment horizontal="center" vertical="center" wrapText="1"/>
    </xf>
    <xf numFmtId="0" fontId="8" fillId="0" borderId="26" xfId="0" applyFont="1" applyFill="1" applyBorder="1" applyAlignment="1">
      <alignment vertical="center" wrapText="1"/>
    </xf>
    <xf numFmtId="0" fontId="54" fillId="0" borderId="1" xfId="0" applyFont="1" applyFill="1" applyBorder="1" applyAlignment="1">
      <alignment vertical="center"/>
    </xf>
    <xf numFmtId="0" fontId="96" fillId="0" borderId="27" xfId="0" applyFont="1" applyFill="1" applyBorder="1" applyAlignment="1">
      <alignment horizontal="center" textRotation="90"/>
    </xf>
    <xf numFmtId="0" fontId="96" fillId="0" borderId="1" xfId="0" applyFont="1" applyFill="1" applyBorder="1" applyAlignment="1">
      <alignment horizontal="center" textRotation="90"/>
    </xf>
    <xf numFmtId="0" fontId="108" fillId="0" borderId="24" xfId="0" applyFont="1" applyFill="1" applyBorder="1" applyAlignment="1">
      <alignment horizontal="center" vertical="center"/>
    </xf>
    <xf numFmtId="0" fontId="108" fillId="0" borderId="0" xfId="0" applyFont="1" applyFill="1" applyBorder="1" applyAlignment="1">
      <alignment horizontal="center" vertical="center"/>
    </xf>
    <xf numFmtId="0" fontId="108" fillId="0" borderId="27" xfId="0" applyFont="1" applyFill="1" applyBorder="1" applyAlignment="1">
      <alignment horizontal="center" vertical="center"/>
    </xf>
    <xf numFmtId="0" fontId="108" fillId="0" borderId="1" xfId="0" applyFont="1" applyFill="1" applyBorder="1" applyAlignment="1">
      <alignment horizontal="center" vertical="center"/>
    </xf>
    <xf numFmtId="0" fontId="95" fillId="0" borderId="31" xfId="0" applyFont="1" applyFill="1" applyBorder="1" applyAlignment="1">
      <alignment horizontal="left" vertical="center"/>
    </xf>
    <xf numFmtId="3" fontId="11" fillId="0" borderId="4" xfId="0" applyNumberFormat="1" applyFont="1" applyFill="1" applyBorder="1" applyAlignment="1">
      <alignment horizontal="center" vertical="center" wrapText="1" readingOrder="1"/>
    </xf>
    <xf numFmtId="0" fontId="8" fillId="0" borderId="26" xfId="0" applyFont="1" applyFill="1" applyBorder="1" applyAlignment="1">
      <alignment horizontal="left" vertical="center" readingOrder="1"/>
    </xf>
    <xf numFmtId="0" fontId="32" fillId="0" borderId="9" xfId="0" applyFont="1" applyFill="1" applyBorder="1" applyAlignment="1">
      <alignment vertical="center"/>
    </xf>
    <xf numFmtId="0" fontId="84" fillId="0" borderId="7" xfId="0" applyFont="1" applyFill="1" applyBorder="1" applyAlignment="1">
      <alignment horizontal="center" vertical="center" wrapText="1" readingOrder="1"/>
    </xf>
    <xf numFmtId="0" fontId="32" fillId="0" borderId="9" xfId="0" applyFont="1" applyFill="1" applyBorder="1" applyAlignment="1">
      <alignment horizontal="center" vertical="center"/>
    </xf>
    <xf numFmtId="0" fontId="32" fillId="0" borderId="10" xfId="0" applyFont="1" applyFill="1" applyBorder="1" applyAlignment="1">
      <alignment horizontal="center" vertical="center"/>
    </xf>
    <xf numFmtId="0" fontId="32" fillId="0" borderId="0" xfId="0" applyFont="1" applyFill="1" applyBorder="1" applyAlignment="1">
      <alignment vertical="center"/>
    </xf>
    <xf numFmtId="0" fontId="32" fillId="0" borderId="5" xfId="0" applyFont="1" applyFill="1" applyBorder="1" applyAlignment="1">
      <alignment horizontal="center" vertical="center"/>
    </xf>
    <xf numFmtId="0" fontId="32" fillId="0" borderId="1" xfId="0" applyFont="1" applyFill="1" applyBorder="1" applyAlignment="1">
      <alignment vertical="center"/>
    </xf>
    <xf numFmtId="0" fontId="32" fillId="0" borderId="7" xfId="0" applyFont="1" applyFill="1" applyBorder="1" applyAlignment="1">
      <alignment horizontal="center" vertical="center"/>
    </xf>
    <xf numFmtId="3" fontId="80" fillId="0" borderId="6" xfId="0" applyNumberFormat="1" applyFont="1" applyFill="1" applyBorder="1" applyAlignment="1">
      <alignment horizontal="center" vertical="center" wrapText="1"/>
    </xf>
    <xf numFmtId="3" fontId="80" fillId="0" borderId="1" xfId="0" applyNumberFormat="1" applyFont="1" applyFill="1" applyBorder="1" applyAlignment="1">
      <alignment horizontal="center" vertical="center" wrapText="1"/>
    </xf>
    <xf numFmtId="3" fontId="30" fillId="0" borderId="4" xfId="0" applyNumberFormat="1" applyFont="1" applyFill="1" applyBorder="1" applyAlignment="1">
      <alignment horizontal="center" vertical="center" wrapText="1"/>
    </xf>
    <xf numFmtId="0" fontId="95" fillId="0" borderId="0" xfId="0" applyFont="1" applyFill="1" applyBorder="1" applyAlignment="1">
      <alignment horizontal="left" vertical="center"/>
    </xf>
    <xf numFmtId="0" fontId="32" fillId="0" borderId="0" xfId="0" applyFont="1" applyFill="1" applyBorder="1" applyAlignment="1">
      <alignment horizontal="center" vertical="center"/>
    </xf>
    <xf numFmtId="0" fontId="8" fillId="0" borderId="0" xfId="0" applyFont="1" applyFill="1" applyBorder="1" applyAlignment="1">
      <alignment horizontal="left" vertical="center" indent="1" readingOrder="1"/>
    </xf>
    <xf numFmtId="3" fontId="32" fillId="0" borderId="0" xfId="0" applyNumberFormat="1" applyFont="1" applyFill="1" applyBorder="1" applyAlignment="1">
      <alignment horizontal="center" vertical="center" wrapText="1"/>
    </xf>
    <xf numFmtId="0" fontId="8" fillId="0" borderId="26" xfId="0" applyFont="1" applyFill="1" applyBorder="1" applyAlignment="1">
      <alignment horizontal="left" vertical="center" wrapText="1" indent="1" readingOrder="1"/>
    </xf>
    <xf numFmtId="3" fontId="30" fillId="0" borderId="6" xfId="0" applyNumberFormat="1" applyFont="1" applyFill="1" applyBorder="1" applyAlignment="1">
      <alignment horizontal="center" vertical="center" wrapText="1"/>
    </xf>
    <xf numFmtId="3" fontId="30" fillId="0" borderId="1" xfId="0" applyNumberFormat="1" applyFont="1" applyFill="1" applyBorder="1" applyAlignment="1">
      <alignment horizontal="center" vertical="center" wrapText="1"/>
    </xf>
    <xf numFmtId="0" fontId="32" fillId="0" borderId="1" xfId="0" applyFont="1" applyFill="1" applyBorder="1" applyAlignment="1">
      <alignment horizontal="center" vertical="center"/>
    </xf>
    <xf numFmtId="0" fontId="108" fillId="4" borderId="24" xfId="0" applyFont="1" applyFill="1" applyBorder="1" applyAlignment="1">
      <alignment horizontal="center" vertical="center"/>
    </xf>
    <xf numFmtId="0" fontId="108" fillId="4" borderId="0" xfId="0" applyFont="1" applyFill="1" applyBorder="1" applyAlignment="1">
      <alignment horizontal="center" vertical="center"/>
    </xf>
    <xf numFmtId="0" fontId="32" fillId="4" borderId="0" xfId="0" applyFont="1" applyFill="1" applyBorder="1" applyAlignment="1">
      <alignment vertical="center"/>
    </xf>
    <xf numFmtId="0" fontId="32" fillId="4" borderId="0" xfId="0" applyFont="1" applyFill="1" applyBorder="1" applyAlignment="1">
      <alignment horizontal="center" vertical="center"/>
    </xf>
    <xf numFmtId="0" fontId="108" fillId="5" borderId="24" xfId="0" applyFont="1" applyFill="1" applyBorder="1" applyAlignment="1">
      <alignment horizontal="center" vertical="center"/>
    </xf>
    <xf numFmtId="0" fontId="108" fillId="5" borderId="0" xfId="0" applyFont="1" applyFill="1" applyBorder="1" applyAlignment="1">
      <alignment horizontal="center" vertical="center"/>
    </xf>
    <xf numFmtId="0" fontId="32" fillId="5" borderId="0" xfId="0" applyFont="1" applyFill="1" applyBorder="1" applyAlignment="1">
      <alignment vertical="center"/>
    </xf>
    <xf numFmtId="0" fontId="32" fillId="5" borderId="0" xfId="0" applyFont="1" applyFill="1" applyBorder="1" applyAlignment="1">
      <alignment horizontal="center" vertical="center"/>
    </xf>
    <xf numFmtId="3" fontId="80" fillId="0" borderId="7" xfId="0" applyNumberFormat="1" applyFont="1" applyFill="1" applyBorder="1" applyAlignment="1">
      <alignment horizontal="center" vertical="center" wrapText="1"/>
    </xf>
    <xf numFmtId="3" fontId="30" fillId="0" borderId="7" xfId="0" applyNumberFormat="1" applyFont="1" applyFill="1" applyBorder="1" applyAlignment="1">
      <alignment horizontal="center" vertical="center" wrapText="1"/>
    </xf>
    <xf numFmtId="3" fontId="30" fillId="0" borderId="10" xfId="0" applyNumberFormat="1" applyFont="1" applyFill="1" applyBorder="1" applyAlignment="1">
      <alignment horizontal="center" vertical="center" wrapText="1"/>
    </xf>
    <xf numFmtId="0" fontId="32" fillId="0" borderId="19" xfId="0" applyFont="1" applyFill="1" applyBorder="1" applyAlignment="1">
      <alignment horizontal="center" vertical="center"/>
    </xf>
    <xf numFmtId="0" fontId="32" fillId="0" borderId="20" xfId="0" applyFont="1" applyFill="1" applyBorder="1" applyAlignment="1">
      <alignment horizontal="center" vertical="center"/>
    </xf>
    <xf numFmtId="0" fontId="32" fillId="0" borderId="21" xfId="0" applyFont="1" applyFill="1" applyBorder="1" applyAlignment="1">
      <alignment horizontal="center" vertical="center"/>
    </xf>
    <xf numFmtId="3" fontId="32" fillId="0" borderId="4" xfId="0" applyNumberFormat="1" applyFont="1" applyFill="1" applyBorder="1" applyAlignment="1">
      <alignment horizontal="center" vertical="center" wrapText="1"/>
    </xf>
    <xf numFmtId="0" fontId="32" fillId="5" borderId="5" xfId="0" applyFont="1" applyFill="1" applyBorder="1" applyAlignment="1">
      <alignment horizontal="center" vertical="center"/>
    </xf>
    <xf numFmtId="0" fontId="32" fillId="5" borderId="20" xfId="0" applyFont="1" applyFill="1" applyBorder="1" applyAlignment="1">
      <alignment horizontal="center" vertical="center"/>
    </xf>
    <xf numFmtId="0" fontId="32" fillId="4" borderId="5" xfId="0" applyFont="1" applyFill="1" applyBorder="1" applyAlignment="1">
      <alignment horizontal="center" vertical="center"/>
    </xf>
    <xf numFmtId="0" fontId="32" fillId="4" borderId="20" xfId="0" applyFont="1" applyFill="1" applyBorder="1" applyAlignment="1">
      <alignment horizontal="center" vertical="center"/>
    </xf>
    <xf numFmtId="1" fontId="42" fillId="0" borderId="4" xfId="0" applyNumberFormat="1" applyFont="1" applyFill="1" applyBorder="1" applyAlignment="1">
      <alignment horizontal="center" vertical="center"/>
    </xf>
    <xf numFmtId="167" fontId="47" fillId="0" borderId="0" xfId="0" applyNumberFormat="1" applyFont="1" applyFill="1" applyBorder="1" applyAlignment="1">
      <alignment horizontal="center" vertical="center" wrapText="1" readingOrder="1"/>
    </xf>
    <xf numFmtId="1" fontId="42" fillId="0" borderId="0" xfId="0" applyNumberFormat="1" applyFont="1" applyFill="1" applyBorder="1" applyAlignment="1">
      <alignment horizontal="center" vertical="center"/>
    </xf>
    <xf numFmtId="3" fontId="31" fillId="0" borderId="0" xfId="0" applyNumberFormat="1" applyFont="1" applyFill="1" applyBorder="1" applyAlignment="1">
      <alignment horizontal="center" vertical="center"/>
    </xf>
    <xf numFmtId="3" fontId="31" fillId="0" borderId="50" xfId="0" applyNumberFormat="1" applyFont="1" applyFill="1" applyBorder="1" applyAlignment="1">
      <alignment horizontal="center" vertical="center"/>
    </xf>
    <xf numFmtId="167" fontId="47" fillId="0" borderId="50" xfId="0" applyNumberFormat="1" applyFont="1" applyFill="1" applyBorder="1" applyAlignment="1">
      <alignment horizontal="center" vertical="center" wrapText="1" readingOrder="1"/>
    </xf>
    <xf numFmtId="167" fontId="47" fillId="0" borderId="34" xfId="0" applyNumberFormat="1" applyFont="1" applyBorder="1" applyAlignment="1">
      <alignment horizontal="center" vertical="center" wrapText="1" readingOrder="1"/>
    </xf>
    <xf numFmtId="0" fontId="8" fillId="0" borderId="34" xfId="0" applyFont="1" applyBorder="1" applyAlignment="1">
      <alignment horizontal="left" vertical="center" indent="1" readingOrder="1"/>
    </xf>
    <xf numFmtId="0" fontId="62" fillId="0" borderId="37" xfId="0" applyFont="1" applyBorder="1"/>
    <xf numFmtId="0" fontId="105" fillId="0" borderId="4" xfId="0" applyFont="1" applyFill="1" applyBorder="1" applyAlignment="1">
      <alignment horizontal="center" vertical="center" wrapText="1"/>
    </xf>
    <xf numFmtId="0" fontId="10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3" fontId="30" fillId="4" borderId="4" xfId="0" applyNumberFormat="1" applyFont="1" applyFill="1" applyBorder="1" applyAlignment="1">
      <alignment horizontal="center" vertical="center" wrapText="1"/>
    </xf>
    <xf numFmtId="3" fontId="30" fillId="4" borderId="0" xfId="0" applyNumberFormat="1" applyFont="1" applyFill="1" applyBorder="1" applyAlignment="1">
      <alignment horizontal="center" vertical="center" wrapText="1"/>
    </xf>
    <xf numFmtId="3" fontId="30" fillId="4" borderId="5" xfId="0" applyNumberFormat="1" applyFont="1" applyFill="1" applyBorder="1" applyAlignment="1">
      <alignment horizontal="center" vertical="center" wrapText="1"/>
    </xf>
    <xf numFmtId="3" fontId="27" fillId="4" borderId="5" xfId="0" applyNumberFormat="1" applyFont="1" applyFill="1" applyBorder="1" applyAlignment="1">
      <alignment horizontal="center" vertical="center" wrapText="1"/>
    </xf>
    <xf numFmtId="3" fontId="27" fillId="4" borderId="0" xfId="0" applyNumberFormat="1" applyFont="1" applyFill="1" applyBorder="1" applyAlignment="1">
      <alignment horizontal="center" vertical="center" wrapText="1"/>
    </xf>
    <xf numFmtId="3" fontId="27" fillId="0" borderId="5" xfId="0" applyNumberFormat="1" applyFont="1" applyFill="1" applyBorder="1" applyAlignment="1">
      <alignment horizontal="center" vertical="center" wrapText="1"/>
    </xf>
    <xf numFmtId="3" fontId="27" fillId="5" borderId="5" xfId="0" applyNumberFormat="1" applyFont="1" applyFill="1" applyBorder="1" applyAlignment="1">
      <alignment horizontal="center" vertical="center" wrapText="1"/>
    </xf>
    <xf numFmtId="3" fontId="32" fillId="0" borderId="2" xfId="0" applyNumberFormat="1" applyFont="1" applyFill="1" applyBorder="1" applyAlignment="1">
      <alignment horizontal="center" vertical="center" wrapText="1"/>
    </xf>
    <xf numFmtId="3" fontId="32" fillId="0" borderId="11" xfId="0" applyNumberFormat="1" applyFont="1" applyFill="1" applyBorder="1" applyAlignment="1">
      <alignment horizontal="center" vertical="center" wrapText="1"/>
    </xf>
    <xf numFmtId="3" fontId="32" fillId="0" borderId="3" xfId="0" applyNumberFormat="1" applyFont="1" applyFill="1" applyBorder="1" applyAlignment="1">
      <alignment horizontal="center" vertical="center" wrapText="1"/>
    </xf>
    <xf numFmtId="3" fontId="30" fillId="0" borderId="11" xfId="0" applyNumberFormat="1" applyFont="1" applyFill="1" applyBorder="1" applyAlignment="1">
      <alignment horizontal="center" vertical="center" wrapText="1"/>
    </xf>
    <xf numFmtId="3" fontId="30" fillId="14" borderId="0" xfId="0" applyNumberFormat="1" applyFont="1" applyFill="1" applyBorder="1" applyAlignment="1">
      <alignment horizontal="center" vertical="center" wrapText="1"/>
    </xf>
    <xf numFmtId="3" fontId="27" fillId="14" borderId="10" xfId="0" applyNumberFormat="1" applyFont="1" applyFill="1" applyBorder="1" applyAlignment="1">
      <alignment horizontal="center" vertical="center" wrapText="1"/>
    </xf>
    <xf numFmtId="3" fontId="27" fillId="14" borderId="5" xfId="0" applyNumberFormat="1" applyFont="1" applyFill="1" applyBorder="1" applyAlignment="1">
      <alignment horizontal="center" vertical="center" wrapText="1"/>
    </xf>
    <xf numFmtId="3" fontId="30" fillId="14" borderId="5" xfId="0" applyNumberFormat="1" applyFont="1" applyFill="1" applyBorder="1" applyAlignment="1">
      <alignment horizontal="center" vertical="center" wrapText="1"/>
    </xf>
    <xf numFmtId="0" fontId="108" fillId="0" borderId="90" xfId="0" applyFont="1" applyFill="1" applyBorder="1" applyAlignment="1">
      <alignment horizontal="center" vertical="center"/>
    </xf>
    <xf numFmtId="0" fontId="108" fillId="0" borderId="60" xfId="0" applyFont="1" applyFill="1" applyBorder="1" applyAlignment="1">
      <alignment horizontal="center" vertical="center"/>
    </xf>
    <xf numFmtId="0" fontId="54" fillId="0" borderId="60" xfId="0" applyFont="1" applyFill="1" applyBorder="1" applyAlignment="1">
      <alignment vertical="center"/>
    </xf>
    <xf numFmtId="0" fontId="54" fillId="0" borderId="59" xfId="0" applyFont="1" applyFill="1" applyBorder="1" applyAlignment="1">
      <alignment horizontal="center" vertical="center"/>
    </xf>
    <xf numFmtId="0" fontId="30" fillId="0" borderId="61" xfId="0" quotePrefix="1" applyFont="1" applyFill="1" applyBorder="1" applyAlignment="1">
      <alignment horizontal="center" vertical="center" wrapText="1" readingOrder="1"/>
    </xf>
    <xf numFmtId="0" fontId="30" fillId="0" borderId="60" xfId="0" quotePrefix="1" applyFont="1" applyFill="1" applyBorder="1" applyAlignment="1">
      <alignment horizontal="center" vertical="center" wrapText="1" readingOrder="1"/>
    </xf>
    <xf numFmtId="0" fontId="62" fillId="6" borderId="60" xfId="0" applyFont="1" applyFill="1" applyBorder="1"/>
    <xf numFmtId="0" fontId="30" fillId="6" borderId="59" xfId="0" quotePrefix="1" applyFont="1" applyFill="1" applyBorder="1" applyAlignment="1">
      <alignment horizontal="center" vertical="center" wrapText="1" readingOrder="1"/>
    </xf>
    <xf numFmtId="0" fontId="32" fillId="0" borderId="91" xfId="0" quotePrefix="1" applyFont="1" applyFill="1" applyBorder="1" applyAlignment="1">
      <alignment horizontal="center" vertical="center" wrapText="1" readingOrder="1"/>
    </xf>
    <xf numFmtId="0" fontId="108" fillId="0" borderId="92" xfId="0" applyFont="1" applyFill="1" applyBorder="1" applyAlignment="1">
      <alignment horizontal="center" vertical="center"/>
    </xf>
    <xf numFmtId="0" fontId="108" fillId="0" borderId="15" xfId="0" applyFont="1" applyFill="1" applyBorder="1" applyAlignment="1">
      <alignment horizontal="center" vertical="center"/>
    </xf>
    <xf numFmtId="0" fontId="54" fillId="0" borderId="15" xfId="0" applyFont="1" applyFill="1" applyBorder="1" applyAlignment="1">
      <alignment vertical="center"/>
    </xf>
    <xf numFmtId="0" fontId="54" fillId="0" borderId="14" xfId="0" applyFont="1" applyFill="1" applyBorder="1" applyAlignment="1">
      <alignment horizontal="center" vertical="center"/>
    </xf>
    <xf numFmtId="0" fontId="30" fillId="0" borderId="16" xfId="0" quotePrefix="1" applyFont="1" applyFill="1" applyBorder="1" applyAlignment="1">
      <alignment horizontal="center" vertical="center" wrapText="1" readingOrder="1"/>
    </xf>
    <xf numFmtId="0" fontId="30" fillId="0" borderId="15" xfId="0" quotePrefix="1" applyFont="1" applyFill="1" applyBorder="1" applyAlignment="1">
      <alignment horizontal="center" vertical="center" wrapText="1" readingOrder="1"/>
    </xf>
    <xf numFmtId="0" fontId="62" fillId="6" borderId="15" xfId="0" applyFont="1" applyFill="1" applyBorder="1"/>
    <xf numFmtId="0" fontId="30" fillId="6" borderId="14" xfId="0" quotePrefix="1" applyFont="1" applyFill="1" applyBorder="1" applyAlignment="1">
      <alignment horizontal="center" vertical="center" wrapText="1" readingOrder="1"/>
    </xf>
    <xf numFmtId="0" fontId="32" fillId="0" borderId="93" xfId="0" quotePrefix="1" applyFont="1" applyFill="1" applyBorder="1" applyAlignment="1">
      <alignment horizontal="center" vertical="center" wrapText="1" readingOrder="1"/>
    </xf>
    <xf numFmtId="0" fontId="108" fillId="0" borderId="94" xfId="0" applyFont="1" applyFill="1" applyBorder="1" applyAlignment="1">
      <alignment horizontal="center" vertical="center"/>
    </xf>
    <xf numFmtId="0" fontId="108" fillId="0" borderId="95" xfId="0" applyFont="1" applyFill="1" applyBorder="1" applyAlignment="1">
      <alignment horizontal="center" vertical="center"/>
    </xf>
    <xf numFmtId="0" fontId="54" fillId="0" borderId="95" xfId="0" applyFont="1" applyFill="1" applyBorder="1" applyAlignment="1">
      <alignment vertical="center"/>
    </xf>
    <xf numFmtId="0" fontId="54" fillId="0" borderId="96" xfId="0" quotePrefix="1" applyFont="1" applyFill="1" applyBorder="1" applyAlignment="1">
      <alignment horizontal="center" vertical="center"/>
    </xf>
    <xf numFmtId="0" fontId="30" fillId="0" borderId="97" xfId="0" quotePrefix="1" applyFont="1" applyFill="1" applyBorder="1" applyAlignment="1">
      <alignment horizontal="center" vertical="center" wrapText="1" readingOrder="1"/>
    </xf>
    <xf numFmtId="0" fontId="30" fillId="0" borderId="95" xfId="0" quotePrefix="1" applyFont="1" applyFill="1" applyBorder="1" applyAlignment="1">
      <alignment horizontal="center" vertical="center" wrapText="1" readingOrder="1"/>
    </xf>
    <xf numFmtId="0" fontId="30" fillId="6" borderId="95" xfId="0" quotePrefix="1" applyFont="1" applyFill="1" applyBorder="1" applyAlignment="1">
      <alignment horizontal="center" vertical="center" wrapText="1" readingOrder="1"/>
    </xf>
    <xf numFmtId="0" fontId="30" fillId="6" borderId="96" xfId="0" quotePrefix="1" applyFont="1" applyFill="1" applyBorder="1" applyAlignment="1">
      <alignment horizontal="center" vertical="center" wrapText="1" readingOrder="1"/>
    </xf>
    <xf numFmtId="0" fontId="32" fillId="0" borderId="98" xfId="0" quotePrefix="1" applyFont="1" applyFill="1" applyBorder="1" applyAlignment="1">
      <alignment horizontal="center" vertical="center" wrapText="1" readingOrder="1"/>
    </xf>
    <xf numFmtId="0" fontId="3" fillId="0" borderId="60" xfId="0" applyFont="1" applyBorder="1" applyAlignment="1">
      <alignment vertical="center"/>
    </xf>
    <xf numFmtId="0" fontId="84" fillId="0" borderId="60" xfId="0" applyFont="1" applyBorder="1" applyAlignment="1">
      <alignment horizontal="center" vertical="center" wrapText="1" readingOrder="1"/>
    </xf>
    <xf numFmtId="2" fontId="42" fillId="4" borderId="61" xfId="0" applyNumberFormat="1" applyFont="1" applyFill="1" applyBorder="1" applyAlignment="1">
      <alignment horizontal="center" vertical="center"/>
    </xf>
    <xf numFmtId="0" fontId="47" fillId="0" borderId="59" xfId="0" applyFont="1" applyBorder="1" applyAlignment="1">
      <alignment horizontal="center" vertical="center" wrapText="1" readingOrder="1"/>
    </xf>
    <xf numFmtId="0" fontId="47" fillId="0" borderId="60" xfId="0" applyFont="1" applyBorder="1" applyAlignment="1">
      <alignment horizontal="center" vertical="center" wrapText="1" readingOrder="1"/>
    </xf>
    <xf numFmtId="3" fontId="31" fillId="4" borderId="61" xfId="0" applyNumberFormat="1" applyFont="1" applyFill="1" applyBorder="1" applyAlignment="1">
      <alignment horizontal="center" vertical="center"/>
    </xf>
    <xf numFmtId="0" fontId="30" fillId="0" borderId="60" xfId="0" applyFont="1" applyBorder="1" applyAlignment="1">
      <alignment horizontal="center" vertical="center" wrapText="1" readingOrder="1"/>
    </xf>
    <xf numFmtId="3" fontId="31" fillId="5" borderId="90" xfId="0" applyNumberFormat="1" applyFont="1" applyFill="1" applyBorder="1" applyAlignment="1">
      <alignment horizontal="center" vertical="center"/>
    </xf>
    <xf numFmtId="0" fontId="30" fillId="5" borderId="99" xfId="0" applyFont="1" applyFill="1" applyBorder="1" applyAlignment="1">
      <alignment horizontal="center" vertical="center" wrapText="1" readingOrder="1"/>
    </xf>
    <xf numFmtId="3" fontId="31" fillId="4" borderId="60" xfId="0" applyNumberFormat="1" applyFont="1" applyFill="1" applyBorder="1" applyAlignment="1">
      <alignment horizontal="center" vertical="center"/>
    </xf>
    <xf numFmtId="0" fontId="3" fillId="0" borderId="15" xfId="0" applyFont="1" applyBorder="1" applyAlignment="1">
      <alignment vertical="center"/>
    </xf>
    <xf numFmtId="0" fontId="84" fillId="0" borderId="15" xfId="0" applyFont="1" applyBorder="1" applyAlignment="1">
      <alignment horizontal="center" vertical="center" wrapText="1" readingOrder="1"/>
    </xf>
    <xf numFmtId="2" fontId="42" fillId="4" borderId="16" xfId="0" applyNumberFormat="1" applyFont="1" applyFill="1" applyBorder="1" applyAlignment="1">
      <alignment horizontal="center" vertical="center"/>
    </xf>
    <xf numFmtId="0" fontId="47" fillId="0" borderId="14" xfId="0" applyFont="1" applyBorder="1" applyAlignment="1">
      <alignment horizontal="center" vertical="center" wrapText="1" readingOrder="1"/>
    </xf>
    <xf numFmtId="0" fontId="47" fillId="0" borderId="15" xfId="0" applyFont="1" applyBorder="1" applyAlignment="1">
      <alignment horizontal="center" vertical="center" wrapText="1" readingOrder="1"/>
    </xf>
    <xf numFmtId="3" fontId="31" fillId="4" borderId="16" xfId="0" applyNumberFormat="1" applyFont="1" applyFill="1" applyBorder="1" applyAlignment="1">
      <alignment horizontal="center" vertical="center"/>
    </xf>
    <xf numFmtId="0" fontId="30" fillId="0" borderId="15" xfId="0" applyFont="1" applyBorder="1" applyAlignment="1">
      <alignment horizontal="center" vertical="center" wrapText="1" readingOrder="1"/>
    </xf>
    <xf numFmtId="3" fontId="31" fillId="5" borderId="92" xfId="0" applyNumberFormat="1" applyFont="1" applyFill="1" applyBorder="1" applyAlignment="1">
      <alignment horizontal="center" vertical="center"/>
    </xf>
    <xf numFmtId="0" fontId="30" fillId="5" borderId="100" xfId="0" applyFont="1" applyFill="1" applyBorder="1" applyAlignment="1">
      <alignment horizontal="center" vertical="center" wrapText="1" readingOrder="1"/>
    </xf>
    <xf numFmtId="3" fontId="31" fillId="4" borderId="15" xfId="0" applyNumberFormat="1" applyFont="1" applyFill="1" applyBorder="1" applyAlignment="1">
      <alignment horizontal="center" vertical="center"/>
    </xf>
    <xf numFmtId="0" fontId="30" fillId="0" borderId="34" xfId="0" applyFont="1" applyFill="1" applyBorder="1" applyAlignment="1">
      <alignment horizontal="center" vertical="center" wrapText="1" readingOrder="1"/>
    </xf>
    <xf numFmtId="3" fontId="31" fillId="5" borderId="101" xfId="0" applyNumberFormat="1" applyFont="1" applyFill="1" applyBorder="1" applyAlignment="1">
      <alignment horizontal="center" vertical="center"/>
    </xf>
    <xf numFmtId="0" fontId="30" fillId="5" borderId="102" xfId="0" applyFont="1" applyFill="1" applyBorder="1" applyAlignment="1">
      <alignment horizontal="center" vertical="center" wrapText="1" readingOrder="1"/>
    </xf>
    <xf numFmtId="0" fontId="59" fillId="0" borderId="32" xfId="0" applyFont="1" applyFill="1" applyBorder="1" applyAlignment="1">
      <alignment horizontal="center" vertical="center"/>
    </xf>
    <xf numFmtId="3" fontId="65" fillId="0" borderId="26" xfId="0" applyNumberFormat="1" applyFont="1" applyFill="1" applyBorder="1" applyAlignment="1">
      <alignment horizontal="center" vertical="center"/>
    </xf>
    <xf numFmtId="0" fontId="80" fillId="0" borderId="26" xfId="0" applyFont="1" applyFill="1" applyBorder="1" applyAlignment="1">
      <alignment horizontal="center" vertical="center" wrapText="1" readingOrder="1"/>
    </xf>
    <xf numFmtId="3" fontId="11" fillId="0" borderId="26" xfId="0" applyNumberFormat="1" applyFont="1" applyFill="1" applyBorder="1" applyAlignment="1">
      <alignment horizontal="center" vertical="center" wrapText="1" readingOrder="1"/>
    </xf>
    <xf numFmtId="9" fontId="11" fillId="0" borderId="26" xfId="1" applyFont="1" applyFill="1" applyBorder="1" applyAlignment="1">
      <alignment horizontal="center" vertical="center" wrapText="1" readingOrder="1"/>
    </xf>
    <xf numFmtId="3" fontId="32" fillId="0" borderId="26" xfId="0" applyNumberFormat="1" applyFont="1" applyFill="1" applyBorder="1" applyAlignment="1">
      <alignment horizontal="center" vertical="center" wrapText="1" readingOrder="1"/>
    </xf>
    <xf numFmtId="3" fontId="82" fillId="0" borderId="37" xfId="0" applyNumberFormat="1" applyFont="1" applyFill="1" applyBorder="1" applyAlignment="1">
      <alignment horizontal="center" vertical="center" wrapText="1" readingOrder="1"/>
    </xf>
    <xf numFmtId="3" fontId="30" fillId="0" borderId="9" xfId="0" applyNumberFormat="1" applyFont="1" applyFill="1" applyBorder="1" applyAlignment="1">
      <alignment horizontal="center" vertical="center" wrapText="1"/>
    </xf>
    <xf numFmtId="0" fontId="84" fillId="0" borderId="0" xfId="0" applyFont="1" applyFill="1" applyBorder="1" applyAlignment="1">
      <alignment horizontal="center" vertical="center" readingOrder="1"/>
    </xf>
    <xf numFmtId="0" fontId="6" fillId="0" borderId="26" xfId="0" applyFont="1" applyFill="1" applyBorder="1" applyAlignment="1">
      <alignment horizontal="left" vertical="center" wrapText="1" readingOrder="1"/>
    </xf>
    <xf numFmtId="0" fontId="84" fillId="0" borderId="31" xfId="0" applyFont="1" applyFill="1" applyBorder="1" applyAlignment="1">
      <alignment horizontal="center" vertical="center" readingOrder="1"/>
    </xf>
    <xf numFmtId="3" fontId="32" fillId="0" borderId="31" xfId="0" applyNumberFormat="1" applyFont="1" applyFill="1" applyBorder="1" applyAlignment="1">
      <alignment horizontal="center" vertical="center" wrapText="1" readingOrder="1"/>
    </xf>
    <xf numFmtId="3" fontId="11" fillId="0" borderId="31" xfId="0" applyNumberFormat="1" applyFont="1" applyFill="1" applyBorder="1" applyAlignment="1">
      <alignment horizontal="center" vertical="center" wrapText="1" readingOrder="1"/>
    </xf>
    <xf numFmtId="3" fontId="82" fillId="0" borderId="26" xfId="0" applyNumberFormat="1" applyFont="1" applyFill="1" applyBorder="1" applyAlignment="1">
      <alignment horizontal="center" vertical="center" wrapText="1" readingOrder="1"/>
    </xf>
    <xf numFmtId="3" fontId="32" fillId="0" borderId="34" xfId="0" applyNumberFormat="1" applyFont="1" applyFill="1" applyBorder="1" applyAlignment="1">
      <alignment horizontal="center" vertical="center" wrapText="1" readingOrder="1"/>
    </xf>
    <xf numFmtId="3" fontId="32" fillId="0" borderId="2" xfId="0" applyNumberFormat="1" applyFont="1" applyFill="1" applyBorder="1" applyAlignment="1">
      <alignment horizontal="center" vertical="center" wrapText="1" readingOrder="1"/>
    </xf>
    <xf numFmtId="3" fontId="32" fillId="0" borderId="11" xfId="0" applyNumberFormat="1" applyFont="1" applyFill="1" applyBorder="1" applyAlignment="1">
      <alignment horizontal="center" vertical="center" wrapText="1" readingOrder="1"/>
    </xf>
    <xf numFmtId="3" fontId="32" fillId="0" borderId="18" xfId="0" applyNumberFormat="1" applyFont="1" applyFill="1" applyBorder="1" applyAlignment="1">
      <alignment horizontal="center" vertical="center" wrapText="1" readingOrder="1"/>
    </xf>
    <xf numFmtId="3" fontId="32" fillId="0" borderId="1" xfId="0" applyNumberFormat="1" applyFont="1" applyFill="1" applyBorder="1" applyAlignment="1">
      <alignment horizontal="center" vertical="center"/>
    </xf>
    <xf numFmtId="0" fontId="62" fillId="0" borderId="0" xfId="0" applyFont="1" applyFill="1" applyBorder="1" applyAlignment="1">
      <alignment readingOrder="1"/>
    </xf>
    <xf numFmtId="171" fontId="57" fillId="0" borderId="0" xfId="0" applyNumberFormat="1" applyFont="1" applyFill="1" applyBorder="1" applyAlignment="1">
      <alignment horizontal="center" vertical="center"/>
    </xf>
    <xf numFmtId="0" fontId="26" fillId="0" borderId="0" xfId="0" applyFont="1" applyBorder="1" applyAlignment="1">
      <alignment vertical="center"/>
    </xf>
    <xf numFmtId="9" fontId="47" fillId="2" borderId="6" xfId="1" applyFont="1" applyFill="1" applyBorder="1" applyAlignment="1" applyProtection="1">
      <alignment horizontal="center" vertical="center"/>
    </xf>
    <xf numFmtId="0" fontId="55" fillId="0" borderId="0" xfId="0" applyFont="1" applyBorder="1" applyAlignment="1">
      <alignment vertical="center"/>
    </xf>
    <xf numFmtId="1" fontId="33"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27" fillId="0" borderId="1" xfId="0" applyNumberFormat="1" applyFont="1" applyFill="1" applyBorder="1" applyAlignment="1">
      <alignment horizontal="center" vertical="center"/>
    </xf>
    <xf numFmtId="1" fontId="32" fillId="0" borderId="11" xfId="0" applyNumberFormat="1" applyFont="1" applyFill="1" applyBorder="1" applyAlignment="1">
      <alignment horizontal="center" vertical="center"/>
    </xf>
    <xf numFmtId="1" fontId="55" fillId="2" borderId="0" xfId="0" applyNumberFormat="1" applyFont="1" applyFill="1" applyBorder="1" applyAlignment="1" applyProtection="1">
      <alignment horizontal="center" vertical="center"/>
      <protection locked="0"/>
    </xf>
    <xf numFmtId="1" fontId="26" fillId="0" borderId="1" xfId="0" applyNumberFormat="1" applyFont="1" applyFill="1" applyBorder="1" applyAlignment="1">
      <alignment horizontal="center" vertical="center"/>
    </xf>
    <xf numFmtId="1" fontId="12" fillId="0" borderId="1" xfId="0" applyNumberFormat="1" applyFont="1" applyFill="1" applyBorder="1" applyAlignment="1">
      <alignment horizontal="center" vertical="center"/>
    </xf>
    <xf numFmtId="0" fontId="27" fillId="0" borderId="0" xfId="0" applyNumberFormat="1" applyFont="1" applyBorder="1" applyAlignment="1">
      <alignment horizontal="center" vertical="center"/>
    </xf>
    <xf numFmtId="1" fontId="26" fillId="0" borderId="0" xfId="0" applyNumberFormat="1" applyFont="1" applyBorder="1" applyAlignment="1">
      <alignment horizontal="center" vertical="center"/>
    </xf>
    <xf numFmtId="9" fontId="12" fillId="2" borderId="1" xfId="1" applyFont="1" applyFill="1" applyBorder="1" applyAlignment="1" applyProtection="1">
      <alignment horizontal="center" vertical="center"/>
      <protection locked="0"/>
    </xf>
    <xf numFmtId="9" fontId="28" fillId="2" borderId="0" xfId="0" applyNumberFormat="1" applyFont="1" applyFill="1" applyBorder="1" applyAlignment="1" applyProtection="1">
      <alignment horizontal="center" vertical="center"/>
      <protection locked="0"/>
    </xf>
    <xf numFmtId="9" fontId="28" fillId="2" borderId="1" xfId="0" applyNumberFormat="1" applyFont="1" applyFill="1" applyBorder="1" applyAlignment="1" applyProtection="1">
      <alignment horizontal="center" vertical="center"/>
      <protection locked="0"/>
    </xf>
    <xf numFmtId="9" fontId="58" fillId="0" borderId="0" xfId="1" applyFont="1" applyFill="1" applyBorder="1" applyAlignment="1" applyProtection="1">
      <alignment horizontal="center" vertical="center"/>
      <protection locked="0"/>
    </xf>
    <xf numFmtId="9" fontId="55" fillId="0" borderId="0" xfId="1" applyFont="1" applyFill="1" applyBorder="1" applyAlignment="1" applyProtection="1">
      <alignment horizontal="center" vertical="center"/>
      <protection locked="0"/>
    </xf>
    <xf numFmtId="9" fontId="28" fillId="0" borderId="0" xfId="0" applyNumberFormat="1" applyFont="1" applyFill="1" applyBorder="1" applyAlignment="1">
      <alignment horizontal="center" vertical="center"/>
    </xf>
    <xf numFmtId="9" fontId="30" fillId="2" borderId="0" xfId="1" applyFont="1" applyFill="1" applyBorder="1" applyAlignment="1" applyProtection="1">
      <alignment horizontal="center" vertical="center"/>
      <protection locked="0"/>
    </xf>
    <xf numFmtId="1" fontId="12" fillId="0" borderId="7" xfId="0" applyNumberFormat="1" applyFont="1" applyFill="1" applyBorder="1" applyAlignment="1">
      <alignment horizontal="center" vertical="center"/>
    </xf>
    <xf numFmtId="9" fontId="55" fillId="0" borderId="6" xfId="1" applyFont="1" applyFill="1" applyBorder="1" applyAlignment="1" applyProtection="1">
      <alignment horizontal="center" vertical="center"/>
      <protection locked="0"/>
    </xf>
    <xf numFmtId="0" fontId="9" fillId="0" borderId="1" xfId="0" applyFont="1" applyBorder="1" applyAlignment="1">
      <alignment horizontal="right" vertical="center"/>
    </xf>
    <xf numFmtId="9" fontId="55" fillId="0" borderId="1" xfId="1" applyFont="1" applyFill="1" applyBorder="1" applyAlignment="1" applyProtection="1">
      <alignment horizontal="center" vertical="center"/>
      <protection locked="0"/>
    </xf>
    <xf numFmtId="0" fontId="8" fillId="7" borderId="0" xfId="0" applyFont="1" applyFill="1" applyBorder="1" applyAlignment="1">
      <alignment horizontal="left" vertical="center" indent="1"/>
    </xf>
    <xf numFmtId="0" fontId="8" fillId="7" borderId="1" xfId="0" applyFont="1" applyFill="1" applyBorder="1" applyAlignment="1">
      <alignment horizontal="left" vertical="center" indent="1" readingOrder="1"/>
    </xf>
    <xf numFmtId="0" fontId="105" fillId="0" borderId="103" xfId="0" applyFont="1" applyFill="1" applyBorder="1" applyAlignment="1">
      <alignment horizontal="center" vertical="center" wrapText="1"/>
    </xf>
    <xf numFmtId="0" fontId="7" fillId="0" borderId="104" xfId="0" applyFont="1" applyFill="1" applyBorder="1" applyAlignment="1">
      <alignment horizontal="center" vertical="center" wrapText="1"/>
    </xf>
    <xf numFmtId="0" fontId="47" fillId="0" borderId="105" xfId="0" applyFont="1" applyBorder="1" applyAlignment="1">
      <alignment horizontal="center" vertical="center" wrapText="1" readingOrder="1"/>
    </xf>
    <xf numFmtId="0" fontId="8" fillId="0" borderId="106" xfId="0" applyFont="1" applyBorder="1" applyAlignment="1">
      <alignment horizontal="left" vertical="center" indent="1" readingOrder="1"/>
    </xf>
    <xf numFmtId="167" fontId="47" fillId="0" borderId="107" xfId="0" applyNumberFormat="1" applyFont="1" applyBorder="1" applyAlignment="1">
      <alignment horizontal="center" vertical="center" wrapText="1" readingOrder="1"/>
    </xf>
    <xf numFmtId="0" fontId="8" fillId="0" borderId="108" xfId="0" applyFont="1" applyBorder="1" applyAlignment="1">
      <alignment horizontal="left" vertical="center" indent="1" readingOrder="1"/>
    </xf>
    <xf numFmtId="3" fontId="47" fillId="0" borderId="105" xfId="0" applyNumberFormat="1" applyFont="1" applyFill="1" applyBorder="1" applyAlignment="1">
      <alignment horizontal="center" vertical="center" wrapText="1" readingOrder="1"/>
    </xf>
    <xf numFmtId="3" fontId="47" fillId="0" borderId="106" xfId="0" applyNumberFormat="1" applyFont="1" applyFill="1" applyBorder="1" applyAlignment="1">
      <alignment horizontal="center" vertical="center" wrapText="1" readingOrder="1"/>
    </xf>
    <xf numFmtId="3" fontId="47" fillId="0" borderId="107" xfId="0" applyNumberFormat="1" applyFont="1" applyFill="1" applyBorder="1" applyAlignment="1">
      <alignment horizontal="center" vertical="center" wrapText="1" readingOrder="1"/>
    </xf>
    <xf numFmtId="3" fontId="47" fillId="0" borderId="108" xfId="0" applyNumberFormat="1" applyFont="1" applyFill="1" applyBorder="1" applyAlignment="1">
      <alignment horizontal="center" vertical="center" wrapText="1" readingOrder="1"/>
    </xf>
    <xf numFmtId="0" fontId="8" fillId="0" borderId="5" xfId="0" applyFont="1" applyBorder="1" applyAlignment="1">
      <alignment horizontal="left" vertical="center" indent="1" readingOrder="1"/>
    </xf>
    <xf numFmtId="0" fontId="8" fillId="0" borderId="7" xfId="0" applyFont="1" applyBorder="1" applyAlignment="1">
      <alignment horizontal="left" vertical="center" indent="1" readingOrder="1"/>
    </xf>
    <xf numFmtId="3" fontId="47" fillId="0" borderId="5" xfId="0" applyNumberFormat="1" applyFont="1" applyFill="1" applyBorder="1" applyAlignment="1">
      <alignment horizontal="center" vertical="center" wrapText="1" readingOrder="1"/>
    </xf>
    <xf numFmtId="3" fontId="47" fillId="0" borderId="7" xfId="0" applyNumberFormat="1" applyFont="1" applyFill="1" applyBorder="1" applyAlignment="1">
      <alignment horizontal="center" vertical="center" wrapText="1" readingOrder="1"/>
    </xf>
    <xf numFmtId="0" fontId="32" fillId="0" borderId="7" xfId="0" applyFont="1" applyFill="1" applyBorder="1" applyAlignment="1">
      <alignment horizontal="center" vertical="center" wrapText="1" readingOrder="1"/>
    </xf>
    <xf numFmtId="0" fontId="63" fillId="0" borderId="2" xfId="0" applyFont="1" applyFill="1" applyBorder="1" applyAlignment="1">
      <alignment horizontal="center" vertical="center" wrapText="1"/>
    </xf>
    <xf numFmtId="0" fontId="63" fillId="0" borderId="103" xfId="0" applyFont="1" applyFill="1" applyBorder="1" applyAlignment="1">
      <alignment horizontal="center" vertical="center" wrapText="1"/>
    </xf>
    <xf numFmtId="0" fontId="63" fillId="0" borderId="104" xfId="0" applyFont="1" applyFill="1" applyBorder="1" applyAlignment="1">
      <alignment horizontal="center" vertical="center" wrapText="1"/>
    </xf>
    <xf numFmtId="0" fontId="63" fillId="0" borderId="11" xfId="0" applyFont="1" applyFill="1" applyBorder="1" applyAlignment="1">
      <alignment horizontal="center" vertical="center" wrapText="1"/>
    </xf>
    <xf numFmtId="0" fontId="63" fillId="0" borderId="3" xfId="0" applyFont="1" applyFill="1" applyBorder="1" applyAlignment="1">
      <alignment horizontal="center" vertical="center" wrapText="1"/>
    </xf>
    <xf numFmtId="0" fontId="62" fillId="0" borderId="11" xfId="0" applyFont="1" applyBorder="1"/>
    <xf numFmtId="0" fontId="8" fillId="7" borderId="0" xfId="0" applyFont="1" applyFill="1" applyBorder="1" applyAlignment="1">
      <alignment horizontal="left" vertical="center" indent="1" readingOrder="1"/>
    </xf>
    <xf numFmtId="3" fontId="32" fillId="7" borderId="0" xfId="0" applyNumberFormat="1" applyFont="1" applyFill="1" applyBorder="1" applyAlignment="1">
      <alignment horizontal="center" vertical="center" wrapText="1"/>
    </xf>
    <xf numFmtId="0" fontId="8" fillId="7" borderId="26" xfId="0" applyFont="1" applyFill="1" applyBorder="1" applyAlignment="1">
      <alignment horizontal="left" vertical="center" wrapText="1" indent="1" readingOrder="1"/>
    </xf>
    <xf numFmtId="3" fontId="26" fillId="7" borderId="8" xfId="0" applyNumberFormat="1" applyFont="1" applyFill="1" applyBorder="1" applyAlignment="1">
      <alignment horizontal="center" vertical="center" wrapText="1"/>
    </xf>
    <xf numFmtId="3" fontId="69" fillId="7" borderId="10" xfId="0" applyNumberFormat="1" applyFont="1" applyFill="1" applyBorder="1" applyAlignment="1">
      <alignment horizontal="center" vertical="center" wrapText="1"/>
    </xf>
    <xf numFmtId="3" fontId="66" fillId="7" borderId="8" xfId="0" applyNumberFormat="1" applyFont="1" applyFill="1" applyBorder="1" applyAlignment="1">
      <alignment horizontal="center" vertical="center" wrapText="1"/>
    </xf>
    <xf numFmtId="3" fontId="66" fillId="7" borderId="4" xfId="0" applyNumberFormat="1" applyFont="1" applyFill="1" applyBorder="1" applyAlignment="1">
      <alignment horizontal="center" vertical="center" wrapText="1"/>
    </xf>
    <xf numFmtId="9" fontId="13" fillId="7" borderId="0" xfId="1" applyFont="1" applyFill="1" applyBorder="1" applyAlignment="1">
      <alignment horizontal="center" vertical="center" wrapText="1"/>
    </xf>
    <xf numFmtId="0" fontId="8" fillId="5" borderId="4" xfId="0" applyFont="1" applyFill="1" applyBorder="1" applyAlignment="1">
      <alignment horizontal="left" vertical="center" indent="1" readingOrder="1"/>
    </xf>
    <xf numFmtId="0" fontId="8" fillId="5" borderId="6" xfId="0" applyFont="1" applyFill="1" applyBorder="1" applyAlignment="1">
      <alignment horizontal="left" vertical="center" indent="1" readingOrder="1"/>
    </xf>
    <xf numFmtId="0" fontId="8" fillId="5" borderId="8" xfId="0" applyFont="1" applyFill="1" applyBorder="1" applyAlignment="1">
      <alignment horizontal="left" vertical="center" indent="1" readingOrder="1"/>
    </xf>
    <xf numFmtId="1" fontId="55" fillId="2" borderId="111" xfId="0" applyNumberFormat="1" applyFont="1" applyFill="1" applyBorder="1" applyAlignment="1" applyProtection="1">
      <alignment horizontal="center" vertical="center"/>
      <protection locked="0"/>
    </xf>
    <xf numFmtId="0" fontId="55" fillId="0" borderId="112" xfId="0" applyFont="1" applyBorder="1" applyAlignment="1">
      <alignment vertical="center"/>
    </xf>
    <xf numFmtId="1" fontId="26" fillId="0" borderId="113" xfId="0" applyNumberFormat="1" applyFont="1" applyFill="1" applyBorder="1" applyAlignment="1">
      <alignment horizontal="center" vertical="center"/>
    </xf>
    <xf numFmtId="0" fontId="9" fillId="0" borderId="114" xfId="0" applyFont="1" applyBorder="1" applyAlignment="1">
      <alignment vertical="center"/>
    </xf>
    <xf numFmtId="0" fontId="3" fillId="0" borderId="111" xfId="0" applyFont="1" applyFill="1" applyBorder="1" applyAlignment="1">
      <alignment vertical="center"/>
    </xf>
    <xf numFmtId="0" fontId="3" fillId="0" borderId="112" xfId="0" applyFont="1" applyBorder="1" applyAlignment="1">
      <alignment vertical="center"/>
    </xf>
    <xf numFmtId="1" fontId="26" fillId="0" borderId="111" xfId="0" applyNumberFormat="1" applyFont="1" applyFill="1" applyBorder="1" applyAlignment="1">
      <alignment horizontal="center" vertical="center"/>
    </xf>
    <xf numFmtId="0" fontId="9" fillId="0" borderId="112" xfId="0" applyFont="1" applyBorder="1" applyAlignment="1">
      <alignment vertical="center"/>
    </xf>
    <xf numFmtId="1" fontId="33" fillId="0" borderId="111" xfId="0" applyNumberFormat="1" applyFont="1" applyFill="1" applyBorder="1" applyAlignment="1">
      <alignment horizontal="center" vertical="center"/>
    </xf>
    <xf numFmtId="0" fontId="23" fillId="0" borderId="112" xfId="0" applyFont="1" applyBorder="1" applyAlignment="1">
      <alignment vertical="center"/>
    </xf>
    <xf numFmtId="1" fontId="12" fillId="0" borderId="111" xfId="0" applyNumberFormat="1" applyFont="1" applyFill="1" applyBorder="1" applyAlignment="1">
      <alignment horizontal="center" vertical="center"/>
    </xf>
    <xf numFmtId="1" fontId="12" fillId="0" borderId="113" xfId="0" applyNumberFormat="1" applyFont="1" applyFill="1" applyBorder="1" applyAlignment="1">
      <alignment horizontal="center" vertical="center"/>
    </xf>
    <xf numFmtId="0" fontId="3" fillId="0" borderId="114" xfId="0" applyFont="1" applyBorder="1" applyAlignment="1">
      <alignment vertical="center"/>
    </xf>
    <xf numFmtId="0" fontId="9" fillId="0" borderId="111" xfId="0" applyFont="1" applyBorder="1" applyAlignment="1">
      <alignment vertical="center"/>
    </xf>
    <xf numFmtId="1" fontId="12" fillId="0" borderId="112" xfId="0" applyNumberFormat="1" applyFont="1" applyFill="1" applyBorder="1" applyAlignment="1">
      <alignment horizontal="center" vertical="center"/>
    </xf>
    <xf numFmtId="0" fontId="9" fillId="0" borderId="113" xfId="0" applyFont="1" applyBorder="1" applyAlignment="1">
      <alignment vertical="center"/>
    </xf>
    <xf numFmtId="1" fontId="12" fillId="0" borderId="114" xfId="0" applyNumberFormat="1" applyFont="1" applyFill="1" applyBorder="1" applyAlignment="1">
      <alignment horizontal="center" vertical="center"/>
    </xf>
    <xf numFmtId="1" fontId="33" fillId="0" borderId="112" xfId="0" applyNumberFormat="1" applyFont="1" applyFill="1" applyBorder="1" applyAlignment="1">
      <alignment horizontal="center" vertical="center"/>
    </xf>
    <xf numFmtId="0" fontId="27" fillId="0" borderId="111" xfId="0" applyNumberFormat="1" applyFont="1" applyBorder="1" applyAlignment="1">
      <alignment horizontal="center" vertical="center"/>
    </xf>
    <xf numFmtId="1" fontId="26" fillId="0" borderId="112" xfId="0" applyNumberFormat="1" applyFont="1" applyFill="1" applyBorder="1" applyAlignment="1">
      <alignment horizontal="center" vertical="center"/>
    </xf>
    <xf numFmtId="1" fontId="26" fillId="0" borderId="111" xfId="0" applyNumberFormat="1" applyFont="1" applyBorder="1" applyAlignment="1">
      <alignment horizontal="center" vertical="center"/>
    </xf>
    <xf numFmtId="0" fontId="27" fillId="0" borderId="113" xfId="0" applyFont="1" applyBorder="1" applyAlignment="1">
      <alignment vertical="center"/>
    </xf>
    <xf numFmtId="1" fontId="27" fillId="0" borderId="114" xfId="0" applyNumberFormat="1" applyFont="1" applyFill="1" applyBorder="1" applyAlignment="1">
      <alignment horizontal="center" vertical="center"/>
    </xf>
    <xf numFmtId="0" fontId="17" fillId="0" borderId="115" xfId="0" applyFont="1" applyBorder="1" applyAlignment="1">
      <alignment vertical="center"/>
    </xf>
    <xf numFmtId="1" fontId="32" fillId="0" borderId="116" xfId="0" applyNumberFormat="1" applyFont="1" applyFill="1" applyBorder="1" applyAlignment="1">
      <alignment horizontal="center" vertical="center"/>
    </xf>
    <xf numFmtId="0" fontId="8" fillId="0" borderId="112" xfId="0" quotePrefix="1" applyFont="1" applyBorder="1" applyAlignment="1">
      <alignment horizontal="center" vertical="center"/>
    </xf>
    <xf numFmtId="0" fontId="26" fillId="0" borderId="111" xfId="0" applyNumberFormat="1" applyFont="1" applyBorder="1" applyAlignment="1">
      <alignment horizontal="center" vertical="center"/>
    </xf>
    <xf numFmtId="173" fontId="13" fillId="5" borderId="4" xfId="0" applyNumberFormat="1" applyFont="1" applyFill="1" applyBorder="1" applyAlignment="1">
      <alignment horizontal="center" vertical="center" wrapText="1"/>
    </xf>
    <xf numFmtId="3" fontId="69" fillId="12" borderId="5" xfId="0" applyNumberFormat="1" applyFont="1" applyFill="1" applyBorder="1" applyAlignment="1">
      <alignment horizontal="center" vertical="center"/>
    </xf>
    <xf numFmtId="3" fontId="66" fillId="12" borderId="4" xfId="0" applyNumberFormat="1" applyFont="1" applyFill="1" applyBorder="1" applyAlignment="1">
      <alignment horizontal="center" vertical="center"/>
    </xf>
    <xf numFmtId="3" fontId="69" fillId="12" borderId="0" xfId="0" applyNumberFormat="1" applyFont="1" applyFill="1" applyBorder="1" applyAlignment="1">
      <alignment horizontal="center" vertical="center"/>
    </xf>
    <xf numFmtId="0" fontId="3" fillId="0" borderId="0" xfId="0" applyFont="1" applyBorder="1" applyAlignment="1">
      <alignment vertical="center"/>
    </xf>
    <xf numFmtId="0" fontId="3" fillId="0" borderId="5" xfId="0" applyFont="1" applyBorder="1" applyAlignment="1">
      <alignment vertical="center"/>
    </xf>
    <xf numFmtId="2" fontId="42" fillId="4" borderId="23" xfId="0" applyNumberFormat="1" applyFont="1" applyFill="1" applyBorder="1" applyAlignment="1">
      <alignment horizontal="center" vertical="center"/>
    </xf>
    <xf numFmtId="3" fontId="24" fillId="0" borderId="5" xfId="0" applyNumberFormat="1" applyFont="1" applyBorder="1" applyAlignment="1">
      <alignment horizontal="center" vertical="center"/>
    </xf>
    <xf numFmtId="3" fontId="24" fillId="0" borderId="0" xfId="0" applyNumberFormat="1" applyFont="1" applyBorder="1" applyAlignment="1">
      <alignment horizontal="center" vertical="center"/>
    </xf>
    <xf numFmtId="3" fontId="3" fillId="0" borderId="5" xfId="0" applyNumberFormat="1" applyFont="1" applyBorder="1" applyAlignment="1">
      <alignment vertical="center"/>
    </xf>
    <xf numFmtId="3" fontId="3" fillId="0" borderId="0" xfId="0" applyNumberFormat="1" applyFont="1" applyBorder="1" applyAlignment="1">
      <alignment vertical="center"/>
    </xf>
    <xf numFmtId="0" fontId="23" fillId="0" borderId="0" xfId="0" applyFont="1" applyBorder="1" applyAlignment="1">
      <alignment vertical="center"/>
    </xf>
    <xf numFmtId="3" fontId="42" fillId="4" borderId="22" xfId="0" applyNumberFormat="1" applyFont="1" applyFill="1" applyBorder="1" applyAlignment="1">
      <alignment horizontal="center" vertical="center"/>
    </xf>
    <xf numFmtId="3" fontId="42" fillId="4" borderId="13" xfId="0" applyNumberFormat="1" applyFont="1" applyFill="1" applyBorder="1" applyAlignment="1">
      <alignment horizontal="center" vertical="center"/>
    </xf>
    <xf numFmtId="3" fontId="3" fillId="0" borderId="47" xfId="0" applyNumberFormat="1" applyFont="1" applyBorder="1" applyAlignment="1">
      <alignment vertical="center"/>
    </xf>
    <xf numFmtId="3" fontId="42" fillId="4" borderId="12" xfId="0" applyNumberFormat="1" applyFont="1" applyFill="1" applyBorder="1" applyAlignment="1">
      <alignment horizontal="center" vertical="center"/>
    </xf>
    <xf numFmtId="0" fontId="3" fillId="0" borderId="118" xfId="0" applyFont="1" applyBorder="1" applyAlignment="1">
      <alignment horizontal="center" vertical="center"/>
    </xf>
    <xf numFmtId="0" fontId="3" fillId="0" borderId="117" xfId="0" applyFont="1" applyBorder="1" applyAlignment="1">
      <alignment horizontal="center" vertical="center"/>
    </xf>
    <xf numFmtId="0" fontId="23" fillId="0" borderId="118" xfId="0" applyFont="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vertical="center"/>
    </xf>
    <xf numFmtId="0" fontId="8" fillId="0" borderId="0" xfId="0" quotePrefix="1" applyFont="1" applyFill="1" applyBorder="1" applyAlignment="1">
      <alignment vertical="center"/>
    </xf>
    <xf numFmtId="0" fontId="6" fillId="0" borderId="0" xfId="0" quotePrefix="1" applyFont="1" applyFill="1" applyBorder="1" applyAlignment="1">
      <alignment vertical="center"/>
    </xf>
    <xf numFmtId="0" fontId="9" fillId="0" borderId="0" xfId="0" applyFont="1" applyFill="1" applyBorder="1" applyAlignment="1">
      <alignment horizontal="right" vertical="center"/>
    </xf>
    <xf numFmtId="0" fontId="39" fillId="0" borderId="1" xfId="0" applyFont="1" applyFill="1" applyBorder="1" applyAlignment="1">
      <alignment horizontal="center" vertical="center"/>
    </xf>
    <xf numFmtId="0" fontId="39" fillId="0" borderId="0" xfId="0" applyFont="1" applyFill="1" applyBorder="1" applyAlignment="1">
      <alignment horizontal="center" vertical="center"/>
    </xf>
    <xf numFmtId="0" fontId="3" fillId="0" borderId="119" xfId="0" applyFont="1" applyBorder="1" applyAlignment="1">
      <alignment vertical="center"/>
    </xf>
    <xf numFmtId="0" fontId="3" fillId="0" borderId="120" xfId="0" applyFont="1" applyBorder="1" applyAlignment="1">
      <alignment vertical="center"/>
    </xf>
    <xf numFmtId="0" fontId="3" fillId="0" borderId="123" xfId="0" applyFont="1" applyBorder="1" applyAlignment="1">
      <alignment vertical="center"/>
    </xf>
    <xf numFmtId="0" fontId="3" fillId="0" borderId="124" xfId="0" applyFont="1" applyBorder="1" applyAlignment="1">
      <alignment vertical="center"/>
    </xf>
    <xf numFmtId="1" fontId="33" fillId="0" borderId="126" xfId="0" applyNumberFormat="1" applyFont="1" applyFill="1" applyBorder="1" applyAlignment="1">
      <alignment horizontal="center" vertical="center"/>
    </xf>
    <xf numFmtId="0" fontId="9" fillId="0" borderId="124" xfId="0" applyFont="1" applyFill="1" applyBorder="1" applyAlignment="1">
      <alignment vertical="center"/>
    </xf>
    <xf numFmtId="1" fontId="33" fillId="0" borderId="124" xfId="0" applyNumberFormat="1" applyFont="1" applyFill="1" applyBorder="1" applyAlignment="1">
      <alignment horizontal="center" vertical="center"/>
    </xf>
    <xf numFmtId="0" fontId="27" fillId="0" borderId="125" xfId="0" applyNumberFormat="1" applyFont="1" applyFill="1" applyBorder="1" applyAlignment="1">
      <alignment horizontal="center" vertical="center"/>
    </xf>
    <xf numFmtId="1" fontId="26" fillId="0" borderId="126" xfId="0" applyNumberFormat="1" applyFont="1" applyFill="1" applyBorder="1" applyAlignment="1">
      <alignment horizontal="center" vertical="center"/>
    </xf>
    <xf numFmtId="1" fontId="26" fillId="0" borderId="124" xfId="0" applyNumberFormat="1" applyFont="1" applyFill="1" applyBorder="1" applyAlignment="1">
      <alignment horizontal="center" vertical="center"/>
    </xf>
    <xf numFmtId="0" fontId="27" fillId="0" borderId="124" xfId="0" applyNumberFormat="1" applyFont="1" applyFill="1" applyBorder="1" applyAlignment="1">
      <alignment horizontal="center" vertical="center"/>
    </xf>
    <xf numFmtId="1" fontId="26" fillId="0" borderId="125" xfId="0" applyNumberFormat="1" applyFont="1" applyFill="1" applyBorder="1" applyAlignment="1">
      <alignment horizontal="center" vertical="center"/>
    </xf>
    <xf numFmtId="0" fontId="9" fillId="0" borderId="34" xfId="0" applyFont="1" applyBorder="1" applyAlignment="1">
      <alignment horizontal="center" vertical="center"/>
    </xf>
    <xf numFmtId="1" fontId="12" fillId="0" borderId="126" xfId="0" applyNumberFormat="1" applyFont="1" applyFill="1" applyBorder="1" applyAlignment="1">
      <alignment horizontal="center" vertical="center"/>
    </xf>
    <xf numFmtId="0" fontId="11" fillId="0" borderId="125" xfId="0" applyFont="1" applyFill="1" applyBorder="1" applyAlignment="1">
      <alignment horizontal="center" vertical="center"/>
    </xf>
    <xf numFmtId="0" fontId="11" fillId="0" borderId="124" xfId="0" applyFont="1" applyFill="1" applyBorder="1" applyAlignment="1">
      <alignment horizontal="center" vertical="center"/>
    </xf>
    <xf numFmtId="1" fontId="11" fillId="0" borderId="126" xfId="0" applyNumberFormat="1" applyFont="1" applyFill="1" applyBorder="1" applyAlignment="1">
      <alignment horizontal="center" vertical="center"/>
    </xf>
    <xf numFmtId="0" fontId="11" fillId="0" borderId="125" xfId="0" applyNumberFormat="1" applyFont="1" applyFill="1" applyBorder="1" applyAlignment="1">
      <alignment horizontal="center" vertical="center"/>
    </xf>
    <xf numFmtId="0" fontId="11" fillId="0" borderId="124" xfId="0" applyNumberFormat="1" applyFont="1" applyFill="1" applyBorder="1" applyAlignment="1">
      <alignment horizontal="center" vertical="center"/>
    </xf>
    <xf numFmtId="1" fontId="11" fillId="0" borderId="125" xfId="0" applyNumberFormat="1" applyFont="1" applyFill="1" applyBorder="1" applyAlignment="1">
      <alignment horizontal="center" vertical="center"/>
    </xf>
    <xf numFmtId="1" fontId="11" fillId="0" borderId="124" xfId="0" applyNumberFormat="1" applyFont="1" applyFill="1" applyBorder="1" applyAlignment="1">
      <alignment horizontal="center" vertical="center"/>
    </xf>
    <xf numFmtId="1" fontId="11" fillId="0" borderId="5" xfId="0" applyNumberFormat="1" applyFont="1" applyFill="1" applyBorder="1" applyAlignment="1">
      <alignment horizontal="center" vertical="center"/>
    </xf>
    <xf numFmtId="1" fontId="11" fillId="0" borderId="6" xfId="0" applyNumberFormat="1" applyFont="1" applyFill="1" applyBorder="1" applyAlignment="1">
      <alignment horizontal="center" vertical="center"/>
    </xf>
    <xf numFmtId="1" fontId="11" fillId="0" borderId="7" xfId="0" applyNumberFormat="1" applyFont="1" applyFill="1" applyBorder="1" applyAlignment="1">
      <alignment horizontal="center" vertical="center"/>
    </xf>
    <xf numFmtId="1" fontId="82" fillId="0" borderId="0" xfId="0" applyNumberFormat="1" applyFont="1" applyFill="1" applyBorder="1" applyAlignment="1">
      <alignment horizontal="center" vertical="center"/>
    </xf>
    <xf numFmtId="1" fontId="82" fillId="0" borderId="1" xfId="0" applyNumberFormat="1" applyFont="1" applyFill="1" applyBorder="1" applyAlignment="1">
      <alignment horizontal="center" vertical="center"/>
    </xf>
    <xf numFmtId="0" fontId="48" fillId="0" borderId="0" xfId="0" applyFont="1" applyFill="1" applyBorder="1" applyAlignment="1">
      <alignment horizontal="center" vertical="center"/>
    </xf>
    <xf numFmtId="1" fontId="55" fillId="0" borderId="121" xfId="0" applyNumberFormat="1" applyFont="1" applyFill="1" applyBorder="1" applyAlignment="1" applyProtection="1">
      <alignment horizontal="center" vertical="center"/>
      <protection locked="0"/>
    </xf>
    <xf numFmtId="1" fontId="55" fillId="0" borderId="120" xfId="0" applyNumberFormat="1" applyFont="1" applyFill="1" applyBorder="1" applyAlignment="1" applyProtection="1">
      <alignment horizontal="center" vertical="center"/>
      <protection locked="0"/>
    </xf>
    <xf numFmtId="0" fontId="55" fillId="0" borderId="122" xfId="0" applyFont="1" applyFill="1" applyBorder="1" applyAlignment="1">
      <alignment vertical="center"/>
    </xf>
    <xf numFmtId="0" fontId="9" fillId="0" borderId="126" xfId="0" applyFont="1" applyFill="1" applyBorder="1" applyAlignment="1">
      <alignment vertical="center"/>
    </xf>
    <xf numFmtId="1" fontId="33" fillId="0" borderId="125" xfId="0" applyNumberFormat="1" applyFont="1" applyFill="1" applyBorder="1" applyAlignment="1">
      <alignment horizontal="center" vertical="center"/>
    </xf>
    <xf numFmtId="0" fontId="23" fillId="0" borderId="126" xfId="0" applyFont="1" applyFill="1" applyBorder="1" applyAlignment="1">
      <alignment vertical="center"/>
    </xf>
    <xf numFmtId="1" fontId="12" fillId="0" borderId="125" xfId="0" applyNumberFormat="1" applyFont="1" applyFill="1" applyBorder="1" applyAlignment="1">
      <alignment horizontal="center" vertical="center"/>
    </xf>
    <xf numFmtId="1" fontId="12" fillId="0" borderId="124" xfId="0" applyNumberFormat="1" applyFont="1" applyFill="1" applyBorder="1" applyAlignment="1">
      <alignment horizontal="center" vertical="center"/>
    </xf>
    <xf numFmtId="0" fontId="3" fillId="0" borderId="126" xfId="0" applyFont="1" applyFill="1" applyBorder="1" applyAlignment="1">
      <alignment vertical="center"/>
    </xf>
    <xf numFmtId="0" fontId="3" fillId="0" borderId="124" xfId="0" applyFont="1" applyFill="1" applyBorder="1" applyAlignment="1">
      <alignment vertical="center"/>
    </xf>
    <xf numFmtId="0" fontId="3" fillId="0" borderId="128" xfId="0" applyFont="1" applyBorder="1" applyAlignment="1">
      <alignment vertical="center"/>
    </xf>
    <xf numFmtId="0" fontId="3" fillId="0" borderId="127" xfId="0" applyFont="1" applyBorder="1" applyAlignment="1">
      <alignment vertical="center"/>
    </xf>
    <xf numFmtId="0" fontId="39" fillId="0" borderId="0" xfId="0" applyFont="1" applyBorder="1" applyAlignment="1">
      <alignment horizontal="center" vertical="center"/>
    </xf>
    <xf numFmtId="1" fontId="11" fillId="0" borderId="2" xfId="0" applyNumberFormat="1" applyFont="1" applyFill="1" applyBorder="1" applyAlignment="1">
      <alignment horizontal="center" vertical="center"/>
    </xf>
    <xf numFmtId="1" fontId="26" fillId="0" borderId="2" xfId="0" applyNumberFormat="1" applyFont="1" applyFill="1" applyBorder="1" applyAlignment="1">
      <alignment horizontal="center" vertical="center"/>
    </xf>
    <xf numFmtId="0" fontId="39" fillId="0" borderId="9" xfId="0" applyFont="1" applyFill="1" applyBorder="1" applyAlignment="1">
      <alignment horizontal="center" vertical="center"/>
    </xf>
    <xf numFmtId="1" fontId="11" fillId="0" borderId="8" xfId="0" applyNumberFormat="1" applyFont="1" applyFill="1" applyBorder="1" applyAlignment="1">
      <alignment horizontal="center" vertical="center"/>
    </xf>
    <xf numFmtId="1" fontId="82" fillId="0" borderId="9" xfId="0" applyNumberFormat="1" applyFont="1" applyFill="1" applyBorder="1" applyAlignment="1">
      <alignment horizontal="center" vertical="center"/>
    </xf>
    <xf numFmtId="1" fontId="11" fillId="0" borderId="10" xfId="0" applyNumberFormat="1" applyFont="1" applyFill="1" applyBorder="1" applyAlignment="1">
      <alignment horizontal="center" vertical="center"/>
    </xf>
    <xf numFmtId="1" fontId="26" fillId="0" borderId="9" xfId="0" applyNumberFormat="1" applyFont="1" applyFill="1" applyBorder="1" applyAlignment="1">
      <alignment horizontal="center" vertical="center"/>
    </xf>
    <xf numFmtId="1" fontId="26" fillId="0" borderId="10" xfId="0" applyNumberFormat="1" applyFont="1" applyFill="1" applyBorder="1" applyAlignment="1">
      <alignment horizontal="center" vertical="center"/>
    </xf>
    <xf numFmtId="1" fontId="27" fillId="0" borderId="130" xfId="0" applyNumberFormat="1" applyFont="1" applyFill="1" applyBorder="1" applyAlignment="1">
      <alignment horizontal="center" vertical="center"/>
    </xf>
    <xf numFmtId="1" fontId="11" fillId="0" borderId="130" xfId="0" applyNumberFormat="1" applyFont="1" applyFill="1" applyBorder="1" applyAlignment="1">
      <alignment horizontal="center" vertical="center"/>
    </xf>
    <xf numFmtId="9" fontId="12" fillId="0" borderId="1" xfId="1" applyFont="1" applyFill="1" applyBorder="1" applyAlignment="1" applyProtection="1">
      <alignment horizontal="center" vertical="center"/>
      <protection locked="0"/>
    </xf>
    <xf numFmtId="0" fontId="8" fillId="0" borderId="1" xfId="0" applyFont="1" applyFill="1" applyBorder="1" applyAlignment="1">
      <alignment vertical="center"/>
    </xf>
    <xf numFmtId="9" fontId="28" fillId="0" borderId="0" xfId="0" applyNumberFormat="1" applyFont="1" applyFill="1" applyBorder="1" applyAlignment="1" applyProtection="1">
      <alignment horizontal="center" vertical="center"/>
      <protection locked="0"/>
    </xf>
    <xf numFmtId="9" fontId="28" fillId="0" borderId="1" xfId="0" applyNumberFormat="1" applyFont="1" applyFill="1" applyBorder="1" applyAlignment="1" applyProtection="1">
      <alignment horizontal="center" vertical="center"/>
      <protection locked="0"/>
    </xf>
    <xf numFmtId="0" fontId="9" fillId="0" borderId="1" xfId="0" applyFont="1" applyFill="1" applyBorder="1" applyAlignment="1">
      <alignment horizontal="right" vertical="center"/>
    </xf>
    <xf numFmtId="0" fontId="28" fillId="0" borderId="0" xfId="0" applyFont="1" applyFill="1" applyBorder="1" applyAlignment="1" applyProtection="1">
      <alignment horizontal="center" vertical="center"/>
      <protection locked="0"/>
    </xf>
    <xf numFmtId="0" fontId="34" fillId="0" borderId="124" xfId="0" applyFont="1" applyBorder="1" applyAlignment="1">
      <alignment vertical="center"/>
    </xf>
    <xf numFmtId="0" fontId="3" fillId="0" borderId="125" xfId="0" applyFont="1" applyFill="1" applyBorder="1" applyAlignment="1">
      <alignment vertical="center"/>
    </xf>
    <xf numFmtId="0" fontId="27" fillId="0" borderId="127" xfId="0" applyFont="1" applyBorder="1" applyAlignment="1">
      <alignment vertical="center"/>
    </xf>
    <xf numFmtId="0" fontId="48" fillId="0" borderId="122" xfId="0" applyFont="1" applyFill="1" applyBorder="1" applyAlignment="1">
      <alignment horizontal="center" vertical="center"/>
    </xf>
    <xf numFmtId="0" fontId="48" fillId="0" borderId="126" xfId="0" applyFont="1" applyFill="1" applyBorder="1" applyAlignment="1">
      <alignment horizontal="center" vertical="center"/>
    </xf>
    <xf numFmtId="0" fontId="48" fillId="0" borderId="130" xfId="0" applyFont="1" applyFill="1" applyBorder="1" applyAlignment="1">
      <alignment horizontal="center" vertical="center"/>
    </xf>
    <xf numFmtId="0" fontId="53" fillId="0" borderId="120" xfId="0" applyFont="1" applyBorder="1" applyAlignment="1">
      <alignment vertical="center"/>
    </xf>
    <xf numFmtId="1" fontId="11" fillId="0" borderId="121" xfId="0" applyNumberFormat="1" applyFont="1" applyFill="1" applyBorder="1" applyAlignment="1" applyProtection="1">
      <alignment horizontal="center" vertical="center"/>
      <protection locked="0"/>
    </xf>
    <xf numFmtId="0" fontId="53" fillId="0" borderId="124" xfId="0" applyFont="1" applyBorder="1" applyAlignment="1">
      <alignment vertical="center"/>
    </xf>
    <xf numFmtId="1" fontId="11" fillId="0" borderId="120" xfId="0" applyNumberFormat="1" applyFont="1" applyFill="1" applyBorder="1" applyAlignment="1" applyProtection="1">
      <alignment horizontal="center" vertical="center"/>
      <protection locked="0"/>
    </xf>
    <xf numFmtId="0" fontId="11" fillId="0" borderId="129" xfId="0" applyFont="1" applyBorder="1" applyAlignment="1">
      <alignment horizontal="center" vertical="center"/>
    </xf>
    <xf numFmtId="0" fontId="11" fillId="0" borderId="127" xfId="0" applyFont="1" applyBorder="1" applyAlignment="1">
      <alignment horizontal="center" vertical="center"/>
    </xf>
    <xf numFmtId="0" fontId="11" fillId="0" borderId="122" xfId="0" applyFont="1" applyFill="1" applyBorder="1" applyAlignment="1">
      <alignment horizontal="center" vertical="center"/>
    </xf>
    <xf numFmtId="0" fontId="11" fillId="0" borderId="126" xfId="0" applyFont="1" applyFill="1" applyBorder="1" applyAlignment="1">
      <alignment horizontal="center" vertical="center"/>
    </xf>
    <xf numFmtId="0" fontId="53" fillId="0" borderId="127" xfId="0" applyFont="1" applyBorder="1" applyAlignment="1">
      <alignment vertical="center"/>
    </xf>
    <xf numFmtId="0" fontId="23" fillId="0" borderId="30" xfId="0" applyFont="1" applyBorder="1" applyAlignment="1">
      <alignment vertical="center"/>
    </xf>
    <xf numFmtId="0" fontId="10" fillId="0" borderId="31" xfId="0" applyFont="1" applyBorder="1" applyAlignment="1">
      <alignment vertical="center"/>
    </xf>
    <xf numFmtId="0" fontId="20" fillId="0" borderId="31" xfId="0" applyFont="1" applyBorder="1" applyAlignment="1">
      <alignment vertical="center"/>
    </xf>
    <xf numFmtId="0" fontId="9" fillId="0" borderId="31" xfId="0" applyFont="1" applyFill="1" applyBorder="1" applyAlignment="1">
      <alignment vertical="center"/>
    </xf>
    <xf numFmtId="0" fontId="3" fillId="0" borderId="50" xfId="0" applyFont="1" applyBorder="1" applyAlignment="1">
      <alignment vertical="center"/>
    </xf>
    <xf numFmtId="0" fontId="3" fillId="0" borderId="0" xfId="0" applyFont="1" applyBorder="1" applyAlignment="1">
      <alignment horizontal="center" vertical="center" textRotation="90"/>
    </xf>
    <xf numFmtId="3" fontId="22" fillId="0" borderId="0" xfId="0" applyNumberFormat="1" applyFont="1" applyFill="1" applyBorder="1" applyAlignment="1">
      <alignment horizontal="center" vertical="center"/>
    </xf>
    <xf numFmtId="3" fontId="69" fillId="0" borderId="35" xfId="0" applyNumberFormat="1" applyFont="1" applyBorder="1" applyAlignment="1">
      <alignment horizontal="center" vertical="center"/>
    </xf>
    <xf numFmtId="0" fontId="114" fillId="0" borderId="0" xfId="0" applyFont="1" applyFill="1" applyBorder="1" applyAlignment="1">
      <alignment horizontal="center" vertical="center"/>
    </xf>
    <xf numFmtId="3" fontId="13" fillId="0" borderId="5" xfId="0" applyNumberFormat="1" applyFont="1" applyFill="1" applyBorder="1" applyAlignment="1">
      <alignment horizontal="center" vertical="center"/>
    </xf>
    <xf numFmtId="0" fontId="16" fillId="0" borderId="134" xfId="0" applyFont="1" applyBorder="1" applyAlignment="1"/>
    <xf numFmtId="0" fontId="2" fillId="0" borderId="135" xfId="0" applyFont="1" applyBorder="1" applyAlignment="1"/>
    <xf numFmtId="0" fontId="3" fillId="0" borderId="135" xfId="0" applyFont="1" applyBorder="1" applyAlignment="1"/>
    <xf numFmtId="0" fontId="3" fillId="0" borderId="135" xfId="0" applyFont="1" applyBorder="1" applyAlignment="1">
      <alignment horizontal="center"/>
    </xf>
    <xf numFmtId="0" fontId="16" fillId="0" borderId="135" xfId="0" applyFont="1" applyBorder="1" applyAlignment="1">
      <alignment horizontal="left"/>
    </xf>
    <xf numFmtId="0" fontId="16" fillId="0" borderId="135" xfId="0" applyFont="1" applyBorder="1" applyAlignment="1"/>
    <xf numFmtId="0" fontId="3" fillId="0" borderId="135" xfId="0" applyFont="1" applyBorder="1" applyAlignment="1">
      <alignment vertical="center"/>
    </xf>
    <xf numFmtId="0" fontId="3" fillId="0" borderId="136" xfId="0" applyFont="1" applyBorder="1" applyAlignment="1">
      <alignment vertical="center"/>
    </xf>
    <xf numFmtId="0" fontId="3" fillId="0" borderId="137" xfId="0" applyFont="1" applyBorder="1" applyAlignment="1">
      <alignment vertical="center"/>
    </xf>
    <xf numFmtId="0" fontId="61" fillId="0" borderId="137" xfId="0" applyFont="1" applyBorder="1" applyAlignment="1">
      <alignment vertical="center"/>
    </xf>
    <xf numFmtId="0" fontId="23" fillId="0" borderId="139" xfId="0" applyFont="1" applyBorder="1" applyAlignment="1">
      <alignment vertical="center"/>
    </xf>
    <xf numFmtId="0" fontId="23" fillId="0" borderId="137" xfId="0" applyFont="1" applyBorder="1" applyAlignment="1">
      <alignment vertical="center"/>
    </xf>
    <xf numFmtId="0" fontId="20" fillId="0" borderId="137" xfId="0" applyFont="1" applyBorder="1" applyAlignment="1">
      <alignment vertical="center"/>
    </xf>
    <xf numFmtId="0" fontId="3" fillId="0" borderId="141" xfId="0" applyFont="1" applyBorder="1" applyAlignment="1">
      <alignment vertical="center"/>
    </xf>
    <xf numFmtId="0" fontId="3" fillId="0" borderId="144" xfId="0" applyFont="1" applyBorder="1" applyAlignment="1">
      <alignment vertical="center"/>
    </xf>
    <xf numFmtId="0" fontId="3" fillId="0" borderId="145" xfId="0" applyFont="1" applyBorder="1" applyAlignment="1">
      <alignment vertical="center"/>
    </xf>
    <xf numFmtId="0" fontId="20" fillId="0" borderId="149" xfId="0" applyFont="1" applyBorder="1" applyAlignment="1">
      <alignment vertical="center"/>
    </xf>
    <xf numFmtId="0" fontId="20" fillId="0" borderId="34" xfId="0" applyFont="1" applyBorder="1" applyAlignment="1">
      <alignment vertical="center"/>
    </xf>
    <xf numFmtId="0" fontId="23" fillId="0" borderId="34" xfId="0" applyFont="1" applyBorder="1" applyAlignment="1">
      <alignment vertical="center"/>
    </xf>
    <xf numFmtId="0" fontId="17" fillId="0" borderId="34" xfId="0" applyFont="1" applyBorder="1" applyAlignment="1">
      <alignment horizontal="center" vertical="center"/>
    </xf>
    <xf numFmtId="1" fontId="114" fillId="0" borderId="5" xfId="0" applyNumberFormat="1" applyFont="1" applyFill="1" applyBorder="1" applyAlignment="1">
      <alignment horizontal="center" vertical="center"/>
    </xf>
    <xf numFmtId="0" fontId="34" fillId="0" borderId="0" xfId="0" applyFont="1" applyBorder="1" applyAlignment="1">
      <alignment horizontal="right" vertical="center"/>
    </xf>
    <xf numFmtId="0" fontId="17" fillId="0" borderId="11"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11" xfId="0" applyFont="1" applyFill="1" applyBorder="1" applyAlignment="1">
      <alignment horizontal="center" vertical="center"/>
    </xf>
    <xf numFmtId="1" fontId="11" fillId="0" borderId="3" xfId="0" applyNumberFormat="1" applyFont="1" applyFill="1" applyBorder="1" applyAlignment="1">
      <alignment horizontal="center" vertical="center"/>
    </xf>
    <xf numFmtId="3" fontId="11" fillId="0" borderId="11" xfId="0" applyNumberFormat="1" applyFont="1" applyFill="1" applyBorder="1" applyAlignment="1">
      <alignment horizontal="center" vertical="center"/>
    </xf>
    <xf numFmtId="3" fontId="12" fillId="0" borderId="3" xfId="0" applyNumberFormat="1" applyFont="1" applyFill="1" applyBorder="1" applyAlignment="1">
      <alignment horizontal="center" vertical="center"/>
    </xf>
    <xf numFmtId="3" fontId="11" fillId="0" borderId="2" xfId="0" applyNumberFormat="1" applyFont="1" applyFill="1" applyBorder="1" applyAlignment="1">
      <alignment horizontal="center" vertical="center"/>
    </xf>
    <xf numFmtId="0" fontId="11" fillId="0" borderId="2" xfId="0" applyNumberFormat="1" applyFont="1" applyFill="1" applyBorder="1" applyAlignment="1">
      <alignment horizontal="center" vertical="center"/>
    </xf>
    <xf numFmtId="0" fontId="11" fillId="0" borderId="11" xfId="0" applyNumberFormat="1" applyFont="1" applyFill="1" applyBorder="1" applyAlignment="1">
      <alignment horizontal="center" vertical="center"/>
    </xf>
    <xf numFmtId="1" fontId="11" fillId="0" borderId="11" xfId="0" applyNumberFormat="1" applyFont="1" applyFill="1" applyBorder="1" applyAlignment="1">
      <alignment horizontal="center" vertical="center"/>
    </xf>
    <xf numFmtId="0" fontId="17" fillId="0" borderId="9" xfId="0" applyFont="1" applyFill="1" applyBorder="1" applyAlignment="1">
      <alignment horizontal="center" vertical="center"/>
    </xf>
    <xf numFmtId="0" fontId="3" fillId="0" borderId="149" xfId="0" applyFont="1" applyBorder="1" applyAlignment="1">
      <alignment vertical="center"/>
    </xf>
    <xf numFmtId="0" fontId="39" fillId="0" borderId="34" xfId="0" applyFont="1" applyFill="1" applyBorder="1" applyAlignment="1">
      <alignment horizontal="center" vertical="center"/>
    </xf>
    <xf numFmtId="1" fontId="11" fillId="0" borderId="35" xfId="0" applyNumberFormat="1" applyFont="1" applyFill="1" applyBorder="1" applyAlignment="1">
      <alignment horizontal="center" vertical="center"/>
    </xf>
    <xf numFmtId="1" fontId="82" fillId="0" borderId="34" xfId="0" applyNumberFormat="1" applyFont="1" applyFill="1" applyBorder="1" applyAlignment="1">
      <alignment horizontal="center" vertical="center"/>
    </xf>
    <xf numFmtId="1" fontId="11" fillId="0" borderId="36" xfId="0" applyNumberFormat="1" applyFont="1" applyFill="1" applyBorder="1" applyAlignment="1">
      <alignment horizontal="center" vertical="center"/>
    </xf>
    <xf numFmtId="1" fontId="26" fillId="0" borderId="34" xfId="0" applyNumberFormat="1" applyFont="1" applyFill="1" applyBorder="1" applyAlignment="1">
      <alignment horizontal="center" vertical="center"/>
    </xf>
    <xf numFmtId="0" fontId="3" fillId="0" borderId="152" xfId="0" applyFont="1" applyBorder="1" applyAlignment="1">
      <alignment vertical="center"/>
    </xf>
    <xf numFmtId="0" fontId="3" fillId="0" borderId="153" xfId="0" applyFont="1" applyBorder="1" applyAlignment="1">
      <alignment horizontal="center" vertical="center" textRotation="90"/>
    </xf>
    <xf numFmtId="0" fontId="34" fillId="0" borderId="153" xfId="0" applyFont="1" applyBorder="1" applyAlignment="1">
      <alignment horizontal="right" vertical="center"/>
    </xf>
    <xf numFmtId="0" fontId="39" fillId="0" borderId="153" xfId="0" applyFont="1" applyFill="1" applyBorder="1" applyAlignment="1">
      <alignment horizontal="center" vertical="center"/>
    </xf>
    <xf numFmtId="1" fontId="11" fillId="0" borderId="154" xfId="0" applyNumberFormat="1" applyFont="1" applyFill="1" applyBorder="1" applyAlignment="1">
      <alignment horizontal="center" vertical="center"/>
    </xf>
    <xf numFmtId="1" fontId="82" fillId="0" borderId="153" xfId="0" applyNumberFormat="1" applyFont="1" applyFill="1" applyBorder="1" applyAlignment="1">
      <alignment horizontal="center" vertical="center"/>
    </xf>
    <xf numFmtId="3" fontId="69" fillId="0" borderId="155" xfId="0" applyNumberFormat="1" applyFont="1" applyFill="1" applyBorder="1" applyAlignment="1">
      <alignment horizontal="center" vertical="center"/>
    </xf>
    <xf numFmtId="1" fontId="26" fillId="0" borderId="153" xfId="0" applyNumberFormat="1" applyFont="1" applyFill="1" applyBorder="1" applyAlignment="1">
      <alignment horizontal="center" vertical="center"/>
    </xf>
    <xf numFmtId="0" fontId="3" fillId="0" borderId="147" xfId="0" applyFont="1" applyBorder="1" applyAlignment="1">
      <alignment vertical="center"/>
    </xf>
    <xf numFmtId="0" fontId="3" fillId="0" borderId="159" xfId="0" applyFont="1" applyBorder="1" applyAlignment="1">
      <alignment vertical="center"/>
    </xf>
    <xf numFmtId="0" fontId="20" fillId="0" borderId="152" xfId="0" applyFont="1" applyBorder="1" applyAlignment="1">
      <alignment vertical="center"/>
    </xf>
    <xf numFmtId="0" fontId="20" fillId="0" borderId="153" xfId="0" applyFont="1" applyBorder="1" applyAlignment="1">
      <alignment vertical="center"/>
    </xf>
    <xf numFmtId="0" fontId="3" fillId="0" borderId="153" xfId="0" applyFont="1" applyBorder="1" applyAlignment="1">
      <alignment vertical="center"/>
    </xf>
    <xf numFmtId="0" fontId="9" fillId="0" borderId="153" xfId="0" applyFont="1" applyFill="1" applyBorder="1" applyAlignment="1">
      <alignment vertical="center"/>
    </xf>
    <xf numFmtId="0" fontId="20" fillId="0" borderId="144" xfId="0" applyFont="1" applyBorder="1" applyAlignment="1">
      <alignment vertical="center"/>
    </xf>
    <xf numFmtId="0" fontId="20" fillId="0" borderId="11" xfId="0" applyFont="1" applyBorder="1" applyAlignment="1">
      <alignment vertical="center"/>
    </xf>
    <xf numFmtId="1" fontId="55" fillId="0" borderId="2" xfId="0" applyNumberFormat="1" applyFont="1" applyFill="1" applyBorder="1" applyAlignment="1" applyProtection="1">
      <alignment horizontal="center" vertical="center"/>
      <protection locked="0"/>
    </xf>
    <xf numFmtId="1" fontId="33" fillId="0" borderId="2" xfId="0" applyNumberFormat="1" applyFont="1" applyFill="1" applyBorder="1" applyAlignment="1">
      <alignment horizontal="center" vertical="center"/>
    </xf>
    <xf numFmtId="1" fontId="12" fillId="0" borderId="2" xfId="0" applyNumberFormat="1" applyFont="1" applyFill="1" applyBorder="1" applyAlignment="1">
      <alignment horizontal="center" vertical="center"/>
    </xf>
    <xf numFmtId="0" fontId="9" fillId="0" borderId="68" xfId="0" applyFont="1" applyFill="1" applyBorder="1" applyAlignment="1">
      <alignment horizontal="center" vertical="center"/>
    </xf>
    <xf numFmtId="0" fontId="9" fillId="0" borderId="50" xfId="0" applyFont="1" applyFill="1" applyBorder="1" applyAlignment="1">
      <alignment vertical="center"/>
    </xf>
    <xf numFmtId="0" fontId="11" fillId="0" borderId="50" xfId="0" applyFont="1" applyFill="1" applyBorder="1" applyAlignment="1">
      <alignment horizontal="center" vertical="center"/>
    </xf>
    <xf numFmtId="3" fontId="11" fillId="0" borderId="50" xfId="0" applyNumberFormat="1" applyFont="1" applyFill="1" applyBorder="1" applyAlignment="1">
      <alignment horizontal="center" vertical="center"/>
    </xf>
    <xf numFmtId="3" fontId="12" fillId="0" borderId="131" xfId="0" applyNumberFormat="1" applyFont="1" applyFill="1" applyBorder="1" applyAlignment="1">
      <alignment horizontal="center" vertical="center"/>
    </xf>
    <xf numFmtId="0" fontId="17" fillId="0" borderId="153" xfId="0" applyFont="1" applyFill="1" applyBorder="1" applyAlignment="1">
      <alignment horizontal="center" vertical="center"/>
    </xf>
    <xf numFmtId="0" fontId="9" fillId="0" borderId="153" xfId="0" applyFont="1" applyFill="1" applyBorder="1" applyAlignment="1">
      <alignment horizontal="center" vertical="center"/>
    </xf>
    <xf numFmtId="0" fontId="11" fillId="0" borderId="153" xfId="0" applyFont="1" applyFill="1" applyBorder="1" applyAlignment="1">
      <alignment horizontal="center" vertical="center"/>
    </xf>
    <xf numFmtId="1" fontId="11" fillId="0" borderId="153" xfId="0" applyNumberFormat="1" applyFont="1" applyFill="1" applyBorder="1" applyAlignment="1">
      <alignment horizontal="center" vertical="center"/>
    </xf>
    <xf numFmtId="3" fontId="11" fillId="0" borderId="153" xfId="0" applyNumberFormat="1" applyFont="1" applyFill="1" applyBorder="1" applyAlignment="1">
      <alignment horizontal="center" vertical="center"/>
    </xf>
    <xf numFmtId="0" fontId="3" fillId="15" borderId="0" xfId="0" applyFont="1" applyFill="1" applyBorder="1" applyAlignment="1">
      <alignment vertical="center"/>
    </xf>
    <xf numFmtId="0" fontId="9" fillId="15" borderId="0" xfId="0" applyFont="1" applyFill="1" applyBorder="1" applyAlignment="1">
      <alignment vertical="center"/>
    </xf>
    <xf numFmtId="0" fontId="53" fillId="15" borderId="0" xfId="0" applyFont="1" applyFill="1" applyBorder="1" applyAlignment="1">
      <alignment horizontal="center" vertical="center"/>
    </xf>
    <xf numFmtId="1" fontId="11" fillId="15" borderId="4" xfId="0" applyNumberFormat="1" applyFont="1" applyFill="1" applyBorder="1" applyAlignment="1">
      <alignment horizontal="center" vertical="center"/>
    </xf>
    <xf numFmtId="1" fontId="27" fillId="15" borderId="0" xfId="0" applyNumberFormat="1" applyFont="1" applyFill="1" applyBorder="1" applyAlignment="1">
      <alignment horizontal="center" vertical="center"/>
    </xf>
    <xf numFmtId="1" fontId="27" fillId="15" borderId="5" xfId="0" applyNumberFormat="1" applyFont="1" applyFill="1" applyBorder="1" applyAlignment="1">
      <alignment horizontal="center" vertical="center"/>
    </xf>
    <xf numFmtId="3" fontId="27" fillId="15" borderId="11" xfId="0" applyNumberFormat="1" applyFont="1" applyFill="1" applyBorder="1" applyAlignment="1">
      <alignment horizontal="center" vertical="center"/>
    </xf>
    <xf numFmtId="3" fontId="26" fillId="15" borderId="3" xfId="0" applyNumberFormat="1" applyFont="1" applyFill="1" applyBorder="1" applyAlignment="1">
      <alignment horizontal="center" vertical="center"/>
    </xf>
    <xf numFmtId="0" fontId="3" fillId="15" borderId="50" xfId="0" applyFont="1" applyFill="1" applyBorder="1" applyAlignment="1">
      <alignment vertical="center"/>
    </xf>
    <xf numFmtId="0" fontId="9" fillId="15" borderId="50" xfId="0" applyFont="1" applyFill="1" applyBorder="1" applyAlignment="1">
      <alignment vertical="center"/>
    </xf>
    <xf numFmtId="0" fontId="53" fillId="15" borderId="50" xfId="0" applyFont="1" applyFill="1" applyBorder="1" applyAlignment="1">
      <alignment horizontal="center" vertical="center"/>
    </xf>
    <xf numFmtId="1" fontId="11" fillId="15" borderId="68" xfId="0" applyNumberFormat="1" applyFont="1" applyFill="1" applyBorder="1" applyAlignment="1">
      <alignment horizontal="center" vertical="center"/>
    </xf>
    <xf numFmtId="1" fontId="27" fillId="15" borderId="50" xfId="0" applyNumberFormat="1" applyFont="1" applyFill="1" applyBorder="1" applyAlignment="1">
      <alignment horizontal="center" vertical="center"/>
    </xf>
    <xf numFmtId="1" fontId="27" fillId="15" borderId="131" xfId="0" applyNumberFormat="1" applyFont="1" applyFill="1" applyBorder="1" applyAlignment="1">
      <alignment horizontal="center" vertical="center"/>
    </xf>
    <xf numFmtId="3" fontId="27" fillId="15" borderId="68" xfId="0" applyNumberFormat="1" applyFont="1" applyFill="1" applyBorder="1" applyAlignment="1">
      <alignment horizontal="center" vertical="center"/>
    </xf>
    <xf numFmtId="3" fontId="27" fillId="15" borderId="50" xfId="0" applyNumberFormat="1" applyFont="1" applyFill="1" applyBorder="1" applyAlignment="1">
      <alignment horizontal="center" vertical="center"/>
    </xf>
    <xf numFmtId="3" fontId="26" fillId="15" borderId="131" xfId="0" applyNumberFormat="1" applyFont="1" applyFill="1" applyBorder="1" applyAlignment="1">
      <alignment horizontal="center" vertical="center"/>
    </xf>
    <xf numFmtId="0" fontId="8" fillId="15" borderId="68" xfId="0" applyFont="1" applyFill="1" applyBorder="1" applyAlignment="1">
      <alignment vertical="center"/>
    </xf>
    <xf numFmtId="0" fontId="17" fillId="15" borderId="137" xfId="0" applyFont="1" applyFill="1" applyBorder="1" applyAlignment="1">
      <alignment vertical="center"/>
    </xf>
    <xf numFmtId="0" fontId="17" fillId="15" borderId="159" xfId="0" applyFont="1" applyFill="1" applyBorder="1" applyAlignment="1">
      <alignment vertical="center"/>
    </xf>
    <xf numFmtId="0" fontId="15" fillId="0" borderId="11" xfId="0" applyFont="1" applyBorder="1" applyAlignment="1">
      <alignment vertical="center"/>
    </xf>
    <xf numFmtId="0" fontId="117" fillId="0" borderId="0" xfId="0" applyFont="1" applyBorder="1" applyAlignment="1">
      <alignment horizontal="left" vertical="center" indent="1"/>
    </xf>
    <xf numFmtId="0" fontId="15" fillId="0" borderId="50" xfId="0" applyFont="1" applyBorder="1" applyAlignment="1">
      <alignment vertical="center"/>
    </xf>
    <xf numFmtId="0" fontId="117" fillId="0" borderId="9" xfId="0" applyFont="1" applyBorder="1" applyAlignment="1">
      <alignment horizontal="left" vertical="center" indent="1"/>
    </xf>
    <xf numFmtId="0" fontId="117" fillId="0" borderId="1" xfId="0" applyFont="1" applyBorder="1" applyAlignment="1">
      <alignment horizontal="left" vertical="center" indent="1"/>
    </xf>
    <xf numFmtId="0" fontId="118" fillId="0" borderId="0" xfId="0" applyFont="1" applyBorder="1" applyAlignment="1">
      <alignment vertical="center"/>
    </xf>
    <xf numFmtId="0" fontId="54" fillId="0" borderId="34" xfId="0" applyFont="1" applyFill="1" applyBorder="1" applyAlignment="1">
      <alignment horizontal="center" vertical="center"/>
    </xf>
    <xf numFmtId="1" fontId="30" fillId="0" borderId="3" xfId="0" applyNumberFormat="1" applyFont="1" applyFill="1" applyBorder="1" applyAlignment="1">
      <alignment horizontal="center" vertical="center"/>
    </xf>
    <xf numFmtId="0" fontId="25" fillId="0" borderId="5" xfId="0" applyFont="1" applyFill="1" applyBorder="1" applyAlignment="1">
      <alignment vertical="center"/>
    </xf>
    <xf numFmtId="1" fontId="30" fillId="0" borderId="5" xfId="0" applyNumberFormat="1" applyFont="1" applyFill="1" applyBorder="1" applyAlignment="1">
      <alignment horizontal="center" vertical="center"/>
    </xf>
    <xf numFmtId="0" fontId="23" fillId="0" borderId="5" xfId="0" applyFont="1" applyFill="1" applyBorder="1" applyAlignment="1">
      <alignment vertical="center"/>
    </xf>
    <xf numFmtId="1" fontId="30" fillId="0" borderId="131" xfId="0" applyNumberFormat="1" applyFont="1" applyFill="1" applyBorder="1" applyAlignment="1">
      <alignment horizontal="center" vertical="center"/>
    </xf>
    <xf numFmtId="0" fontId="117" fillId="0" borderId="153" xfId="0" applyFont="1" applyBorder="1" applyAlignment="1">
      <alignment horizontal="right" vertical="center"/>
    </xf>
    <xf numFmtId="0" fontId="116" fillId="15" borderId="0" xfId="0" applyFont="1" applyFill="1" applyBorder="1" applyAlignment="1">
      <alignment vertical="center"/>
    </xf>
    <xf numFmtId="0" fontId="116" fillId="15" borderId="50" xfId="0" applyFont="1" applyFill="1" applyBorder="1" applyAlignment="1">
      <alignment vertical="center"/>
    </xf>
    <xf numFmtId="0" fontId="15" fillId="0" borderId="34" xfId="0" applyFont="1" applyBorder="1" applyAlignment="1">
      <alignment vertical="center"/>
    </xf>
    <xf numFmtId="0" fontId="15" fillId="0" borderId="31" xfId="0" applyFont="1" applyBorder="1" applyAlignment="1">
      <alignment vertical="center"/>
    </xf>
    <xf numFmtId="0" fontId="119" fillId="0" borderId="1" xfId="0" applyFont="1" applyBorder="1" applyAlignment="1">
      <alignment vertical="center"/>
    </xf>
    <xf numFmtId="0" fontId="118" fillId="0" borderId="120" xfId="0" applyFont="1" applyBorder="1" applyAlignment="1">
      <alignment vertical="center"/>
    </xf>
    <xf numFmtId="0" fontId="118" fillId="0" borderId="124" xfId="0" applyFont="1" applyBorder="1" applyAlignment="1">
      <alignment vertical="center"/>
    </xf>
    <xf numFmtId="0" fontId="118" fillId="0" borderId="127" xfId="0" applyFont="1" applyBorder="1" applyAlignment="1">
      <alignment vertical="center"/>
    </xf>
    <xf numFmtId="0" fontId="48" fillId="0" borderId="11" xfId="0" applyFont="1" applyFill="1" applyBorder="1" applyAlignment="1">
      <alignment horizontal="center" vertical="center"/>
    </xf>
    <xf numFmtId="0" fontId="48" fillId="0" borderId="50" xfId="0" applyFont="1" applyFill="1" applyBorder="1" applyAlignment="1">
      <alignment horizontal="center" vertical="center"/>
    </xf>
    <xf numFmtId="9" fontId="47" fillId="0" borderId="20" xfId="1" applyFont="1" applyFill="1" applyBorder="1" applyAlignment="1" applyProtection="1">
      <alignment horizontal="center" vertical="center"/>
    </xf>
    <xf numFmtId="0" fontId="8" fillId="0" borderId="20" xfId="0" applyFont="1" applyFill="1" applyBorder="1" applyAlignment="1">
      <alignment vertical="center"/>
    </xf>
    <xf numFmtId="9" fontId="11" fillId="0" borderId="20" xfId="0" applyNumberFormat="1" applyFont="1" applyFill="1" applyBorder="1" applyAlignment="1">
      <alignment horizontal="center" vertical="center"/>
    </xf>
    <xf numFmtId="9" fontId="58" fillId="0" borderId="164" xfId="1" applyFont="1" applyFill="1" applyBorder="1" applyAlignment="1" applyProtection="1">
      <alignment horizontal="center" vertical="center"/>
      <protection locked="0"/>
    </xf>
    <xf numFmtId="0" fontId="8" fillId="0" borderId="19" xfId="0" applyFont="1" applyFill="1" applyBorder="1" applyAlignment="1">
      <alignment vertical="center"/>
    </xf>
    <xf numFmtId="0" fontId="57" fillId="0" borderId="162" xfId="0" applyFont="1" applyFill="1" applyBorder="1" applyAlignment="1" applyProtection="1">
      <alignment horizontal="center" vertical="center"/>
      <protection locked="0"/>
    </xf>
    <xf numFmtId="0" fontId="57" fillId="0" borderId="164" xfId="0" applyFont="1" applyFill="1" applyBorder="1" applyAlignment="1" applyProtection="1">
      <alignment horizontal="center" vertical="center"/>
      <protection locked="0"/>
    </xf>
    <xf numFmtId="0" fontId="57" fillId="0" borderId="19" xfId="0" applyFont="1" applyFill="1" applyBorder="1" applyAlignment="1" applyProtection="1">
      <alignment horizontal="center" vertical="center"/>
      <protection locked="0"/>
    </xf>
    <xf numFmtId="0" fontId="57" fillId="0" borderId="21" xfId="0" applyFont="1" applyFill="1" applyBorder="1" applyAlignment="1" applyProtection="1">
      <alignment horizontal="center" vertical="center"/>
      <protection locked="0"/>
    </xf>
    <xf numFmtId="0" fontId="57" fillId="0" borderId="20" xfId="0" applyFont="1" applyFill="1" applyBorder="1" applyAlignment="1" applyProtection="1">
      <alignment horizontal="center" vertical="center"/>
      <protection locked="0"/>
    </xf>
    <xf numFmtId="0" fontId="8" fillId="15" borderId="18" xfId="0" applyFont="1" applyFill="1" applyBorder="1" applyAlignment="1">
      <alignment vertical="center"/>
    </xf>
    <xf numFmtId="0" fontId="8" fillId="15" borderId="69" xfId="0" applyFont="1" applyFill="1" applyBorder="1" applyAlignment="1">
      <alignment vertical="center"/>
    </xf>
    <xf numFmtId="0" fontId="118" fillId="0" borderId="18" xfId="0" applyFont="1" applyFill="1" applyBorder="1" applyAlignment="1">
      <alignment horizontal="center" vertical="center"/>
    </xf>
    <xf numFmtId="0" fontId="118" fillId="0" borderId="69" xfId="0" applyFont="1" applyFill="1" applyBorder="1" applyAlignment="1">
      <alignment horizontal="center" vertical="center"/>
    </xf>
    <xf numFmtId="0" fontId="80" fillId="0" borderId="20" xfId="0" applyFont="1" applyFill="1" applyBorder="1" applyAlignment="1">
      <alignment horizontal="center" vertical="center"/>
    </xf>
    <xf numFmtId="1" fontId="114" fillId="0" borderId="3" xfId="0" applyNumberFormat="1" applyFont="1" applyFill="1" applyBorder="1" applyAlignment="1">
      <alignment horizontal="center" vertical="center"/>
    </xf>
    <xf numFmtId="0" fontId="114" fillId="0" borderId="2" xfId="0" applyFont="1" applyFill="1" applyBorder="1" applyAlignment="1">
      <alignment horizontal="center" vertical="center"/>
    </xf>
    <xf numFmtId="0" fontId="114" fillId="5" borderId="5" xfId="0" applyFont="1" applyFill="1" applyBorder="1" applyAlignment="1">
      <alignment horizontal="center" vertical="center"/>
    </xf>
    <xf numFmtId="0" fontId="20" fillId="0" borderId="141" xfId="0" applyFont="1" applyBorder="1" applyAlignment="1">
      <alignment vertical="center"/>
    </xf>
    <xf numFmtId="0" fontId="20" fillId="0" borderId="1" xfId="0" applyFont="1" applyBorder="1" applyAlignment="1">
      <alignment vertical="center"/>
    </xf>
    <xf numFmtId="0" fontId="48" fillId="0" borderId="1" xfId="0" applyFont="1" applyFill="1" applyBorder="1" applyAlignment="1">
      <alignment horizontal="center" vertical="center"/>
    </xf>
    <xf numFmtId="1" fontId="55" fillId="0" borderId="6" xfId="0" applyNumberFormat="1" applyFont="1" applyFill="1" applyBorder="1" applyAlignment="1" applyProtection="1">
      <alignment horizontal="center" vertical="center"/>
      <protection locked="0"/>
    </xf>
    <xf numFmtId="0" fontId="11" fillId="0" borderId="1" xfId="0" applyFont="1" applyFill="1" applyBorder="1" applyAlignment="1">
      <alignment horizontal="center" vertical="center"/>
    </xf>
    <xf numFmtId="1" fontId="30" fillId="0" borderId="7" xfId="0" applyNumberFormat="1" applyFont="1" applyFill="1" applyBorder="1" applyAlignment="1">
      <alignment horizontal="center" vertical="center"/>
    </xf>
    <xf numFmtId="3" fontId="11" fillId="0" borderId="1" xfId="0" applyNumberFormat="1" applyFont="1" applyFill="1" applyBorder="1" applyAlignment="1">
      <alignment horizontal="center" vertical="center"/>
    </xf>
    <xf numFmtId="3" fontId="12" fillId="0" borderId="7" xfId="0" applyNumberFormat="1" applyFont="1" applyFill="1" applyBorder="1" applyAlignment="1">
      <alignment horizontal="center" vertical="center"/>
    </xf>
    <xf numFmtId="0" fontId="118" fillId="0" borderId="21" xfId="0" applyFont="1" applyFill="1" applyBorder="1" applyAlignment="1">
      <alignment horizontal="center" vertical="center"/>
    </xf>
    <xf numFmtId="0" fontId="23" fillId="0" borderId="153" xfId="0" applyFont="1" applyBorder="1" applyAlignment="1">
      <alignment vertical="center"/>
    </xf>
    <xf numFmtId="0" fontId="17" fillId="0" borderId="153" xfId="0" applyFont="1" applyBorder="1" applyAlignment="1">
      <alignment horizontal="center" vertical="center"/>
    </xf>
    <xf numFmtId="0" fontId="114" fillId="0" borderId="153" xfId="0" applyFont="1" applyFill="1" applyBorder="1" applyAlignment="1">
      <alignment horizontal="center" vertical="center"/>
    </xf>
    <xf numFmtId="1" fontId="114" fillId="0" borderId="155" xfId="0" applyNumberFormat="1" applyFont="1" applyFill="1" applyBorder="1" applyAlignment="1">
      <alignment horizontal="center" vertical="center"/>
    </xf>
    <xf numFmtId="0" fontId="114" fillId="0" borderId="154" xfId="0" applyFont="1" applyFill="1" applyBorder="1" applyAlignment="1">
      <alignment horizontal="center" vertical="center"/>
    </xf>
    <xf numFmtId="0" fontId="25" fillId="0" borderId="164" xfId="0" applyFont="1" applyFill="1" applyBorder="1" applyAlignment="1">
      <alignment horizontal="center" vertical="center" wrapText="1"/>
    </xf>
    <xf numFmtId="0" fontId="118" fillId="0" borderId="19" xfId="0" applyFont="1" applyFill="1" applyBorder="1" applyAlignment="1">
      <alignment horizontal="center" vertical="center"/>
    </xf>
    <xf numFmtId="9" fontId="58" fillId="0" borderId="18" xfId="1" applyFont="1" applyFill="1" applyBorder="1" applyAlignment="1" applyProtection="1">
      <alignment horizontal="center" vertical="center"/>
      <protection locked="0"/>
    </xf>
    <xf numFmtId="0" fontId="6" fillId="0" borderId="154" xfId="0" quotePrefix="1" applyFont="1" applyFill="1" applyBorder="1" applyAlignment="1">
      <alignment vertical="center"/>
    </xf>
    <xf numFmtId="0" fontId="6" fillId="0" borderId="155" xfId="0" quotePrefix="1" applyFont="1" applyFill="1" applyBorder="1" applyAlignment="1">
      <alignment vertical="center"/>
    </xf>
    <xf numFmtId="0" fontId="8" fillId="0" borderId="35" xfId="0" applyFont="1" applyFill="1" applyBorder="1" applyAlignment="1">
      <alignment vertical="center"/>
    </xf>
    <xf numFmtId="0" fontId="8" fillId="0" borderId="154" xfId="0" applyFont="1" applyFill="1" applyBorder="1" applyAlignment="1">
      <alignment vertical="center"/>
    </xf>
    <xf numFmtId="0" fontId="8" fillId="0" borderId="155" xfId="0" applyFont="1" applyFill="1" applyBorder="1" applyAlignment="1">
      <alignment vertical="center"/>
    </xf>
    <xf numFmtId="0" fontId="8" fillId="0" borderId="6" xfId="0" applyFont="1" applyFill="1" applyBorder="1" applyAlignment="1">
      <alignment vertical="center"/>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131" xfId="0" applyFont="1" applyFill="1" applyBorder="1" applyAlignment="1">
      <alignment vertical="center"/>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174" fontId="50" fillId="0" borderId="6" xfId="0" applyNumberFormat="1" applyFont="1" applyFill="1" applyBorder="1" applyAlignment="1">
      <alignment horizontal="center" vertical="center"/>
    </xf>
    <xf numFmtId="0" fontId="6" fillId="0" borderId="132" xfId="0" quotePrefix="1" applyFont="1" applyFill="1" applyBorder="1" applyAlignment="1">
      <alignment vertical="center"/>
    </xf>
    <xf numFmtId="0" fontId="114" fillId="5" borderId="7" xfId="0" applyFont="1" applyFill="1" applyBorder="1" applyAlignment="1">
      <alignment horizontal="center" vertical="center"/>
    </xf>
    <xf numFmtId="0" fontId="8" fillId="5" borderId="5" xfId="0" applyFont="1" applyFill="1" applyBorder="1" applyAlignment="1">
      <alignment vertical="center"/>
    </xf>
    <xf numFmtId="0" fontId="6" fillId="5" borderId="7" xfId="0" applyFont="1" applyFill="1" applyBorder="1" applyAlignment="1">
      <alignment vertical="center"/>
    </xf>
    <xf numFmtId="0" fontId="114" fillId="6" borderId="7" xfId="0" applyFont="1" applyFill="1" applyBorder="1" applyAlignment="1">
      <alignment horizontal="center" vertical="center"/>
    </xf>
    <xf numFmtId="0" fontId="8" fillId="6" borderId="5" xfId="0" applyFont="1" applyFill="1" applyBorder="1" applyAlignment="1">
      <alignment vertical="center"/>
    </xf>
    <xf numFmtId="0" fontId="114" fillId="6" borderId="5" xfId="0" applyFont="1" applyFill="1" applyBorder="1" applyAlignment="1">
      <alignment horizontal="center" vertical="center"/>
    </xf>
    <xf numFmtId="0" fontId="6" fillId="6" borderId="7" xfId="0" applyFont="1" applyFill="1" applyBorder="1" applyAlignment="1">
      <alignment vertical="center"/>
    </xf>
    <xf numFmtId="0" fontId="6" fillId="0" borderId="133" xfId="0" quotePrefix="1" applyFont="1" applyFill="1" applyBorder="1" applyAlignment="1">
      <alignment vertical="center"/>
    </xf>
    <xf numFmtId="174" fontId="50" fillId="0" borderId="4" xfId="0" applyNumberFormat="1" applyFont="1" applyFill="1" applyBorder="1" applyAlignment="1">
      <alignment horizontal="center" vertical="center"/>
    </xf>
    <xf numFmtId="0" fontId="117" fillId="0" borderId="11" xfId="0" applyFont="1" applyBorder="1" applyAlignment="1">
      <alignment horizontal="right" vertical="center"/>
    </xf>
    <xf numFmtId="0" fontId="8" fillId="5" borderId="10" xfId="0" applyFont="1" applyFill="1" applyBorder="1" applyAlignment="1">
      <alignment vertical="center"/>
    </xf>
    <xf numFmtId="0" fontId="8" fillId="5" borderId="7" xfId="0" applyFont="1" applyFill="1" applyBorder="1" applyAlignment="1">
      <alignment vertical="center"/>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0" fontId="23" fillId="0" borderId="132" xfId="0" applyFont="1" applyBorder="1" applyAlignment="1">
      <alignment horizontal="center" vertical="center"/>
    </xf>
    <xf numFmtId="0" fontId="23" fillId="0" borderId="4" xfId="0" applyFont="1" applyBorder="1" applyAlignment="1">
      <alignment horizontal="center" vertical="center" wrapText="1"/>
    </xf>
    <xf numFmtId="0" fontId="23" fillId="0" borderId="35" xfId="0" applyFont="1" applyBorder="1" applyAlignment="1">
      <alignment horizontal="center" vertical="center" wrapText="1"/>
    </xf>
    <xf numFmtId="0" fontId="3" fillId="0" borderId="157" xfId="0" applyFont="1" applyBorder="1" applyAlignment="1"/>
    <xf numFmtId="0" fontId="3" fillId="0" borderId="147" xfId="0" applyFont="1" applyBorder="1" applyAlignment="1"/>
    <xf numFmtId="0" fontId="116" fillId="0" borderId="147" xfId="0" applyFont="1" applyBorder="1" applyAlignment="1"/>
    <xf numFmtId="0" fontId="9" fillId="0" borderId="147" xfId="0" applyFont="1" applyBorder="1" applyAlignment="1"/>
    <xf numFmtId="0" fontId="17" fillId="0" borderId="147" xfId="0" applyFont="1" applyFill="1" applyBorder="1" applyAlignment="1">
      <alignment horizontal="center"/>
    </xf>
    <xf numFmtId="1" fontId="26" fillId="0" borderId="146" xfId="0" applyNumberFormat="1" applyFont="1" applyFill="1" applyBorder="1" applyAlignment="1">
      <alignment horizontal="center"/>
    </xf>
    <xf numFmtId="1" fontId="26" fillId="0" borderId="147" xfId="0" applyNumberFormat="1" applyFont="1" applyFill="1" applyBorder="1" applyAlignment="1">
      <alignment horizontal="center"/>
    </xf>
    <xf numFmtId="1" fontId="26" fillId="0" borderId="158" xfId="0" applyNumberFormat="1" applyFont="1" applyFill="1" applyBorder="1" applyAlignment="1">
      <alignment horizontal="center"/>
    </xf>
    <xf numFmtId="3" fontId="69" fillId="0" borderId="147" xfId="0" applyNumberFormat="1" applyFont="1" applyFill="1" applyBorder="1" applyAlignment="1">
      <alignment horizontal="center"/>
    </xf>
    <xf numFmtId="0" fontId="114" fillId="16" borderId="7" xfId="0" applyFont="1" applyFill="1" applyBorder="1" applyAlignment="1">
      <alignment horizontal="center" vertical="center"/>
    </xf>
    <xf numFmtId="0" fontId="8" fillId="16" borderId="5" xfId="0" applyFont="1" applyFill="1" applyBorder="1" applyAlignment="1">
      <alignment vertical="center"/>
    </xf>
    <xf numFmtId="0" fontId="114" fillId="16" borderId="5" xfId="0" applyFont="1" applyFill="1" applyBorder="1" applyAlignment="1">
      <alignment horizontal="center" vertical="center"/>
    </xf>
    <xf numFmtId="0" fontId="8" fillId="16" borderId="10" xfId="0" applyFont="1" applyFill="1" applyBorder="1" applyAlignment="1">
      <alignment vertical="center"/>
    </xf>
    <xf numFmtId="0" fontId="8" fillId="16" borderId="36" xfId="0" applyFont="1" applyFill="1" applyBorder="1" applyAlignment="1">
      <alignment vertical="center"/>
    </xf>
    <xf numFmtId="0" fontId="114" fillId="17" borderId="7" xfId="0" applyFont="1" applyFill="1" applyBorder="1" applyAlignment="1">
      <alignment horizontal="center" vertical="center"/>
    </xf>
    <xf numFmtId="0" fontId="3" fillId="0" borderId="146" xfId="0" applyFont="1" applyBorder="1" applyAlignment="1">
      <alignment vertical="center"/>
    </xf>
    <xf numFmtId="0" fontId="114" fillId="0" borderId="153" xfId="0" applyFont="1" applyFill="1" applyBorder="1" applyAlignment="1">
      <alignment horizontal="center" vertical="center" wrapText="1"/>
    </xf>
    <xf numFmtId="1" fontId="114" fillId="0" borderId="155" xfId="0" applyNumberFormat="1" applyFont="1" applyFill="1" applyBorder="1" applyAlignment="1">
      <alignment horizontal="center" vertical="center" wrapText="1"/>
    </xf>
    <xf numFmtId="0" fontId="114" fillId="0" borderId="154" xfId="0" applyFont="1" applyFill="1" applyBorder="1" applyAlignment="1">
      <alignment horizontal="center" vertical="center" wrapText="1"/>
    </xf>
    <xf numFmtId="0" fontId="17" fillId="0" borderId="155" xfId="0" applyFont="1" applyBorder="1" applyAlignment="1">
      <alignment horizontal="center" vertical="center"/>
    </xf>
    <xf numFmtId="3" fontId="13" fillId="0" borderId="1" xfId="0" applyNumberFormat="1" applyFont="1" applyFill="1" applyBorder="1" applyAlignment="1">
      <alignment horizontal="center" vertical="center"/>
    </xf>
    <xf numFmtId="0" fontId="38" fillId="5" borderId="7" xfId="0" applyFont="1" applyFill="1" applyBorder="1" applyAlignment="1">
      <alignment horizontal="center" vertical="center"/>
    </xf>
    <xf numFmtId="3" fontId="33" fillId="0" borderId="0" xfId="0" applyNumberFormat="1" applyFont="1" applyBorder="1" applyAlignment="1">
      <alignment horizontal="center" vertical="center"/>
    </xf>
    <xf numFmtId="0" fontId="118" fillId="0" borderId="4" xfId="0" applyFont="1" applyFill="1" applyBorder="1" applyAlignment="1">
      <alignment horizontal="center" vertical="center"/>
    </xf>
    <xf numFmtId="0" fontId="118" fillId="0" borderId="8" xfId="0" applyFont="1" applyFill="1" applyBorder="1" applyAlignment="1">
      <alignment horizontal="center" vertical="center"/>
    </xf>
    <xf numFmtId="9" fontId="47" fillId="0" borderId="4" xfId="1" applyFont="1" applyFill="1" applyBorder="1" applyAlignment="1" applyProtection="1">
      <alignment horizontal="center" vertical="center"/>
    </xf>
    <xf numFmtId="0" fontId="80" fillId="0" borderId="4" xfId="0" applyFont="1" applyFill="1" applyBorder="1" applyAlignment="1">
      <alignment horizontal="center" vertical="center"/>
    </xf>
    <xf numFmtId="9" fontId="58" fillId="0" borderId="132" xfId="1" applyFont="1" applyFill="1" applyBorder="1" applyAlignment="1" applyProtection="1">
      <alignment horizontal="center" vertical="center"/>
      <protection locked="0"/>
    </xf>
    <xf numFmtId="0" fontId="57" fillId="0" borderId="154" xfId="0" applyFont="1" applyFill="1" applyBorder="1" applyAlignment="1" applyProtection="1">
      <alignment horizontal="center" vertical="center"/>
      <protection locked="0"/>
    </xf>
    <xf numFmtId="0" fontId="57" fillId="0" borderId="4" xfId="0" applyFont="1" applyFill="1" applyBorder="1" applyAlignment="1" applyProtection="1">
      <alignment horizontal="center" vertical="center"/>
      <protection locked="0"/>
    </xf>
    <xf numFmtId="0" fontId="57" fillId="0" borderId="8" xfId="0" applyFont="1" applyFill="1" applyBorder="1" applyAlignment="1" applyProtection="1">
      <alignment horizontal="center" vertical="center"/>
      <protection locked="0"/>
    </xf>
    <xf numFmtId="0" fontId="57" fillId="0" borderId="6" xfId="0" applyFont="1" applyFill="1" applyBorder="1" applyAlignment="1" applyProtection="1">
      <alignment horizontal="center" vertical="center"/>
      <protection locked="0"/>
    </xf>
    <xf numFmtId="0" fontId="57" fillId="0" borderId="147" xfId="0" applyFont="1" applyFill="1" applyBorder="1" applyAlignment="1" applyProtection="1">
      <alignment horizontal="center"/>
      <protection locked="0"/>
    </xf>
    <xf numFmtId="9" fontId="13" fillId="0" borderId="6" xfId="1" applyFont="1" applyFill="1" applyBorder="1" applyAlignment="1">
      <alignment horizontal="center" vertical="center"/>
    </xf>
    <xf numFmtId="3" fontId="11" fillId="0" borderId="9" xfId="0" applyNumberFormat="1" applyFont="1" applyFill="1" applyBorder="1" applyAlignment="1">
      <alignment horizontal="center" vertical="center"/>
    </xf>
    <xf numFmtId="174" fontId="50" fillId="0" borderId="1" xfId="0" applyNumberFormat="1" applyFont="1" applyFill="1" applyBorder="1" applyAlignment="1">
      <alignment horizontal="center" vertical="center"/>
    </xf>
    <xf numFmtId="0" fontId="6" fillId="0" borderId="31" xfId="0" quotePrefix="1" applyFont="1" applyFill="1" applyBorder="1" applyAlignment="1">
      <alignment vertical="center"/>
    </xf>
    <xf numFmtId="0" fontId="114" fillId="0" borderId="11" xfId="0" applyFont="1" applyFill="1" applyBorder="1" applyAlignment="1">
      <alignment horizontal="center" vertical="center"/>
    </xf>
    <xf numFmtId="174" fontId="50" fillId="0" borderId="0" xfId="0" applyNumberFormat="1" applyFont="1" applyFill="1" applyBorder="1" applyAlignment="1">
      <alignment horizontal="center" vertical="center"/>
    </xf>
    <xf numFmtId="0" fontId="8" fillId="0" borderId="34" xfId="0" applyFont="1" applyFill="1" applyBorder="1" applyAlignment="1">
      <alignment vertical="center"/>
    </xf>
    <xf numFmtId="0" fontId="8" fillId="0" borderId="153" xfId="0" applyFont="1" applyFill="1" applyBorder="1" applyAlignment="1">
      <alignment vertical="center"/>
    </xf>
    <xf numFmtId="3" fontId="11" fillId="0" borderId="0" xfId="0" applyNumberFormat="1" applyFont="1" applyFill="1" applyBorder="1" applyAlignment="1">
      <alignment horizontal="center" vertical="center"/>
    </xf>
    <xf numFmtId="0" fontId="8" fillId="15" borderId="0" xfId="0" applyFont="1" applyFill="1" applyBorder="1" applyAlignment="1">
      <alignment vertical="center"/>
    </xf>
    <xf numFmtId="0" fontId="8" fillId="15" borderId="50" xfId="0" applyFont="1" applyFill="1" applyBorder="1" applyAlignment="1">
      <alignment vertical="center"/>
    </xf>
    <xf numFmtId="3" fontId="65" fillId="0" borderId="9" xfId="0" applyNumberFormat="1" applyFont="1" applyFill="1" applyBorder="1" applyAlignment="1">
      <alignment horizontal="center" vertical="center"/>
    </xf>
    <xf numFmtId="0" fontId="38" fillId="5" borderId="5" xfId="0" applyFont="1" applyFill="1" applyBorder="1" applyAlignment="1">
      <alignment horizontal="center" vertical="center"/>
    </xf>
    <xf numFmtId="0" fontId="3" fillId="5" borderId="7" xfId="0" applyFont="1" applyFill="1" applyBorder="1" applyAlignment="1">
      <alignment vertical="center"/>
    </xf>
    <xf numFmtId="3" fontId="13" fillId="0" borderId="0" xfId="0" applyNumberFormat="1" applyFont="1" applyFill="1" applyBorder="1" applyAlignment="1">
      <alignment horizontal="center" vertical="center"/>
    </xf>
    <xf numFmtId="3" fontId="12" fillId="0" borderId="5" xfId="0" applyNumberFormat="1" applyFont="1" applyFill="1" applyBorder="1" applyAlignment="1">
      <alignment horizontal="center" vertical="center"/>
    </xf>
    <xf numFmtId="0" fontId="38" fillId="18" borderId="7" xfId="0" applyFont="1" applyFill="1" applyBorder="1" applyAlignment="1">
      <alignment horizontal="center" vertical="center"/>
    </xf>
    <xf numFmtId="0" fontId="6" fillId="0" borderId="153" xfId="0" quotePrefix="1" applyFont="1" applyFill="1" applyBorder="1" applyAlignment="1">
      <alignment vertical="center"/>
    </xf>
    <xf numFmtId="1" fontId="114" fillId="0" borderId="154" xfId="0" applyNumberFormat="1" applyFont="1" applyFill="1" applyBorder="1" applyAlignment="1">
      <alignment horizontal="center" vertical="center" wrapText="1"/>
    </xf>
    <xf numFmtId="0" fontId="38" fillId="0" borderId="4" xfId="0" applyFont="1" applyFill="1" applyBorder="1" applyAlignment="1">
      <alignment horizontal="center" vertical="center"/>
    </xf>
    <xf numFmtId="0" fontId="114" fillId="0" borderId="4" xfId="0" applyFont="1" applyFill="1" applyBorder="1" applyAlignment="1">
      <alignment horizontal="center" vertical="center"/>
    </xf>
    <xf numFmtId="0" fontId="6" fillId="0" borderId="4" xfId="0" applyFont="1" applyFill="1" applyBorder="1" applyAlignment="1">
      <alignment vertical="center"/>
    </xf>
    <xf numFmtId="0" fontId="8" fillId="14" borderId="5" xfId="0" applyFont="1" applyFill="1" applyBorder="1" applyAlignment="1">
      <alignment vertical="center"/>
    </xf>
    <xf numFmtId="0" fontId="38" fillId="14" borderId="5" xfId="0" applyFont="1" applyFill="1" applyBorder="1" applyAlignment="1">
      <alignment horizontal="center" vertical="center"/>
    </xf>
    <xf numFmtId="0" fontId="38" fillId="14" borderId="7" xfId="0" applyFont="1" applyFill="1" applyBorder="1" applyAlignment="1">
      <alignment horizontal="center" vertical="center"/>
    </xf>
    <xf numFmtId="3" fontId="65" fillId="0" borderId="11" xfId="0" applyNumberFormat="1" applyFont="1" applyFill="1" applyBorder="1" applyAlignment="1">
      <alignment horizontal="center" vertical="center"/>
    </xf>
    <xf numFmtId="0" fontId="38" fillId="5" borderId="36" xfId="0" applyFont="1" applyFill="1" applyBorder="1" applyAlignment="1">
      <alignment horizontal="center" vertical="center"/>
    </xf>
    <xf numFmtId="3" fontId="11" fillId="0" borderId="31" xfId="0" applyNumberFormat="1" applyFont="1" applyFill="1" applyBorder="1" applyAlignment="1">
      <alignment horizontal="center" vertical="center"/>
    </xf>
    <xf numFmtId="3" fontId="69" fillId="0" borderId="133" xfId="0" applyNumberFormat="1" applyFont="1" applyFill="1" applyBorder="1" applyAlignment="1">
      <alignment horizontal="center" vertical="center"/>
    </xf>
    <xf numFmtId="0" fontId="114" fillId="0" borderId="2" xfId="0" applyFont="1" applyFill="1" applyBorder="1" applyAlignment="1">
      <alignment horizontal="center" vertical="center" wrapText="1"/>
    </xf>
    <xf numFmtId="0" fontId="114" fillId="0" borderId="11" xfId="0" applyFont="1" applyFill="1" applyBorder="1" applyAlignment="1">
      <alignment horizontal="center" vertical="center" wrapText="1"/>
    </xf>
    <xf numFmtId="1" fontId="114" fillId="0" borderId="3" xfId="0" applyNumberFormat="1" applyFont="1" applyFill="1" applyBorder="1" applyAlignment="1">
      <alignment horizontal="center" vertical="center" wrapText="1"/>
    </xf>
    <xf numFmtId="0" fontId="6" fillId="16" borderId="7" xfId="0" applyFont="1" applyFill="1" applyBorder="1" applyAlignment="1">
      <alignment vertical="center"/>
    </xf>
    <xf numFmtId="0" fontId="38" fillId="16" borderId="5" xfId="0" applyFont="1" applyFill="1" applyBorder="1" applyAlignment="1">
      <alignment horizontal="center" vertical="center"/>
    </xf>
    <xf numFmtId="0" fontId="8" fillId="0" borderId="31" xfId="0" applyFont="1" applyFill="1" applyBorder="1" applyAlignment="1">
      <alignment vertical="center"/>
    </xf>
    <xf numFmtId="0" fontId="38" fillId="16" borderId="7" xfId="0" applyFont="1" applyFill="1" applyBorder="1" applyAlignment="1">
      <alignment horizontal="center" vertical="center"/>
    </xf>
    <xf numFmtId="0" fontId="3" fillId="0" borderId="136" xfId="0" applyFont="1" applyBorder="1" applyAlignment="1">
      <alignment horizontal="center" vertical="center"/>
    </xf>
    <xf numFmtId="0" fontId="108" fillId="0" borderId="138" xfId="0" applyFont="1" applyBorder="1" applyAlignment="1">
      <alignment horizontal="right" vertical="center"/>
    </xf>
    <xf numFmtId="0" fontId="110" fillId="0" borderId="138" xfId="0" applyFont="1" applyBorder="1" applyAlignment="1">
      <alignment horizontal="right" vertical="center"/>
    </xf>
    <xf numFmtId="0" fontId="9" fillId="0" borderId="140" xfId="0" applyFont="1" applyFill="1" applyBorder="1" applyAlignment="1">
      <alignment horizontal="center" vertical="center"/>
    </xf>
    <xf numFmtId="0" fontId="9" fillId="0" borderId="138" xfId="0" applyFont="1" applyFill="1" applyBorder="1" applyAlignment="1">
      <alignment horizontal="center" vertical="center"/>
    </xf>
    <xf numFmtId="0" fontId="23" fillId="0" borderId="150" xfId="0" applyFont="1" applyBorder="1" applyAlignment="1">
      <alignment horizontal="center" vertical="center"/>
    </xf>
    <xf numFmtId="0" fontId="119" fillId="0" borderId="156" xfId="0" applyFont="1" applyBorder="1" applyAlignment="1">
      <alignment horizontal="center" vertical="center"/>
    </xf>
    <xf numFmtId="0" fontId="116" fillId="0" borderId="142" xfId="0" applyFont="1" applyFill="1" applyBorder="1" applyAlignment="1">
      <alignment horizontal="center" vertical="center"/>
    </xf>
    <xf numFmtId="0" fontId="116" fillId="0" borderId="151" xfId="0" applyFont="1" applyFill="1" applyBorder="1" applyAlignment="1">
      <alignment horizontal="center" vertical="center"/>
    </xf>
    <xf numFmtId="9" fontId="38" fillId="0" borderId="138" xfId="1" applyFont="1" applyFill="1" applyBorder="1" applyAlignment="1" applyProtection="1">
      <alignment horizontal="center" vertical="center"/>
    </xf>
    <xf numFmtId="0" fontId="116" fillId="0" borderId="138" xfId="0" applyFont="1" applyFill="1" applyBorder="1" applyAlignment="1">
      <alignment horizontal="center" vertical="center"/>
    </xf>
    <xf numFmtId="9" fontId="118" fillId="0" borderId="138" xfId="0" applyNumberFormat="1" applyFont="1" applyFill="1" applyBorder="1" applyAlignment="1">
      <alignment horizontal="center" vertical="center"/>
    </xf>
    <xf numFmtId="9" fontId="114" fillId="0" borderId="156" xfId="1" applyFont="1" applyFill="1" applyBorder="1" applyAlignment="1" applyProtection="1">
      <alignment horizontal="center" vertical="center"/>
      <protection locked="0"/>
    </xf>
    <xf numFmtId="9" fontId="114" fillId="0" borderId="138" xfId="1" applyFont="1" applyFill="1" applyBorder="1" applyAlignment="1" applyProtection="1">
      <alignment horizontal="center" vertical="center"/>
      <protection locked="0"/>
    </xf>
    <xf numFmtId="0" fontId="116" fillId="0" borderId="143" xfId="0" applyFont="1" applyFill="1" applyBorder="1" applyAlignment="1">
      <alignment horizontal="center" vertical="center"/>
    </xf>
    <xf numFmtId="0" fontId="114" fillId="0" borderId="150" xfId="0" applyFont="1" applyFill="1" applyBorder="1" applyAlignment="1" applyProtection="1">
      <alignment horizontal="center" vertical="center"/>
      <protection locked="0"/>
    </xf>
    <xf numFmtId="0" fontId="114" fillId="0" borderId="156" xfId="0" applyFont="1" applyFill="1" applyBorder="1" applyAlignment="1" applyProtection="1">
      <alignment horizontal="center" vertical="center"/>
      <protection locked="0"/>
    </xf>
    <xf numFmtId="0" fontId="114" fillId="0" borderId="138" xfId="0" applyFont="1" applyFill="1" applyBorder="1" applyAlignment="1" applyProtection="1">
      <alignment horizontal="center" vertical="center"/>
      <protection locked="0"/>
    </xf>
    <xf numFmtId="0" fontId="114" fillId="0" borderId="143" xfId="0" applyFont="1" applyFill="1" applyBorder="1" applyAlignment="1" applyProtection="1">
      <alignment horizontal="center" vertical="center"/>
      <protection locked="0"/>
    </xf>
    <xf numFmtId="0" fontId="114" fillId="0" borderId="142" xfId="0" applyFont="1" applyFill="1" applyBorder="1" applyAlignment="1" applyProtection="1">
      <alignment horizontal="center" vertical="center"/>
      <protection locked="0"/>
    </xf>
    <xf numFmtId="0" fontId="116" fillId="15" borderId="151" xfId="0" applyFont="1" applyFill="1" applyBorder="1" applyAlignment="1">
      <alignment horizontal="center" vertical="center"/>
    </xf>
    <xf numFmtId="0" fontId="116" fillId="15" borderId="160" xfId="0" applyFont="1" applyFill="1" applyBorder="1" applyAlignment="1">
      <alignment horizontal="center" vertical="center"/>
    </xf>
    <xf numFmtId="0" fontId="8" fillId="0" borderId="148" xfId="0" applyFont="1" applyFill="1" applyBorder="1" applyAlignment="1">
      <alignment horizontal="center"/>
    </xf>
    <xf numFmtId="0" fontId="38" fillId="5" borderId="3" xfId="0" applyFont="1" applyFill="1" applyBorder="1" applyAlignment="1">
      <alignment horizontal="center" vertical="center"/>
    </xf>
    <xf numFmtId="1" fontId="26" fillId="0" borderId="7" xfId="0" applyNumberFormat="1" applyFont="1" applyFill="1" applyBorder="1" applyAlignment="1">
      <alignment horizontal="center" vertical="center"/>
    </xf>
    <xf numFmtId="3" fontId="13" fillId="0" borderId="9" xfId="0" applyNumberFormat="1" applyFont="1" applyFill="1" applyBorder="1" applyAlignment="1">
      <alignment horizontal="center" vertical="center"/>
    </xf>
    <xf numFmtId="3" fontId="65" fillId="0" borderId="0" xfId="0" applyNumberFormat="1" applyFont="1" applyFill="1" applyBorder="1" applyAlignment="1">
      <alignment horizontal="center" vertical="center"/>
    </xf>
    <xf numFmtId="9" fontId="13" fillId="0" borderId="4" xfId="1" applyFont="1" applyFill="1" applyBorder="1" applyAlignment="1">
      <alignment horizontal="center" vertical="center"/>
    </xf>
    <xf numFmtId="0" fontId="8" fillId="14" borderId="10" xfId="0" applyFont="1" applyFill="1" applyBorder="1" applyAlignment="1">
      <alignment vertical="center"/>
    </xf>
    <xf numFmtId="0" fontId="8" fillId="14" borderId="7" xfId="0" applyFont="1" applyFill="1" applyBorder="1" applyAlignment="1">
      <alignment vertical="center"/>
    </xf>
    <xf numFmtId="3" fontId="12" fillId="0" borderId="10" xfId="0" applyNumberFormat="1" applyFont="1" applyFill="1" applyBorder="1" applyAlignment="1">
      <alignment horizontal="center" vertical="center"/>
    </xf>
    <xf numFmtId="0" fontId="8" fillId="0" borderId="8" xfId="0" applyFont="1" applyFill="1" applyBorder="1" applyAlignment="1">
      <alignment vertical="center"/>
    </xf>
    <xf numFmtId="0" fontId="3" fillId="0" borderId="165" xfId="0" applyFont="1" applyBorder="1" applyAlignment="1">
      <alignment vertical="center"/>
    </xf>
    <xf numFmtId="0" fontId="8" fillId="15" borderId="10" xfId="0" applyFont="1" applyFill="1" applyBorder="1" applyAlignment="1">
      <alignment vertical="center"/>
    </xf>
    <xf numFmtId="1" fontId="116" fillId="0" borderId="31" xfId="0" applyNumberFormat="1" applyFont="1" applyFill="1" applyBorder="1" applyAlignment="1">
      <alignment horizontal="right" vertical="center" wrapText="1"/>
    </xf>
    <xf numFmtId="0" fontId="8" fillId="0" borderId="133" xfId="0" applyFont="1" applyFill="1" applyBorder="1" applyAlignment="1">
      <alignment vertical="center"/>
    </xf>
    <xf numFmtId="0" fontId="17" fillId="0" borderId="139" xfId="0" applyFont="1" applyFill="1" applyBorder="1" applyAlignment="1">
      <alignment vertical="center"/>
    </xf>
    <xf numFmtId="0" fontId="3" fillId="0" borderId="31" xfId="0" applyFont="1" applyFill="1" applyBorder="1" applyAlignment="1">
      <alignment vertical="center"/>
    </xf>
    <xf numFmtId="0" fontId="116" fillId="0" borderId="31" xfId="0" applyFont="1" applyFill="1" applyBorder="1" applyAlignment="1">
      <alignment vertical="center"/>
    </xf>
    <xf numFmtId="0" fontId="53" fillId="0" borderId="31" xfId="0" applyFont="1" applyFill="1" applyBorder="1" applyAlignment="1">
      <alignment horizontal="center" vertical="center"/>
    </xf>
    <xf numFmtId="1" fontId="11" fillId="0" borderId="132" xfId="0" applyNumberFormat="1" applyFont="1" applyFill="1" applyBorder="1" applyAlignment="1">
      <alignment horizontal="center" vertical="center"/>
    </xf>
    <xf numFmtId="1" fontId="27" fillId="0" borderId="31" xfId="0" applyNumberFormat="1" applyFont="1" applyFill="1" applyBorder="1" applyAlignment="1">
      <alignment horizontal="center" vertical="center"/>
    </xf>
    <xf numFmtId="1" fontId="26" fillId="0" borderId="132" xfId="0" applyNumberFormat="1" applyFont="1" applyFill="1" applyBorder="1" applyAlignment="1">
      <alignment horizontal="center" vertical="center"/>
    </xf>
    <xf numFmtId="0" fontId="8" fillId="0" borderId="163" xfId="0" applyFont="1" applyFill="1" applyBorder="1" applyAlignment="1">
      <alignment vertical="center"/>
    </xf>
    <xf numFmtId="0" fontId="8" fillId="0" borderId="140" xfId="0" applyFont="1" applyFill="1" applyBorder="1" applyAlignment="1">
      <alignment horizontal="center" vertical="center"/>
    </xf>
    <xf numFmtId="0" fontId="17" fillId="0" borderId="147" xfId="0" applyFont="1" applyBorder="1" applyAlignment="1">
      <alignment horizontal="right" vertical="center"/>
    </xf>
    <xf numFmtId="0" fontId="17" fillId="0" borderId="158" xfId="0" applyFont="1" applyBorder="1" applyAlignment="1">
      <alignment horizontal="right" vertical="center"/>
    </xf>
    <xf numFmtId="0" fontId="17" fillId="0" borderId="159" xfId="0" applyFont="1" applyFill="1" applyBorder="1" applyAlignment="1">
      <alignment vertical="center"/>
    </xf>
    <xf numFmtId="0" fontId="3" fillId="0" borderId="50" xfId="0" applyFont="1" applyFill="1" applyBorder="1" applyAlignment="1">
      <alignment vertical="center"/>
    </xf>
    <xf numFmtId="0" fontId="116" fillId="0" borderId="50" xfId="0" applyFont="1" applyFill="1" applyBorder="1" applyAlignment="1">
      <alignment vertical="center"/>
    </xf>
    <xf numFmtId="0" fontId="53" fillId="0" borderId="50" xfId="0" applyFont="1" applyFill="1" applyBorder="1" applyAlignment="1">
      <alignment horizontal="center" vertical="center"/>
    </xf>
    <xf numFmtId="1" fontId="11" fillId="0" borderId="68" xfId="0" applyNumberFormat="1" applyFont="1" applyFill="1" applyBorder="1" applyAlignment="1">
      <alignment horizontal="center" vertical="center"/>
    </xf>
    <xf numFmtId="1" fontId="27" fillId="0" borderId="50" xfId="0" applyNumberFormat="1" applyFont="1" applyFill="1" applyBorder="1" applyAlignment="1">
      <alignment horizontal="center" vertical="center"/>
    </xf>
    <xf numFmtId="1" fontId="26" fillId="0" borderId="68" xfId="0" applyNumberFormat="1" applyFont="1" applyFill="1" applyBorder="1" applyAlignment="1">
      <alignment horizontal="center" vertical="center"/>
    </xf>
    <xf numFmtId="3" fontId="95" fillId="0" borderId="50" xfId="0" applyNumberFormat="1" applyFont="1" applyFill="1" applyBorder="1" applyAlignment="1">
      <alignment horizontal="right" vertical="center"/>
    </xf>
    <xf numFmtId="3" fontId="69" fillId="0" borderId="50" xfId="0" applyNumberFormat="1" applyFont="1" applyFill="1" applyBorder="1" applyAlignment="1">
      <alignment horizontal="left" vertical="center"/>
    </xf>
    <xf numFmtId="0" fontId="8" fillId="0" borderId="131" xfId="0" applyFont="1" applyFill="1" applyBorder="1" applyAlignment="1">
      <alignment vertical="center"/>
    </xf>
    <xf numFmtId="0" fontId="8" fillId="0" borderId="50" xfId="0" applyFont="1" applyFill="1" applyBorder="1" applyAlignment="1">
      <alignment vertical="center"/>
    </xf>
    <xf numFmtId="0" fontId="8" fillId="0" borderId="160" xfId="0" applyFont="1" applyFill="1" applyBorder="1" applyAlignment="1">
      <alignment horizontal="center" vertical="center"/>
    </xf>
    <xf numFmtId="3" fontId="69" fillId="0" borderId="147" xfId="0" applyNumberFormat="1" applyFont="1" applyFill="1" applyBorder="1" applyAlignment="1">
      <alignment horizontal="center" vertical="center"/>
    </xf>
    <xf numFmtId="3" fontId="83" fillId="0" borderId="147" xfId="0" applyNumberFormat="1" applyFont="1" applyFill="1" applyBorder="1" applyAlignment="1">
      <alignment horizontal="center" vertical="center"/>
    </xf>
    <xf numFmtId="3" fontId="83" fillId="0" borderId="147" xfId="0" applyNumberFormat="1" applyFont="1" applyFill="1" applyBorder="1" applyAlignment="1">
      <alignment horizontal="left" vertical="center"/>
    </xf>
    <xf numFmtId="0" fontId="15" fillId="0" borderId="135" xfId="0" applyFont="1" applyBorder="1" applyAlignment="1">
      <alignment vertical="center"/>
    </xf>
    <xf numFmtId="0" fontId="75" fillId="0" borderId="135" xfId="0" applyFont="1" applyBorder="1" applyAlignment="1">
      <alignment vertical="center"/>
    </xf>
    <xf numFmtId="0" fontId="3" fillId="0" borderId="166" xfId="0" applyFont="1" applyBorder="1" applyAlignment="1"/>
    <xf numFmtId="0" fontId="3" fillId="0" borderId="165" xfId="0" applyFont="1" applyBorder="1" applyAlignment="1"/>
    <xf numFmtId="0" fontId="116" fillId="0" borderId="165" xfId="0" applyFont="1" applyBorder="1" applyAlignment="1"/>
    <xf numFmtId="0" fontId="9" fillId="0" borderId="165" xfId="0" applyFont="1" applyBorder="1" applyAlignment="1"/>
    <xf numFmtId="0" fontId="17" fillId="0" borderId="165" xfId="0" applyFont="1" applyFill="1" applyBorder="1" applyAlignment="1">
      <alignment horizontal="center"/>
    </xf>
    <xf numFmtId="1" fontId="26" fillId="0" borderId="165" xfId="0" applyNumberFormat="1" applyFont="1" applyFill="1" applyBorder="1" applyAlignment="1">
      <alignment horizontal="center"/>
    </xf>
    <xf numFmtId="3" fontId="95" fillId="0" borderId="165" xfId="0" applyNumberFormat="1" applyFont="1" applyFill="1" applyBorder="1" applyAlignment="1">
      <alignment horizontal="right"/>
    </xf>
    <xf numFmtId="3" fontId="69" fillId="0" borderId="165" xfId="0" applyNumberFormat="1" applyFont="1" applyFill="1" applyBorder="1" applyAlignment="1">
      <alignment horizontal="center"/>
    </xf>
    <xf numFmtId="0" fontId="17" fillId="0" borderId="152" xfId="0" applyFont="1" applyFill="1" applyBorder="1" applyAlignment="1">
      <alignment vertical="center"/>
    </xf>
    <xf numFmtId="0" fontId="3" fillId="0" borderId="153" xfId="0" applyFont="1" applyFill="1" applyBorder="1" applyAlignment="1">
      <alignment vertical="center"/>
    </xf>
    <xf numFmtId="0" fontId="116" fillId="0" borderId="153" xfId="0" applyFont="1" applyFill="1" applyBorder="1" applyAlignment="1">
      <alignment vertical="center"/>
    </xf>
    <xf numFmtId="0" fontId="53" fillId="0" borderId="153" xfId="0" applyFont="1" applyFill="1" applyBorder="1" applyAlignment="1">
      <alignment horizontal="center" vertical="center"/>
    </xf>
    <xf numFmtId="1" fontId="27" fillId="0" borderId="153" xfId="0" applyNumberFormat="1" applyFont="1" applyFill="1" applyBorder="1" applyAlignment="1">
      <alignment horizontal="center" vertical="center"/>
    </xf>
    <xf numFmtId="1" fontId="27" fillId="0" borderId="155" xfId="0" applyNumberFormat="1" applyFont="1" applyFill="1" applyBorder="1" applyAlignment="1">
      <alignment horizontal="center" vertical="center"/>
    </xf>
    <xf numFmtId="1" fontId="26" fillId="0" borderId="154" xfId="0" applyNumberFormat="1" applyFont="1" applyFill="1" applyBorder="1" applyAlignment="1">
      <alignment horizontal="center"/>
    </xf>
    <xf numFmtId="0" fontId="3" fillId="0" borderId="159" xfId="0" applyFont="1" applyBorder="1" applyAlignment="1"/>
    <xf numFmtId="0" fontId="3" fillId="0" borderId="50" xfId="0" applyFont="1" applyBorder="1" applyAlignment="1"/>
    <xf numFmtId="0" fontId="116" fillId="0" borderId="50" xfId="0" applyFont="1" applyBorder="1" applyAlignment="1"/>
    <xf numFmtId="0" fontId="9" fillId="0" borderId="50" xfId="0" applyFont="1" applyBorder="1" applyAlignment="1"/>
    <xf numFmtId="0" fontId="17" fillId="0" borderId="50" xfId="0" applyFont="1" applyFill="1" applyBorder="1" applyAlignment="1">
      <alignment horizontal="center"/>
    </xf>
    <xf numFmtId="1" fontId="26" fillId="0" borderId="50" xfId="0" applyNumberFormat="1" applyFont="1" applyFill="1" applyBorder="1" applyAlignment="1">
      <alignment horizontal="center"/>
    </xf>
    <xf numFmtId="3" fontId="69" fillId="0" borderId="131" xfId="0" applyNumberFormat="1" applyFont="1" applyFill="1" applyBorder="1" applyAlignment="1">
      <alignment horizontal="center"/>
    </xf>
    <xf numFmtId="3" fontId="69" fillId="0" borderId="50" xfId="0" applyNumberFormat="1" applyFont="1" applyFill="1" applyBorder="1" applyAlignment="1">
      <alignment horizontal="center"/>
    </xf>
    <xf numFmtId="3" fontId="95" fillId="0" borderId="50" xfId="0" applyNumberFormat="1" applyFont="1" applyFill="1" applyBorder="1" applyAlignment="1">
      <alignment horizontal="left"/>
    </xf>
    <xf numFmtId="1" fontId="66" fillId="0" borderId="50" xfId="0" applyNumberFormat="1" applyFont="1" applyFill="1" applyBorder="1" applyAlignment="1">
      <alignment horizontal="center" vertical="center"/>
    </xf>
    <xf numFmtId="1" fontId="116" fillId="0" borderId="153" xfId="0" applyNumberFormat="1" applyFont="1" applyFill="1" applyBorder="1" applyAlignment="1">
      <alignment horizontal="right" vertical="center" wrapText="1"/>
    </xf>
    <xf numFmtId="0" fontId="8" fillId="0" borderId="164" xfId="0" applyFont="1" applyFill="1" applyBorder="1" applyAlignment="1">
      <alignment vertical="center"/>
    </xf>
    <xf numFmtId="0" fontId="57" fillId="0" borderId="69" xfId="0" applyFont="1" applyFill="1" applyBorder="1" applyAlignment="1" applyProtection="1">
      <alignment horizontal="center"/>
      <protection locked="0"/>
    </xf>
    <xf numFmtId="3" fontId="83" fillId="0" borderId="161" xfId="0" applyNumberFormat="1" applyFont="1" applyFill="1" applyBorder="1" applyAlignment="1">
      <alignment horizontal="center" vertical="center"/>
    </xf>
    <xf numFmtId="3" fontId="83" fillId="0" borderId="165" xfId="0" applyNumberFormat="1" applyFont="1" applyFill="1" applyBorder="1" applyAlignment="1">
      <alignment horizontal="left" vertical="center"/>
    </xf>
    <xf numFmtId="3" fontId="83" fillId="0" borderId="165" xfId="0" applyNumberFormat="1" applyFont="1" applyFill="1" applyBorder="1" applyAlignment="1">
      <alignment horizontal="center" vertical="center"/>
    </xf>
    <xf numFmtId="0" fontId="8" fillId="0" borderId="156" xfId="0" applyFont="1" applyFill="1" applyBorder="1" applyAlignment="1">
      <alignment horizontal="center" vertical="center"/>
    </xf>
    <xf numFmtId="0" fontId="8" fillId="0" borderId="160" xfId="0" applyFont="1" applyFill="1" applyBorder="1" applyAlignment="1">
      <alignment horizontal="center"/>
    </xf>
    <xf numFmtId="0" fontId="8" fillId="0" borderId="167" xfId="0" applyFont="1" applyFill="1" applyBorder="1" applyAlignment="1">
      <alignment horizontal="center"/>
    </xf>
    <xf numFmtId="9" fontId="13" fillId="0" borderId="35" xfId="1" applyFont="1" applyFill="1" applyBorder="1" applyAlignment="1">
      <alignment horizontal="center" vertical="center"/>
    </xf>
    <xf numFmtId="174" fontId="50" fillId="0" borderId="34" xfId="0" applyNumberFormat="1" applyFont="1" applyFill="1" applyBorder="1" applyAlignment="1">
      <alignment horizontal="center" vertical="center"/>
    </xf>
    <xf numFmtId="0" fontId="38" fillId="18" borderId="36" xfId="0" applyFont="1" applyFill="1" applyBorder="1" applyAlignment="1">
      <alignment horizontal="center" vertical="center"/>
    </xf>
    <xf numFmtId="3" fontId="65" fillId="0" borderId="50" xfId="0" applyNumberFormat="1" applyFont="1" applyFill="1" applyBorder="1" applyAlignment="1">
      <alignment horizontal="center" vertical="center"/>
    </xf>
    <xf numFmtId="0" fontId="114" fillId="18" borderId="7" xfId="0" applyFont="1" applyFill="1" applyBorder="1" applyAlignment="1">
      <alignment horizontal="center" vertical="center"/>
    </xf>
    <xf numFmtId="0" fontId="114" fillId="5" borderId="10" xfId="0" applyFont="1" applyFill="1" applyBorder="1" applyAlignment="1">
      <alignment horizontal="center" vertical="center"/>
    </xf>
    <xf numFmtId="3" fontId="59" fillId="0" borderId="158" xfId="0" applyNumberFormat="1" applyFont="1" applyFill="1" applyBorder="1" applyAlignment="1">
      <alignment horizontal="center" vertical="center"/>
    </xf>
    <xf numFmtId="0" fontId="116" fillId="15" borderId="34" xfId="0" applyFont="1" applyFill="1" applyBorder="1" applyAlignment="1">
      <alignment vertical="center"/>
    </xf>
    <xf numFmtId="0" fontId="118" fillId="0" borderId="20" xfId="0" applyFont="1" applyFill="1" applyBorder="1" applyAlignment="1">
      <alignment horizontal="center" vertical="center"/>
    </xf>
    <xf numFmtId="0" fontId="120" fillId="5" borderId="10" xfId="0" applyFont="1" applyFill="1" applyBorder="1" applyAlignment="1">
      <alignment horizontal="center" vertical="center"/>
    </xf>
    <xf numFmtId="9" fontId="13" fillId="0" borderId="8" xfId="1" applyFont="1" applyFill="1" applyBorder="1" applyAlignment="1">
      <alignment horizontal="center" vertical="center"/>
    </xf>
    <xf numFmtId="0" fontId="38" fillId="5" borderId="10" xfId="0" applyFont="1" applyFill="1" applyBorder="1" applyAlignment="1">
      <alignment horizontal="center" vertical="center"/>
    </xf>
    <xf numFmtId="0" fontId="116" fillId="0" borderId="19" xfId="0" applyFont="1" applyFill="1" applyBorder="1" applyAlignment="1">
      <alignment horizontal="center" vertical="center"/>
    </xf>
    <xf numFmtId="0" fontId="116" fillId="0" borderId="21" xfId="0" applyFont="1" applyFill="1" applyBorder="1" applyAlignment="1">
      <alignment horizontal="center" vertical="center"/>
    </xf>
    <xf numFmtId="0" fontId="23" fillId="0" borderId="0" xfId="0" applyFont="1" applyBorder="1" applyAlignment="1">
      <alignment horizontal="center" vertical="center" wrapText="1"/>
    </xf>
    <xf numFmtId="0" fontId="23" fillId="0" borderId="34" xfId="0" applyFont="1" applyBorder="1" applyAlignment="1">
      <alignment horizontal="center" vertical="center" wrapText="1"/>
    </xf>
    <xf numFmtId="0" fontId="9" fillId="0" borderId="34" xfId="0" applyFont="1" applyFill="1" applyBorder="1" applyAlignment="1">
      <alignment vertical="center"/>
    </xf>
    <xf numFmtId="170" fontId="44" fillId="0" borderId="34" xfId="0" applyNumberFormat="1" applyFont="1" applyBorder="1" applyAlignment="1">
      <alignment vertical="center"/>
    </xf>
    <xf numFmtId="164" fontId="32" fillId="19" borderId="0" xfId="0" applyNumberFormat="1" applyFont="1" applyFill="1" applyBorder="1" applyAlignment="1" applyProtection="1">
      <alignment horizontal="center" vertical="center"/>
      <protection locked="0"/>
    </xf>
    <xf numFmtId="164" fontId="32" fillId="19" borderId="1" xfId="0" applyNumberFormat="1" applyFont="1" applyFill="1" applyBorder="1" applyAlignment="1" applyProtection="1">
      <alignment horizontal="center" vertical="center"/>
      <protection locked="0"/>
    </xf>
    <xf numFmtId="0" fontId="3" fillId="19" borderId="0" xfId="0" applyFont="1" applyFill="1" applyBorder="1" applyAlignment="1">
      <alignment vertical="center"/>
    </xf>
    <xf numFmtId="164" fontId="13" fillId="2" borderId="0" xfId="0" applyNumberFormat="1" applyFont="1" applyFill="1" applyBorder="1" applyAlignment="1" applyProtection="1">
      <alignment horizontal="center" vertical="center"/>
      <protection locked="0"/>
    </xf>
    <xf numFmtId="164" fontId="13" fillId="2" borderId="1" xfId="0" applyNumberFormat="1" applyFont="1" applyFill="1" applyBorder="1" applyAlignment="1" applyProtection="1">
      <alignment horizontal="center" vertical="center"/>
      <protection locked="0"/>
    </xf>
    <xf numFmtId="171" fontId="27" fillId="0" borderId="0" xfId="0" applyNumberFormat="1" applyFont="1" applyFill="1" applyBorder="1" applyAlignment="1">
      <alignment horizontal="center" vertical="center"/>
    </xf>
    <xf numFmtId="164" fontId="13" fillId="2" borderId="34" xfId="0" applyNumberFormat="1" applyFont="1" applyFill="1" applyBorder="1" applyAlignment="1" applyProtection="1">
      <alignment horizontal="center" vertical="center"/>
      <protection locked="0"/>
    </xf>
    <xf numFmtId="0" fontId="3" fillId="0" borderId="29" xfId="0" applyFont="1" applyFill="1" applyBorder="1" applyAlignment="1">
      <alignment vertical="center"/>
    </xf>
    <xf numFmtId="171" fontId="22" fillId="11" borderId="18" xfId="0" applyNumberFormat="1" applyFont="1" applyFill="1" applyBorder="1" applyAlignment="1">
      <alignment horizontal="center" vertical="center"/>
    </xf>
    <xf numFmtId="0" fontId="9" fillId="19" borderId="24" xfId="0" applyFont="1" applyFill="1" applyBorder="1" applyAlignment="1">
      <alignment vertical="center"/>
    </xf>
    <xf numFmtId="171" fontId="27" fillId="19" borderId="0" xfId="0" applyNumberFormat="1" applyFont="1" applyFill="1" applyBorder="1" applyAlignment="1">
      <alignment horizontal="center" vertical="center"/>
    </xf>
    <xf numFmtId="0" fontId="9" fillId="0" borderId="24" xfId="0" applyFont="1" applyFill="1" applyBorder="1" applyAlignment="1">
      <alignment vertical="center"/>
    </xf>
    <xf numFmtId="0" fontId="22" fillId="2" borderId="24" xfId="0" applyFont="1" applyFill="1" applyBorder="1" applyAlignment="1" applyProtection="1">
      <alignment horizontal="center" vertical="center"/>
      <protection locked="0"/>
    </xf>
    <xf numFmtId="0" fontId="22" fillId="2" borderId="33" xfId="0" applyFont="1" applyFill="1" applyBorder="1" applyAlignment="1" applyProtection="1">
      <alignment horizontal="center" vertical="center"/>
      <protection locked="0"/>
    </xf>
    <xf numFmtId="164" fontId="22" fillId="2" borderId="27" xfId="0" applyNumberFormat="1" applyFont="1" applyFill="1" applyBorder="1" applyAlignment="1" applyProtection="1">
      <alignment horizontal="center" vertical="center"/>
      <protection locked="0"/>
    </xf>
    <xf numFmtId="0" fontId="31" fillId="2" borderId="24" xfId="0" applyFont="1" applyFill="1" applyBorder="1" applyAlignment="1" applyProtection="1">
      <alignment horizontal="center" vertical="center"/>
      <protection locked="0"/>
    </xf>
    <xf numFmtId="0" fontId="31" fillId="2" borderId="27" xfId="0" applyFont="1" applyFill="1" applyBorder="1" applyAlignment="1" applyProtection="1">
      <alignment horizontal="center" vertical="center"/>
      <protection locked="0"/>
    </xf>
    <xf numFmtId="3" fontId="12" fillId="0" borderId="1" xfId="0" applyNumberFormat="1" applyFont="1" applyBorder="1" applyAlignment="1">
      <alignment horizontal="center" vertical="center"/>
    </xf>
    <xf numFmtId="0" fontId="3" fillId="0" borderId="1" xfId="0" applyFont="1" applyBorder="1" applyAlignment="1">
      <alignment horizontal="right" vertical="center"/>
    </xf>
    <xf numFmtId="164" fontId="12" fillId="0" borderId="1" xfId="0" applyNumberFormat="1" applyFont="1" applyBorder="1" applyAlignment="1">
      <alignment horizontal="center" vertical="center"/>
    </xf>
    <xf numFmtId="3" fontId="12" fillId="0" borderId="28" xfId="0" applyNumberFormat="1" applyFont="1" applyBorder="1" applyAlignment="1">
      <alignment horizontal="center" vertical="center"/>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17" fillId="0" borderId="24" xfId="0" applyFont="1" applyBorder="1" applyAlignment="1">
      <alignment vertical="center"/>
    </xf>
    <xf numFmtId="0" fontId="68" fillId="0" borderId="34" xfId="0" applyFont="1" applyBorder="1" applyAlignment="1">
      <alignment vertical="center"/>
    </xf>
    <xf numFmtId="169" fontId="44" fillId="0" borderId="34" xfId="0" applyNumberFormat="1" applyFont="1" applyBorder="1" applyAlignment="1">
      <alignment horizontal="center" vertical="center"/>
    </xf>
    <xf numFmtId="0" fontId="5" fillId="0" borderId="34" xfId="0" applyFont="1" applyBorder="1" applyAlignment="1">
      <alignment vertical="center"/>
    </xf>
    <xf numFmtId="0" fontId="122" fillId="0" borderId="35" xfId="0" applyFont="1" applyBorder="1" applyAlignment="1">
      <alignment horizontal="center" vertical="center"/>
    </xf>
    <xf numFmtId="0" fontId="3" fillId="0" borderId="136" xfId="0" applyFont="1" applyBorder="1" applyAlignment="1"/>
    <xf numFmtId="0" fontId="121" fillId="0" borderId="0" xfId="0" applyFont="1" applyBorder="1" applyAlignment="1">
      <alignment horizontal="left" vertical="center"/>
    </xf>
    <xf numFmtId="0" fontId="3" fillId="0" borderId="138" xfId="0" applyFont="1" applyBorder="1" applyAlignment="1">
      <alignment vertical="center"/>
    </xf>
    <xf numFmtId="0" fontId="17" fillId="0" borderId="149" xfId="0" applyFont="1" applyBorder="1" applyAlignment="1">
      <alignment vertical="center"/>
    </xf>
    <xf numFmtId="0" fontId="110" fillId="0" borderId="150" xfId="0" applyFont="1" applyBorder="1" applyAlignment="1">
      <alignment horizontal="center" vertical="center"/>
    </xf>
    <xf numFmtId="0" fontId="110" fillId="0" borderId="142" xfId="0" applyFont="1" applyBorder="1" applyAlignment="1">
      <alignment horizontal="center" vertical="center"/>
    </xf>
    <xf numFmtId="0" fontId="9" fillId="0" borderId="143" xfId="0" applyFont="1" applyFill="1" applyBorder="1" applyAlignment="1">
      <alignment vertical="center"/>
    </xf>
    <xf numFmtId="0" fontId="9" fillId="19" borderId="138" xfId="0" applyFont="1" applyFill="1" applyBorder="1" applyAlignment="1">
      <alignment vertical="center"/>
    </xf>
    <xf numFmtId="0" fontId="30" fillId="0" borderId="0" xfId="0" applyFont="1" applyBorder="1" applyAlignment="1">
      <alignment horizontal="center" vertical="center"/>
    </xf>
    <xf numFmtId="0" fontId="9" fillId="0" borderId="138" xfId="0" applyFont="1" applyFill="1" applyBorder="1" applyAlignment="1">
      <alignment vertical="center"/>
    </xf>
    <xf numFmtId="9" fontId="22" fillId="0" borderId="0" xfId="0" applyNumberFormat="1" applyFont="1" applyBorder="1" applyAlignment="1">
      <alignment horizontal="center" vertical="center"/>
    </xf>
    <xf numFmtId="1" fontId="13" fillId="0" borderId="0" xfId="0" applyNumberFormat="1" applyFont="1" applyBorder="1" applyAlignment="1">
      <alignment horizontal="center" vertical="center"/>
    </xf>
    <xf numFmtId="0" fontId="9" fillId="0" borderId="142" xfId="0" applyFont="1" applyFill="1" applyBorder="1" applyAlignment="1">
      <alignment vertical="center"/>
    </xf>
    <xf numFmtId="164" fontId="12" fillId="0" borderId="0" xfId="0" applyNumberFormat="1" applyFont="1" applyBorder="1" applyAlignment="1">
      <alignment horizontal="center" vertical="center"/>
    </xf>
    <xf numFmtId="0" fontId="9" fillId="0" borderId="150" xfId="0" applyFont="1" applyFill="1" applyBorder="1" applyAlignment="1">
      <alignment vertical="center"/>
    </xf>
    <xf numFmtId="9" fontId="12" fillId="0" borderId="0" xfId="1" applyFont="1" applyBorder="1" applyAlignment="1">
      <alignment horizontal="center" vertical="center"/>
    </xf>
    <xf numFmtId="0" fontId="3" fillId="0" borderId="157" xfId="0" applyFont="1" applyBorder="1" applyAlignment="1">
      <alignment vertical="center"/>
    </xf>
    <xf numFmtId="0" fontId="3" fillId="0" borderId="148" xfId="0" applyFont="1" applyBorder="1" applyAlignment="1">
      <alignment vertical="center"/>
    </xf>
    <xf numFmtId="3" fontId="11" fillId="0" borderId="8" xfId="0" applyNumberFormat="1" applyFont="1" applyFill="1" applyBorder="1" applyAlignment="1">
      <alignment horizontal="center" vertical="center"/>
    </xf>
    <xf numFmtId="0" fontId="3" fillId="14" borderId="1" xfId="0" applyFont="1" applyFill="1" applyBorder="1" applyAlignment="1">
      <alignment vertical="center"/>
    </xf>
    <xf numFmtId="0" fontId="3" fillId="14" borderId="0" xfId="0" applyFont="1" applyFill="1" applyBorder="1" applyAlignment="1">
      <alignment vertical="center"/>
    </xf>
    <xf numFmtId="9" fontId="33" fillId="14" borderId="0" xfId="1" applyFont="1" applyFill="1" applyBorder="1" applyAlignment="1">
      <alignment horizontal="center" vertical="center"/>
    </xf>
    <xf numFmtId="3" fontId="33" fillId="14" borderId="0" xfId="0" applyNumberFormat="1" applyFont="1" applyFill="1" applyBorder="1" applyAlignment="1">
      <alignment horizontal="center" vertical="center"/>
    </xf>
    <xf numFmtId="3" fontId="32" fillId="14" borderId="0" xfId="0" applyNumberFormat="1" applyFont="1" applyFill="1" applyBorder="1" applyAlignment="1">
      <alignment horizontal="center" vertical="center"/>
    </xf>
    <xf numFmtId="9" fontId="28" fillId="2" borderId="6" xfId="0" applyNumberFormat="1" applyFont="1" applyFill="1" applyBorder="1" applyAlignment="1" applyProtection="1">
      <alignment horizontal="center" vertical="center"/>
      <protection locked="0"/>
    </xf>
    <xf numFmtId="0" fontId="9" fillId="0" borderId="113" xfId="0" applyFont="1" applyBorder="1" applyAlignment="1">
      <alignment horizontal="center" vertical="center"/>
    </xf>
    <xf numFmtId="9" fontId="28" fillId="0" borderId="0" xfId="1" applyFont="1" applyFill="1" applyBorder="1" applyAlignment="1" applyProtection="1">
      <alignment horizontal="center" vertical="center"/>
      <protection locked="0"/>
    </xf>
    <xf numFmtId="0" fontId="9" fillId="14" borderId="2" xfId="0" applyFont="1" applyFill="1" applyBorder="1" applyAlignment="1">
      <alignment horizontal="center" vertical="center"/>
    </xf>
    <xf numFmtId="0" fontId="9" fillId="14" borderId="4" xfId="0" applyFont="1" applyFill="1" applyBorder="1" applyAlignment="1">
      <alignment horizontal="center" vertical="center"/>
    </xf>
    <xf numFmtId="0" fontId="25" fillId="0" borderId="0" xfId="0" applyFont="1" applyFill="1" applyBorder="1" applyAlignment="1">
      <alignment horizontal="center" vertical="center"/>
    </xf>
    <xf numFmtId="1" fontId="30" fillId="0" borderId="10" xfId="0" applyNumberFormat="1" applyFont="1" applyFill="1" applyBorder="1" applyAlignment="1">
      <alignment horizontal="center" vertical="center"/>
    </xf>
    <xf numFmtId="1" fontId="30" fillId="0" borderId="36" xfId="0" applyNumberFormat="1" applyFont="1" applyFill="1" applyBorder="1" applyAlignment="1">
      <alignment horizontal="center" vertical="center"/>
    </xf>
    <xf numFmtId="1" fontId="57" fillId="15" borderId="131" xfId="0" applyNumberFormat="1" applyFont="1" applyFill="1" applyBorder="1" applyAlignment="1">
      <alignment horizontal="center" vertical="center"/>
    </xf>
    <xf numFmtId="9" fontId="12" fillId="0" borderId="0" xfId="1" applyFont="1" applyFill="1" applyBorder="1" applyAlignment="1">
      <alignment horizontal="center" vertical="center"/>
    </xf>
    <xf numFmtId="0" fontId="114" fillId="10" borderId="7" xfId="0" applyFont="1" applyFill="1" applyBorder="1" applyAlignment="1">
      <alignment horizontal="center" vertical="center"/>
    </xf>
    <xf numFmtId="3" fontId="30" fillId="0" borderId="8" xfId="0" applyNumberFormat="1" applyFont="1" applyFill="1" applyBorder="1" applyAlignment="1">
      <alignment horizontal="center" vertical="center"/>
    </xf>
    <xf numFmtId="3" fontId="30" fillId="0" borderId="8" xfId="0" applyNumberFormat="1" applyFont="1" applyFill="1" applyBorder="1" applyAlignment="1">
      <alignment horizontal="center" vertical="center"/>
    </xf>
    <xf numFmtId="3" fontId="9" fillId="14" borderId="4" xfId="0" applyNumberFormat="1" applyFont="1" applyFill="1" applyBorder="1" applyAlignment="1">
      <alignment horizontal="center" vertical="center"/>
    </xf>
    <xf numFmtId="3" fontId="33" fillId="14" borderId="5" xfId="0" applyNumberFormat="1" applyFont="1" applyFill="1" applyBorder="1" applyAlignment="1">
      <alignment horizontal="center" vertical="center"/>
    </xf>
    <xf numFmtId="3" fontId="9" fillId="14" borderId="0" xfId="0" applyNumberFormat="1" applyFont="1" applyFill="1" applyBorder="1" applyAlignment="1">
      <alignment vertical="center"/>
    </xf>
    <xf numFmtId="3" fontId="9" fillId="14" borderId="111" xfId="0" applyNumberFormat="1" applyFont="1" applyFill="1" applyBorder="1" applyAlignment="1">
      <alignment vertical="center"/>
    </xf>
    <xf numFmtId="3" fontId="33" fillId="14" borderId="112" xfId="0" applyNumberFormat="1" applyFont="1" applyFill="1" applyBorder="1" applyAlignment="1">
      <alignment horizontal="center" vertical="center"/>
    </xf>
    <xf numFmtId="3" fontId="9" fillId="14" borderId="2" xfId="0" applyNumberFormat="1" applyFont="1" applyFill="1" applyBorder="1" applyAlignment="1">
      <alignment horizontal="center" vertical="center"/>
    </xf>
    <xf numFmtId="3" fontId="32" fillId="14" borderId="3" xfId="0" applyNumberFormat="1" applyFont="1" applyFill="1" applyBorder="1" applyAlignment="1">
      <alignment horizontal="center" vertical="center"/>
    </xf>
    <xf numFmtId="3" fontId="17" fillId="14" borderId="11" xfId="0" applyNumberFormat="1" applyFont="1" applyFill="1" applyBorder="1" applyAlignment="1">
      <alignment vertical="center"/>
    </xf>
    <xf numFmtId="3" fontId="32" fillId="14" borderId="11" xfId="0" applyNumberFormat="1" applyFont="1" applyFill="1" applyBorder="1" applyAlignment="1">
      <alignment horizontal="center" vertical="center"/>
    </xf>
    <xf numFmtId="3" fontId="17" fillId="14" borderId="115" xfId="0" applyNumberFormat="1" applyFont="1" applyFill="1" applyBorder="1" applyAlignment="1">
      <alignment vertical="center"/>
    </xf>
    <xf numFmtId="3" fontId="32" fillId="14" borderId="116" xfId="0" applyNumberFormat="1" applyFont="1" applyFill="1" applyBorder="1" applyAlignment="1">
      <alignment horizontal="center" vertical="center"/>
    </xf>
    <xf numFmtId="3" fontId="9" fillId="0" borderId="4" xfId="0" applyNumberFormat="1" applyFont="1" applyBorder="1" applyAlignment="1">
      <alignment horizontal="center" vertical="center"/>
    </xf>
    <xf numFmtId="3" fontId="9" fillId="0" borderId="111" xfId="0" applyNumberFormat="1" applyFont="1" applyBorder="1" applyAlignment="1">
      <alignment horizontal="center" vertical="center"/>
    </xf>
    <xf numFmtId="3" fontId="12" fillId="0" borderId="112" xfId="0" applyNumberFormat="1" applyFont="1" applyFill="1" applyBorder="1" applyAlignment="1">
      <alignment horizontal="center" vertical="center"/>
    </xf>
    <xf numFmtId="3" fontId="9" fillId="0" borderId="0" xfId="0" applyNumberFormat="1" applyFont="1" applyBorder="1" applyAlignment="1">
      <alignment horizontal="center" vertical="center"/>
    </xf>
    <xf numFmtId="3" fontId="9" fillId="0" borderId="6" xfId="0" applyNumberFormat="1" applyFont="1" applyBorder="1" applyAlignment="1">
      <alignment horizontal="center" vertical="center"/>
    </xf>
    <xf numFmtId="3" fontId="9" fillId="0" borderId="113" xfId="0" applyNumberFormat="1" applyFont="1" applyBorder="1" applyAlignment="1">
      <alignment horizontal="center" vertical="center"/>
    </xf>
    <xf numFmtId="3" fontId="12" fillId="0" borderId="114" xfId="0" applyNumberFormat="1" applyFont="1" applyFill="1" applyBorder="1" applyAlignment="1">
      <alignment horizontal="center" vertical="center"/>
    </xf>
    <xf numFmtId="0" fontId="3" fillId="0" borderId="9" xfId="0" applyFont="1" applyBorder="1" applyAlignment="1">
      <alignment horizontal="right" vertical="center"/>
    </xf>
    <xf numFmtId="9" fontId="12" fillId="0" borderId="9" xfId="0" applyNumberFormat="1" applyFont="1" applyBorder="1" applyAlignment="1">
      <alignment horizontal="center" vertical="center"/>
    </xf>
    <xf numFmtId="0" fontId="13" fillId="0" borderId="9" xfId="0" applyFont="1" applyBorder="1" applyAlignment="1">
      <alignment horizontal="center" vertical="center"/>
    </xf>
    <xf numFmtId="1" fontId="12" fillId="0" borderId="1" xfId="0" applyNumberFormat="1" applyFont="1" applyBorder="1" applyAlignment="1">
      <alignment horizontal="center" vertical="center"/>
    </xf>
    <xf numFmtId="0" fontId="17" fillId="0" borderId="137" xfId="0" applyFont="1" applyFill="1" applyBorder="1" applyAlignment="1">
      <alignment vertical="center"/>
    </xf>
    <xf numFmtId="0" fontId="8" fillId="0" borderId="5" xfId="0" applyFont="1" applyFill="1" applyBorder="1" applyAlignment="1">
      <alignment vertical="center"/>
    </xf>
    <xf numFmtId="3" fontId="30" fillId="0" borderId="4" xfId="0" applyNumberFormat="1" applyFont="1" applyFill="1" applyBorder="1" applyAlignment="1">
      <alignment horizontal="center" vertical="center"/>
    </xf>
    <xf numFmtId="0" fontId="8" fillId="15" borderId="69" xfId="0" applyFont="1" applyFill="1" applyBorder="1" applyAlignment="1">
      <alignment horizontal="center" vertical="center"/>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3" fontId="30" fillId="0" borderId="8" xfId="0" applyNumberFormat="1" applyFont="1" applyFill="1" applyBorder="1" applyAlignment="1">
      <alignment horizontal="center" vertical="center"/>
    </xf>
    <xf numFmtId="3" fontId="30" fillId="0" borderId="4" xfId="0" applyNumberFormat="1" applyFont="1" applyFill="1" applyBorder="1" applyAlignment="1">
      <alignment horizontal="center" vertical="center"/>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0" fontId="23" fillId="0" borderId="31" xfId="0" applyFont="1" applyBorder="1" applyAlignment="1">
      <alignment horizontal="center" vertical="center"/>
    </xf>
    <xf numFmtId="0" fontId="102" fillId="0" borderId="34" xfId="0" applyFont="1" applyFill="1" applyBorder="1" applyAlignment="1">
      <alignment horizontal="center" vertical="center"/>
    </xf>
    <xf numFmtId="0" fontId="23" fillId="0" borderId="0" xfId="0" applyFont="1" applyBorder="1" applyAlignment="1">
      <alignment horizontal="center" vertical="center" wrapText="1"/>
    </xf>
    <xf numFmtId="0" fontId="23" fillId="0" borderId="34" xfId="0" applyFont="1" applyBorder="1" applyAlignment="1">
      <alignment horizontal="center" vertical="center" wrapText="1"/>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0" fontId="23" fillId="0" borderId="31" xfId="0" applyFont="1" applyBorder="1" applyAlignment="1">
      <alignment horizontal="center" vertical="center"/>
    </xf>
    <xf numFmtId="0" fontId="117" fillId="0" borderId="9" xfId="0" applyFont="1" applyBorder="1" applyAlignment="1">
      <alignment vertical="center"/>
    </xf>
    <xf numFmtId="0" fontId="15" fillId="0" borderId="9" xfId="0" applyFont="1" applyBorder="1" applyAlignment="1">
      <alignment vertical="center"/>
    </xf>
    <xf numFmtId="0" fontId="11" fillId="0" borderId="9" xfId="0" applyNumberFormat="1" applyFont="1" applyFill="1" applyBorder="1" applyAlignment="1">
      <alignment horizontal="center" vertical="center"/>
    </xf>
    <xf numFmtId="0" fontId="117" fillId="0" borderId="1" xfId="0" applyFont="1" applyBorder="1" applyAlignment="1">
      <alignment vertical="center"/>
    </xf>
    <xf numFmtId="0" fontId="17" fillId="0" borderId="1" xfId="0" applyFont="1" applyFill="1" applyBorder="1" applyAlignment="1">
      <alignment horizontal="center" vertical="center"/>
    </xf>
    <xf numFmtId="1" fontId="11" fillId="0" borderId="1" xfId="0" applyNumberFormat="1" applyFont="1" applyFill="1" applyBorder="1" applyAlignment="1">
      <alignment horizontal="center" vertical="center"/>
    </xf>
    <xf numFmtId="1" fontId="114" fillId="0" borderId="153" xfId="0" applyNumberFormat="1" applyFont="1" applyFill="1" applyBorder="1" applyAlignment="1">
      <alignment horizontal="center" vertical="center"/>
    </xf>
    <xf numFmtId="1" fontId="11" fillId="0" borderId="9" xfId="0" applyNumberFormat="1" applyFont="1" applyFill="1" applyBorder="1" applyAlignment="1">
      <alignment horizontal="center" vertical="center"/>
    </xf>
    <xf numFmtId="0" fontId="11" fillId="0" borderId="120" xfId="0" applyFont="1" applyFill="1" applyBorder="1" applyAlignment="1">
      <alignment horizontal="center" vertical="center"/>
    </xf>
    <xf numFmtId="1" fontId="11" fillId="0" borderId="127" xfId="0" applyNumberFormat="1" applyFont="1" applyFill="1" applyBorder="1" applyAlignment="1">
      <alignment horizontal="center" vertical="center"/>
    </xf>
    <xf numFmtId="0" fontId="9" fillId="0" borderId="5" xfId="0" applyFont="1" applyFill="1" applyBorder="1" applyAlignment="1">
      <alignment vertical="center"/>
    </xf>
    <xf numFmtId="1" fontId="11" fillId="0" borderId="155" xfId="0" applyNumberFormat="1" applyFont="1" applyFill="1" applyBorder="1" applyAlignment="1">
      <alignment horizontal="center" vertical="center"/>
    </xf>
    <xf numFmtId="9" fontId="31" fillId="0" borderId="0" xfId="0" applyNumberFormat="1" applyFont="1" applyBorder="1" applyAlignment="1">
      <alignment horizontal="center" vertical="center"/>
    </xf>
    <xf numFmtId="1" fontId="11" fillId="0" borderId="31" xfId="0" applyNumberFormat="1" applyFont="1" applyFill="1" applyBorder="1" applyAlignment="1">
      <alignment horizontal="center" vertical="center"/>
    </xf>
    <xf numFmtId="1" fontId="114" fillId="0" borderId="2" xfId="0" applyNumberFormat="1" applyFont="1" applyFill="1" applyBorder="1" applyAlignment="1">
      <alignment horizontal="center" vertical="center"/>
    </xf>
    <xf numFmtId="1" fontId="114" fillId="0" borderId="154" xfId="0" applyNumberFormat="1" applyFont="1" applyFill="1" applyBorder="1" applyAlignment="1">
      <alignment horizontal="center" vertical="center"/>
    </xf>
    <xf numFmtId="1" fontId="30" fillId="0" borderId="6" xfId="0" applyNumberFormat="1" applyFont="1" applyFill="1" applyBorder="1" applyAlignment="1">
      <alignment horizontal="center" vertical="center"/>
    </xf>
    <xf numFmtId="1" fontId="30" fillId="0" borderId="8" xfId="0" applyNumberFormat="1" applyFont="1" applyFill="1" applyBorder="1" applyAlignment="1">
      <alignment horizontal="center" vertical="center"/>
    </xf>
    <xf numFmtId="1" fontId="32" fillId="0" borderId="7" xfId="0" applyNumberFormat="1" applyFont="1" applyFill="1" applyBorder="1" applyAlignment="1">
      <alignment horizontal="center" vertical="center"/>
    </xf>
    <xf numFmtId="1" fontId="32" fillId="0" borderId="5" xfId="0" applyNumberFormat="1" applyFont="1" applyFill="1" applyBorder="1" applyAlignment="1">
      <alignment horizontal="center" vertical="center"/>
    </xf>
    <xf numFmtId="1" fontId="11" fillId="0" borderId="0" xfId="0" applyNumberFormat="1" applyFont="1" applyFill="1" applyBorder="1" applyAlignment="1">
      <alignment horizontal="center" vertical="center"/>
    </xf>
    <xf numFmtId="0" fontId="116" fillId="0" borderId="6" xfId="0" applyFont="1" applyFill="1" applyBorder="1" applyAlignment="1">
      <alignment horizontal="center" vertical="center"/>
    </xf>
    <xf numFmtId="0" fontId="116" fillId="0" borderId="2" xfId="0" applyFont="1" applyFill="1" applyBorder="1" applyAlignment="1">
      <alignment horizontal="center" vertical="center"/>
    </xf>
    <xf numFmtId="0" fontId="116" fillId="0" borderId="4" xfId="0" applyFont="1" applyFill="1" applyBorder="1" applyAlignment="1">
      <alignment horizontal="center" vertical="center"/>
    </xf>
    <xf numFmtId="0" fontId="116" fillId="0" borderId="68" xfId="0" applyFont="1" applyFill="1" applyBorder="1" applyAlignment="1">
      <alignment horizontal="center" vertical="center"/>
    </xf>
    <xf numFmtId="0" fontId="23" fillId="0" borderId="7" xfId="0" applyFont="1" applyFill="1" applyBorder="1" applyAlignment="1">
      <alignment vertical="center"/>
    </xf>
    <xf numFmtId="168" fontId="6" fillId="6" borderId="0" xfId="0" applyNumberFormat="1" applyFont="1" applyFill="1" applyBorder="1" applyAlignment="1">
      <alignment horizontal="left" vertical="center"/>
    </xf>
    <xf numFmtId="0" fontId="48" fillId="6" borderId="30" xfId="0" applyFont="1" applyFill="1" applyBorder="1" applyAlignment="1">
      <alignment vertical="center"/>
    </xf>
    <xf numFmtId="0" fontId="3" fillId="6" borderId="31" xfId="0" applyFont="1" applyFill="1" applyBorder="1" applyAlignment="1">
      <alignment vertical="center"/>
    </xf>
    <xf numFmtId="0" fontId="3" fillId="6" borderId="32" xfId="0" applyFont="1" applyFill="1" applyBorder="1" applyAlignment="1">
      <alignment vertical="center"/>
    </xf>
    <xf numFmtId="0" fontId="86" fillId="6" borderId="24" xfId="0" applyFont="1" applyFill="1" applyBorder="1" applyAlignment="1">
      <alignment horizontal="center" vertical="center"/>
    </xf>
    <xf numFmtId="0" fontId="86" fillId="6" borderId="33" xfId="0" applyFont="1" applyFill="1" applyBorder="1" applyAlignment="1">
      <alignment horizontal="center" vertical="center"/>
    </xf>
    <xf numFmtId="168" fontId="6" fillId="6" borderId="34" xfId="0" applyNumberFormat="1" applyFont="1" applyFill="1" applyBorder="1" applyAlignment="1">
      <alignment horizontal="left" vertical="center"/>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3" fontId="30" fillId="0" borderId="4" xfId="0" applyNumberFormat="1" applyFont="1" applyFill="1" applyBorder="1" applyAlignment="1">
      <alignment horizontal="center" vertical="center"/>
    </xf>
    <xf numFmtId="0" fontId="23" fillId="0" borderId="31" xfId="0" applyFont="1" applyBorder="1" applyAlignment="1">
      <alignment horizontal="center" vertical="center"/>
    </xf>
    <xf numFmtId="1" fontId="114" fillId="0" borderId="155" xfId="0" applyNumberFormat="1" applyFont="1" applyFill="1" applyBorder="1" applyAlignment="1">
      <alignment horizontal="center" vertical="center"/>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0" fontId="23" fillId="0" borderId="31" xfId="0" applyFont="1" applyBorder="1" applyAlignment="1">
      <alignment horizontal="center" vertical="center"/>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0" fontId="102" fillId="0" borderId="34" xfId="0" applyFont="1" applyFill="1" applyBorder="1" applyAlignment="1">
      <alignment horizontal="center" vertical="center"/>
    </xf>
    <xf numFmtId="3" fontId="30" fillId="0" borderId="4"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0" fontId="116" fillId="0" borderId="8" xfId="0" applyFont="1" applyFill="1" applyBorder="1" applyAlignment="1">
      <alignment horizontal="center" vertical="center"/>
    </xf>
    <xf numFmtId="0" fontId="9" fillId="0" borderId="132" xfId="0" applyFont="1" applyFill="1" applyBorder="1" applyAlignment="1">
      <alignment horizontal="center" vertical="center"/>
    </xf>
    <xf numFmtId="0" fontId="11" fillId="0" borderId="31" xfId="0" applyFont="1" applyFill="1" applyBorder="1" applyAlignment="1">
      <alignment horizontal="center" vertical="center"/>
    </xf>
    <xf numFmtId="0" fontId="116" fillId="0" borderId="34" xfId="0" applyFont="1" applyFill="1" applyBorder="1" applyAlignment="1">
      <alignment vertical="center"/>
    </xf>
    <xf numFmtId="3" fontId="69" fillId="0" borderId="132" xfId="0" applyNumberFormat="1" applyFont="1" applyFill="1" applyBorder="1" applyAlignment="1">
      <alignment horizontal="center" vertical="center"/>
    </xf>
    <xf numFmtId="3" fontId="69" fillId="0" borderId="31" xfId="0" applyNumberFormat="1" applyFont="1" applyFill="1" applyBorder="1" applyAlignment="1">
      <alignment horizontal="center" vertical="center"/>
    </xf>
    <xf numFmtId="1" fontId="30" fillId="14" borderId="6" xfId="0" applyNumberFormat="1" applyFont="1" applyFill="1" applyBorder="1" applyAlignment="1">
      <alignment horizontal="center" vertical="center"/>
    </xf>
    <xf numFmtId="171" fontId="126" fillId="0" borderId="1" xfId="0" applyNumberFormat="1" applyFont="1" applyFill="1" applyBorder="1" applyAlignment="1">
      <alignment horizontal="center" vertical="center"/>
    </xf>
    <xf numFmtId="171" fontId="127" fillId="0" borderId="0" xfId="0" applyNumberFormat="1" applyFont="1" applyFill="1" applyBorder="1" applyAlignment="1">
      <alignment horizontal="center" vertical="center"/>
    </xf>
    <xf numFmtId="171" fontId="126" fillId="14" borderId="1" xfId="0" applyNumberFormat="1" applyFont="1" applyFill="1" applyBorder="1" applyAlignment="1">
      <alignment horizontal="center" vertical="center"/>
    </xf>
    <xf numFmtId="171" fontId="126" fillId="0" borderId="9" xfId="0" applyNumberFormat="1" applyFont="1" applyFill="1" applyBorder="1" applyAlignment="1">
      <alignment horizontal="center" vertical="center"/>
    </xf>
    <xf numFmtId="1" fontId="26" fillId="0" borderId="0" xfId="0" applyNumberFormat="1" applyFont="1" applyFill="1" applyBorder="1" applyAlignment="1">
      <alignment horizontal="center"/>
    </xf>
    <xf numFmtId="0" fontId="116" fillId="0" borderId="0" xfId="0" applyFont="1" applyFill="1" applyBorder="1" applyAlignment="1">
      <alignment vertical="center"/>
    </xf>
    <xf numFmtId="0" fontId="53" fillId="0" borderId="0" xfId="0" applyFont="1" applyFill="1" applyBorder="1" applyAlignment="1">
      <alignment horizontal="center" vertical="center"/>
    </xf>
    <xf numFmtId="1" fontId="27" fillId="0" borderId="0" xfId="0" applyNumberFormat="1" applyFont="1" applyFill="1" applyBorder="1" applyAlignment="1">
      <alignment horizontal="center" vertical="center"/>
    </xf>
    <xf numFmtId="1" fontId="116" fillId="0" borderId="0" xfId="0" applyNumberFormat="1" applyFont="1" applyFill="1" applyBorder="1" applyAlignment="1">
      <alignment horizontal="right" vertical="center" wrapText="1"/>
    </xf>
    <xf numFmtId="3" fontId="69" fillId="0" borderId="5" xfId="0" applyNumberFormat="1" applyFont="1" applyFill="1" applyBorder="1" applyAlignment="1">
      <alignment horizontal="center" vertical="center"/>
    </xf>
    <xf numFmtId="0" fontId="8" fillId="0" borderId="138" xfId="0" applyFont="1" applyFill="1" applyBorder="1" applyAlignment="1">
      <alignment horizontal="center" vertical="center"/>
    </xf>
    <xf numFmtId="0" fontId="128" fillId="0" borderId="0" xfId="0" applyFont="1" applyFill="1" applyBorder="1" applyAlignment="1">
      <alignment horizontal="right" vertical="center"/>
    </xf>
    <xf numFmtId="0" fontId="53" fillId="0" borderId="0" xfId="0" applyFont="1" applyFill="1" applyBorder="1" applyAlignment="1">
      <alignment vertical="center"/>
    </xf>
    <xf numFmtId="0" fontId="3" fillId="0" borderId="149" xfId="0" applyFont="1" applyBorder="1" applyAlignment="1"/>
    <xf numFmtId="0" fontId="3" fillId="0" borderId="34" xfId="0" applyFont="1" applyBorder="1" applyAlignment="1"/>
    <xf numFmtId="0" fontId="116" fillId="0" borderId="34" xfId="0" applyFont="1" applyBorder="1" applyAlignment="1"/>
    <xf numFmtId="0" fontId="9" fillId="0" borderId="34" xfId="0" applyFont="1" applyBorder="1" applyAlignment="1"/>
    <xf numFmtId="0" fontId="17" fillId="0" borderId="34" xfId="0" applyFont="1" applyFill="1" applyBorder="1" applyAlignment="1">
      <alignment horizontal="center"/>
    </xf>
    <xf numFmtId="1" fontId="26" fillId="0" borderId="34" xfId="0" applyNumberFormat="1" applyFont="1" applyFill="1" applyBorder="1" applyAlignment="1">
      <alignment horizontal="center"/>
    </xf>
    <xf numFmtId="1" fontId="66" fillId="0" borderId="34" xfId="0" applyNumberFormat="1" applyFont="1" applyFill="1" applyBorder="1" applyAlignment="1">
      <alignment horizontal="center" vertical="center"/>
    </xf>
    <xf numFmtId="0" fontId="3" fillId="0" borderId="34" xfId="0" applyFont="1" applyFill="1" applyBorder="1" applyAlignment="1">
      <alignment vertical="center"/>
    </xf>
    <xf numFmtId="0" fontId="53" fillId="0" borderId="34" xfId="0" applyFont="1" applyFill="1" applyBorder="1" applyAlignment="1">
      <alignment vertical="center"/>
    </xf>
    <xf numFmtId="0" fontId="53" fillId="0" borderId="34" xfId="0" applyFont="1" applyFill="1" applyBorder="1" applyAlignment="1">
      <alignment horizontal="center" vertical="center"/>
    </xf>
    <xf numFmtId="1" fontId="11" fillId="0" borderId="34" xfId="0" applyNumberFormat="1" applyFont="1" applyFill="1" applyBorder="1" applyAlignment="1">
      <alignment horizontal="center" vertical="center"/>
    </xf>
    <xf numFmtId="1" fontId="27" fillId="0" borderId="34" xfId="0" applyNumberFormat="1" applyFont="1" applyFill="1" applyBorder="1" applyAlignment="1">
      <alignment horizontal="center" vertical="center"/>
    </xf>
    <xf numFmtId="0" fontId="53" fillId="14" borderId="0" xfId="0" applyFont="1" applyFill="1" applyBorder="1" applyAlignment="1">
      <alignment vertical="center"/>
    </xf>
    <xf numFmtId="0" fontId="53" fillId="14" borderId="0" xfId="0" applyFont="1" applyFill="1" applyBorder="1" applyAlignment="1">
      <alignment horizontal="center" vertical="center"/>
    </xf>
    <xf numFmtId="1" fontId="11" fillId="14" borderId="0" xfId="0" applyNumberFormat="1" applyFont="1" applyFill="1" applyBorder="1" applyAlignment="1">
      <alignment horizontal="center" vertical="center"/>
    </xf>
    <xf numFmtId="1" fontId="27" fillId="14" borderId="0" xfId="0" applyNumberFormat="1" applyFont="1" applyFill="1" applyBorder="1" applyAlignment="1">
      <alignment horizontal="center" vertical="center"/>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0" fontId="23" fillId="0" borderId="31" xfId="0" applyFont="1" applyBorder="1" applyAlignment="1">
      <alignment horizontal="center" vertical="center"/>
    </xf>
    <xf numFmtId="9" fontId="31" fillId="0" borderId="0" xfId="0" applyNumberFormat="1" applyFont="1" applyBorder="1" applyAlignment="1">
      <alignment horizontal="left" vertical="center"/>
    </xf>
    <xf numFmtId="0" fontId="23" fillId="0" borderId="31" xfId="0" applyFont="1" applyBorder="1" applyAlignment="1">
      <alignment vertical="center"/>
    </xf>
    <xf numFmtId="0" fontId="23" fillId="0" borderId="133" xfId="0" applyFont="1" applyBorder="1" applyAlignment="1">
      <alignment vertical="center"/>
    </xf>
    <xf numFmtId="1" fontId="13" fillId="0" borderId="1" xfId="0" applyNumberFormat="1" applyFont="1" applyFill="1" applyBorder="1" applyAlignment="1">
      <alignment horizontal="center" vertical="center"/>
    </xf>
    <xf numFmtId="1" fontId="116" fillId="0" borderId="11" xfId="0" applyNumberFormat="1" applyFont="1" applyFill="1" applyBorder="1" applyAlignment="1">
      <alignment horizontal="center" vertical="center"/>
    </xf>
    <xf numFmtId="3" fontId="66" fillId="0" borderId="153" xfId="0" applyNumberFormat="1" applyFont="1" applyFill="1" applyBorder="1" applyAlignment="1">
      <alignment horizontal="center" vertical="center"/>
    </xf>
    <xf numFmtId="0" fontId="6" fillId="0" borderId="26" xfId="0" applyFont="1" applyBorder="1" applyAlignment="1">
      <alignment horizontal="right" vertical="center"/>
    </xf>
    <xf numFmtId="0" fontId="6" fillId="0" borderId="28" xfId="0" applyFont="1" applyBorder="1" applyAlignment="1">
      <alignment horizontal="right" vertical="center"/>
    </xf>
    <xf numFmtId="1" fontId="114" fillId="14" borderId="153" xfId="0" applyNumberFormat="1" applyFont="1" applyFill="1" applyBorder="1" applyAlignment="1">
      <alignment horizontal="center" vertical="center"/>
    </xf>
    <xf numFmtId="1" fontId="30" fillId="14" borderId="1" xfId="0" applyNumberFormat="1" applyFont="1" applyFill="1" applyBorder="1" applyAlignment="1">
      <alignment horizontal="center" vertical="center"/>
    </xf>
    <xf numFmtId="0" fontId="25" fillId="14" borderId="0" xfId="0" applyFont="1" applyFill="1" applyBorder="1" applyAlignment="1">
      <alignment vertical="center"/>
    </xf>
    <xf numFmtId="1" fontId="30" fillId="14" borderId="0" xfId="0" applyNumberFormat="1" applyFont="1" applyFill="1" applyBorder="1" applyAlignment="1">
      <alignment horizontal="center" vertical="center"/>
    </xf>
    <xf numFmtId="0" fontId="23" fillId="14" borderId="1" xfId="0" applyFont="1" applyFill="1" applyBorder="1" applyAlignment="1">
      <alignment vertical="center"/>
    </xf>
    <xf numFmtId="3" fontId="69" fillId="14" borderId="153" xfId="0" applyNumberFormat="1" applyFont="1" applyFill="1" applyBorder="1" applyAlignment="1">
      <alignment horizontal="center" vertical="center"/>
    </xf>
    <xf numFmtId="1" fontId="114" fillId="14" borderId="11" xfId="0" applyNumberFormat="1" applyFont="1" applyFill="1" applyBorder="1" applyAlignment="1">
      <alignment horizontal="center" vertical="center"/>
    </xf>
    <xf numFmtId="1" fontId="30" fillId="14" borderId="9" xfId="0" applyNumberFormat="1" applyFont="1" applyFill="1" applyBorder="1" applyAlignment="1">
      <alignment horizontal="center" vertical="center"/>
    </xf>
    <xf numFmtId="1" fontId="30" fillId="14" borderId="34" xfId="0" applyNumberFormat="1" applyFont="1" applyFill="1" applyBorder="1" applyAlignment="1">
      <alignment horizontal="center" vertical="center"/>
    </xf>
    <xf numFmtId="1" fontId="11" fillId="14" borderId="9" xfId="0" applyNumberFormat="1" applyFont="1" applyFill="1" applyBorder="1" applyAlignment="1">
      <alignment horizontal="center" vertical="center"/>
    </xf>
    <xf numFmtId="3" fontId="11" fillId="0" borderId="6" xfId="0" applyNumberFormat="1" applyFont="1" applyFill="1" applyBorder="1" applyAlignment="1">
      <alignment horizontal="center" vertical="center"/>
    </xf>
    <xf numFmtId="3" fontId="22" fillId="0" borderId="4" xfId="0" applyNumberFormat="1" applyFont="1" applyFill="1" applyBorder="1" applyAlignment="1">
      <alignment horizontal="center" vertical="center"/>
    </xf>
    <xf numFmtId="3" fontId="11" fillId="0" borderId="154" xfId="0" applyNumberFormat="1" applyFont="1" applyFill="1" applyBorder="1" applyAlignment="1">
      <alignment horizontal="center" vertical="center"/>
    </xf>
    <xf numFmtId="1" fontId="26" fillId="0" borderId="8" xfId="0" applyNumberFormat="1" applyFont="1" applyFill="1" applyBorder="1" applyAlignment="1">
      <alignment horizontal="center" vertical="center"/>
    </xf>
    <xf numFmtId="1" fontId="26" fillId="0" borderId="35" xfId="0" applyNumberFormat="1" applyFont="1" applyFill="1" applyBorder="1" applyAlignment="1">
      <alignment horizontal="center" vertical="center"/>
    </xf>
    <xf numFmtId="1" fontId="26" fillId="0" borderId="154" xfId="0" applyNumberFormat="1" applyFont="1" applyFill="1" applyBorder="1" applyAlignment="1">
      <alignment horizontal="center" vertical="center"/>
    </xf>
    <xf numFmtId="0" fontId="8" fillId="0" borderId="7" xfId="0" applyFont="1" applyFill="1" applyBorder="1" applyAlignment="1">
      <alignment vertical="center"/>
    </xf>
    <xf numFmtId="3" fontId="30" fillId="0" borderId="6" xfId="0" applyNumberFormat="1" applyFont="1" applyFill="1" applyBorder="1" applyAlignment="1">
      <alignment horizontal="center" vertical="center"/>
    </xf>
    <xf numFmtId="9" fontId="12" fillId="0" borderId="1" xfId="1" applyFont="1" applyFill="1" applyBorder="1" applyAlignment="1">
      <alignment horizontal="center" vertical="center"/>
    </xf>
    <xf numFmtId="0" fontId="117" fillId="0" borderId="168" xfId="0" applyFont="1" applyBorder="1" applyAlignment="1">
      <alignment horizontal="left" vertical="center" indent="1"/>
    </xf>
    <xf numFmtId="0" fontId="39" fillId="0" borderId="168" xfId="0" applyFont="1" applyFill="1" applyBorder="1" applyAlignment="1">
      <alignment horizontal="center" vertical="center"/>
    </xf>
    <xf numFmtId="0" fontId="116" fillId="0" borderId="169" xfId="0" applyFont="1" applyFill="1" applyBorder="1" applyAlignment="1">
      <alignment horizontal="center" vertical="center"/>
    </xf>
    <xf numFmtId="1" fontId="82" fillId="0" borderId="168" xfId="0" applyNumberFormat="1" applyFont="1" applyFill="1" applyBorder="1" applyAlignment="1">
      <alignment horizontal="center" vertical="center"/>
    </xf>
    <xf numFmtId="1" fontId="30" fillId="0" borderId="170" xfId="0" applyNumberFormat="1" applyFont="1" applyFill="1" applyBorder="1" applyAlignment="1">
      <alignment horizontal="center" vertical="center"/>
    </xf>
    <xf numFmtId="1" fontId="30" fillId="0" borderId="169" xfId="0" applyNumberFormat="1" applyFont="1" applyFill="1" applyBorder="1" applyAlignment="1">
      <alignment horizontal="center" vertical="center"/>
    </xf>
    <xf numFmtId="171" fontId="126" fillId="0" borderId="168" xfId="0" applyNumberFormat="1" applyFont="1" applyFill="1" applyBorder="1" applyAlignment="1">
      <alignment horizontal="center" vertical="center"/>
    </xf>
    <xf numFmtId="1" fontId="11" fillId="0" borderId="168" xfId="0" applyNumberFormat="1" applyFont="1" applyFill="1" applyBorder="1" applyAlignment="1">
      <alignment horizontal="center" vertical="center"/>
    </xf>
    <xf numFmtId="1" fontId="30" fillId="14" borderId="168" xfId="0" applyNumberFormat="1" applyFont="1" applyFill="1" applyBorder="1" applyAlignment="1">
      <alignment horizontal="center" vertical="center"/>
    </xf>
    <xf numFmtId="1" fontId="26" fillId="0" borderId="169" xfId="0" applyNumberFormat="1" applyFont="1" applyFill="1" applyBorder="1" applyAlignment="1">
      <alignment horizontal="center" vertical="center"/>
    </xf>
    <xf numFmtId="1" fontId="26" fillId="0" borderId="168" xfId="0" applyNumberFormat="1" applyFont="1" applyFill="1" applyBorder="1" applyAlignment="1">
      <alignment horizontal="center" vertical="center"/>
    </xf>
    <xf numFmtId="1" fontId="26" fillId="0" borderId="170" xfId="0" applyNumberFormat="1" applyFont="1" applyFill="1" applyBorder="1" applyAlignment="1">
      <alignment horizontal="center" vertical="center"/>
    </xf>
    <xf numFmtId="0" fontId="116" fillId="0" borderId="171" xfId="0" applyFont="1" applyFill="1" applyBorder="1" applyAlignment="1">
      <alignment horizontal="center" vertical="center"/>
    </xf>
    <xf numFmtId="0" fontId="8" fillId="0" borderId="169" xfId="0" applyFont="1" applyFill="1" applyBorder="1" applyAlignment="1">
      <alignment vertical="center"/>
    </xf>
    <xf numFmtId="0" fontId="8" fillId="5" borderId="170" xfId="0" applyFont="1" applyFill="1" applyBorder="1" applyAlignment="1">
      <alignment vertical="center"/>
    </xf>
    <xf numFmtId="0" fontId="114" fillId="0" borderId="172" xfId="0" applyFont="1" applyFill="1" applyBorder="1" applyAlignment="1" applyProtection="1">
      <alignment horizontal="center" vertical="center"/>
      <protection locked="0"/>
    </xf>
    <xf numFmtId="1" fontId="114" fillId="0" borderId="153" xfId="0" applyNumberFormat="1" applyFont="1" applyFill="1" applyBorder="1" applyAlignment="1">
      <alignment horizontal="center" vertical="center" wrapText="1"/>
    </xf>
    <xf numFmtId="1" fontId="114" fillId="0" borderId="1" xfId="0" applyNumberFormat="1" applyFont="1" applyFill="1" applyBorder="1" applyAlignment="1">
      <alignment horizontal="center" vertical="center" wrapText="1"/>
    </xf>
    <xf numFmtId="3" fontId="69" fillId="0" borderId="153" xfId="0" applyNumberFormat="1" applyFont="1" applyFill="1" applyBorder="1" applyAlignment="1">
      <alignment horizontal="center" vertical="center"/>
    </xf>
    <xf numFmtId="171" fontId="126" fillId="0" borderId="34" xfId="0" applyNumberFormat="1" applyFont="1" applyFill="1" applyBorder="1" applyAlignment="1">
      <alignment horizontal="center" vertical="center"/>
    </xf>
    <xf numFmtId="1" fontId="30" fillId="0" borderId="35" xfId="0" applyNumberFormat="1" applyFont="1" applyFill="1" applyBorder="1" applyAlignment="1">
      <alignment horizontal="center" vertical="center"/>
    </xf>
    <xf numFmtId="164" fontId="30" fillId="0" borderId="7" xfId="0" applyNumberFormat="1" applyFont="1" applyFill="1" applyBorder="1" applyAlignment="1">
      <alignment horizontal="center" vertical="center"/>
    </xf>
    <xf numFmtId="164" fontId="30" fillId="0" borderId="10" xfId="0" applyNumberFormat="1" applyFont="1" applyFill="1" applyBorder="1" applyAlignment="1">
      <alignment horizontal="center" vertical="center"/>
    </xf>
    <xf numFmtId="164" fontId="11" fillId="0" borderId="5" xfId="0" applyNumberFormat="1" applyFont="1" applyFill="1" applyBorder="1" applyAlignment="1">
      <alignment horizontal="center" vertical="center"/>
    </xf>
    <xf numFmtId="164" fontId="30" fillId="14" borderId="7" xfId="0" applyNumberFormat="1" applyFont="1" applyFill="1" applyBorder="1" applyAlignment="1">
      <alignment horizontal="center" vertical="center"/>
    </xf>
    <xf numFmtId="164" fontId="30" fillId="0" borderId="36" xfId="0" applyNumberFormat="1" applyFont="1" applyFill="1" applyBorder="1" applyAlignment="1">
      <alignment horizontal="center" vertical="center"/>
    </xf>
    <xf numFmtId="164" fontId="30" fillId="0" borderId="170" xfId="0" applyNumberFormat="1" applyFont="1" applyFill="1" applyBorder="1" applyAlignment="1">
      <alignment horizontal="center" vertical="center"/>
    </xf>
    <xf numFmtId="1" fontId="114" fillId="0" borderId="11" xfId="0" applyNumberFormat="1" applyFont="1" applyFill="1" applyBorder="1" applyAlignment="1">
      <alignment horizontal="center" vertical="center" wrapText="1"/>
    </xf>
    <xf numFmtId="1" fontId="114" fillId="0" borderId="2" xfId="0" applyNumberFormat="1" applyFont="1" applyFill="1" applyBorder="1" applyAlignment="1">
      <alignment horizontal="center" vertical="center" wrapText="1"/>
    </xf>
    <xf numFmtId="175" fontId="31" fillId="0" borderId="3" xfId="0" applyNumberFormat="1" applyFont="1" applyBorder="1" applyAlignment="1">
      <alignment horizontal="center" vertical="center"/>
    </xf>
    <xf numFmtId="0" fontId="23" fillId="0" borderId="31" xfId="0" applyFont="1" applyBorder="1" applyAlignment="1">
      <alignment horizontal="left" vertical="center" indent="1"/>
    </xf>
    <xf numFmtId="171" fontId="38" fillId="0" borderId="131" xfId="0" quotePrefix="1" applyNumberFormat="1" applyFont="1" applyFill="1" applyBorder="1" applyAlignment="1">
      <alignment horizontal="center" vertical="center"/>
    </xf>
    <xf numFmtId="1" fontId="32" fillId="0" borderId="1" xfId="0" applyNumberFormat="1" applyFont="1" applyFill="1" applyBorder="1" applyAlignment="1">
      <alignment horizontal="center" vertical="center"/>
    </xf>
    <xf numFmtId="1" fontId="32" fillId="0" borderId="0" xfId="0" applyNumberFormat="1" applyFont="1" applyFill="1" applyBorder="1" applyAlignment="1">
      <alignment horizontal="center" vertical="center"/>
    </xf>
    <xf numFmtId="1" fontId="32" fillId="14" borderId="1" xfId="0" applyNumberFormat="1" applyFont="1" applyFill="1" applyBorder="1" applyAlignment="1">
      <alignment horizontal="center" vertical="center"/>
    </xf>
    <xf numFmtId="1" fontId="32" fillId="0" borderId="9" xfId="0" applyNumberFormat="1" applyFont="1" applyFill="1" applyBorder="1" applyAlignment="1">
      <alignment horizontal="center" vertical="center"/>
    </xf>
    <xf numFmtId="1" fontId="32" fillId="0" borderId="168" xfId="0" applyNumberFormat="1" applyFont="1" applyFill="1" applyBorder="1" applyAlignment="1">
      <alignment horizontal="center" vertical="center"/>
    </xf>
    <xf numFmtId="0" fontId="20" fillId="0" borderId="149" xfId="0" applyFont="1" applyBorder="1" applyAlignment="1">
      <alignment horizontal="left" vertical="center"/>
    </xf>
    <xf numFmtId="1" fontId="114" fillId="0" borderId="156" xfId="0" applyNumberFormat="1" applyFont="1" applyFill="1" applyBorder="1" applyAlignment="1">
      <alignment horizontal="center" vertical="center" wrapText="1"/>
    </xf>
    <xf numFmtId="0" fontId="123" fillId="0" borderId="141" xfId="0" applyFont="1" applyFill="1" applyBorder="1" applyAlignment="1">
      <alignment horizontal="center" vertical="center"/>
    </xf>
    <xf numFmtId="1" fontId="32" fillId="0" borderId="142" xfId="0" applyNumberFormat="1" applyFont="1" applyFill="1" applyBorder="1" applyAlignment="1">
      <alignment horizontal="center" vertical="center"/>
    </xf>
    <xf numFmtId="0" fontId="123" fillId="0" borderId="144" xfId="0" applyFont="1" applyFill="1" applyBorder="1" applyAlignment="1">
      <alignment horizontal="center" vertical="center"/>
    </xf>
    <xf numFmtId="0" fontId="124" fillId="0" borderId="137" xfId="0" applyFont="1" applyFill="1" applyBorder="1" applyAlignment="1">
      <alignment horizontal="center" vertical="center"/>
    </xf>
    <xf numFmtId="1" fontId="32" fillId="0" borderId="138" xfId="0" applyNumberFormat="1" applyFont="1" applyFill="1" applyBorder="1" applyAlignment="1">
      <alignment horizontal="center" vertical="center"/>
    </xf>
    <xf numFmtId="0" fontId="123" fillId="0" borderId="137" xfId="0" applyFont="1" applyBorder="1" applyAlignment="1">
      <alignment horizontal="center" vertical="center"/>
    </xf>
    <xf numFmtId="1" fontId="13" fillId="0" borderId="138" xfId="0" applyNumberFormat="1" applyFont="1" applyFill="1" applyBorder="1" applyAlignment="1">
      <alignment horizontal="center" vertical="center"/>
    </xf>
    <xf numFmtId="0" fontId="124" fillId="0" borderId="137" xfId="0" applyFont="1" applyBorder="1" applyAlignment="1">
      <alignment horizontal="center" vertical="center"/>
    </xf>
    <xf numFmtId="1" fontId="32" fillId="14" borderId="142" xfId="0" applyNumberFormat="1" applyFont="1" applyFill="1" applyBorder="1" applyAlignment="1">
      <alignment horizontal="center" vertical="center"/>
    </xf>
    <xf numFmtId="0" fontId="123" fillId="0" borderId="159" xfId="0" applyFont="1" applyFill="1" applyBorder="1" applyAlignment="1">
      <alignment horizontal="center" vertical="center"/>
    </xf>
    <xf numFmtId="0" fontId="125" fillId="0" borderId="152" xfId="0" applyFont="1" applyFill="1" applyBorder="1" applyAlignment="1">
      <alignment horizontal="center" vertical="center"/>
    </xf>
    <xf numFmtId="1" fontId="11" fillId="0" borderId="140" xfId="0" applyNumberFormat="1" applyFont="1" applyFill="1" applyBorder="1" applyAlignment="1">
      <alignment horizontal="center" vertical="center"/>
    </xf>
    <xf numFmtId="0" fontId="125" fillId="0" borderId="137" xfId="0" applyFont="1" applyFill="1" applyBorder="1" applyAlignment="1">
      <alignment horizontal="center" vertical="center"/>
    </xf>
    <xf numFmtId="0" fontId="125" fillId="0" borderId="144" xfId="0" applyFont="1" applyFill="1" applyBorder="1" applyAlignment="1">
      <alignment horizontal="center" vertical="center"/>
    </xf>
    <xf numFmtId="0" fontId="124" fillId="0" borderId="145" xfId="0" applyFont="1" applyFill="1" applyBorder="1" applyAlignment="1">
      <alignment horizontal="center" vertical="center"/>
    </xf>
    <xf numFmtId="0" fontId="123" fillId="0" borderId="137" xfId="0" applyFont="1" applyFill="1" applyBorder="1" applyAlignment="1">
      <alignment horizontal="center" vertical="center"/>
    </xf>
    <xf numFmtId="0" fontId="124" fillId="0" borderId="141" xfId="0" applyFont="1" applyFill="1" applyBorder="1" applyAlignment="1">
      <alignment horizontal="center" vertical="center"/>
    </xf>
    <xf numFmtId="0" fontId="125" fillId="0" borderId="145" xfId="0" applyFont="1" applyFill="1" applyBorder="1" applyAlignment="1">
      <alignment horizontal="center" vertical="center"/>
    </xf>
    <xf numFmtId="1" fontId="32" fillId="0" borderId="143" xfId="0" applyNumberFormat="1" applyFont="1" applyFill="1" applyBorder="1" applyAlignment="1">
      <alignment horizontal="center" vertical="center"/>
    </xf>
    <xf numFmtId="0" fontId="124" fillId="0" borderId="149" xfId="0" applyFont="1" applyFill="1" applyBorder="1" applyAlignment="1">
      <alignment horizontal="center" vertical="center"/>
    </xf>
    <xf numFmtId="0" fontId="124" fillId="0" borderId="152" xfId="0" applyFont="1" applyFill="1" applyBorder="1" applyAlignment="1">
      <alignment horizontal="center" vertical="center"/>
    </xf>
    <xf numFmtId="0" fontId="124" fillId="0" borderId="173" xfId="0" applyFont="1" applyFill="1" applyBorder="1" applyAlignment="1">
      <alignment horizontal="center" vertical="center"/>
    </xf>
    <xf numFmtId="1" fontId="32" fillId="0" borderId="172" xfId="0" applyNumberFormat="1" applyFont="1" applyFill="1" applyBorder="1" applyAlignment="1">
      <alignment horizontal="center" vertical="center"/>
    </xf>
    <xf numFmtId="0" fontId="125" fillId="0" borderId="141" xfId="0" applyFont="1" applyFill="1" applyBorder="1" applyAlignment="1">
      <alignment horizontal="center" vertical="center"/>
    </xf>
    <xf numFmtId="1" fontId="27" fillId="0" borderId="156" xfId="0" applyNumberFormat="1" applyFont="1" applyFill="1" applyBorder="1" applyAlignment="1">
      <alignment horizontal="center" vertical="center"/>
    </xf>
    <xf numFmtId="1" fontId="27" fillId="0" borderId="138" xfId="0" applyNumberFormat="1" applyFont="1" applyFill="1" applyBorder="1" applyAlignment="1">
      <alignment horizontal="center" vertical="center"/>
    </xf>
    <xf numFmtId="1" fontId="27" fillId="14" borderId="138" xfId="0" applyNumberFormat="1" applyFont="1" applyFill="1" applyBorder="1" applyAlignment="1">
      <alignment horizontal="center" vertical="center"/>
    </xf>
    <xf numFmtId="0" fontId="17" fillId="0" borderId="149" xfId="0" applyFont="1" applyFill="1" applyBorder="1" applyAlignment="1">
      <alignment vertical="center"/>
    </xf>
    <xf numFmtId="1" fontId="66" fillId="0" borderId="150" xfId="0" applyNumberFormat="1" applyFont="1" applyFill="1" applyBorder="1" applyAlignment="1">
      <alignment horizontal="center" vertical="center"/>
    </xf>
    <xf numFmtId="0" fontId="17" fillId="0" borderId="148" xfId="0" applyFont="1" applyBorder="1" applyAlignment="1">
      <alignment horizontal="right" vertical="center"/>
    </xf>
    <xf numFmtId="175" fontId="11" fillId="0" borderId="0" xfId="0" applyNumberFormat="1" applyFont="1" applyFill="1" applyBorder="1" applyAlignment="1">
      <alignment horizontal="center" vertical="center"/>
    </xf>
    <xf numFmtId="175" fontId="13" fillId="0" borderId="0" xfId="0" applyNumberFormat="1" applyFont="1" applyFill="1" applyBorder="1" applyAlignment="1">
      <alignment horizontal="center" vertical="center"/>
    </xf>
    <xf numFmtId="175" fontId="32" fillId="0" borderId="9" xfId="0" applyNumberFormat="1" applyFont="1" applyFill="1" applyBorder="1" applyAlignment="1">
      <alignment horizontal="center" vertical="center"/>
    </xf>
    <xf numFmtId="175" fontId="30" fillId="0" borderId="9" xfId="0" applyNumberFormat="1" applyFont="1" applyFill="1" applyBorder="1" applyAlignment="1">
      <alignment horizontal="center" vertical="center"/>
    </xf>
    <xf numFmtId="175" fontId="30" fillId="0" borderId="1" xfId="0" applyNumberFormat="1" applyFont="1" applyFill="1" applyBorder="1" applyAlignment="1">
      <alignment horizontal="center" vertical="center"/>
    </xf>
    <xf numFmtId="175" fontId="30" fillId="0" borderId="168" xfId="0" applyNumberFormat="1" applyFont="1" applyFill="1" applyBorder="1" applyAlignment="1">
      <alignment horizontal="center" vertical="center"/>
    </xf>
    <xf numFmtId="175" fontId="30" fillId="14" borderId="1" xfId="0" applyNumberFormat="1" applyFont="1" applyFill="1" applyBorder="1" applyAlignment="1">
      <alignment horizontal="center" vertical="center"/>
    </xf>
    <xf numFmtId="175" fontId="32" fillId="0" borderId="1" xfId="0" applyNumberFormat="1" applyFont="1" applyFill="1" applyBorder="1" applyAlignment="1">
      <alignment horizontal="center" vertical="center"/>
    </xf>
    <xf numFmtId="3" fontId="69" fillId="0" borderId="140" xfId="0" applyNumberFormat="1" applyFont="1" applyFill="1" applyBorder="1" applyAlignment="1">
      <alignment horizontal="center" vertical="center"/>
    </xf>
    <xf numFmtId="1" fontId="114" fillId="0" borderId="151" xfId="0" applyNumberFormat="1" applyFont="1" applyFill="1" applyBorder="1" applyAlignment="1">
      <alignment horizontal="center" vertical="center" wrapText="1"/>
    </xf>
    <xf numFmtId="175" fontId="32" fillId="14" borderId="1" xfId="0" applyNumberFormat="1" applyFont="1" applyFill="1" applyBorder="1" applyAlignment="1">
      <alignment horizontal="center" vertical="center"/>
    </xf>
    <xf numFmtId="164" fontId="32" fillId="0" borderId="9" xfId="0" applyNumberFormat="1" applyFont="1" applyFill="1" applyBorder="1" applyAlignment="1">
      <alignment horizontal="center" vertical="center"/>
    </xf>
    <xf numFmtId="164" fontId="32" fillId="0" borderId="1"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164" fontId="32" fillId="0" borderId="168" xfId="0" applyNumberFormat="1" applyFont="1" applyFill="1" applyBorder="1" applyAlignment="1">
      <alignment horizontal="center" vertical="center"/>
    </xf>
    <xf numFmtId="1" fontId="32" fillId="0" borderId="34" xfId="0" applyNumberFormat="1" applyFont="1" applyFill="1" applyBorder="1" applyAlignment="1">
      <alignment horizontal="center" vertical="center"/>
    </xf>
    <xf numFmtId="1" fontId="27" fillId="0" borderId="150" xfId="0" applyNumberFormat="1" applyFont="1" applyFill="1" applyBorder="1" applyAlignment="1">
      <alignment horizontal="center" vertical="center"/>
    </xf>
    <xf numFmtId="164" fontId="32" fillId="0" borderId="8" xfId="0" applyNumberFormat="1" applyFont="1" applyFill="1" applyBorder="1" applyAlignment="1">
      <alignment horizontal="center" vertical="center"/>
    </xf>
    <xf numFmtId="164" fontId="13" fillId="0" borderId="4" xfId="0" applyNumberFormat="1" applyFont="1" applyFill="1" applyBorder="1" applyAlignment="1">
      <alignment horizontal="center" vertical="center"/>
    </xf>
    <xf numFmtId="164" fontId="32" fillId="0" borderId="6" xfId="0" applyNumberFormat="1" applyFont="1" applyFill="1" applyBorder="1" applyAlignment="1">
      <alignment horizontal="center" vertical="center"/>
    </xf>
    <xf numFmtId="164" fontId="32" fillId="0" borderId="169" xfId="0" applyNumberFormat="1" applyFont="1" applyFill="1" applyBorder="1" applyAlignment="1">
      <alignment horizontal="center" vertical="center"/>
    </xf>
    <xf numFmtId="164" fontId="32" fillId="0" borderId="35" xfId="0" applyNumberFormat="1" applyFont="1" applyFill="1" applyBorder="1" applyAlignment="1">
      <alignment horizontal="center" vertical="center"/>
    </xf>
    <xf numFmtId="164" fontId="32" fillId="14" borderId="6" xfId="0" applyNumberFormat="1" applyFont="1" applyFill="1" applyBorder="1" applyAlignment="1">
      <alignment horizontal="center" vertical="center"/>
    </xf>
    <xf numFmtId="2" fontId="32" fillId="0" borderId="1" xfId="0" applyNumberFormat="1" applyFont="1" applyFill="1" applyBorder="1" applyAlignment="1">
      <alignment horizontal="center" vertical="center"/>
    </xf>
    <xf numFmtId="2" fontId="32" fillId="0" borderId="9"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2" fontId="32" fillId="14" borderId="1" xfId="0" applyNumberFormat="1" applyFont="1" applyFill="1" applyBorder="1" applyAlignment="1">
      <alignment horizontal="center" vertical="center"/>
    </xf>
    <xf numFmtId="175" fontId="30" fillId="0" borderId="0" xfId="0" applyNumberFormat="1" applyFont="1" applyFill="1" applyBorder="1" applyAlignment="1">
      <alignment horizontal="center" vertical="center"/>
    </xf>
    <xf numFmtId="1" fontId="40" fillId="0" borderId="1" xfId="0" applyNumberFormat="1" applyFont="1" applyFill="1" applyBorder="1" applyAlignment="1">
      <alignment horizontal="center" vertical="center"/>
    </xf>
    <xf numFmtId="1" fontId="40" fillId="0" borderId="11" xfId="0" applyNumberFormat="1" applyFont="1" applyFill="1" applyBorder="1" applyAlignment="1">
      <alignment horizontal="center" vertical="center"/>
    </xf>
    <xf numFmtId="1" fontId="40" fillId="0" borderId="0" xfId="0" applyNumberFormat="1" applyFont="1" applyFill="1" applyBorder="1" applyAlignment="1">
      <alignment horizontal="center" vertical="center"/>
    </xf>
    <xf numFmtId="1" fontId="40" fillId="14" borderId="1" xfId="0" applyNumberFormat="1" applyFont="1" applyFill="1" applyBorder="1" applyAlignment="1">
      <alignment horizontal="center" vertical="center"/>
    </xf>
    <xf numFmtId="1" fontId="40" fillId="0" borderId="34" xfId="0" applyNumberFormat="1" applyFont="1" applyFill="1" applyBorder="1" applyAlignment="1">
      <alignment horizontal="center" vertical="center"/>
    </xf>
    <xf numFmtId="1" fontId="130" fillId="0" borderId="153" xfId="0" applyNumberFormat="1" applyFont="1" applyFill="1" applyBorder="1" applyAlignment="1">
      <alignment horizontal="center" vertical="center" wrapText="1"/>
    </xf>
    <xf numFmtId="1" fontId="40" fillId="0" borderId="9" xfId="0" applyNumberFormat="1" applyFont="1" applyFill="1" applyBorder="1" applyAlignment="1">
      <alignment horizontal="center" vertical="center"/>
    </xf>
    <xf numFmtId="1" fontId="130" fillId="0" borderId="1" xfId="0" applyNumberFormat="1" applyFont="1" applyFill="1" applyBorder="1" applyAlignment="1">
      <alignment horizontal="center" vertical="center" wrapText="1"/>
    </xf>
    <xf numFmtId="1" fontId="40" fillId="0" borderId="168" xfId="0" applyNumberFormat="1" applyFont="1" applyFill="1" applyBorder="1" applyAlignment="1">
      <alignment horizontal="center" vertical="center"/>
    </xf>
    <xf numFmtId="175" fontId="32" fillId="0" borderId="6" xfId="0" applyNumberFormat="1" applyFont="1" applyFill="1" applyBorder="1" applyAlignment="1">
      <alignment horizontal="center" vertical="center"/>
    </xf>
    <xf numFmtId="175" fontId="32" fillId="0" borderId="8" xfId="0" applyNumberFormat="1" applyFont="1" applyFill="1" applyBorder="1" applyAlignment="1">
      <alignment horizontal="center" vertical="center"/>
    </xf>
    <xf numFmtId="175" fontId="13" fillId="0" borderId="4" xfId="0" applyNumberFormat="1" applyFont="1" applyFill="1" applyBorder="1" applyAlignment="1">
      <alignment horizontal="center" vertical="center"/>
    </xf>
    <xf numFmtId="175" fontId="32" fillId="14" borderId="6" xfId="0" applyNumberFormat="1" applyFont="1" applyFill="1" applyBorder="1" applyAlignment="1">
      <alignment horizontal="center" vertical="center"/>
    </xf>
    <xf numFmtId="175" fontId="11" fillId="0" borderId="132" xfId="0" applyNumberFormat="1" applyFont="1" applyFill="1" applyBorder="1" applyAlignment="1">
      <alignment horizontal="center" vertical="center"/>
    </xf>
    <xf numFmtId="175" fontId="114" fillId="0" borderId="2" xfId="0" applyNumberFormat="1" applyFont="1" applyFill="1" applyBorder="1" applyAlignment="1">
      <alignment horizontal="center" vertical="center" wrapText="1"/>
    </xf>
    <xf numFmtId="175" fontId="32" fillId="0" borderId="4" xfId="0" applyNumberFormat="1" applyFont="1" applyFill="1" applyBorder="1" applyAlignment="1">
      <alignment horizontal="center" vertical="center"/>
    </xf>
    <xf numFmtId="175" fontId="69" fillId="0" borderId="132" xfId="0" applyNumberFormat="1" applyFont="1" applyFill="1" applyBorder="1" applyAlignment="1">
      <alignment horizontal="center" vertical="center"/>
    </xf>
    <xf numFmtId="175" fontId="32" fillId="0" borderId="169" xfId="0" applyNumberFormat="1" applyFont="1" applyFill="1" applyBorder="1" applyAlignment="1">
      <alignment horizontal="center" vertical="center"/>
    </xf>
    <xf numFmtId="175" fontId="32" fillId="0" borderId="35" xfId="0" applyNumberFormat="1" applyFont="1" applyFill="1" applyBorder="1" applyAlignment="1">
      <alignment horizontal="center" vertical="center"/>
    </xf>
    <xf numFmtId="164" fontId="32" fillId="0" borderId="34" xfId="0" applyNumberFormat="1" applyFont="1" applyFill="1" applyBorder="1" applyAlignment="1">
      <alignment horizontal="center" vertical="center"/>
    </xf>
    <xf numFmtId="175" fontId="30" fillId="0" borderId="34" xfId="0" applyNumberFormat="1" applyFont="1" applyFill="1" applyBorder="1" applyAlignment="1">
      <alignment horizontal="center" vertical="center"/>
    </xf>
    <xf numFmtId="1" fontId="32" fillId="0" borderId="150" xfId="0" applyNumberFormat="1" applyFont="1" applyFill="1" applyBorder="1" applyAlignment="1">
      <alignment horizontal="center" vertical="center"/>
    </xf>
    <xf numFmtId="166" fontId="69" fillId="0" borderId="2" xfId="0" applyNumberFormat="1" applyFont="1" applyBorder="1" applyAlignment="1">
      <alignment horizontal="center" vertical="center"/>
    </xf>
    <xf numFmtId="0" fontId="69" fillId="0" borderId="3" xfId="0" applyFont="1" applyBorder="1" applyAlignment="1">
      <alignment horizontal="center" vertical="center"/>
    </xf>
    <xf numFmtId="0" fontId="8" fillId="6" borderId="34" xfId="0" applyFont="1" applyFill="1" applyBorder="1" applyAlignment="1">
      <alignment horizontal="left" vertical="center" wrapText="1"/>
    </xf>
    <xf numFmtId="0" fontId="8" fillId="6" borderId="37" xfId="0" applyFont="1" applyFill="1" applyBorder="1" applyAlignment="1">
      <alignment horizontal="left" vertical="center" wrapText="1"/>
    </xf>
    <xf numFmtId="0" fontId="8" fillId="6" borderId="0" xfId="0" applyFont="1" applyFill="1" applyBorder="1" applyAlignment="1">
      <alignment horizontal="left" vertical="center" wrapText="1"/>
    </xf>
    <xf numFmtId="0" fontId="8" fillId="6" borderId="26" xfId="0" applyFont="1" applyFill="1" applyBorder="1" applyAlignment="1">
      <alignment horizontal="left" vertical="center" wrapText="1"/>
    </xf>
    <xf numFmtId="0" fontId="8" fillId="0" borderId="4" xfId="0" applyFont="1" applyBorder="1" applyAlignment="1">
      <alignment horizontal="left" vertical="center" wrapText="1"/>
    </xf>
    <xf numFmtId="0" fontId="8" fillId="0" borderId="0" xfId="0" applyFont="1" applyBorder="1" applyAlignment="1">
      <alignment horizontal="left" vertical="center" wrapText="1"/>
    </xf>
    <xf numFmtId="0" fontId="8" fillId="0" borderId="26" xfId="0" applyFont="1" applyBorder="1" applyAlignment="1">
      <alignment horizontal="left" vertical="center" wrapText="1"/>
    </xf>
    <xf numFmtId="0" fontId="8" fillId="0" borderId="6" xfId="0" applyFont="1" applyBorder="1" applyAlignment="1">
      <alignment horizontal="left" vertical="center" wrapText="1"/>
    </xf>
    <xf numFmtId="0" fontId="8" fillId="0" borderId="1" xfId="0" applyFont="1" applyBorder="1" applyAlignment="1">
      <alignment horizontal="left" vertical="center" wrapText="1"/>
    </xf>
    <xf numFmtId="0" fontId="8" fillId="0" borderId="28" xfId="0" applyFont="1" applyBorder="1" applyAlignment="1">
      <alignment horizontal="left" vertical="center" wrapText="1"/>
    </xf>
    <xf numFmtId="166" fontId="83" fillId="0" borderId="2" xfId="0" applyNumberFormat="1" applyFont="1" applyBorder="1" applyAlignment="1">
      <alignment horizontal="center" vertical="center"/>
    </xf>
    <xf numFmtId="166" fontId="83" fillId="0" borderId="3" xfId="0" applyNumberFormat="1" applyFont="1" applyBorder="1" applyAlignment="1">
      <alignment horizontal="center" vertical="center"/>
    </xf>
    <xf numFmtId="0" fontId="69" fillId="0" borderId="11" xfId="0" applyFont="1" applyBorder="1" applyAlignment="1">
      <alignment horizontal="center" vertical="center"/>
    </xf>
    <xf numFmtId="0" fontId="61" fillId="0" borderId="27" xfId="0" applyFont="1" applyBorder="1" applyAlignment="1">
      <alignment horizontal="center" vertical="center"/>
    </xf>
    <xf numFmtId="0" fontId="61" fillId="0" borderId="1" xfId="0" applyFont="1" applyBorder="1" applyAlignment="1">
      <alignment horizontal="center" vertical="center"/>
    </xf>
    <xf numFmtId="0" fontId="48" fillId="0" borderId="29" xfId="0" applyFont="1" applyBorder="1" applyAlignment="1">
      <alignment horizontal="center" vertical="center" textRotation="90" wrapText="1"/>
    </xf>
    <xf numFmtId="0" fontId="48" fillId="0" borderId="9" xfId="0" applyFont="1" applyBorder="1" applyAlignment="1">
      <alignment horizontal="center" vertical="center" textRotation="90" wrapText="1"/>
    </xf>
    <xf numFmtId="0" fontId="48" fillId="0" borderId="24" xfId="0" applyFont="1" applyBorder="1" applyAlignment="1">
      <alignment horizontal="center" vertical="center" textRotation="90" wrapText="1"/>
    </xf>
    <xf numFmtId="0" fontId="48" fillId="0" borderId="0" xfId="0" applyFont="1" applyBorder="1" applyAlignment="1">
      <alignment horizontal="center" vertical="center" textRotation="90" wrapText="1"/>
    </xf>
    <xf numFmtId="0" fontId="48" fillId="0" borderId="27" xfId="0" applyFont="1" applyBorder="1" applyAlignment="1">
      <alignment horizontal="center" vertical="center" textRotation="90" wrapText="1"/>
    </xf>
    <xf numFmtId="0" fontId="48" fillId="0" borderId="1" xfId="0" applyFont="1" applyBorder="1" applyAlignment="1">
      <alignment horizontal="center" vertical="center" textRotation="90" wrapText="1"/>
    </xf>
    <xf numFmtId="166" fontId="69" fillId="0" borderId="72" xfId="0" applyNumberFormat="1" applyFont="1" applyBorder="1" applyAlignment="1">
      <alignment horizontal="center" vertical="center"/>
    </xf>
    <xf numFmtId="0" fontId="15" fillId="0" borderId="4" xfId="0" applyFont="1" applyBorder="1" applyAlignment="1">
      <alignment horizontal="center" vertical="center"/>
    </xf>
    <xf numFmtId="0" fontId="15" fillId="0" borderId="0" xfId="0" applyFont="1" applyBorder="1" applyAlignment="1">
      <alignment horizontal="center" vertical="center"/>
    </xf>
    <xf numFmtId="0" fontId="63" fillId="0" borderId="0" xfId="0" applyFont="1" applyBorder="1" applyAlignment="1">
      <alignment horizontal="left" vertical="center" wrapText="1"/>
    </xf>
    <xf numFmtId="0" fontId="63" fillId="0" borderId="26" xfId="0" applyFont="1" applyBorder="1" applyAlignment="1">
      <alignment horizontal="left" vertical="center" wrapText="1"/>
    </xf>
    <xf numFmtId="0" fontId="63" fillId="0" borderId="1" xfId="0" applyFont="1" applyBorder="1" applyAlignment="1">
      <alignment horizontal="left" vertical="center" wrapText="1"/>
    </xf>
    <xf numFmtId="0" fontId="63" fillId="0" borderId="28" xfId="0" applyFont="1" applyBorder="1" applyAlignment="1">
      <alignment horizontal="left" vertical="center" wrapText="1"/>
    </xf>
    <xf numFmtId="0" fontId="55" fillId="0" borderId="4" xfId="0" applyFont="1" applyBorder="1" applyAlignment="1">
      <alignment horizontal="left" vertical="center" wrapText="1"/>
    </xf>
    <xf numFmtId="0" fontId="55" fillId="0" borderId="0" xfId="0" applyFont="1" applyBorder="1" applyAlignment="1">
      <alignment horizontal="left" vertical="center" wrapText="1"/>
    </xf>
    <xf numFmtId="0" fontId="55" fillId="0" borderId="26" xfId="0" applyFont="1" applyBorder="1" applyAlignment="1">
      <alignment horizontal="left" vertical="center" wrapText="1"/>
    </xf>
    <xf numFmtId="0" fontId="55" fillId="0" borderId="6" xfId="0" applyFont="1" applyBorder="1" applyAlignment="1">
      <alignment horizontal="left" vertical="center" wrapText="1"/>
    </xf>
    <xf numFmtId="0" fontId="55" fillId="0" borderId="1" xfId="0" applyFont="1" applyBorder="1" applyAlignment="1">
      <alignment horizontal="left" vertical="center" wrapText="1"/>
    </xf>
    <xf numFmtId="0" fontId="55" fillId="0" borderId="28" xfId="0" applyFont="1" applyBorder="1" applyAlignment="1">
      <alignment horizontal="left" vertical="center" wrapText="1"/>
    </xf>
    <xf numFmtId="0" fontId="23" fillId="0" borderId="11" xfId="0" applyFont="1" applyBorder="1" applyAlignment="1">
      <alignment horizontal="center"/>
    </xf>
    <xf numFmtId="0" fontId="49" fillId="0" borderId="2" xfId="0" applyFont="1" applyBorder="1" applyAlignment="1">
      <alignment horizontal="center" vertical="center"/>
    </xf>
    <xf numFmtId="0" fontId="49" fillId="0" borderId="3" xfId="0" applyFont="1" applyBorder="1" applyAlignment="1">
      <alignment horizontal="center" vertical="center"/>
    </xf>
    <xf numFmtId="1" fontId="38" fillId="0" borderId="6" xfId="0" applyNumberFormat="1" applyFont="1" applyFill="1" applyBorder="1" applyAlignment="1" applyProtection="1">
      <alignment horizontal="center" vertical="center"/>
      <protection locked="0"/>
    </xf>
    <xf numFmtId="1" fontId="38" fillId="0" borderId="7" xfId="0" applyNumberFormat="1" applyFont="1" applyFill="1" applyBorder="1" applyAlignment="1" applyProtection="1">
      <alignment horizontal="center" vertical="center"/>
      <protection locked="0"/>
    </xf>
    <xf numFmtId="0" fontId="113" fillId="0" borderId="2" xfId="0" applyFont="1" applyBorder="1" applyAlignment="1">
      <alignment horizontal="center" vertical="center"/>
    </xf>
    <xf numFmtId="0" fontId="113" fillId="0" borderId="3"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54" fillId="0" borderId="8" xfId="0" applyFont="1" applyFill="1" applyBorder="1" applyAlignment="1">
      <alignment horizontal="center" vertical="center"/>
    </xf>
    <xf numFmtId="0" fontId="54" fillId="0" borderId="9" xfId="0" applyFont="1" applyFill="1" applyBorder="1" applyAlignment="1">
      <alignment horizontal="center" vertical="center"/>
    </xf>
    <xf numFmtId="0" fontId="54" fillId="0" borderId="10" xfId="0" applyFont="1" applyFill="1" applyBorder="1" applyAlignment="1">
      <alignment horizontal="center" vertical="center"/>
    </xf>
    <xf numFmtId="0" fontId="55" fillId="5" borderId="6" xfId="0" applyFont="1" applyFill="1" applyBorder="1" applyAlignment="1">
      <alignment horizontal="center" vertical="center"/>
    </xf>
    <xf numFmtId="0" fontId="55" fillId="5" borderId="7" xfId="0" applyFont="1" applyFill="1" applyBorder="1" applyAlignment="1">
      <alignment horizontal="center" vertical="center"/>
    </xf>
    <xf numFmtId="0" fontId="23" fillId="0" borderId="8" xfId="0" applyFont="1" applyBorder="1" applyAlignment="1">
      <alignment horizontal="center" vertical="center"/>
    </xf>
    <xf numFmtId="0" fontId="23" fillId="0" borderId="10" xfId="0" applyFont="1" applyBorder="1" applyAlignment="1">
      <alignment horizontal="center" vertical="center"/>
    </xf>
    <xf numFmtId="0" fontId="23" fillId="0" borderId="109" xfId="0" applyFont="1" applyBorder="1" applyAlignment="1">
      <alignment horizontal="center" vertical="center"/>
    </xf>
    <xf numFmtId="0" fontId="23" fillId="0" borderId="110" xfId="0" applyFont="1" applyBorder="1" applyAlignment="1">
      <alignment horizontal="center" vertical="center"/>
    </xf>
    <xf numFmtId="0" fontId="23" fillId="0" borderId="9" xfId="0" applyFont="1" applyBorder="1" applyAlignment="1">
      <alignment horizontal="center" vertical="center"/>
    </xf>
    <xf numFmtId="0" fontId="34" fillId="0" borderId="4" xfId="0" applyFont="1" applyBorder="1" applyAlignment="1">
      <alignment horizontal="center" vertical="center"/>
    </xf>
    <xf numFmtId="0" fontId="34" fillId="0" borderId="5" xfId="0" applyFont="1" applyBorder="1" applyAlignment="1">
      <alignment horizontal="center" vertical="center"/>
    </xf>
    <xf numFmtId="0" fontId="34" fillId="0" borderId="0" xfId="0" applyFont="1" applyBorder="1" applyAlignment="1">
      <alignment horizontal="center" vertical="center"/>
    </xf>
    <xf numFmtId="0" fontId="34" fillId="0" borderId="111" xfId="0" applyFont="1" applyBorder="1" applyAlignment="1">
      <alignment horizontal="center" vertical="center"/>
    </xf>
    <xf numFmtId="0" fontId="34" fillId="0" borderId="112" xfId="0" applyFont="1" applyBorder="1" applyAlignment="1">
      <alignment horizontal="center" vertical="center"/>
    </xf>
    <xf numFmtId="0" fontId="55" fillId="5" borderId="1" xfId="0" applyFont="1" applyFill="1" applyBorder="1" applyAlignment="1">
      <alignment horizontal="center" vertical="center"/>
    </xf>
    <xf numFmtId="0" fontId="55" fillId="4" borderId="113" xfId="0" applyFont="1" applyFill="1" applyBorder="1" applyAlignment="1">
      <alignment horizontal="center" vertical="center"/>
    </xf>
    <xf numFmtId="0" fontId="55" fillId="4" borderId="114" xfId="0" applyFont="1" applyFill="1" applyBorder="1" applyAlignment="1">
      <alignment horizontal="center" vertical="center"/>
    </xf>
    <xf numFmtId="0" fontId="55" fillId="5" borderId="113" xfId="0" applyFont="1" applyFill="1" applyBorder="1" applyAlignment="1">
      <alignment horizontal="center" vertical="center"/>
    </xf>
    <xf numFmtId="0" fontId="55" fillId="5" borderId="114" xfId="0" applyFont="1" applyFill="1" applyBorder="1" applyAlignment="1">
      <alignment horizontal="center" vertical="center"/>
    </xf>
    <xf numFmtId="0" fontId="17" fillId="0" borderId="68" xfId="0" applyFont="1" applyBorder="1" applyAlignment="1">
      <alignment horizontal="center" vertical="center"/>
    </xf>
    <xf numFmtId="0" fontId="17" fillId="0" borderId="50" xfId="0" applyFont="1" applyBorder="1" applyAlignment="1">
      <alignment horizontal="center" vertical="center"/>
    </xf>
    <xf numFmtId="0" fontId="17" fillId="0" borderId="131" xfId="0" applyFont="1" applyBorder="1" applyAlignment="1">
      <alignment horizontal="center" vertical="center"/>
    </xf>
    <xf numFmtId="0" fontId="3" fillId="14" borderId="0" xfId="0" quotePrefix="1" applyFont="1" applyFill="1" applyBorder="1" applyAlignment="1">
      <alignment horizontal="center" vertical="center" wrapText="1"/>
    </xf>
    <xf numFmtId="0" fontId="3" fillId="14" borderId="0" xfId="0" applyFont="1" applyFill="1" applyBorder="1" applyAlignment="1">
      <alignment horizontal="center" vertical="center" wrapText="1"/>
    </xf>
    <xf numFmtId="174" fontId="40" fillId="0" borderId="6" xfId="0" applyNumberFormat="1" applyFont="1" applyFill="1" applyBorder="1" applyAlignment="1">
      <alignment horizontal="center" vertical="center"/>
    </xf>
    <xf numFmtId="174" fontId="40" fillId="0" borderId="1" xfId="0" applyNumberFormat="1" applyFont="1" applyFill="1" applyBorder="1" applyAlignment="1">
      <alignment horizontal="center" vertical="center"/>
    </xf>
    <xf numFmtId="174" fontId="40" fillId="0" borderId="4" xfId="0" applyNumberFormat="1" applyFont="1" applyFill="1" applyBorder="1" applyAlignment="1">
      <alignment horizontal="center" vertical="center"/>
    </xf>
    <xf numFmtId="174" fontId="40" fillId="0" borderId="0" xfId="0" applyNumberFormat="1" applyFont="1" applyFill="1" applyBorder="1" applyAlignment="1">
      <alignment horizontal="center" vertical="center"/>
    </xf>
    <xf numFmtId="3" fontId="69" fillId="0" borderId="50" xfId="0" applyNumberFormat="1" applyFont="1" applyFill="1" applyBorder="1" applyAlignment="1">
      <alignment horizontal="right" vertical="center"/>
    </xf>
    <xf numFmtId="3" fontId="69" fillId="0" borderId="131" xfId="0" applyNumberFormat="1" applyFont="1" applyFill="1" applyBorder="1" applyAlignment="1">
      <alignment horizontal="right" vertical="center"/>
    </xf>
    <xf numFmtId="3" fontId="30" fillId="0" borderId="8" xfId="0" applyNumberFormat="1" applyFont="1" applyFill="1" applyBorder="1" applyAlignment="1">
      <alignment horizontal="center" vertical="center"/>
    </xf>
    <xf numFmtId="3" fontId="30" fillId="0" borderId="4" xfId="0" applyNumberFormat="1" applyFont="1" applyFill="1" applyBorder="1" applyAlignment="1">
      <alignment horizontal="center" vertical="center"/>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0" fontId="23" fillId="0" borderId="132" xfId="0" applyFont="1" applyBorder="1" applyAlignment="1">
      <alignment horizontal="center" vertical="center"/>
    </xf>
    <xf numFmtId="0" fontId="23" fillId="0" borderId="31" xfId="0" applyFont="1" applyBorder="1" applyAlignment="1">
      <alignment horizontal="center" vertical="center"/>
    </xf>
    <xf numFmtId="0" fontId="23" fillId="0" borderId="133" xfId="0" applyFont="1" applyBorder="1" applyAlignment="1">
      <alignment horizontal="center" vertical="center"/>
    </xf>
    <xf numFmtId="0" fontId="23" fillId="0" borderId="4" xfId="0" applyFont="1" applyBorder="1" applyAlignment="1">
      <alignment horizontal="center" vertical="center" wrapText="1"/>
    </xf>
    <xf numFmtId="0" fontId="23" fillId="0" borderId="35"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36" xfId="0" applyFont="1" applyBorder="1" applyAlignment="1">
      <alignment horizontal="center" vertical="center" wrapText="1"/>
    </xf>
    <xf numFmtId="170" fontId="44" fillId="0" borderId="34" xfId="0" applyNumberFormat="1" applyFont="1" applyBorder="1" applyAlignment="1">
      <alignment horizontal="right" vertical="center"/>
    </xf>
    <xf numFmtId="0" fontId="17" fillId="0" borderId="0" xfId="0" applyFont="1" applyBorder="1" applyAlignment="1">
      <alignment horizontal="center" vertical="center" textRotation="90"/>
    </xf>
    <xf numFmtId="0" fontId="25" fillId="0" borderId="163"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25" fillId="0" borderId="162" xfId="0" applyFont="1" applyFill="1" applyBorder="1" applyAlignment="1">
      <alignment horizontal="center" vertical="center" wrapText="1"/>
    </xf>
    <xf numFmtId="0" fontId="102" fillId="0" borderId="35" xfId="0" applyFont="1" applyFill="1" applyBorder="1" applyAlignment="1">
      <alignment horizontal="center" vertical="center"/>
    </xf>
    <xf numFmtId="0" fontId="102" fillId="0" borderId="34" xfId="0" applyFont="1" applyFill="1" applyBorder="1" applyAlignment="1">
      <alignment horizontal="center" vertical="center"/>
    </xf>
    <xf numFmtId="0" fontId="102" fillId="0" borderId="36" xfId="0" applyFont="1" applyFill="1" applyBorder="1" applyAlignment="1">
      <alignment horizontal="center" vertical="center"/>
    </xf>
    <xf numFmtId="0" fontId="17" fillId="0" borderId="9" xfId="0" applyFont="1" applyBorder="1" applyAlignment="1">
      <alignment horizontal="center" vertical="center" textRotation="90"/>
    </xf>
    <xf numFmtId="0" fontId="17" fillId="0" borderId="34" xfId="0" applyFont="1" applyBorder="1" applyAlignment="1">
      <alignment horizontal="center" vertical="center" textRotation="90"/>
    </xf>
    <xf numFmtId="0" fontId="17" fillId="0" borderId="1" xfId="0" applyFont="1" applyBorder="1" applyAlignment="1">
      <alignment horizontal="center" vertical="center" textRotation="90"/>
    </xf>
    <xf numFmtId="0" fontId="25" fillId="0" borderId="4" xfId="0" applyFont="1" applyFill="1" applyBorder="1" applyAlignment="1">
      <alignment horizontal="center" vertical="center" wrapText="1"/>
    </xf>
    <xf numFmtId="0" fontId="25" fillId="0" borderId="35" xfId="0" applyFont="1" applyFill="1" applyBorder="1" applyAlignment="1">
      <alignment horizontal="center" vertical="center" wrapText="1"/>
    </xf>
    <xf numFmtId="0" fontId="23" fillId="0" borderId="0" xfId="0" applyFont="1" applyBorder="1" applyAlignment="1">
      <alignment horizontal="center" vertical="center" wrapText="1"/>
    </xf>
    <xf numFmtId="0" fontId="23" fillId="0" borderId="34" xfId="0" applyFont="1" applyBorder="1" applyAlignment="1">
      <alignment horizontal="center" vertical="center" wrapText="1"/>
    </xf>
    <xf numFmtId="3" fontId="65" fillId="0" borderId="9" xfId="0" applyNumberFormat="1" applyFont="1" applyFill="1" applyBorder="1" applyAlignment="1">
      <alignment horizontal="center" vertical="center"/>
    </xf>
    <xf numFmtId="3" fontId="65" fillId="0" borderId="0" xfId="0" applyNumberFormat="1" applyFont="1" applyFill="1" applyBorder="1" applyAlignment="1">
      <alignment horizontal="center" vertical="center"/>
    </xf>
    <xf numFmtId="0" fontId="17" fillId="0" borderId="168" xfId="0" applyFont="1" applyBorder="1" applyAlignment="1">
      <alignment horizontal="center" vertical="center" textRotation="90"/>
    </xf>
    <xf numFmtId="174" fontId="40" fillId="0" borderId="169" xfId="0" applyNumberFormat="1" applyFont="1" applyFill="1" applyBorder="1" applyAlignment="1">
      <alignment horizontal="center" vertical="center"/>
    </xf>
    <xf numFmtId="174" fontId="40" fillId="0" borderId="168" xfId="0" applyNumberFormat="1" applyFont="1" applyFill="1" applyBorder="1" applyAlignment="1">
      <alignment horizontal="center" vertical="center"/>
    </xf>
    <xf numFmtId="0" fontId="23" fillId="0" borderId="4" xfId="0" applyFont="1" applyBorder="1" applyAlignment="1">
      <alignment horizontal="center" vertical="center"/>
    </xf>
    <xf numFmtId="0" fontId="23" fillId="0" borderId="0" xfId="0" applyFont="1" applyBorder="1" applyAlignment="1">
      <alignment horizontal="center" vertical="center"/>
    </xf>
    <xf numFmtId="0" fontId="23" fillId="0" borderId="5" xfId="0" applyFont="1" applyBorder="1" applyAlignment="1">
      <alignment horizontal="center" vertical="center"/>
    </xf>
    <xf numFmtId="0" fontId="61" fillId="0" borderId="138" xfId="0" applyFont="1" applyFill="1" applyBorder="1" applyAlignment="1">
      <alignment horizontal="center" vertical="center" wrapText="1"/>
    </xf>
    <xf numFmtId="0" fontId="61" fillId="0" borderId="150" xfId="0" applyFont="1" applyFill="1" applyBorder="1" applyAlignment="1">
      <alignment horizontal="center" vertical="center" wrapText="1"/>
    </xf>
    <xf numFmtId="0" fontId="61" fillId="0" borderId="0" xfId="0" applyFont="1" applyFill="1" applyBorder="1" applyAlignment="1">
      <alignment horizontal="center" vertical="center" wrapText="1"/>
    </xf>
    <xf numFmtId="0" fontId="61" fillId="0" borderId="34" xfId="0" applyFont="1" applyFill="1" applyBorder="1" applyAlignment="1">
      <alignment horizontal="center" vertical="center" wrapText="1"/>
    </xf>
    <xf numFmtId="0" fontId="23" fillId="0" borderId="2" xfId="0" applyFont="1" applyBorder="1" applyAlignment="1">
      <alignment horizontal="right" vertical="center" wrapText="1"/>
    </xf>
    <xf numFmtId="0" fontId="23" fillId="0" borderId="11" xfId="0" applyFont="1" applyBorder="1" applyAlignment="1">
      <alignment horizontal="right" vertical="center" wrapText="1"/>
    </xf>
    <xf numFmtId="0" fontId="23" fillId="0" borderId="68" xfId="0" applyFont="1" applyBorder="1" applyAlignment="1">
      <alignment horizontal="right" vertical="center" wrapText="1"/>
    </xf>
    <xf numFmtId="0" fontId="23" fillId="0" borderId="50" xfId="0" applyFont="1" applyBorder="1" applyAlignment="1">
      <alignment horizontal="right" vertical="center" wrapText="1"/>
    </xf>
    <xf numFmtId="0" fontId="61" fillId="0" borderId="4" xfId="0" applyFont="1" applyFill="1" applyBorder="1" applyAlignment="1">
      <alignment horizontal="center" vertical="center" wrapText="1"/>
    </xf>
    <xf numFmtId="0" fontId="61" fillId="0" borderId="35" xfId="0" applyFont="1" applyFill="1" applyBorder="1" applyAlignment="1">
      <alignment horizontal="center" vertical="center" wrapText="1"/>
    </xf>
    <xf numFmtId="0" fontId="23" fillId="0" borderId="154" xfId="0" applyFont="1" applyBorder="1" applyAlignment="1">
      <alignment horizontal="center" vertical="center"/>
    </xf>
    <xf numFmtId="0" fontId="23" fillId="0" borderId="153" xfId="0" applyFont="1" applyBorder="1" applyAlignment="1">
      <alignment horizontal="center" vertical="center"/>
    </xf>
    <xf numFmtId="0" fontId="23" fillId="0" borderId="140" xfId="0" applyFont="1" applyBorder="1" applyAlignment="1">
      <alignment horizontal="center" vertical="center"/>
    </xf>
    <xf numFmtId="166" fontId="47" fillId="2" borderId="72" xfId="0" applyNumberFormat="1" applyFont="1" applyFill="1" applyBorder="1" applyAlignment="1">
      <alignment horizontal="center" vertical="center"/>
    </xf>
    <xf numFmtId="166" fontId="47" fillId="2" borderId="3" xfId="0" applyNumberFormat="1" applyFont="1" applyFill="1" applyBorder="1" applyAlignment="1">
      <alignment horizontal="center" vertical="center"/>
    </xf>
    <xf numFmtId="166" fontId="47" fillId="2" borderId="71" xfId="0" applyNumberFormat="1" applyFont="1" applyFill="1" applyBorder="1" applyAlignment="1">
      <alignment horizontal="center" vertical="center"/>
    </xf>
    <xf numFmtId="166" fontId="47" fillId="2" borderId="9" xfId="0" applyNumberFormat="1" applyFont="1" applyFill="1" applyBorder="1" applyAlignment="1">
      <alignment horizontal="center" vertical="center"/>
    </xf>
    <xf numFmtId="0" fontId="60" fillId="2" borderId="78" xfId="0" applyFont="1" applyFill="1" applyBorder="1" applyAlignment="1">
      <alignment horizontal="center" vertical="center" wrapText="1"/>
    </xf>
    <xf numFmtId="0" fontId="60" fillId="2" borderId="18" xfId="0" applyFont="1" applyFill="1" applyBorder="1" applyAlignment="1">
      <alignment horizontal="center" vertical="center" wrapText="1"/>
    </xf>
    <xf numFmtId="166" fontId="47" fillId="2" borderId="8" xfId="0" applyNumberFormat="1" applyFont="1" applyFill="1" applyBorder="1" applyAlignment="1">
      <alignment horizontal="center" vertical="center"/>
    </xf>
    <xf numFmtId="0" fontId="60" fillId="2" borderId="3" xfId="0" applyFont="1" applyFill="1" applyBorder="1" applyAlignment="1">
      <alignment horizontal="center" vertical="center" wrapText="1"/>
    </xf>
    <xf numFmtId="0" fontId="60" fillId="2" borderId="2" xfId="0" applyFont="1" applyFill="1" applyBorder="1" applyAlignment="1">
      <alignment horizontal="center" vertical="center" wrapText="1"/>
    </xf>
    <xf numFmtId="166" fontId="47" fillId="3" borderId="2" xfId="0" applyNumberFormat="1" applyFont="1" applyFill="1" applyBorder="1" applyAlignment="1">
      <alignment horizontal="center" vertical="center" wrapText="1"/>
    </xf>
    <xf numFmtId="166" fontId="47" fillId="3" borderId="11" xfId="0" applyNumberFormat="1" applyFont="1" applyFill="1" applyBorder="1" applyAlignment="1">
      <alignment horizontal="center" vertical="center" wrapText="1"/>
    </xf>
    <xf numFmtId="166" fontId="47" fillId="3" borderId="72" xfId="0" applyNumberFormat="1" applyFont="1" applyFill="1" applyBorder="1" applyAlignment="1">
      <alignment horizontal="center" vertical="center" wrapText="1"/>
    </xf>
    <xf numFmtId="166" fontId="47" fillId="3" borderId="40" xfId="0" applyNumberFormat="1" applyFont="1" applyFill="1" applyBorder="1" applyAlignment="1">
      <alignment horizontal="center" vertical="center" wrapText="1"/>
    </xf>
    <xf numFmtId="0" fontId="60" fillId="2" borderId="70" xfId="0" applyFont="1" applyFill="1" applyBorder="1" applyAlignment="1">
      <alignment horizontal="center" vertical="center" wrapText="1"/>
    </xf>
    <xf numFmtId="166" fontId="47" fillId="3" borderId="71" xfId="0" applyNumberFormat="1" applyFont="1" applyFill="1" applyBorder="1" applyAlignment="1">
      <alignment horizontal="center" vertical="center"/>
    </xf>
    <xf numFmtId="166" fontId="47" fillId="3" borderId="43" xfId="0" applyNumberFormat="1" applyFont="1" applyFill="1" applyBorder="1" applyAlignment="1">
      <alignment horizontal="center" vertical="center"/>
    </xf>
    <xf numFmtId="166" fontId="47" fillId="3" borderId="8" xfId="0" applyNumberFormat="1" applyFont="1" applyFill="1" applyBorder="1" applyAlignment="1">
      <alignment horizontal="center" vertical="center"/>
    </xf>
    <xf numFmtId="166" fontId="47" fillId="3" borderId="9" xfId="0" applyNumberFormat="1" applyFont="1" applyFill="1" applyBorder="1" applyAlignment="1">
      <alignment horizontal="center" vertical="center"/>
    </xf>
    <xf numFmtId="166" fontId="47" fillId="2" borderId="66" xfId="0" applyNumberFormat="1" applyFont="1" applyFill="1" applyBorder="1" applyAlignment="1">
      <alignment horizontal="center" vertical="center"/>
    </xf>
    <xf numFmtId="166" fontId="32" fillId="2" borderId="49" xfId="0" applyNumberFormat="1" applyFont="1" applyFill="1" applyBorder="1" applyAlignment="1">
      <alignment horizontal="center" vertical="center"/>
    </xf>
    <xf numFmtId="166" fontId="32" fillId="2" borderId="57" xfId="0" applyNumberFormat="1" applyFont="1" applyFill="1" applyBorder="1" applyAlignment="1">
      <alignment horizontal="center" vertical="center"/>
    </xf>
    <xf numFmtId="166" fontId="32" fillId="2" borderId="80" xfId="0" applyNumberFormat="1" applyFont="1" applyFill="1" applyBorder="1" applyAlignment="1">
      <alignment horizontal="center" vertical="center"/>
    </xf>
    <xf numFmtId="166" fontId="32" fillId="2" borderId="44" xfId="0" applyNumberFormat="1" applyFont="1" applyFill="1" applyBorder="1" applyAlignment="1">
      <alignment horizontal="center" vertical="center"/>
    </xf>
    <xf numFmtId="0" fontId="17" fillId="0" borderId="24"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7" xfId="0" applyFont="1" applyBorder="1" applyAlignment="1">
      <alignment horizontal="center" vertical="center" wrapText="1"/>
    </xf>
    <xf numFmtId="0" fontId="17" fillId="0" borderId="1" xfId="0" applyFont="1" applyBorder="1" applyAlignment="1">
      <alignment horizontal="center" vertical="center" wrapText="1"/>
    </xf>
    <xf numFmtId="166" fontId="32" fillId="3" borderId="2" xfId="0" applyNumberFormat="1" applyFont="1" applyFill="1" applyBorder="1" applyAlignment="1">
      <alignment horizontal="center" vertical="center" wrapText="1"/>
    </xf>
    <xf numFmtId="166" fontId="32" fillId="3" borderId="11" xfId="0" applyNumberFormat="1" applyFont="1" applyFill="1" applyBorder="1" applyAlignment="1">
      <alignment horizontal="center" vertical="center" wrapText="1"/>
    </xf>
    <xf numFmtId="166" fontId="32" fillId="3" borderId="72" xfId="0" applyNumberFormat="1" applyFont="1" applyFill="1" applyBorder="1" applyAlignment="1">
      <alignment horizontal="center" vertical="center" wrapText="1"/>
    </xf>
    <xf numFmtId="166" fontId="32" fillId="2" borderId="65" xfId="0" applyNumberFormat="1" applyFont="1" applyFill="1" applyBorder="1" applyAlignment="1">
      <alignment horizontal="center" vertical="center" wrapText="1"/>
    </xf>
    <xf numFmtId="166" fontId="32" fillId="2" borderId="3" xfId="0" applyNumberFormat="1" applyFont="1" applyFill="1" applyBorder="1" applyAlignment="1">
      <alignment horizontal="center" vertical="center" wrapText="1"/>
    </xf>
    <xf numFmtId="166" fontId="32" fillId="2" borderId="81" xfId="0" applyNumberFormat="1" applyFont="1" applyFill="1" applyBorder="1" applyAlignment="1">
      <alignment horizontal="center" vertical="center"/>
    </xf>
    <xf numFmtId="0" fontId="41" fillId="0" borderId="4" xfId="0" applyFont="1" applyBorder="1" applyAlignment="1">
      <alignment horizontal="left" vertical="center" wrapText="1"/>
    </xf>
    <xf numFmtId="0" fontId="41" fillId="0" borderId="0" xfId="0" applyFont="1" applyBorder="1" applyAlignment="1">
      <alignment horizontal="left" vertical="center" wrapText="1"/>
    </xf>
    <xf numFmtId="0" fontId="41" fillId="0" borderId="26" xfId="0" applyFont="1" applyBorder="1" applyAlignment="1">
      <alignment horizontal="left" vertical="center" wrapText="1"/>
    </xf>
    <xf numFmtId="0" fontId="41" fillId="0" borderId="6" xfId="0" applyFont="1" applyBorder="1" applyAlignment="1">
      <alignment horizontal="left" vertical="center" wrapText="1"/>
    </xf>
    <xf numFmtId="0" fontId="41" fillId="0" borderId="1" xfId="0" applyFont="1" applyBorder="1" applyAlignment="1">
      <alignment horizontal="left" vertical="center" wrapText="1"/>
    </xf>
    <xf numFmtId="0" fontId="41" fillId="0" borderId="28" xfId="0" applyFont="1" applyBorder="1" applyAlignment="1">
      <alignment horizontal="left" vertical="center" wrapText="1"/>
    </xf>
    <xf numFmtId="0" fontId="6" fillId="0" borderId="0" xfId="0" applyFont="1" applyBorder="1" applyAlignment="1">
      <alignment horizontal="left" vertical="center" wrapText="1"/>
    </xf>
    <xf numFmtId="0" fontId="6" fillId="0" borderId="26" xfId="0" applyFont="1" applyBorder="1" applyAlignment="1">
      <alignment horizontal="left" vertical="center" wrapText="1"/>
    </xf>
    <xf numFmtId="0" fontId="6" fillId="0" borderId="1" xfId="0" applyFont="1" applyBorder="1" applyAlignment="1">
      <alignment horizontal="left" vertical="center" wrapText="1"/>
    </xf>
    <xf numFmtId="0" fontId="6" fillId="0" borderId="28" xfId="0" applyFont="1" applyBorder="1" applyAlignment="1">
      <alignment horizontal="left" vertical="center" wrapText="1"/>
    </xf>
    <xf numFmtId="0" fontId="6" fillId="0" borderId="4" xfId="0" applyFont="1" applyBorder="1" applyAlignment="1">
      <alignment horizontal="left" vertical="center" wrapText="1"/>
    </xf>
    <xf numFmtId="0" fontId="95" fillId="0" borderId="29" xfId="0" applyFont="1" applyBorder="1" applyAlignment="1">
      <alignment horizontal="center" vertical="center" textRotation="90"/>
    </xf>
    <xf numFmtId="0" fontId="95" fillId="0" borderId="9" xfId="0" applyFont="1" applyBorder="1" applyAlignment="1">
      <alignment horizontal="center" vertical="center" textRotation="90"/>
    </xf>
    <xf numFmtId="0" fontId="95" fillId="0" borderId="24" xfId="0" applyFont="1" applyBorder="1" applyAlignment="1">
      <alignment horizontal="center" vertical="center" textRotation="90"/>
    </xf>
    <xf numFmtId="0" fontId="95" fillId="0" borderId="0" xfId="0" applyFont="1" applyBorder="1" applyAlignment="1">
      <alignment horizontal="center" vertical="center" textRotation="90"/>
    </xf>
    <xf numFmtId="0" fontId="95" fillId="0" borderId="27" xfId="0" applyFont="1" applyBorder="1" applyAlignment="1">
      <alignment horizontal="center" vertical="center" textRotation="90"/>
    </xf>
    <xf numFmtId="0" fontId="95" fillId="0" borderId="1" xfId="0" applyFont="1" applyBorder="1" applyAlignment="1">
      <alignment horizontal="center" vertical="center" textRotation="90"/>
    </xf>
    <xf numFmtId="166" fontId="32" fillId="2" borderId="2" xfId="0" applyNumberFormat="1" applyFont="1" applyFill="1" applyBorder="1" applyAlignment="1">
      <alignment horizontal="center" vertical="center" wrapText="1"/>
    </xf>
    <xf numFmtId="166" fontId="32" fillId="2" borderId="18" xfId="0" applyNumberFormat="1" applyFont="1" applyFill="1" applyBorder="1" applyAlignment="1">
      <alignment horizontal="center" vertical="center" wrapText="1"/>
    </xf>
    <xf numFmtId="166" fontId="32" fillId="2" borderId="11"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xf>
    <xf numFmtId="166" fontId="19" fillId="2" borderId="8" xfId="0" applyNumberFormat="1" applyFont="1" applyFill="1" applyBorder="1" applyAlignment="1">
      <alignment horizontal="center" vertical="center"/>
    </xf>
    <xf numFmtId="166" fontId="19" fillId="2" borderId="10" xfId="0" applyNumberFormat="1" applyFont="1" applyFill="1" applyBorder="1" applyAlignment="1">
      <alignment horizontal="center" vertical="center"/>
    </xf>
    <xf numFmtId="166" fontId="19" fillId="2" borderId="9" xfId="0" applyNumberFormat="1" applyFont="1" applyFill="1" applyBorder="1" applyAlignment="1">
      <alignment horizontal="center" vertical="center"/>
    </xf>
    <xf numFmtId="166" fontId="19" fillId="13" borderId="8" xfId="0" applyNumberFormat="1" applyFont="1" applyFill="1" applyBorder="1" applyAlignment="1">
      <alignment horizontal="center" vertical="center"/>
    </xf>
    <xf numFmtId="166" fontId="19" fillId="13" borderId="9" xfId="0" applyNumberFormat="1" applyFont="1" applyFill="1" applyBorder="1" applyAlignment="1">
      <alignment horizontal="center" vertical="center"/>
    </xf>
    <xf numFmtId="0" fontId="60" fillId="13" borderId="18" xfId="0" applyFont="1" applyFill="1" applyBorder="1" applyAlignment="1">
      <alignment horizontal="center" vertical="center" wrapText="1"/>
    </xf>
    <xf numFmtId="166" fontId="32" fillId="13" borderId="2" xfId="0" applyNumberFormat="1" applyFont="1" applyFill="1" applyBorder="1" applyAlignment="1">
      <alignment horizontal="center" vertical="center" wrapText="1"/>
    </xf>
    <xf numFmtId="166" fontId="32" fillId="13" borderId="11" xfId="0" applyNumberFormat="1" applyFont="1" applyFill="1" applyBorder="1" applyAlignment="1">
      <alignment horizontal="center" vertical="center" wrapText="1"/>
    </xf>
    <xf numFmtId="0" fontId="95" fillId="0" borderId="29" xfId="0" applyFont="1" applyBorder="1" applyAlignment="1">
      <alignment horizontal="center" vertical="center" textRotation="90" wrapText="1"/>
    </xf>
    <xf numFmtId="0" fontId="95" fillId="0" borderId="9" xfId="0" applyFont="1" applyBorder="1" applyAlignment="1">
      <alignment horizontal="center" vertical="center" textRotation="90" wrapText="1"/>
    </xf>
    <xf numFmtId="0" fontId="95" fillId="0" borderId="24" xfId="0" applyFont="1" applyBorder="1" applyAlignment="1">
      <alignment horizontal="center" vertical="center" textRotation="90" wrapText="1"/>
    </xf>
    <xf numFmtId="0" fontId="95" fillId="0" borderId="0" xfId="0" applyFont="1" applyBorder="1" applyAlignment="1">
      <alignment horizontal="center" vertical="center" textRotation="90" wrapText="1"/>
    </xf>
    <xf numFmtId="0" fontId="95" fillId="0" borderId="27" xfId="0" applyFont="1" applyBorder="1" applyAlignment="1">
      <alignment horizontal="center" vertical="center" textRotation="90" wrapText="1"/>
    </xf>
    <xf numFmtId="0" fontId="95" fillId="0" borderId="1" xfId="0" applyFont="1" applyBorder="1" applyAlignment="1">
      <alignment horizontal="center" vertical="center" textRotation="90" wrapText="1"/>
    </xf>
    <xf numFmtId="3" fontId="113" fillId="0" borderId="1" xfId="0" applyNumberFormat="1" applyFont="1" applyFill="1" applyBorder="1" applyAlignment="1">
      <alignment horizontal="center" vertical="center"/>
    </xf>
    <xf numFmtId="0" fontId="19" fillId="0" borderId="8"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10" xfId="0" applyFont="1" applyFill="1" applyBorder="1" applyAlignment="1">
      <alignment horizontal="center" vertical="center"/>
    </xf>
    <xf numFmtId="0" fontId="8" fillId="0" borderId="25" xfId="0" applyFont="1" applyFill="1" applyBorder="1" applyAlignment="1">
      <alignment horizontal="left" vertical="top" wrapText="1"/>
    </xf>
    <xf numFmtId="0" fontId="8" fillId="0" borderId="26" xfId="0" applyFont="1" applyFill="1" applyBorder="1" applyAlignment="1">
      <alignment horizontal="left" vertical="top" wrapText="1"/>
    </xf>
    <xf numFmtId="0" fontId="60" fillId="4" borderId="3" xfId="0" applyFont="1" applyFill="1" applyBorder="1" applyAlignment="1">
      <alignment horizontal="center" vertical="center" wrapText="1"/>
    </xf>
    <xf numFmtId="0" fontId="60" fillId="4" borderId="18" xfId="0" applyFont="1" applyFill="1" applyBorder="1" applyAlignment="1">
      <alignment horizontal="center" vertical="center" wrapText="1"/>
    </xf>
    <xf numFmtId="172" fontId="19" fillId="4" borderId="8" xfId="0" applyNumberFormat="1" applyFont="1" applyFill="1" applyBorder="1" applyAlignment="1">
      <alignment horizontal="center" vertical="center"/>
    </xf>
    <xf numFmtId="172" fontId="19" fillId="4" borderId="10" xfId="0" applyNumberFormat="1" applyFont="1" applyFill="1" applyBorder="1" applyAlignment="1">
      <alignment horizontal="center" vertical="center"/>
    </xf>
    <xf numFmtId="172" fontId="19" fillId="4" borderId="9" xfId="0" applyNumberFormat="1" applyFont="1" applyFill="1" applyBorder="1" applyAlignment="1">
      <alignment horizontal="center" vertical="center"/>
    </xf>
    <xf numFmtId="172" fontId="19" fillId="4" borderId="18" xfId="0" applyNumberFormat="1" applyFont="1" applyFill="1" applyBorder="1" applyAlignment="1">
      <alignment horizontal="center" vertical="center"/>
    </xf>
    <xf numFmtId="172" fontId="19" fillId="4" borderId="2" xfId="0" applyNumberFormat="1" applyFont="1" applyFill="1" applyBorder="1" applyAlignment="1">
      <alignment horizontal="center" vertical="center"/>
    </xf>
    <xf numFmtId="166" fontId="19" fillId="5" borderId="85" xfId="0" applyNumberFormat="1" applyFont="1" applyFill="1" applyBorder="1" applyAlignment="1">
      <alignment horizontal="center" vertical="center"/>
    </xf>
    <xf numFmtId="166" fontId="19" fillId="5" borderId="86" xfId="0" applyNumberFormat="1" applyFont="1" applyFill="1" applyBorder="1" applyAlignment="1">
      <alignment horizontal="center" vertical="center"/>
    </xf>
    <xf numFmtId="166" fontId="19" fillId="4" borderId="3" xfId="0" applyNumberFormat="1" applyFont="1" applyFill="1" applyBorder="1" applyAlignment="1">
      <alignment horizontal="center" vertical="center"/>
    </xf>
    <xf numFmtId="166" fontId="19" fillId="4" borderId="18" xfId="0" applyNumberFormat="1" applyFont="1" applyFill="1" applyBorder="1" applyAlignment="1">
      <alignment horizontal="center" vertical="center"/>
    </xf>
    <xf numFmtId="0" fontId="60" fillId="4" borderId="2" xfId="0" applyFont="1" applyFill="1" applyBorder="1" applyAlignment="1">
      <alignment horizontal="center" vertical="center" wrapText="1"/>
    </xf>
    <xf numFmtId="0" fontId="60" fillId="5" borderId="87" xfId="0" applyFont="1" applyFill="1" applyBorder="1" applyAlignment="1">
      <alignment horizontal="center" vertical="center" wrapText="1"/>
    </xf>
    <xf numFmtId="0" fontId="60" fillId="5" borderId="88"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00682F"/>
      <color rgb="FFFFFFCC"/>
      <color rgb="FF00329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1.gif"/><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emf"/></Relationships>
</file>

<file path=xl/drawings/_rels/drawing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49</xdr:col>
      <xdr:colOff>628650</xdr:colOff>
      <xdr:row>1</xdr:row>
      <xdr:rowOff>9525</xdr:rowOff>
    </xdr:from>
    <xdr:to>
      <xdr:col>51</xdr:col>
      <xdr:colOff>142874</xdr:colOff>
      <xdr:row>3</xdr:row>
      <xdr:rowOff>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30965775" y="314325"/>
          <a:ext cx="1200149" cy="6000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19</xdr:col>
      <xdr:colOff>1457325</xdr:colOff>
      <xdr:row>0</xdr:row>
      <xdr:rowOff>66675</xdr:rowOff>
    </xdr:from>
    <xdr:to>
      <xdr:col>19</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 cy="638175"/>
        </a:xfrm>
        <a:prstGeom prst="rect">
          <a:avLst/>
        </a:prstGeom>
      </xdr:spPr>
    </xdr:pic>
    <xdr:clientData/>
  </xdr:twoCellAnchor>
  <xdr:twoCellAnchor editAs="oneCell">
    <xdr:from>
      <xdr:col>17</xdr:col>
      <xdr:colOff>38100</xdr:colOff>
      <xdr:row>0</xdr:row>
      <xdr:rowOff>285750</xdr:rowOff>
    </xdr:from>
    <xdr:to>
      <xdr:col>19</xdr:col>
      <xdr:colOff>600074</xdr:colOff>
      <xdr:row>3</xdr:row>
      <xdr:rowOff>0</xdr:rowOff>
    </xdr:to>
    <xdr:pic>
      <xdr:nvPicPr>
        <xdr:cNvPr id="3" name="Picture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2115800" y="285750"/>
          <a:ext cx="1590674" cy="628650"/>
        </a:xfrm>
        <a:prstGeom prst="rect">
          <a:avLst/>
        </a:prstGeom>
      </xdr:spPr>
    </xdr:pic>
    <xdr:clientData/>
  </xdr:twoCellAnchor>
  <xdr:twoCellAnchor editAs="oneCell">
    <xdr:from>
      <xdr:col>13</xdr:col>
      <xdr:colOff>171450</xdr:colOff>
      <xdr:row>11</xdr:row>
      <xdr:rowOff>247650</xdr:rowOff>
    </xdr:from>
    <xdr:to>
      <xdr:col>18</xdr:col>
      <xdr:colOff>409575</xdr:colOff>
      <xdr:row>25</xdr:row>
      <xdr:rowOff>50209</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58375" y="3590925"/>
          <a:ext cx="3276600" cy="4603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638175</xdr:colOff>
      <xdr:row>0</xdr:row>
      <xdr:rowOff>342900</xdr:rowOff>
    </xdr:from>
    <xdr:to>
      <xdr:col>17</xdr:col>
      <xdr:colOff>104774</xdr:colOff>
      <xdr:row>3</xdr:row>
      <xdr:rowOff>9525</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12420600" y="342900"/>
          <a:ext cx="1162049" cy="581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1400176</xdr:colOff>
      <xdr:row>0</xdr:row>
      <xdr:rowOff>276225</xdr:rowOff>
    </xdr:from>
    <xdr:to>
      <xdr:col>16</xdr:col>
      <xdr:colOff>342901</xdr:colOff>
      <xdr:row>3</xdr:row>
      <xdr:rowOff>9525</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12115801" y="276225"/>
          <a:ext cx="990600"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1400175</xdr:colOff>
      <xdr:row>0</xdr:row>
      <xdr:rowOff>276225</xdr:rowOff>
    </xdr:from>
    <xdr:to>
      <xdr:col>16</xdr:col>
      <xdr:colOff>361949</xdr:colOff>
      <xdr:row>3</xdr:row>
      <xdr:rowOff>9525</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12115800" y="276225"/>
          <a:ext cx="1009649" cy="49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428625</xdr:colOff>
      <xdr:row>0</xdr:row>
      <xdr:rowOff>285750</xdr:rowOff>
    </xdr:from>
    <xdr:to>
      <xdr:col>19</xdr:col>
      <xdr:colOff>657224</xdr:colOff>
      <xdr:row>3</xdr:row>
      <xdr:rowOff>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12506325" y="285750"/>
          <a:ext cx="1257299" cy="628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1457325</xdr:colOff>
      <xdr:row>0</xdr:row>
      <xdr:rowOff>66675</xdr:rowOff>
    </xdr:from>
    <xdr:to>
      <xdr:col>19</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676401" cy="638175"/>
        </a:xfrm>
        <a:prstGeom prst="rect">
          <a:avLst/>
        </a:prstGeom>
      </xdr:spPr>
    </xdr:pic>
    <xdr:clientData/>
  </xdr:twoCellAnchor>
  <xdr:twoCellAnchor editAs="oneCell">
    <xdr:from>
      <xdr:col>17</xdr:col>
      <xdr:colOff>428625</xdr:colOff>
      <xdr:row>0</xdr:row>
      <xdr:rowOff>285750</xdr:rowOff>
    </xdr:from>
    <xdr:to>
      <xdr:col>19</xdr:col>
      <xdr:colOff>638174</xdr:colOff>
      <xdr:row>2</xdr:row>
      <xdr:rowOff>295275</xdr:rowOff>
    </xdr:to>
    <xdr:pic>
      <xdr:nvPicPr>
        <xdr:cNvPr id="4" name="Picture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2506325" y="285750"/>
          <a:ext cx="1238249" cy="619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1457325</xdr:colOff>
      <xdr:row>0</xdr:row>
      <xdr:rowOff>66675</xdr:rowOff>
    </xdr:from>
    <xdr:to>
      <xdr:col>19</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 cy="638175"/>
        </a:xfrm>
        <a:prstGeom prst="rect">
          <a:avLst/>
        </a:prstGeom>
      </xdr:spPr>
    </xdr:pic>
    <xdr:clientData/>
  </xdr:twoCellAnchor>
  <xdr:twoCellAnchor editAs="oneCell">
    <xdr:from>
      <xdr:col>17</xdr:col>
      <xdr:colOff>276225</xdr:colOff>
      <xdr:row>0</xdr:row>
      <xdr:rowOff>285750</xdr:rowOff>
    </xdr:from>
    <xdr:to>
      <xdr:col>19</xdr:col>
      <xdr:colOff>647699</xdr:colOff>
      <xdr:row>3</xdr:row>
      <xdr:rowOff>0</xdr:rowOff>
    </xdr:to>
    <xdr:pic>
      <xdr:nvPicPr>
        <xdr:cNvPr id="3" name="Picture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2353925" y="285750"/>
          <a:ext cx="1400174" cy="628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19</xdr:col>
      <xdr:colOff>1457325</xdr:colOff>
      <xdr:row>0</xdr:row>
      <xdr:rowOff>66675</xdr:rowOff>
    </xdr:from>
    <xdr:to>
      <xdr:col>19</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 cy="638175"/>
        </a:xfrm>
        <a:prstGeom prst="rect">
          <a:avLst/>
        </a:prstGeom>
      </xdr:spPr>
    </xdr:pic>
    <xdr:clientData/>
  </xdr:twoCellAnchor>
  <xdr:twoCellAnchor editAs="oneCell">
    <xdr:from>
      <xdr:col>17</xdr:col>
      <xdr:colOff>228600</xdr:colOff>
      <xdr:row>0</xdr:row>
      <xdr:rowOff>285750</xdr:rowOff>
    </xdr:from>
    <xdr:to>
      <xdr:col>19</xdr:col>
      <xdr:colOff>600074</xdr:colOff>
      <xdr:row>3</xdr:row>
      <xdr:rowOff>0</xdr:rowOff>
    </xdr:to>
    <xdr:pic>
      <xdr:nvPicPr>
        <xdr:cNvPr id="3" name="Picture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2306300" y="285750"/>
          <a:ext cx="1400174" cy="6286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17</xdr:col>
      <xdr:colOff>1457325</xdr:colOff>
      <xdr:row>0</xdr:row>
      <xdr:rowOff>66675</xdr:rowOff>
    </xdr:from>
    <xdr:to>
      <xdr:col>17</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 cy="638175"/>
        </a:xfrm>
        <a:prstGeom prst="rect">
          <a:avLst/>
        </a:prstGeom>
      </xdr:spPr>
    </xdr:pic>
    <xdr:clientData/>
  </xdr:twoCellAnchor>
  <xdr:twoCellAnchor editAs="oneCell">
    <xdr:from>
      <xdr:col>15</xdr:col>
      <xdr:colOff>171450</xdr:colOff>
      <xdr:row>0</xdr:row>
      <xdr:rowOff>285750</xdr:rowOff>
    </xdr:from>
    <xdr:to>
      <xdr:col>17</xdr:col>
      <xdr:colOff>733424</xdr:colOff>
      <xdr:row>3</xdr:row>
      <xdr:rowOff>0</xdr:rowOff>
    </xdr:to>
    <xdr:pic>
      <xdr:nvPicPr>
        <xdr:cNvPr id="3" name="Picture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0553700" y="285750"/>
          <a:ext cx="1590674" cy="628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0.xml"/><Relationship Id="rId1" Type="http://schemas.openxmlformats.org/officeDocument/2006/relationships/printerSettings" Target="../printerSettings/printerSettings15.bin"/><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BB125"/>
  <sheetViews>
    <sheetView zoomScale="55" zoomScaleNormal="55" workbookViewId="0">
      <pane xSplit="4" ySplit="5" topLeftCell="E6" activePane="bottomRight" state="frozen"/>
      <selection pane="topRight" activeCell="E1" sqref="E1"/>
      <selection pane="bottomLeft" activeCell="A6" sqref="A6"/>
      <selection pane="bottomRight" activeCell="E6" sqref="E6"/>
    </sheetView>
  </sheetViews>
  <sheetFormatPr defaultColWidth="9.109375" defaultRowHeight="13.8" x14ac:dyDescent="0.3"/>
  <cols>
    <col min="1" max="2" width="3.6640625" style="19" customWidth="1"/>
    <col min="3" max="3" width="40.6640625" style="19" customWidth="1"/>
    <col min="4" max="4" width="10.6640625" style="72" customWidth="1"/>
    <col min="5" max="7" width="8.6640625" style="72" customWidth="1"/>
    <col min="8" max="48" width="8.6640625" style="19" customWidth="1"/>
    <col min="49" max="49" width="12.6640625" style="19" customWidth="1"/>
    <col min="50" max="50" width="12.5546875" style="19" customWidth="1"/>
    <col min="51" max="51" width="12.6640625" style="19" customWidth="1"/>
    <col min="52" max="52" width="32.6640625" style="19" customWidth="1"/>
    <col min="53" max="16384" width="9.109375" style="19"/>
  </cols>
  <sheetData>
    <row r="1" spans="1:53" s="125" customFormat="1" ht="24" customHeight="1" x14ac:dyDescent="0.35">
      <c r="A1" s="221" t="s">
        <v>89</v>
      </c>
      <c r="B1" s="222"/>
      <c r="C1" s="137"/>
      <c r="D1" s="28"/>
      <c r="E1" s="29" t="s">
        <v>306</v>
      </c>
      <c r="F1" s="28"/>
      <c r="G1" s="137"/>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7"/>
      <c r="AH1" s="137"/>
      <c r="AI1" s="137"/>
      <c r="AJ1" s="137"/>
      <c r="AK1" s="137"/>
      <c r="AL1" s="137"/>
      <c r="AM1" s="137"/>
      <c r="AN1" s="137"/>
      <c r="AO1" s="137"/>
      <c r="AP1" s="137"/>
      <c r="AQ1" s="137"/>
      <c r="AR1" s="137"/>
      <c r="AS1" s="137"/>
      <c r="AT1" s="137"/>
      <c r="AU1" s="137"/>
      <c r="AV1" s="137"/>
      <c r="AW1" s="137"/>
      <c r="AX1" s="137"/>
      <c r="AY1" s="137"/>
      <c r="AZ1" s="139"/>
    </row>
    <row r="2" spans="1:53" ht="24" customHeight="1" x14ac:dyDescent="0.25">
      <c r="A2" s="34"/>
      <c r="B2" s="12"/>
      <c r="C2" s="601" t="str">
        <f>VLOOKUP(D3,REVISIONS,3,FALSE)</f>
        <v>Fixed Link Calculations Added</v>
      </c>
      <c r="D2" s="600" t="s">
        <v>0</v>
      </c>
      <c r="E2" s="223" t="s">
        <v>631</v>
      </c>
      <c r="F2" s="36"/>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729" t="s">
        <v>447</v>
      </c>
    </row>
    <row r="3" spans="1:53" ht="24" customHeight="1" x14ac:dyDescent="0.25">
      <c r="A3" s="1924" t="s">
        <v>10</v>
      </c>
      <c r="B3" s="1925"/>
      <c r="C3" s="599">
        <f>VLOOKUP(D3,REVISIONS,2,FALSE)</f>
        <v>42499</v>
      </c>
      <c r="D3" s="597">
        <v>17</v>
      </c>
      <c r="E3" s="1921">
        <v>2014</v>
      </c>
      <c r="F3" s="1922"/>
      <c r="G3" s="1909">
        <f>E3+1</f>
        <v>2015</v>
      </c>
      <c r="H3" s="1910"/>
      <c r="I3" s="1909">
        <f t="shared" ref="I3" si="0">G3+1</f>
        <v>2016</v>
      </c>
      <c r="J3" s="1910"/>
      <c r="K3" s="1909">
        <f t="shared" ref="K3" si="1">I3+1</f>
        <v>2017</v>
      </c>
      <c r="L3" s="1910"/>
      <c r="M3" s="1909">
        <f t="shared" ref="M3" si="2">K3+1</f>
        <v>2018</v>
      </c>
      <c r="N3" s="1910"/>
      <c r="O3" s="1909">
        <f t="shared" ref="O3" si="3">M3+1</f>
        <v>2019</v>
      </c>
      <c r="P3" s="1910"/>
      <c r="Q3" s="1909">
        <f t="shared" ref="Q3" si="4">O3+1</f>
        <v>2020</v>
      </c>
      <c r="R3" s="1910"/>
      <c r="S3" s="1909">
        <f t="shared" ref="S3" si="5">Q3+1</f>
        <v>2021</v>
      </c>
      <c r="T3" s="1910"/>
      <c r="U3" s="1909">
        <f t="shared" ref="U3" si="6">S3+1</f>
        <v>2022</v>
      </c>
      <c r="V3" s="1910"/>
      <c r="W3" s="1909">
        <f t="shared" ref="W3" si="7">U3+1</f>
        <v>2023</v>
      </c>
      <c r="X3" s="1910"/>
      <c r="Y3" s="1909">
        <f t="shared" ref="Y3" si="8">W3+1</f>
        <v>2024</v>
      </c>
      <c r="Z3" s="1910"/>
      <c r="AA3" s="1909">
        <f t="shared" ref="AA3" si="9">Y3+1</f>
        <v>2025</v>
      </c>
      <c r="AB3" s="1910"/>
      <c r="AC3" s="1909">
        <f t="shared" ref="AC3" si="10">AA3+1</f>
        <v>2026</v>
      </c>
      <c r="AD3" s="1910"/>
      <c r="AE3" s="1909">
        <f t="shared" ref="AE3" si="11">AC3+1</f>
        <v>2027</v>
      </c>
      <c r="AF3" s="1910"/>
      <c r="AG3" s="1909">
        <f t="shared" ref="AG3" si="12">AE3+1</f>
        <v>2028</v>
      </c>
      <c r="AH3" s="1910"/>
      <c r="AI3" s="1909">
        <f t="shared" ref="AI3" si="13">AG3+1</f>
        <v>2029</v>
      </c>
      <c r="AJ3" s="1910"/>
      <c r="AK3" s="1909">
        <f t="shared" ref="AK3" si="14">AI3+1</f>
        <v>2030</v>
      </c>
      <c r="AL3" s="1910"/>
      <c r="AM3" s="1909">
        <f t="shared" ref="AM3" si="15">AK3+1</f>
        <v>2031</v>
      </c>
      <c r="AN3" s="1910"/>
      <c r="AO3" s="1909">
        <f t="shared" ref="AO3" si="16">AM3+1</f>
        <v>2032</v>
      </c>
      <c r="AP3" s="1910"/>
      <c r="AQ3" s="1909">
        <f t="shared" ref="AQ3" si="17">AO3+1</f>
        <v>2033</v>
      </c>
      <c r="AR3" s="1910"/>
      <c r="AS3" s="1909">
        <f t="shared" ref="AS3" si="18">AQ3+1</f>
        <v>2034</v>
      </c>
      <c r="AT3" s="1923"/>
      <c r="AU3" s="1932">
        <f>AS3+10</f>
        <v>2044</v>
      </c>
      <c r="AV3" s="1910"/>
      <c r="AW3" s="74"/>
      <c r="AX3" s="75"/>
      <c r="AY3" s="75"/>
      <c r="AZ3" s="735" t="s">
        <v>446</v>
      </c>
    </row>
    <row r="4" spans="1:53" ht="24" customHeight="1" x14ac:dyDescent="0.25">
      <c r="A4" s="43"/>
      <c r="B4" s="44"/>
      <c r="C4" s="601"/>
      <c r="D4" s="526"/>
      <c r="E4" s="77" t="s">
        <v>8</v>
      </c>
      <c r="F4" s="50" t="s">
        <v>304</v>
      </c>
      <c r="G4" s="77" t="s">
        <v>8</v>
      </c>
      <c r="H4" s="50" t="s">
        <v>304</v>
      </c>
      <c r="I4" s="77" t="s">
        <v>8</v>
      </c>
      <c r="J4" s="50" t="s">
        <v>304</v>
      </c>
      <c r="K4" s="77" t="s">
        <v>8</v>
      </c>
      <c r="L4" s="50" t="s">
        <v>304</v>
      </c>
      <c r="M4" s="77" t="s">
        <v>8</v>
      </c>
      <c r="N4" s="50" t="s">
        <v>304</v>
      </c>
      <c r="O4" s="77" t="s">
        <v>8</v>
      </c>
      <c r="P4" s="50" t="s">
        <v>304</v>
      </c>
      <c r="Q4" s="77" t="s">
        <v>8</v>
      </c>
      <c r="R4" s="50" t="s">
        <v>304</v>
      </c>
      <c r="S4" s="77" t="s">
        <v>8</v>
      </c>
      <c r="T4" s="50" t="s">
        <v>304</v>
      </c>
      <c r="U4" s="77" t="s">
        <v>8</v>
      </c>
      <c r="V4" s="50" t="s">
        <v>304</v>
      </c>
      <c r="W4" s="77" t="s">
        <v>8</v>
      </c>
      <c r="X4" s="50" t="s">
        <v>304</v>
      </c>
      <c r="Y4" s="77" t="s">
        <v>8</v>
      </c>
      <c r="Z4" s="50" t="s">
        <v>304</v>
      </c>
      <c r="AA4" s="77" t="s">
        <v>8</v>
      </c>
      <c r="AB4" s="50" t="s">
        <v>304</v>
      </c>
      <c r="AC4" s="77" t="s">
        <v>8</v>
      </c>
      <c r="AD4" s="50" t="s">
        <v>304</v>
      </c>
      <c r="AE4" s="77" t="s">
        <v>8</v>
      </c>
      <c r="AF4" s="50" t="s">
        <v>304</v>
      </c>
      <c r="AG4" s="77" t="s">
        <v>8</v>
      </c>
      <c r="AH4" s="50" t="s">
        <v>304</v>
      </c>
      <c r="AI4" s="77" t="s">
        <v>8</v>
      </c>
      <c r="AJ4" s="50" t="s">
        <v>304</v>
      </c>
      <c r="AK4" s="77" t="s">
        <v>8</v>
      </c>
      <c r="AL4" s="50" t="s">
        <v>304</v>
      </c>
      <c r="AM4" s="77" t="s">
        <v>8</v>
      </c>
      <c r="AN4" s="50" t="s">
        <v>304</v>
      </c>
      <c r="AO4" s="77" t="s">
        <v>8</v>
      </c>
      <c r="AP4" s="50" t="s">
        <v>304</v>
      </c>
      <c r="AQ4" s="77" t="s">
        <v>8</v>
      </c>
      <c r="AR4" s="50" t="s">
        <v>304</v>
      </c>
      <c r="AS4" s="77" t="s">
        <v>8</v>
      </c>
      <c r="AT4" s="50" t="s">
        <v>304</v>
      </c>
      <c r="AU4" s="360" t="s">
        <v>8</v>
      </c>
      <c r="AV4" s="51" t="s">
        <v>304</v>
      </c>
      <c r="AW4" s="47" t="s">
        <v>122</v>
      </c>
      <c r="AX4" s="79"/>
      <c r="AY4" s="79"/>
      <c r="AZ4" s="226"/>
      <c r="BA4" s="80"/>
    </row>
    <row r="5" spans="1:53" ht="24" customHeight="1" thickBot="1" x14ac:dyDescent="0.3">
      <c r="A5" s="409" t="s">
        <v>305</v>
      </c>
      <c r="B5" s="251"/>
      <c r="C5" s="252"/>
      <c r="D5" s="484"/>
      <c r="E5" s="253"/>
      <c r="F5" s="350"/>
      <c r="G5" s="254"/>
      <c r="H5" s="351"/>
      <c r="I5" s="201"/>
      <c r="J5" s="208"/>
      <c r="K5" s="201"/>
      <c r="L5" s="208"/>
      <c r="M5" s="201"/>
      <c r="N5" s="208"/>
      <c r="O5" s="201"/>
      <c r="P5" s="208"/>
      <c r="Q5" s="349"/>
      <c r="R5" s="352"/>
      <c r="S5" s="349"/>
      <c r="T5" s="208"/>
      <c r="U5" s="349"/>
      <c r="V5" s="208"/>
      <c r="W5" s="11"/>
      <c r="X5" s="84"/>
      <c r="Y5" s="12"/>
      <c r="Z5" s="84"/>
      <c r="AA5" s="11"/>
      <c r="AB5" s="15"/>
      <c r="AC5" s="11"/>
      <c r="AD5" s="15"/>
      <c r="AE5" s="12"/>
      <c r="AF5" s="12"/>
      <c r="AG5" s="11"/>
      <c r="AH5" s="15"/>
      <c r="AI5" s="12"/>
      <c r="AJ5" s="12"/>
      <c r="AK5" s="12"/>
      <c r="AL5" s="12"/>
      <c r="AM5" s="12"/>
      <c r="AN5" s="12"/>
      <c r="AO5" s="11"/>
      <c r="AP5" s="15"/>
      <c r="AQ5" s="11"/>
      <c r="AR5" s="12"/>
      <c r="AS5" s="12"/>
      <c r="AT5" s="12"/>
      <c r="AU5" s="361"/>
      <c r="AV5" s="12"/>
      <c r="AW5" s="227" t="s">
        <v>262</v>
      </c>
      <c r="AX5" s="12"/>
      <c r="AY5" s="213"/>
      <c r="AZ5" s="214"/>
    </row>
    <row r="6" spans="1:53" ht="24" customHeight="1" thickBot="1" x14ac:dyDescent="0.3">
      <c r="A6" s="34"/>
      <c r="B6" s="12"/>
      <c r="C6" s="12" t="s">
        <v>274</v>
      </c>
      <c r="D6" s="54" t="s">
        <v>4</v>
      </c>
      <c r="E6" s="14">
        <v>4.12</v>
      </c>
      <c r="F6" s="162"/>
      <c r="G6" s="14">
        <v>4.3250000000000002</v>
      </c>
      <c r="H6" s="15"/>
      <c r="I6" s="14">
        <v>4.5140000000000002</v>
      </c>
      <c r="J6" s="15"/>
      <c r="K6" s="14">
        <v>4.7069999999999999</v>
      </c>
      <c r="L6" s="15"/>
      <c r="M6" s="14">
        <v>4.8970000000000002</v>
      </c>
      <c r="N6" s="15"/>
      <c r="O6" s="14">
        <v>5.0860000000000003</v>
      </c>
      <c r="P6" s="15"/>
      <c r="Q6" s="14">
        <v>5.274</v>
      </c>
      <c r="R6" s="15"/>
      <c r="S6" s="14">
        <v>5.4779999999999998</v>
      </c>
      <c r="T6" s="12"/>
      <c r="U6" s="14">
        <v>5.6870000000000003</v>
      </c>
      <c r="V6" s="12"/>
      <c r="W6" s="14">
        <v>5.9009999999999998</v>
      </c>
      <c r="X6" s="15"/>
      <c r="Y6" s="14">
        <v>6.1189999999999998</v>
      </c>
      <c r="Z6" s="15"/>
      <c r="AA6" s="14">
        <v>6.3419999999999996</v>
      </c>
      <c r="AB6" s="15"/>
      <c r="AC6" s="14">
        <v>6.57</v>
      </c>
      <c r="AD6" s="15"/>
      <c r="AE6" s="14">
        <v>6.8019999999999996</v>
      </c>
      <c r="AF6" s="12"/>
      <c r="AG6" s="14">
        <v>7.0380000000000003</v>
      </c>
      <c r="AH6" s="15"/>
      <c r="AI6" s="14">
        <v>7.28</v>
      </c>
      <c r="AJ6" s="12"/>
      <c r="AK6" s="14">
        <v>7.5259999999999998</v>
      </c>
      <c r="AL6" s="15"/>
      <c r="AM6" s="14">
        <v>7.7770000000000001</v>
      </c>
      <c r="AN6" s="15"/>
      <c r="AO6" s="14">
        <v>8.0350000000000001</v>
      </c>
      <c r="AP6" s="15"/>
      <c r="AQ6" s="14">
        <v>8.298</v>
      </c>
      <c r="AR6" s="15"/>
      <c r="AS6" s="14">
        <v>8.5660000000000007</v>
      </c>
      <c r="AT6" s="12"/>
      <c r="AU6" s="14">
        <v>11.497999999999999</v>
      </c>
      <c r="AV6" s="15"/>
      <c r="AW6" s="73" t="s">
        <v>187</v>
      </c>
      <c r="AX6" s="47" t="s">
        <v>189</v>
      </c>
      <c r="AY6" s="17"/>
      <c r="AZ6" s="228"/>
    </row>
    <row r="7" spans="1:53" ht="24" customHeight="1" thickBot="1" x14ac:dyDescent="0.3">
      <c r="A7" s="34"/>
      <c r="B7" s="12"/>
      <c r="C7" s="12" t="s">
        <v>299</v>
      </c>
      <c r="D7" s="54" t="s">
        <v>5</v>
      </c>
      <c r="E7" s="244">
        <f>(E8+E9)*$E25</f>
        <v>1612.5</v>
      </c>
      <c r="F7" s="13"/>
      <c r="G7" s="244">
        <f>(G8+G9)*$E25</f>
        <v>1695</v>
      </c>
      <c r="H7" s="126"/>
      <c r="I7" s="244">
        <f>(I8+I9)*$E25</f>
        <v>1770</v>
      </c>
      <c r="J7" s="126"/>
      <c r="K7" s="244">
        <f>(K8+K9)*$E25</f>
        <v>1845</v>
      </c>
      <c r="L7" s="126"/>
      <c r="M7" s="244">
        <f>(M8+M9)*$E25</f>
        <v>1912.5</v>
      </c>
      <c r="N7" s="126"/>
      <c r="O7" s="244">
        <f>(O8+O9)*$E25</f>
        <v>1995</v>
      </c>
      <c r="P7" s="126"/>
      <c r="Q7" s="244">
        <f>(Q8+Q9)*$E25</f>
        <v>2070</v>
      </c>
      <c r="R7" s="126"/>
      <c r="S7" s="244">
        <f>(S8+S9)*$E25</f>
        <v>2145</v>
      </c>
      <c r="T7" s="245"/>
      <c r="U7" s="244">
        <f>(U8+U9)*$E25</f>
        <v>2227.5</v>
      </c>
      <c r="V7" s="245"/>
      <c r="W7" s="244">
        <f>(W8+W9)*$E25</f>
        <v>2310</v>
      </c>
      <c r="X7" s="246"/>
      <c r="Y7" s="244">
        <f>(Y8+Y9)*$E25</f>
        <v>2400</v>
      </c>
      <c r="Z7" s="246"/>
      <c r="AA7" s="244">
        <f>(AA8+AA9)*$E25</f>
        <v>2482.5</v>
      </c>
      <c r="AB7" s="246"/>
      <c r="AC7" s="244">
        <f>(AC8+AC9)*$E25</f>
        <v>2572.5</v>
      </c>
      <c r="AD7" s="246"/>
      <c r="AE7" s="244">
        <f>(AE8+AE9)*$E25</f>
        <v>2662.5</v>
      </c>
      <c r="AF7" s="245"/>
      <c r="AG7" s="244">
        <f>(AG8+AG9)*$E25</f>
        <v>2752.5</v>
      </c>
      <c r="AH7" s="246"/>
      <c r="AI7" s="244">
        <f>(AI8+AI9)*$E25</f>
        <v>2835</v>
      </c>
      <c r="AJ7" s="245"/>
      <c r="AK7" s="244">
        <f>(AK8+AK9)*$E25</f>
        <v>2925</v>
      </c>
      <c r="AL7" s="246"/>
      <c r="AM7" s="244">
        <f>(AM8+AM9)*$E25</f>
        <v>3015</v>
      </c>
      <c r="AN7" s="246"/>
      <c r="AO7" s="244">
        <f>(AO8+AO9)*$E25</f>
        <v>3112.5</v>
      </c>
      <c r="AP7" s="245"/>
      <c r="AQ7" s="244">
        <f>(AQ8+AQ9)*$E25</f>
        <v>3210</v>
      </c>
      <c r="AR7" s="20"/>
      <c r="AS7" s="244">
        <f>(AS8+AS9)*$E25</f>
        <v>3300</v>
      </c>
      <c r="AT7" s="142"/>
      <c r="AU7" s="362">
        <f>(AU8+AU9)*$E25</f>
        <v>4335</v>
      </c>
      <c r="AV7" s="20"/>
      <c r="AW7" s="82" t="s">
        <v>187</v>
      </c>
      <c r="AX7" s="47" t="s">
        <v>188</v>
      </c>
      <c r="AY7" s="12"/>
      <c r="AZ7" s="38"/>
    </row>
    <row r="8" spans="1:53" ht="24" customHeight="1" x14ac:dyDescent="0.3">
      <c r="A8" s="34"/>
      <c r="B8" s="12"/>
      <c r="C8" s="12" t="s">
        <v>90</v>
      </c>
      <c r="D8" s="54" t="s">
        <v>5</v>
      </c>
      <c r="E8" s="127">
        <v>1020</v>
      </c>
      <c r="F8" s="13"/>
      <c r="G8" s="127">
        <v>1070</v>
      </c>
      <c r="H8" s="128"/>
      <c r="I8" s="127">
        <v>1120</v>
      </c>
      <c r="J8" s="243"/>
      <c r="K8" s="127">
        <v>1170</v>
      </c>
      <c r="L8" s="243"/>
      <c r="M8" s="127">
        <v>1210</v>
      </c>
      <c r="N8" s="243"/>
      <c r="O8" s="127">
        <v>1260</v>
      </c>
      <c r="P8" s="243"/>
      <c r="Q8" s="127">
        <v>1310</v>
      </c>
      <c r="R8" s="243"/>
      <c r="S8" s="127">
        <v>1360</v>
      </c>
      <c r="T8" s="129"/>
      <c r="U8" s="127">
        <v>1410</v>
      </c>
      <c r="V8" s="243"/>
      <c r="W8" s="127">
        <v>1460</v>
      </c>
      <c r="X8" s="243"/>
      <c r="Y8" s="127">
        <v>1520</v>
      </c>
      <c r="Z8" s="243"/>
      <c r="AA8" s="127">
        <v>1570</v>
      </c>
      <c r="AB8" s="243"/>
      <c r="AC8" s="127">
        <v>1630</v>
      </c>
      <c r="AD8" s="243">
        <f>(AC8-$S8)/($AG8-$S8)</f>
        <v>0.71052631578947367</v>
      </c>
      <c r="AE8" s="127">
        <v>1680</v>
      </c>
      <c r="AF8" s="243">
        <f>(AE8-$S8)/($AG8-$S8)</f>
        <v>0.84210526315789469</v>
      </c>
      <c r="AG8" s="127">
        <v>1740</v>
      </c>
      <c r="AH8" s="128"/>
      <c r="AI8" s="127">
        <v>1790</v>
      </c>
      <c r="AJ8" s="243"/>
      <c r="AK8" s="127">
        <v>1850</v>
      </c>
      <c r="AL8" s="243"/>
      <c r="AM8" s="127">
        <v>1910</v>
      </c>
      <c r="AN8" s="243"/>
      <c r="AO8" s="127">
        <v>1970</v>
      </c>
      <c r="AP8" s="129"/>
      <c r="AQ8" s="127">
        <v>2030</v>
      </c>
      <c r="AR8" s="243"/>
      <c r="AS8" s="127">
        <v>2090</v>
      </c>
      <c r="AT8" s="348"/>
      <c r="AU8" s="127">
        <v>2740</v>
      </c>
      <c r="AV8" s="15"/>
      <c r="AW8" s="1915" t="s">
        <v>208</v>
      </c>
      <c r="AX8" s="1916"/>
      <c r="AY8" s="1916"/>
      <c r="AZ8" s="1917"/>
    </row>
    <row r="9" spans="1:53" ht="24" customHeight="1" thickBot="1" x14ac:dyDescent="0.35">
      <c r="A9" s="67"/>
      <c r="B9" s="22"/>
      <c r="C9" s="22" t="s">
        <v>91</v>
      </c>
      <c r="D9" s="59" t="s">
        <v>5</v>
      </c>
      <c r="E9" s="130">
        <v>1130</v>
      </c>
      <c r="F9" s="256"/>
      <c r="G9" s="130">
        <v>1190</v>
      </c>
      <c r="H9" s="131"/>
      <c r="I9" s="130">
        <v>1240</v>
      </c>
      <c r="J9" s="131"/>
      <c r="K9" s="130">
        <v>1290</v>
      </c>
      <c r="L9" s="131"/>
      <c r="M9" s="130">
        <v>1340</v>
      </c>
      <c r="N9" s="131"/>
      <c r="O9" s="130">
        <v>1400</v>
      </c>
      <c r="P9" s="131"/>
      <c r="Q9" s="130">
        <v>1450</v>
      </c>
      <c r="R9" s="131"/>
      <c r="S9" s="130">
        <v>1500</v>
      </c>
      <c r="T9" s="132"/>
      <c r="U9" s="130">
        <v>1560</v>
      </c>
      <c r="V9" s="131"/>
      <c r="W9" s="130">
        <v>1620</v>
      </c>
      <c r="X9" s="131"/>
      <c r="Y9" s="130">
        <v>1680</v>
      </c>
      <c r="Z9" s="131"/>
      <c r="AA9" s="130">
        <v>1740</v>
      </c>
      <c r="AB9" s="131"/>
      <c r="AC9" s="130">
        <v>1800</v>
      </c>
      <c r="AD9" s="131"/>
      <c r="AE9" s="130">
        <v>1870</v>
      </c>
      <c r="AF9" s="322"/>
      <c r="AG9" s="130">
        <v>1930</v>
      </c>
      <c r="AH9" s="131"/>
      <c r="AI9" s="130">
        <v>1990</v>
      </c>
      <c r="AJ9" s="322"/>
      <c r="AK9" s="130">
        <v>2050</v>
      </c>
      <c r="AL9" s="131"/>
      <c r="AM9" s="130">
        <v>2110</v>
      </c>
      <c r="AN9" s="131"/>
      <c r="AO9" s="130">
        <v>2180</v>
      </c>
      <c r="AP9" s="132"/>
      <c r="AQ9" s="130">
        <v>2250</v>
      </c>
      <c r="AR9" s="23"/>
      <c r="AS9" s="130">
        <v>2310</v>
      </c>
      <c r="AT9" s="131"/>
      <c r="AU9" s="130">
        <v>3040</v>
      </c>
      <c r="AV9" s="23"/>
      <c r="AW9" s="1918"/>
      <c r="AX9" s="1919"/>
      <c r="AY9" s="1919"/>
      <c r="AZ9" s="1920"/>
    </row>
    <row r="10" spans="1:53" ht="24" customHeight="1" x14ac:dyDescent="0.25">
      <c r="A10" s="34"/>
      <c r="B10" s="12"/>
      <c r="C10" s="12" t="s">
        <v>276</v>
      </c>
      <c r="D10" s="54" t="s">
        <v>167</v>
      </c>
      <c r="E10" s="255">
        <v>0</v>
      </c>
      <c r="F10" s="13"/>
      <c r="G10" s="353">
        <v>1</v>
      </c>
      <c r="H10" s="129"/>
      <c r="I10" s="255">
        <v>1</v>
      </c>
      <c r="J10" s="248"/>
      <c r="K10" s="255">
        <v>1</v>
      </c>
      <c r="L10" s="248"/>
      <c r="M10" s="255">
        <v>1</v>
      </c>
      <c r="N10" s="248"/>
      <c r="O10" s="255">
        <v>1</v>
      </c>
      <c r="P10" s="248"/>
      <c r="Q10" s="255">
        <v>1</v>
      </c>
      <c r="R10" s="129"/>
      <c r="S10" s="249">
        <v>1</v>
      </c>
      <c r="T10" s="129"/>
      <c r="U10" s="255">
        <v>1</v>
      </c>
      <c r="V10" s="129"/>
      <c r="W10" s="255">
        <v>1</v>
      </c>
      <c r="X10" s="129"/>
      <c r="Y10" s="353">
        <v>2</v>
      </c>
      <c r="Z10" s="129"/>
      <c r="AA10" s="255">
        <v>2</v>
      </c>
      <c r="AB10" s="129"/>
      <c r="AC10" s="255">
        <v>2</v>
      </c>
      <c r="AD10" s="129"/>
      <c r="AE10" s="255">
        <v>2</v>
      </c>
      <c r="AF10" s="129"/>
      <c r="AG10" s="353">
        <v>3</v>
      </c>
      <c r="AH10" s="129"/>
      <c r="AI10" s="255">
        <v>3</v>
      </c>
      <c r="AJ10" s="129"/>
      <c r="AK10" s="255">
        <v>3</v>
      </c>
      <c r="AL10" s="129"/>
      <c r="AM10" s="255">
        <v>3</v>
      </c>
      <c r="AN10" s="129"/>
      <c r="AO10" s="249">
        <v>3</v>
      </c>
      <c r="AP10" s="129"/>
      <c r="AQ10" s="255">
        <v>3</v>
      </c>
      <c r="AR10" s="12"/>
      <c r="AS10" s="249">
        <v>3</v>
      </c>
      <c r="AT10" s="12"/>
      <c r="AU10" s="363">
        <v>5</v>
      </c>
      <c r="AV10" s="84"/>
      <c r="AW10" s="89" t="s">
        <v>318</v>
      </c>
      <c r="AX10" s="229"/>
      <c r="AY10" s="229"/>
      <c r="AZ10" s="230"/>
    </row>
    <row r="11" spans="1:53" ht="24" customHeight="1" x14ac:dyDescent="0.25">
      <c r="A11" s="34"/>
      <c r="B11" s="12"/>
      <c r="C11" s="12" t="s">
        <v>277</v>
      </c>
      <c r="D11" s="54" t="s">
        <v>167</v>
      </c>
      <c r="E11" s="249">
        <v>5</v>
      </c>
      <c r="F11" s="13"/>
      <c r="G11" s="354">
        <v>4</v>
      </c>
      <c r="H11" s="129"/>
      <c r="I11" s="354">
        <v>5</v>
      </c>
      <c r="J11" s="248"/>
      <c r="K11" s="249">
        <v>5</v>
      </c>
      <c r="L11" s="248"/>
      <c r="M11" s="249">
        <v>5</v>
      </c>
      <c r="N11" s="248"/>
      <c r="O11" s="249">
        <v>5</v>
      </c>
      <c r="P11" s="248"/>
      <c r="Q11" s="354">
        <v>6</v>
      </c>
      <c r="R11" s="129"/>
      <c r="S11" s="249">
        <v>6</v>
      </c>
      <c r="T11" s="129"/>
      <c r="U11" s="249">
        <v>6</v>
      </c>
      <c r="V11" s="129"/>
      <c r="W11" s="249">
        <v>6</v>
      </c>
      <c r="X11" s="129"/>
      <c r="Y11" s="249">
        <v>6</v>
      </c>
      <c r="Z11" s="129"/>
      <c r="AA11" s="249">
        <v>6</v>
      </c>
      <c r="AB11" s="129"/>
      <c r="AC11" s="249">
        <v>6</v>
      </c>
      <c r="AD11" s="129"/>
      <c r="AE11" s="249">
        <v>6</v>
      </c>
      <c r="AF11" s="129"/>
      <c r="AG11" s="249">
        <v>6</v>
      </c>
      <c r="AH11" s="129"/>
      <c r="AI11" s="249">
        <v>6</v>
      </c>
      <c r="AJ11" s="129"/>
      <c r="AK11" s="249">
        <v>6</v>
      </c>
      <c r="AL11" s="129"/>
      <c r="AM11" s="249">
        <v>6</v>
      </c>
      <c r="AN11" s="129"/>
      <c r="AO11" s="354">
        <v>7</v>
      </c>
      <c r="AP11" s="129"/>
      <c r="AQ11" s="249">
        <v>7</v>
      </c>
      <c r="AR11" s="12"/>
      <c r="AS11" s="249">
        <v>7</v>
      </c>
      <c r="AT11" s="12"/>
      <c r="AU11" s="364">
        <v>7</v>
      </c>
      <c r="AV11" s="15"/>
      <c r="AW11" s="89" t="s">
        <v>319</v>
      </c>
      <c r="AX11" s="229"/>
      <c r="AY11" s="229"/>
      <c r="AZ11" s="230"/>
    </row>
    <row r="12" spans="1:53" ht="24" customHeight="1" x14ac:dyDescent="0.25">
      <c r="A12" s="67"/>
      <c r="B12" s="22"/>
      <c r="C12" s="22" t="s">
        <v>278</v>
      </c>
      <c r="D12" s="59" t="s">
        <v>167</v>
      </c>
      <c r="E12" s="250">
        <v>1</v>
      </c>
      <c r="F12" s="220"/>
      <c r="G12" s="250">
        <v>1</v>
      </c>
      <c r="H12" s="132"/>
      <c r="I12" s="250">
        <v>1</v>
      </c>
      <c r="J12" s="132"/>
      <c r="K12" s="250">
        <v>1</v>
      </c>
      <c r="L12" s="132"/>
      <c r="M12" s="250">
        <v>1</v>
      </c>
      <c r="N12" s="132"/>
      <c r="O12" s="250">
        <v>1</v>
      </c>
      <c r="P12" s="132"/>
      <c r="Q12" s="250">
        <v>1</v>
      </c>
      <c r="R12" s="132"/>
      <c r="S12" s="250">
        <v>1</v>
      </c>
      <c r="T12" s="132"/>
      <c r="U12" s="250">
        <v>1</v>
      </c>
      <c r="V12" s="132"/>
      <c r="W12" s="250">
        <v>1</v>
      </c>
      <c r="X12" s="132"/>
      <c r="Y12" s="250">
        <v>1</v>
      </c>
      <c r="Z12" s="132"/>
      <c r="AA12" s="250">
        <v>1</v>
      </c>
      <c r="AB12" s="132"/>
      <c r="AC12" s="250">
        <v>1</v>
      </c>
      <c r="AD12" s="132"/>
      <c r="AE12" s="250">
        <v>1</v>
      </c>
      <c r="AF12" s="131"/>
      <c r="AG12" s="250">
        <v>1</v>
      </c>
      <c r="AH12" s="129"/>
      <c r="AI12" s="250">
        <v>1</v>
      </c>
      <c r="AJ12" s="129"/>
      <c r="AK12" s="250">
        <v>1</v>
      </c>
      <c r="AL12" s="129"/>
      <c r="AM12" s="250">
        <v>1</v>
      </c>
      <c r="AN12" s="129"/>
      <c r="AO12" s="525">
        <v>1</v>
      </c>
      <c r="AP12" s="129"/>
      <c r="AQ12" s="250">
        <v>1</v>
      </c>
      <c r="AR12" s="22"/>
      <c r="AS12" s="250">
        <v>1</v>
      </c>
      <c r="AT12" s="22"/>
      <c r="AU12" s="365">
        <v>2</v>
      </c>
      <c r="AV12" s="23"/>
      <c r="AW12" s="430" t="s">
        <v>320</v>
      </c>
      <c r="AX12" s="522"/>
      <c r="AY12" s="522"/>
      <c r="AZ12" s="523"/>
    </row>
    <row r="13" spans="1:53" ht="24" customHeight="1" x14ac:dyDescent="0.3">
      <c r="A13" s="1926" t="s">
        <v>353</v>
      </c>
      <c r="B13" s="1927"/>
      <c r="C13" s="12" t="s">
        <v>343</v>
      </c>
      <c r="D13" s="54" t="s">
        <v>307</v>
      </c>
      <c r="E13" s="249"/>
      <c r="F13" s="528">
        <v>823</v>
      </c>
      <c r="G13" s="521"/>
      <c r="H13" s="528">
        <v>823</v>
      </c>
      <c r="I13" s="521"/>
      <c r="J13" s="528">
        <v>823</v>
      </c>
      <c r="K13" s="521"/>
      <c r="L13" s="528">
        <v>823</v>
      </c>
      <c r="M13" s="521"/>
      <c r="N13" s="528">
        <v>1520</v>
      </c>
      <c r="O13" s="521"/>
      <c r="P13" s="528">
        <v>1580</v>
      </c>
      <c r="Q13" s="521"/>
      <c r="R13" s="528">
        <v>1640</v>
      </c>
      <c r="S13" s="521"/>
      <c r="T13" s="528">
        <v>1710</v>
      </c>
      <c r="U13" s="521"/>
      <c r="V13" s="528">
        <v>1770</v>
      </c>
      <c r="W13" s="521"/>
      <c r="X13" s="528">
        <v>1840</v>
      </c>
      <c r="Y13" s="521"/>
      <c r="Z13" s="528">
        <v>1900</v>
      </c>
      <c r="AA13" s="521"/>
      <c r="AB13" s="528">
        <v>1970</v>
      </c>
      <c r="AC13" s="521"/>
      <c r="AD13" s="528">
        <v>2040</v>
      </c>
      <c r="AE13" s="521"/>
      <c r="AF13" s="528">
        <v>2100</v>
      </c>
      <c r="AG13" s="521"/>
      <c r="AH13" s="528">
        <v>2170</v>
      </c>
      <c r="AI13" s="521"/>
      <c r="AJ13" s="528">
        <v>2240</v>
      </c>
      <c r="AK13" s="521"/>
      <c r="AL13" s="528">
        <v>2300</v>
      </c>
      <c r="AM13" s="521"/>
      <c r="AN13" s="528">
        <v>2370</v>
      </c>
      <c r="AO13" s="521"/>
      <c r="AP13" s="528">
        <v>2440</v>
      </c>
      <c r="AQ13" s="521"/>
      <c r="AR13" s="528">
        <v>2510</v>
      </c>
      <c r="AS13" s="521"/>
      <c r="AT13" s="529">
        <v>2580</v>
      </c>
      <c r="AU13" s="539"/>
      <c r="AV13" s="528">
        <v>3290</v>
      </c>
      <c r="AW13" s="89" t="s">
        <v>352</v>
      </c>
      <c r="AX13" s="229"/>
      <c r="AY13" s="229"/>
      <c r="AZ13" s="230"/>
    </row>
    <row r="14" spans="1:53" ht="24" customHeight="1" x14ac:dyDescent="0.3">
      <c r="A14" s="1928"/>
      <c r="B14" s="1929"/>
      <c r="C14" s="12" t="s">
        <v>344</v>
      </c>
      <c r="D14" s="54" t="s">
        <v>307</v>
      </c>
      <c r="E14" s="249"/>
      <c r="F14" s="530">
        <v>348</v>
      </c>
      <c r="G14" s="521"/>
      <c r="H14" s="530">
        <v>348</v>
      </c>
      <c r="I14" s="521"/>
      <c r="J14" s="530">
        <v>348</v>
      </c>
      <c r="K14" s="521"/>
      <c r="L14" s="530">
        <v>348</v>
      </c>
      <c r="M14" s="521"/>
      <c r="N14" s="530">
        <v>2010</v>
      </c>
      <c r="O14" s="521"/>
      <c r="P14" s="530">
        <v>2090</v>
      </c>
      <c r="Q14" s="521"/>
      <c r="R14" s="530">
        <v>2170</v>
      </c>
      <c r="S14" s="521"/>
      <c r="T14" s="530">
        <v>2270</v>
      </c>
      <c r="U14" s="521"/>
      <c r="V14" s="530">
        <v>2350</v>
      </c>
      <c r="W14" s="521"/>
      <c r="X14" s="530">
        <v>2450</v>
      </c>
      <c r="Y14" s="521"/>
      <c r="Z14" s="530">
        <v>2530</v>
      </c>
      <c r="AA14" s="521"/>
      <c r="AB14" s="530">
        <v>2630</v>
      </c>
      <c r="AC14" s="521"/>
      <c r="AD14" s="530">
        <v>2730</v>
      </c>
      <c r="AE14" s="521"/>
      <c r="AF14" s="530">
        <v>2810</v>
      </c>
      <c r="AG14" s="521"/>
      <c r="AH14" s="530">
        <v>2910</v>
      </c>
      <c r="AI14" s="521"/>
      <c r="AJ14" s="530">
        <v>3010</v>
      </c>
      <c r="AK14" s="521"/>
      <c r="AL14" s="530">
        <v>3090</v>
      </c>
      <c r="AM14" s="521"/>
      <c r="AN14" s="530">
        <v>3190</v>
      </c>
      <c r="AO14" s="521"/>
      <c r="AP14" s="530">
        <v>3290</v>
      </c>
      <c r="AQ14" s="521"/>
      <c r="AR14" s="530">
        <v>3390</v>
      </c>
      <c r="AS14" s="521"/>
      <c r="AT14" s="531">
        <v>3490</v>
      </c>
      <c r="AU14" s="364"/>
      <c r="AV14" s="530">
        <v>4500</v>
      </c>
      <c r="AW14" s="89" t="s">
        <v>351</v>
      </c>
      <c r="AX14" s="229"/>
      <c r="AY14" s="229"/>
      <c r="AZ14" s="230"/>
    </row>
    <row r="15" spans="1:53" ht="24" customHeight="1" x14ac:dyDescent="0.3">
      <c r="A15" s="1928"/>
      <c r="B15" s="1929"/>
      <c r="C15" s="12" t="s">
        <v>345</v>
      </c>
      <c r="D15" s="54" t="s">
        <v>307</v>
      </c>
      <c r="E15" s="249"/>
      <c r="F15" s="530">
        <v>270</v>
      </c>
      <c r="G15" s="521"/>
      <c r="H15" s="530">
        <v>270</v>
      </c>
      <c r="I15" s="521"/>
      <c r="J15" s="530">
        <v>270</v>
      </c>
      <c r="K15" s="521"/>
      <c r="L15" s="530">
        <v>270</v>
      </c>
      <c r="M15" s="521"/>
      <c r="N15" s="530">
        <v>1410</v>
      </c>
      <c r="O15" s="521"/>
      <c r="P15" s="530">
        <v>1470</v>
      </c>
      <c r="Q15" s="521"/>
      <c r="R15" s="530">
        <v>1530</v>
      </c>
      <c r="S15" s="521"/>
      <c r="T15" s="530">
        <v>1600</v>
      </c>
      <c r="U15" s="521"/>
      <c r="V15" s="530">
        <v>1660</v>
      </c>
      <c r="W15" s="521"/>
      <c r="X15" s="530">
        <v>1730</v>
      </c>
      <c r="Y15" s="521"/>
      <c r="Z15" s="530">
        <v>1790</v>
      </c>
      <c r="AA15" s="521"/>
      <c r="AB15" s="530">
        <v>1860</v>
      </c>
      <c r="AC15" s="521"/>
      <c r="AD15" s="530">
        <v>1930</v>
      </c>
      <c r="AE15" s="521"/>
      <c r="AF15" s="530">
        <v>1990</v>
      </c>
      <c r="AG15" s="521"/>
      <c r="AH15" s="530">
        <v>2060</v>
      </c>
      <c r="AI15" s="521"/>
      <c r="AJ15" s="530">
        <v>2130</v>
      </c>
      <c r="AK15" s="521"/>
      <c r="AL15" s="530">
        <v>2190</v>
      </c>
      <c r="AM15" s="521"/>
      <c r="AN15" s="530">
        <v>2260</v>
      </c>
      <c r="AO15" s="521"/>
      <c r="AP15" s="530">
        <v>2330</v>
      </c>
      <c r="AQ15" s="521"/>
      <c r="AR15" s="530">
        <v>2400</v>
      </c>
      <c r="AS15" s="521"/>
      <c r="AT15" s="531">
        <v>2470</v>
      </c>
      <c r="AU15" s="364"/>
      <c r="AV15" s="530">
        <v>3180</v>
      </c>
      <c r="AW15" s="89" t="s">
        <v>352</v>
      </c>
      <c r="AX15" s="229"/>
      <c r="AY15" s="229"/>
      <c r="AZ15" s="230"/>
    </row>
    <row r="16" spans="1:53" ht="24" customHeight="1" x14ac:dyDescent="0.3">
      <c r="A16" s="1928"/>
      <c r="B16" s="1929"/>
      <c r="C16" s="12" t="s">
        <v>347</v>
      </c>
      <c r="D16" s="54" t="s">
        <v>340</v>
      </c>
      <c r="E16" s="249"/>
      <c r="F16" s="530"/>
      <c r="G16" s="521"/>
      <c r="H16" s="530"/>
      <c r="I16" s="521"/>
      <c r="J16" s="530"/>
      <c r="K16" s="521"/>
      <c r="L16" s="530"/>
      <c r="M16" s="534">
        <f>ROUNDUP(M8*$AW16,0)</f>
        <v>321</v>
      </c>
      <c r="N16" s="535">
        <f>M16*$AY16</f>
        <v>642</v>
      </c>
      <c r="O16" s="534">
        <f>ROUNDUP(O8*$AW16,0)</f>
        <v>335</v>
      </c>
      <c r="P16" s="535">
        <f>O16*$AY16</f>
        <v>670</v>
      </c>
      <c r="Q16" s="534">
        <f>ROUNDUP(Q8*$AW16,0)</f>
        <v>348</v>
      </c>
      <c r="R16" s="535">
        <f>Q16*$AY16</f>
        <v>696</v>
      </c>
      <c r="S16" s="534">
        <f>ROUNDUP(S8*$AW16,0)</f>
        <v>361</v>
      </c>
      <c r="T16" s="535">
        <f>S16*$AY16</f>
        <v>722</v>
      </c>
      <c r="U16" s="534">
        <f>ROUNDUP(U8*$AW16,0)</f>
        <v>374</v>
      </c>
      <c r="V16" s="535">
        <f>U16*$AY16</f>
        <v>748</v>
      </c>
      <c r="W16" s="534">
        <f>ROUNDUP(W8*$AW16,0)</f>
        <v>388</v>
      </c>
      <c r="X16" s="535">
        <f>W16*$AY16</f>
        <v>776</v>
      </c>
      <c r="Y16" s="534">
        <f>ROUNDUP(Y8*$AW16,0)</f>
        <v>404</v>
      </c>
      <c r="Z16" s="535">
        <f>Y16*$AY16</f>
        <v>808</v>
      </c>
      <c r="AA16" s="534">
        <f>ROUNDUP(AA8*$AW16,0)</f>
        <v>417</v>
      </c>
      <c r="AB16" s="535">
        <f>AA16*$AY16</f>
        <v>834</v>
      </c>
      <c r="AC16" s="534">
        <f>ROUNDUP(AC8*$AW16,0)</f>
        <v>433</v>
      </c>
      <c r="AD16" s="535">
        <f>AC16*$AY16</f>
        <v>866</v>
      </c>
      <c r="AE16" s="534">
        <f>ROUNDUP(AE8*$AW16,0)</f>
        <v>446</v>
      </c>
      <c r="AF16" s="535">
        <f>AE16*$AY16</f>
        <v>892</v>
      </c>
      <c r="AG16" s="534">
        <f>ROUNDUP(AG8*$AW16,0)</f>
        <v>462</v>
      </c>
      <c r="AH16" s="535">
        <f>AG16*$AY16</f>
        <v>924</v>
      </c>
      <c r="AI16" s="534">
        <f>ROUNDUP(AI8*$AW16,0)</f>
        <v>475</v>
      </c>
      <c r="AJ16" s="535">
        <f>AI16*$AY16</f>
        <v>950</v>
      </c>
      <c r="AK16" s="534">
        <f>ROUNDUP(AK8*$AW16,0)</f>
        <v>491</v>
      </c>
      <c r="AL16" s="535">
        <f>AK16*$AY16</f>
        <v>982</v>
      </c>
      <c r="AM16" s="534">
        <f>ROUNDUP(AM8*$AW16,0)</f>
        <v>507</v>
      </c>
      <c r="AN16" s="535">
        <f>AM16*$AY16</f>
        <v>1014</v>
      </c>
      <c r="AO16" s="534">
        <f>ROUNDUP(AO8*$AW16,0)</f>
        <v>523</v>
      </c>
      <c r="AP16" s="535">
        <f>AO16*$AY16</f>
        <v>1046</v>
      </c>
      <c r="AQ16" s="534">
        <f>ROUNDUP(AQ8*$AW16,0)</f>
        <v>539</v>
      </c>
      <c r="AR16" s="535">
        <f>AQ16*$AY16</f>
        <v>1078</v>
      </c>
      <c r="AS16" s="534">
        <f>ROUNDUP(AS8*$AW16,0)</f>
        <v>555</v>
      </c>
      <c r="AT16" s="537">
        <f>AS16*$AY16</f>
        <v>1110</v>
      </c>
      <c r="AU16" s="540">
        <f>ROUNDUP(AU8*$AW16,0)</f>
        <v>727</v>
      </c>
      <c r="AV16" s="535">
        <f>AU16*$AY16</f>
        <v>1454</v>
      </c>
      <c r="AW16" s="533">
        <v>0.26519999999999999</v>
      </c>
      <c r="AX16" s="542" t="s">
        <v>349</v>
      </c>
      <c r="AY16" s="536">
        <v>2</v>
      </c>
      <c r="AZ16" s="428" t="s">
        <v>348</v>
      </c>
    </row>
    <row r="17" spans="1:52" ht="24" customHeight="1" thickBot="1" x14ac:dyDescent="0.35">
      <c r="A17" s="1930"/>
      <c r="B17" s="1931"/>
      <c r="C17" s="22" t="s">
        <v>346</v>
      </c>
      <c r="D17" s="64" t="s">
        <v>307</v>
      </c>
      <c r="E17" s="250"/>
      <c r="F17" s="532">
        <v>1115</v>
      </c>
      <c r="G17" s="524"/>
      <c r="H17" s="532">
        <v>1115</v>
      </c>
      <c r="I17" s="524"/>
      <c r="J17" s="532">
        <v>1115</v>
      </c>
      <c r="K17" s="524"/>
      <c r="L17" s="532">
        <v>1200</v>
      </c>
      <c r="M17" s="524"/>
      <c r="N17" s="532">
        <v>1200</v>
      </c>
      <c r="O17" s="524"/>
      <c r="P17" s="532">
        <v>1200</v>
      </c>
      <c r="Q17" s="524"/>
      <c r="R17" s="532">
        <v>1200</v>
      </c>
      <c r="S17" s="524"/>
      <c r="T17" s="532">
        <v>1200</v>
      </c>
      <c r="U17" s="524"/>
      <c r="V17" s="532">
        <v>1200</v>
      </c>
      <c r="W17" s="524"/>
      <c r="X17" s="532">
        <v>1200</v>
      </c>
      <c r="Y17" s="524"/>
      <c r="Z17" s="532">
        <v>1400</v>
      </c>
      <c r="AA17" s="524"/>
      <c r="AB17" s="532">
        <v>1400</v>
      </c>
      <c r="AC17" s="524"/>
      <c r="AD17" s="532">
        <v>1400</v>
      </c>
      <c r="AE17" s="524"/>
      <c r="AF17" s="532">
        <v>1400</v>
      </c>
      <c r="AG17" s="521"/>
      <c r="AH17" s="532">
        <v>1400</v>
      </c>
      <c r="AI17" s="521"/>
      <c r="AJ17" s="532">
        <v>1400</v>
      </c>
      <c r="AK17" s="521"/>
      <c r="AL17" s="532">
        <v>1400</v>
      </c>
      <c r="AM17" s="521"/>
      <c r="AN17" s="532">
        <v>1400</v>
      </c>
      <c r="AO17" s="521"/>
      <c r="AP17" s="532">
        <v>1400</v>
      </c>
      <c r="AQ17" s="250"/>
      <c r="AR17" s="532">
        <v>1400</v>
      </c>
      <c r="AS17" s="524"/>
      <c r="AT17" s="538">
        <v>1400</v>
      </c>
      <c r="AU17" s="541"/>
      <c r="AV17" s="532">
        <v>1600</v>
      </c>
      <c r="AW17" s="237" t="s">
        <v>350</v>
      </c>
      <c r="AX17" s="229"/>
      <c r="AY17" s="229"/>
      <c r="AZ17" s="230"/>
    </row>
    <row r="18" spans="1:52" ht="24" customHeight="1" x14ac:dyDescent="0.25">
      <c r="A18" s="336" t="s">
        <v>279</v>
      </c>
      <c r="B18" s="65"/>
      <c r="C18" s="12"/>
      <c r="D18" s="54"/>
      <c r="E18" s="81"/>
      <c r="F18" s="13"/>
      <c r="G18"/>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83"/>
      <c r="AH18" s="44"/>
      <c r="AI18" s="44"/>
      <c r="AJ18" s="44"/>
      <c r="AK18" s="44"/>
      <c r="AL18" s="44"/>
      <c r="AM18" s="44"/>
      <c r="AN18" s="44"/>
      <c r="AO18" s="83"/>
      <c r="AP18" s="44"/>
      <c r="AQ18" s="12"/>
      <c r="AR18" s="12"/>
      <c r="AS18" s="12"/>
      <c r="AT18" s="12"/>
      <c r="AU18" s="13"/>
      <c r="AV18" s="1110"/>
      <c r="AW18" s="1705" t="s">
        <v>359</v>
      </c>
      <c r="AX18" s="1706"/>
      <c r="AY18" s="1706"/>
      <c r="AZ18" s="1707"/>
    </row>
    <row r="19" spans="1:52" ht="24" customHeight="1" x14ac:dyDescent="0.25">
      <c r="A19" s="231"/>
      <c r="B19" s="65"/>
      <c r="C19" s="12" t="s">
        <v>18</v>
      </c>
      <c r="D19" s="54" t="s">
        <v>19</v>
      </c>
      <c r="E19" s="82">
        <v>0.91</v>
      </c>
      <c r="F19" s="89" t="s">
        <v>32</v>
      </c>
      <c r="G19" s="12"/>
      <c r="H19" s="12"/>
      <c r="I19" s="12"/>
      <c r="J19" s="12"/>
      <c r="K19" s="12"/>
      <c r="L19" s="12"/>
      <c r="M19" s="12"/>
      <c r="N19" s="12"/>
      <c r="O19" s="12"/>
      <c r="P19" s="12"/>
      <c r="Q19" s="12"/>
      <c r="R19" s="247">
        <f>(1/E19)-1</f>
        <v>9.8901098901098772E-2</v>
      </c>
      <c r="AG19" s="12"/>
      <c r="AH19" s="12"/>
      <c r="AI19" s="12"/>
      <c r="AJ19" s="12"/>
      <c r="AK19" s="12"/>
      <c r="AL19" s="12"/>
      <c r="AM19" s="12"/>
      <c r="AN19" s="12"/>
      <c r="AO19" s="13"/>
      <c r="AP19" s="12"/>
      <c r="AQ19" s="12"/>
      <c r="AR19" s="12"/>
      <c r="AS19" s="12"/>
      <c r="AT19" s="12"/>
      <c r="AU19" s="13"/>
      <c r="AV19" s="1110"/>
      <c r="AW19" s="1708">
        <v>0</v>
      </c>
      <c r="AX19" s="1704" t="s">
        <v>390</v>
      </c>
      <c r="AY19" s="1913" t="s">
        <v>360</v>
      </c>
      <c r="AZ19" s="1914"/>
    </row>
    <row r="20" spans="1:52" ht="24" customHeight="1" x14ac:dyDescent="0.25">
      <c r="A20" s="231"/>
      <c r="B20" s="65"/>
      <c r="C20" s="12" t="s">
        <v>118</v>
      </c>
      <c r="D20" s="54" t="s">
        <v>19</v>
      </c>
      <c r="E20" s="82">
        <v>0.01</v>
      </c>
      <c r="F20" s="89" t="s">
        <v>119</v>
      </c>
      <c r="G20" s="12"/>
      <c r="H20" s="12"/>
      <c r="I20" s="12"/>
      <c r="J20" s="12"/>
      <c r="K20" s="12"/>
      <c r="L20" s="12"/>
      <c r="M20" s="12"/>
      <c r="N20" s="12"/>
      <c r="O20" s="12"/>
      <c r="P20" s="12"/>
      <c r="Q20" s="12"/>
      <c r="R20" s="12"/>
      <c r="AG20" s="12"/>
      <c r="AH20" s="12"/>
      <c r="AI20" s="12"/>
      <c r="AJ20" s="12"/>
      <c r="AK20" s="12"/>
      <c r="AL20" s="12"/>
      <c r="AM20" s="12"/>
      <c r="AN20" s="12"/>
      <c r="AO20" s="13"/>
      <c r="AP20" s="12"/>
      <c r="AQ20" s="12"/>
      <c r="AR20" s="12"/>
      <c r="AS20" s="12"/>
      <c r="AT20" s="12"/>
      <c r="AU20" s="13"/>
      <c r="AV20" s="1110"/>
      <c r="AW20" s="1708">
        <v>1</v>
      </c>
      <c r="AX20" s="1704" t="s">
        <v>391</v>
      </c>
      <c r="AY20" s="1913" t="s">
        <v>361</v>
      </c>
      <c r="AZ20" s="1914"/>
    </row>
    <row r="21" spans="1:52" ht="24" customHeight="1" x14ac:dyDescent="0.25">
      <c r="A21" s="231"/>
      <c r="B21" s="65"/>
      <c r="C21" s="12" t="s">
        <v>300</v>
      </c>
      <c r="D21" s="54" t="s">
        <v>19</v>
      </c>
      <c r="E21" s="82">
        <v>0.02</v>
      </c>
      <c r="F21" s="89" t="s">
        <v>109</v>
      </c>
      <c r="G21" s="12"/>
      <c r="H21" s="12"/>
      <c r="I21" s="12"/>
      <c r="J21" s="12"/>
      <c r="K21" s="12"/>
      <c r="L21" s="12"/>
      <c r="M21" s="12"/>
      <c r="N21" s="12"/>
      <c r="O21" s="12"/>
      <c r="P21" s="12"/>
      <c r="Q21" s="12"/>
      <c r="R21" s="12"/>
      <c r="AG21" s="12"/>
      <c r="AH21" s="12"/>
      <c r="AI21" s="12"/>
      <c r="AJ21" s="12"/>
      <c r="AK21" s="12"/>
      <c r="AL21" s="12"/>
      <c r="AM21" s="12"/>
      <c r="AN21" s="12"/>
      <c r="AO21" s="13"/>
      <c r="AP21" s="12"/>
      <c r="AQ21" s="12"/>
      <c r="AR21" s="12"/>
      <c r="AS21" s="12"/>
      <c r="AT21" s="12"/>
      <c r="AU21" s="13"/>
      <c r="AV21" s="1110"/>
      <c r="AW21" s="1708">
        <v>2</v>
      </c>
      <c r="AX21" s="1704" t="s">
        <v>448</v>
      </c>
      <c r="AY21" s="1913" t="s">
        <v>449</v>
      </c>
      <c r="AZ21" s="1914"/>
    </row>
    <row r="22" spans="1:52" ht="24" customHeight="1" x14ac:dyDescent="0.25">
      <c r="A22" s="231"/>
      <c r="B22" s="65"/>
      <c r="C22" s="12" t="s">
        <v>301</v>
      </c>
      <c r="D22" s="54" t="s">
        <v>19</v>
      </c>
      <c r="E22" s="82">
        <v>0.02</v>
      </c>
      <c r="F22" s="89" t="s">
        <v>302</v>
      </c>
      <c r="G22" s="12"/>
      <c r="H22" s="12"/>
      <c r="I22" s="12"/>
      <c r="J22" s="12"/>
      <c r="K22" s="12"/>
      <c r="L22" s="12"/>
      <c r="M22" s="12"/>
      <c r="N22" s="12"/>
      <c r="O22" s="12"/>
      <c r="P22" s="12"/>
      <c r="Q22" s="12"/>
      <c r="R22" s="12"/>
      <c r="AG22" s="12"/>
      <c r="AH22" s="12"/>
      <c r="AI22" s="12"/>
      <c r="AJ22" s="12"/>
      <c r="AK22" s="12"/>
      <c r="AL22" s="12"/>
      <c r="AM22" s="12"/>
      <c r="AN22" s="12"/>
      <c r="AO22" s="13"/>
      <c r="AP22" s="12"/>
      <c r="AQ22" s="12"/>
      <c r="AR22" s="12"/>
      <c r="AS22" s="12"/>
      <c r="AT22" s="12"/>
      <c r="AU22" s="13"/>
      <c r="AV22" s="1110"/>
      <c r="AW22" s="1708">
        <v>3</v>
      </c>
      <c r="AX22" s="1704" t="s">
        <v>471</v>
      </c>
      <c r="AY22" s="1913" t="s">
        <v>470</v>
      </c>
      <c r="AZ22" s="1914"/>
    </row>
    <row r="23" spans="1:52" ht="24" customHeight="1" x14ac:dyDescent="0.25">
      <c r="A23" s="231"/>
      <c r="B23" s="65"/>
      <c r="C23" s="12" t="s">
        <v>120</v>
      </c>
      <c r="D23" s="54" t="s">
        <v>19</v>
      </c>
      <c r="E23" s="82">
        <v>1.45</v>
      </c>
      <c r="F23" s="89" t="s">
        <v>295</v>
      </c>
      <c r="G23" s="12"/>
      <c r="H23" s="12"/>
      <c r="I23" s="233"/>
      <c r="J23" s="12"/>
      <c r="K23" s="12"/>
      <c r="L23" s="12"/>
      <c r="M23" s="12"/>
      <c r="N23" s="12"/>
      <c r="O23" s="12"/>
      <c r="P23" s="12"/>
      <c r="Q23" s="12"/>
      <c r="R23" s="12"/>
      <c r="AG23" s="12"/>
      <c r="AH23" s="12"/>
      <c r="AI23" s="12"/>
      <c r="AJ23" s="12"/>
      <c r="AK23" s="12"/>
      <c r="AL23" s="12"/>
      <c r="AM23" s="12"/>
      <c r="AN23" s="12"/>
      <c r="AO23" s="12"/>
      <c r="AP23" s="12"/>
      <c r="AQ23" s="12"/>
      <c r="AR23" s="12"/>
      <c r="AS23" s="12"/>
      <c r="AT23" s="12"/>
      <c r="AU23" s="13"/>
      <c r="AV23" s="1110"/>
      <c r="AW23" s="1708">
        <v>4</v>
      </c>
      <c r="AX23" s="1704" t="s">
        <v>491</v>
      </c>
      <c r="AY23" s="1913" t="s">
        <v>492</v>
      </c>
      <c r="AZ23" s="1914"/>
    </row>
    <row r="24" spans="1:52" ht="24" customHeight="1" x14ac:dyDescent="0.25">
      <c r="A24" s="34"/>
      <c r="B24" s="12"/>
      <c r="C24" s="12" t="s">
        <v>94</v>
      </c>
      <c r="D24" s="54" t="s">
        <v>19</v>
      </c>
      <c r="E24" s="82">
        <v>0.85</v>
      </c>
      <c r="F24" s="89" t="s">
        <v>176</v>
      </c>
      <c r="G24" s="12"/>
      <c r="H24" s="12"/>
      <c r="I24" s="12"/>
      <c r="J24" s="12"/>
      <c r="K24" s="12"/>
      <c r="L24" s="12"/>
      <c r="M24" s="12"/>
      <c r="N24" s="12"/>
      <c r="O24" s="12"/>
      <c r="P24" s="12"/>
      <c r="Q24" s="12"/>
      <c r="R24" s="12"/>
      <c r="AG24" s="12"/>
      <c r="AH24" s="12"/>
      <c r="AI24" s="12"/>
      <c r="AJ24" s="12"/>
      <c r="AK24" s="12"/>
      <c r="AL24" s="12"/>
      <c r="AM24" s="12"/>
      <c r="AN24" s="12"/>
      <c r="AO24" s="12"/>
      <c r="AP24" s="90"/>
      <c r="AQ24" s="90"/>
      <c r="AR24" s="90"/>
      <c r="AS24" s="90"/>
      <c r="AT24" s="90"/>
      <c r="AU24" s="91"/>
      <c r="AV24" s="90"/>
      <c r="AW24" s="1708">
        <v>5</v>
      </c>
      <c r="AX24" s="1704" t="s">
        <v>572</v>
      </c>
      <c r="AY24" s="1913" t="s">
        <v>543</v>
      </c>
      <c r="AZ24" s="1914"/>
    </row>
    <row r="25" spans="1:52" ht="24" customHeight="1" x14ac:dyDescent="0.25">
      <c r="A25" s="34"/>
      <c r="B25" s="12"/>
      <c r="C25" s="12" t="s">
        <v>20</v>
      </c>
      <c r="D25" s="54" t="s">
        <v>19</v>
      </c>
      <c r="E25" s="82">
        <v>0.75</v>
      </c>
      <c r="F25" s="89" t="s">
        <v>275</v>
      </c>
      <c r="G25" s="12"/>
      <c r="H25" s="12"/>
      <c r="I25" s="12"/>
      <c r="J25" s="12"/>
      <c r="K25" s="12"/>
      <c r="L25" s="12"/>
      <c r="M25" s="12"/>
      <c r="N25" s="12"/>
      <c r="O25" s="12"/>
      <c r="P25" s="12"/>
      <c r="Q25" s="12"/>
      <c r="R25" s="12"/>
      <c r="AG25" s="12"/>
      <c r="AH25" s="12"/>
      <c r="AI25" s="12"/>
      <c r="AJ25" s="12"/>
      <c r="AK25" s="12"/>
      <c r="AL25" s="12"/>
      <c r="AM25" s="12"/>
      <c r="AN25" s="12"/>
      <c r="AO25" s="12"/>
      <c r="AP25" s="90"/>
      <c r="AQ25" s="90"/>
      <c r="AR25" s="90"/>
      <c r="AS25" s="90"/>
      <c r="AT25" s="90"/>
      <c r="AU25" s="91"/>
      <c r="AV25" s="90"/>
      <c r="AW25" s="1708">
        <v>6</v>
      </c>
      <c r="AX25" s="1704" t="s">
        <v>579</v>
      </c>
      <c r="AY25" s="1913" t="s">
        <v>580</v>
      </c>
      <c r="AZ25" s="1914"/>
    </row>
    <row r="26" spans="1:52" ht="24" customHeight="1" x14ac:dyDescent="0.25">
      <c r="A26" s="34"/>
      <c r="B26" s="12"/>
      <c r="C26" s="12" t="s">
        <v>110</v>
      </c>
      <c r="D26" s="54" t="s">
        <v>9</v>
      </c>
      <c r="E26" s="92">
        <v>1.82</v>
      </c>
      <c r="F26" s="89" t="s">
        <v>263</v>
      </c>
      <c r="G26" s="12"/>
      <c r="H26" s="12"/>
      <c r="I26" s="12"/>
      <c r="J26" s="12"/>
      <c r="K26" s="12"/>
      <c r="L26" s="12"/>
      <c r="M26" s="12"/>
      <c r="N26" s="12"/>
      <c r="O26" s="12"/>
      <c r="P26" s="12"/>
      <c r="Q26" s="12"/>
      <c r="R26" s="234" t="s">
        <v>264</v>
      </c>
      <c r="AG26" s="12"/>
      <c r="AH26" s="12"/>
      <c r="AI26" s="12"/>
      <c r="AJ26" s="12"/>
      <c r="AK26" s="12"/>
      <c r="AL26" s="12"/>
      <c r="AM26" s="12"/>
      <c r="AN26" s="12"/>
      <c r="AO26" s="12"/>
      <c r="AP26" s="90"/>
      <c r="AQ26" s="90"/>
      <c r="AR26" s="90"/>
      <c r="AS26" s="90"/>
      <c r="AT26" s="90"/>
      <c r="AU26" s="91"/>
      <c r="AV26" s="90"/>
      <c r="AW26" s="1708">
        <v>7</v>
      </c>
      <c r="AX26" s="1704" t="s">
        <v>583</v>
      </c>
      <c r="AY26" s="1913" t="s">
        <v>584</v>
      </c>
      <c r="AZ26" s="1914"/>
    </row>
    <row r="27" spans="1:52" ht="24" customHeight="1" x14ac:dyDescent="0.25">
      <c r="A27" s="34"/>
      <c r="B27" s="12"/>
      <c r="C27" s="12" t="s">
        <v>11</v>
      </c>
      <c r="D27" s="54" t="s">
        <v>9</v>
      </c>
      <c r="E27" s="92">
        <v>0.38</v>
      </c>
      <c r="F27" s="89" t="s">
        <v>177</v>
      </c>
      <c r="G27" s="12"/>
      <c r="H27" s="12"/>
      <c r="I27" s="12"/>
      <c r="J27" s="12"/>
      <c r="K27" s="12"/>
      <c r="L27" s="12"/>
      <c r="M27" s="12"/>
      <c r="N27" s="12"/>
      <c r="O27" s="12"/>
      <c r="P27" s="12"/>
      <c r="Q27" s="12"/>
      <c r="R27" s="234" t="s">
        <v>296</v>
      </c>
      <c r="AG27" s="12"/>
      <c r="AH27" s="12"/>
      <c r="AI27" s="12"/>
      <c r="AJ27" s="12"/>
      <c r="AK27" s="12"/>
      <c r="AL27" s="12"/>
      <c r="AM27" s="12"/>
      <c r="AN27" s="12"/>
      <c r="AO27" s="12"/>
      <c r="AP27" s="90"/>
      <c r="AQ27" s="90"/>
      <c r="AR27" s="90"/>
      <c r="AS27" s="90"/>
      <c r="AT27" s="90"/>
      <c r="AU27" s="91"/>
      <c r="AV27" s="90"/>
      <c r="AW27" s="1708">
        <v>8</v>
      </c>
      <c r="AX27" s="1704" t="s">
        <v>607</v>
      </c>
      <c r="AY27" s="1913" t="s">
        <v>608</v>
      </c>
      <c r="AZ27" s="1914"/>
    </row>
    <row r="28" spans="1:52" ht="24" customHeight="1" x14ac:dyDescent="0.25">
      <c r="A28" s="34"/>
      <c r="B28" s="12"/>
      <c r="C28" s="17" t="s">
        <v>38</v>
      </c>
      <c r="D28" s="54" t="s">
        <v>19</v>
      </c>
      <c r="E28" s="82">
        <v>0.15</v>
      </c>
      <c r="F28" s="89" t="s">
        <v>178</v>
      </c>
      <c r="G28" s="12"/>
      <c r="H28" s="12"/>
      <c r="I28" s="12"/>
      <c r="J28" s="12"/>
      <c r="K28" s="12"/>
      <c r="L28" s="12"/>
      <c r="M28" s="12"/>
      <c r="N28" s="12"/>
      <c r="O28" s="12"/>
      <c r="P28" s="12"/>
      <c r="Q28" s="12"/>
      <c r="R28" s="12"/>
      <c r="AG28" s="12"/>
      <c r="AH28" s="12"/>
      <c r="AI28" s="12"/>
      <c r="AJ28" s="12"/>
      <c r="AK28" s="12"/>
      <c r="AL28" s="12"/>
      <c r="AM28" s="12"/>
      <c r="AN28" s="12"/>
      <c r="AO28" s="12"/>
      <c r="AP28" s="90"/>
      <c r="AQ28" s="90"/>
      <c r="AR28" s="90"/>
      <c r="AS28" s="90"/>
      <c r="AT28" s="90"/>
      <c r="AU28" s="91"/>
      <c r="AV28" s="90"/>
      <c r="AW28" s="1708">
        <v>9</v>
      </c>
      <c r="AX28" s="1704" t="s">
        <v>613</v>
      </c>
      <c r="AY28" s="1913" t="s">
        <v>614</v>
      </c>
      <c r="AZ28" s="1914"/>
    </row>
    <row r="29" spans="1:52" ht="24" customHeight="1" x14ac:dyDescent="0.3">
      <c r="A29" s="34"/>
      <c r="B29" s="12"/>
      <c r="C29" s="17" t="s">
        <v>321</v>
      </c>
      <c r="D29" s="54" t="s">
        <v>322</v>
      </c>
      <c r="E29" s="431">
        <v>85</v>
      </c>
      <c r="F29" s="89" t="s">
        <v>323</v>
      </c>
      <c r="G29" s="12"/>
      <c r="H29" s="12"/>
      <c r="I29" s="12"/>
      <c r="J29" s="12"/>
      <c r="K29" s="12"/>
      <c r="L29" s="12"/>
      <c r="M29" s="12"/>
      <c r="N29" s="12"/>
      <c r="O29" s="12"/>
      <c r="P29" s="12"/>
      <c r="Q29" s="12"/>
      <c r="R29" s="12"/>
      <c r="AG29" s="12"/>
      <c r="AH29" s="12"/>
      <c r="AI29" s="12"/>
      <c r="AJ29" s="12"/>
      <c r="AK29" s="12"/>
      <c r="AL29" s="12"/>
      <c r="AM29" s="12"/>
      <c r="AN29" s="12"/>
      <c r="AO29" s="12"/>
      <c r="AP29" s="90"/>
      <c r="AQ29" s="90"/>
      <c r="AR29" s="90"/>
      <c r="AS29" s="90"/>
      <c r="AT29" s="90"/>
      <c r="AU29" s="91"/>
      <c r="AV29" s="90"/>
      <c r="AW29" s="1708">
        <v>10</v>
      </c>
      <c r="AX29" s="1704">
        <v>42453</v>
      </c>
      <c r="AY29" s="1913" t="s">
        <v>630</v>
      </c>
      <c r="AZ29" s="1914"/>
    </row>
    <row r="30" spans="1:52" ht="24" customHeight="1" x14ac:dyDescent="0.3">
      <c r="A30" s="34"/>
      <c r="B30" s="12"/>
      <c r="C30" s="17" t="s">
        <v>303</v>
      </c>
      <c r="D30" s="54" t="s">
        <v>19</v>
      </c>
      <c r="E30" s="82">
        <v>0.65</v>
      </c>
      <c r="F30" s="89" t="s">
        <v>30</v>
      </c>
      <c r="G30" s="89"/>
      <c r="H30" s="89"/>
      <c r="I30" s="89"/>
      <c r="J30" s="89"/>
      <c r="K30" s="233"/>
      <c r="L30" s="89"/>
      <c r="M30" s="89"/>
      <c r="N30" s="89"/>
      <c r="O30" s="89"/>
      <c r="P30" s="89"/>
      <c r="Q30" s="12"/>
      <c r="R30" s="89"/>
      <c r="AG30" s="12"/>
      <c r="AH30" s="12"/>
      <c r="AI30" s="12"/>
      <c r="AJ30" s="12"/>
      <c r="AK30" s="12"/>
      <c r="AL30" s="12"/>
      <c r="AM30" s="12"/>
      <c r="AN30" s="12"/>
      <c r="AO30" s="12"/>
      <c r="AP30" s="12"/>
      <c r="AQ30" s="12"/>
      <c r="AR30" s="12"/>
      <c r="AS30" s="12"/>
      <c r="AT30" s="12"/>
      <c r="AU30" s="91"/>
      <c r="AV30" s="1110"/>
      <c r="AW30" s="1708">
        <v>11</v>
      </c>
      <c r="AX30" s="1704">
        <v>42465</v>
      </c>
      <c r="AY30" s="1913" t="s">
        <v>697</v>
      </c>
      <c r="AZ30" s="1914"/>
    </row>
    <row r="31" spans="1:52" ht="24" customHeight="1" x14ac:dyDescent="0.3">
      <c r="A31" s="34"/>
      <c r="B31" s="12"/>
      <c r="C31" s="17" t="s">
        <v>92</v>
      </c>
      <c r="D31" s="54" t="s">
        <v>9</v>
      </c>
      <c r="E31" s="92">
        <v>1.4</v>
      </c>
      <c r="F31" s="89" t="s">
        <v>190</v>
      </c>
      <c r="G31" s="12"/>
      <c r="H31" s="12"/>
      <c r="I31" s="12"/>
      <c r="J31" s="12"/>
      <c r="K31" s="12"/>
      <c r="L31" s="12"/>
      <c r="M31" s="12"/>
      <c r="N31" s="151">
        <f>E31*(1-G42)</f>
        <v>1.3299999999999998</v>
      </c>
      <c r="O31" s="47" t="s">
        <v>265</v>
      </c>
      <c r="P31" s="12"/>
      <c r="Q31" s="12"/>
      <c r="R31" s="12"/>
      <c r="AG31" s="12"/>
      <c r="AH31" s="12"/>
      <c r="AI31" s="12"/>
      <c r="AJ31" s="12"/>
      <c r="AK31" s="12"/>
      <c r="AL31" s="12"/>
      <c r="AM31" s="12"/>
      <c r="AN31" s="12"/>
      <c r="AO31" s="12"/>
      <c r="AP31" s="90"/>
      <c r="AQ31" s="90"/>
      <c r="AR31" s="90"/>
      <c r="AS31" s="90"/>
      <c r="AT31" s="90"/>
      <c r="AU31" s="12"/>
      <c r="AV31" s="1110"/>
      <c r="AW31" s="1708">
        <v>12</v>
      </c>
      <c r="AX31" s="1704">
        <v>42467</v>
      </c>
      <c r="AY31" s="1913" t="s">
        <v>698</v>
      </c>
      <c r="AZ31" s="1914"/>
    </row>
    <row r="32" spans="1:52" ht="24" customHeight="1" x14ac:dyDescent="0.3">
      <c r="A32" s="34"/>
      <c r="B32" s="12"/>
      <c r="C32" s="17" t="s">
        <v>34</v>
      </c>
      <c r="D32" s="54" t="s">
        <v>19</v>
      </c>
      <c r="E32" s="82">
        <v>0.06</v>
      </c>
      <c r="F32" s="89" t="s">
        <v>179</v>
      </c>
      <c r="G32" s="12"/>
      <c r="H32" s="12"/>
      <c r="I32" s="12"/>
      <c r="J32" s="12"/>
      <c r="K32" s="12"/>
      <c r="L32" s="12"/>
      <c r="M32" s="12"/>
      <c r="N32" s="235" t="s">
        <v>180</v>
      </c>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90"/>
      <c r="AQ32" s="90"/>
      <c r="AR32" s="90"/>
      <c r="AS32" s="90"/>
      <c r="AT32" s="90"/>
      <c r="AU32" s="12"/>
      <c r="AV32" s="1769"/>
      <c r="AW32" s="1708">
        <v>13</v>
      </c>
      <c r="AX32" s="1704">
        <v>42471</v>
      </c>
      <c r="AY32" s="1913" t="s">
        <v>740</v>
      </c>
      <c r="AZ32" s="1914"/>
    </row>
    <row r="33" spans="1:54" ht="24" customHeight="1" x14ac:dyDescent="0.3">
      <c r="A33" s="34"/>
      <c r="B33" s="1110"/>
      <c r="C33" s="17"/>
      <c r="D33" s="54"/>
      <c r="E33" s="82"/>
      <c r="F33" s="89"/>
      <c r="G33" s="1110"/>
      <c r="H33" s="1110"/>
      <c r="I33" s="1110"/>
      <c r="J33" s="1110"/>
      <c r="K33" s="1110"/>
      <c r="L33" s="1110"/>
      <c r="M33" s="1110"/>
      <c r="N33" s="235"/>
      <c r="Q33" s="1110"/>
      <c r="R33" s="1110"/>
      <c r="S33" s="1110"/>
      <c r="T33" s="1110"/>
      <c r="U33" s="1110"/>
      <c r="V33" s="1110"/>
      <c r="W33" s="1110"/>
      <c r="X33" s="1110"/>
      <c r="Y33" s="1110"/>
      <c r="Z33" s="1110"/>
      <c r="AA33" s="1110"/>
      <c r="AB33" s="1110"/>
      <c r="AC33" s="1110"/>
      <c r="AD33" s="1110"/>
      <c r="AE33" s="1110"/>
      <c r="AF33" s="1110"/>
      <c r="AG33" s="1110"/>
      <c r="AH33" s="1110"/>
      <c r="AI33" s="1110"/>
      <c r="AJ33" s="1110"/>
      <c r="AK33" s="1110"/>
      <c r="AL33" s="1110"/>
      <c r="AM33" s="1110"/>
      <c r="AN33" s="1110"/>
      <c r="AO33" s="1110"/>
      <c r="AP33" s="90"/>
      <c r="AQ33" s="90"/>
      <c r="AR33" s="90"/>
      <c r="AS33" s="90"/>
      <c r="AT33" s="90"/>
      <c r="AU33" s="1110"/>
      <c r="AV33" s="1769"/>
      <c r="AW33" s="1708">
        <v>14</v>
      </c>
      <c r="AX33" s="1704">
        <v>42473</v>
      </c>
      <c r="AY33" s="1913" t="s">
        <v>768</v>
      </c>
      <c r="AZ33" s="1914"/>
    </row>
    <row r="34" spans="1:54" ht="24" customHeight="1" x14ac:dyDescent="0.3">
      <c r="A34" s="34"/>
      <c r="B34" s="1110"/>
      <c r="C34" s="17"/>
      <c r="D34" s="54"/>
      <c r="E34" s="82"/>
      <c r="F34" s="89"/>
      <c r="G34" s="1110"/>
      <c r="H34" s="1110"/>
      <c r="I34" s="1110"/>
      <c r="J34" s="1110"/>
      <c r="K34" s="1110"/>
      <c r="L34" s="1110"/>
      <c r="M34" s="1110"/>
      <c r="N34" s="235"/>
      <c r="Q34" s="1110"/>
      <c r="R34" s="1110"/>
      <c r="S34" s="1110"/>
      <c r="T34" s="1110"/>
      <c r="U34" s="1110"/>
      <c r="V34" s="1110"/>
      <c r="W34" s="1110"/>
      <c r="X34" s="1110"/>
      <c r="Y34" s="1110"/>
      <c r="Z34" s="1110"/>
      <c r="AA34" s="1110"/>
      <c r="AB34" s="1110"/>
      <c r="AC34" s="1110"/>
      <c r="AD34" s="1110"/>
      <c r="AE34" s="1110"/>
      <c r="AF34" s="1110"/>
      <c r="AG34" s="1110"/>
      <c r="AH34" s="1110"/>
      <c r="AI34" s="1110"/>
      <c r="AJ34" s="1110"/>
      <c r="AK34" s="1110"/>
      <c r="AL34" s="1110"/>
      <c r="AM34" s="1110"/>
      <c r="AN34" s="1110"/>
      <c r="AO34" s="1110"/>
      <c r="AP34" s="90"/>
      <c r="AQ34" s="90"/>
      <c r="AR34" s="90"/>
      <c r="AS34" s="90"/>
      <c r="AT34" s="90"/>
      <c r="AU34" s="1110"/>
      <c r="AV34" s="1769"/>
      <c r="AW34" s="1708">
        <v>15</v>
      </c>
      <c r="AX34" s="1704">
        <v>42485</v>
      </c>
      <c r="AY34" s="1913" t="s">
        <v>793</v>
      </c>
      <c r="AZ34" s="1914"/>
    </row>
    <row r="35" spans="1:54" ht="24" customHeight="1" x14ac:dyDescent="0.3">
      <c r="A35" s="34"/>
      <c r="B35" s="1110"/>
      <c r="C35" s="17"/>
      <c r="D35" s="54"/>
      <c r="E35" s="82"/>
      <c r="F35" s="89"/>
      <c r="G35" s="1110"/>
      <c r="H35" s="1110"/>
      <c r="I35" s="1110"/>
      <c r="J35" s="1110"/>
      <c r="K35" s="1110"/>
      <c r="L35" s="1110"/>
      <c r="M35" s="1110"/>
      <c r="N35" s="235"/>
      <c r="Q35" s="1110"/>
      <c r="R35" s="1110"/>
      <c r="S35" s="1110"/>
      <c r="T35" s="1110"/>
      <c r="U35" s="1110"/>
      <c r="V35" s="1110"/>
      <c r="W35" s="1110"/>
      <c r="X35" s="1110"/>
      <c r="Y35" s="1110"/>
      <c r="Z35" s="1110"/>
      <c r="AA35" s="1110"/>
      <c r="AB35" s="1110"/>
      <c r="AC35" s="1110"/>
      <c r="AD35" s="1110"/>
      <c r="AE35" s="1110"/>
      <c r="AF35" s="1110"/>
      <c r="AG35" s="1110"/>
      <c r="AH35" s="1110"/>
      <c r="AI35" s="1110"/>
      <c r="AJ35" s="1110"/>
      <c r="AK35" s="1110"/>
      <c r="AL35" s="1110"/>
      <c r="AM35" s="1110"/>
      <c r="AN35" s="1110"/>
      <c r="AO35" s="1110"/>
      <c r="AP35" s="90"/>
      <c r="AQ35" s="90"/>
      <c r="AR35" s="90"/>
      <c r="AS35" s="90"/>
      <c r="AT35" s="90"/>
      <c r="AU35" s="1110"/>
      <c r="AV35" s="1769"/>
      <c r="AW35" s="1708">
        <v>16</v>
      </c>
      <c r="AX35" s="1704">
        <v>42488</v>
      </c>
      <c r="AY35" s="1913" t="s">
        <v>809</v>
      </c>
      <c r="AZ35" s="1914"/>
    </row>
    <row r="36" spans="1:54" ht="24" customHeight="1" x14ac:dyDescent="0.3">
      <c r="A36" s="34"/>
      <c r="B36" s="1110"/>
      <c r="C36" s="17"/>
      <c r="D36" s="54"/>
      <c r="E36" s="82"/>
      <c r="F36" s="89"/>
      <c r="G36" s="1110"/>
      <c r="H36" s="1110"/>
      <c r="I36" s="1110"/>
      <c r="J36" s="1110"/>
      <c r="K36" s="1110"/>
      <c r="L36" s="1110"/>
      <c r="M36" s="1110"/>
      <c r="N36" s="235"/>
      <c r="Q36" s="1110"/>
      <c r="R36" s="1110"/>
      <c r="S36" s="1110"/>
      <c r="T36" s="1110"/>
      <c r="U36" s="1110"/>
      <c r="V36" s="1110"/>
      <c r="W36" s="1110"/>
      <c r="X36" s="1110"/>
      <c r="Y36" s="1110"/>
      <c r="Z36" s="1110"/>
      <c r="AA36" s="1110"/>
      <c r="AB36" s="1110"/>
      <c r="AC36" s="1110"/>
      <c r="AD36" s="1110"/>
      <c r="AE36" s="1110"/>
      <c r="AF36" s="1110"/>
      <c r="AG36" s="1110"/>
      <c r="AH36" s="1110"/>
      <c r="AI36" s="1110"/>
      <c r="AJ36" s="1110"/>
      <c r="AK36" s="1110"/>
      <c r="AL36" s="1110"/>
      <c r="AM36" s="1110"/>
      <c r="AN36" s="1110"/>
      <c r="AO36" s="1110"/>
      <c r="AP36" s="90"/>
      <c r="AQ36" s="90"/>
      <c r="AR36" s="90"/>
      <c r="AS36" s="90"/>
      <c r="AT36" s="90"/>
      <c r="AU36" s="1110"/>
      <c r="AV36" s="1769"/>
      <c r="AW36" s="1708">
        <v>17</v>
      </c>
      <c r="AX36" s="1704">
        <v>42499</v>
      </c>
      <c r="AY36" s="1913" t="s">
        <v>824</v>
      </c>
      <c r="AZ36" s="1914"/>
    </row>
    <row r="37" spans="1:54" ht="24" customHeight="1" x14ac:dyDescent="0.3">
      <c r="A37" s="34"/>
      <c r="B37" s="1110"/>
      <c r="C37" s="17"/>
      <c r="D37" s="54"/>
      <c r="E37" s="82"/>
      <c r="F37" s="89"/>
      <c r="G37" s="1110"/>
      <c r="H37" s="1110"/>
      <c r="I37" s="1110"/>
      <c r="J37" s="1110"/>
      <c r="K37" s="1110"/>
      <c r="L37" s="1110"/>
      <c r="M37" s="1110"/>
      <c r="N37" s="235"/>
      <c r="Q37" s="1110"/>
      <c r="R37" s="1110"/>
      <c r="S37" s="1110"/>
      <c r="T37" s="1110"/>
      <c r="U37" s="1110"/>
      <c r="V37" s="1110"/>
      <c r="W37" s="1110"/>
      <c r="X37" s="1110"/>
      <c r="Y37" s="1110"/>
      <c r="Z37" s="1110"/>
      <c r="AA37" s="1110"/>
      <c r="AB37" s="1110"/>
      <c r="AC37" s="1110"/>
      <c r="AD37" s="1110"/>
      <c r="AE37" s="1110"/>
      <c r="AF37" s="1110"/>
      <c r="AG37" s="1110"/>
      <c r="AH37" s="1110"/>
      <c r="AI37" s="1110"/>
      <c r="AJ37" s="1110"/>
      <c r="AK37" s="1110"/>
      <c r="AL37" s="1110"/>
      <c r="AM37" s="1110"/>
      <c r="AN37" s="1110"/>
      <c r="AO37" s="1110"/>
      <c r="AP37" s="90"/>
      <c r="AQ37" s="90"/>
      <c r="AR37" s="90"/>
      <c r="AS37" s="90"/>
      <c r="AT37" s="90"/>
      <c r="AU37" s="1110"/>
      <c r="AV37" s="1769"/>
      <c r="AW37" s="1708"/>
      <c r="AX37" s="1704"/>
      <c r="AY37" s="1913"/>
      <c r="AZ37" s="1914"/>
    </row>
    <row r="38" spans="1:54" ht="24" customHeight="1" x14ac:dyDescent="0.3">
      <c r="A38" s="34"/>
      <c r="B38" s="1110"/>
      <c r="C38" s="17"/>
      <c r="D38" s="54"/>
      <c r="E38" s="82"/>
      <c r="F38" s="89"/>
      <c r="G38" s="1110"/>
      <c r="H38" s="1110"/>
      <c r="I38" s="1110"/>
      <c r="J38" s="1110"/>
      <c r="K38" s="1110"/>
      <c r="L38" s="1110"/>
      <c r="M38" s="1110"/>
      <c r="N38" s="235"/>
      <c r="Q38" s="1110"/>
      <c r="R38" s="1110"/>
      <c r="S38" s="1110"/>
      <c r="T38" s="1110"/>
      <c r="U38" s="1110"/>
      <c r="V38" s="1110"/>
      <c r="W38" s="1110"/>
      <c r="X38" s="1110"/>
      <c r="Y38" s="1110"/>
      <c r="Z38" s="1110"/>
      <c r="AA38" s="1110"/>
      <c r="AB38" s="1110"/>
      <c r="AC38" s="1110"/>
      <c r="AD38" s="1110"/>
      <c r="AE38" s="1110"/>
      <c r="AF38" s="1110"/>
      <c r="AG38" s="1110"/>
      <c r="AH38" s="1110"/>
      <c r="AI38" s="1110"/>
      <c r="AJ38" s="1110"/>
      <c r="AK38" s="1110"/>
      <c r="AL38" s="1110"/>
      <c r="AM38" s="1110"/>
      <c r="AN38" s="1110"/>
      <c r="AO38" s="1110"/>
      <c r="AP38" s="90"/>
      <c r="AQ38" s="90"/>
      <c r="AR38" s="90"/>
      <c r="AS38" s="90"/>
      <c r="AT38" s="90"/>
      <c r="AU38" s="1110"/>
      <c r="AV38" s="1769"/>
      <c r="AW38" s="1708"/>
      <c r="AX38" s="1704"/>
      <c r="AY38" s="1913"/>
      <c r="AZ38" s="1914"/>
    </row>
    <row r="39" spans="1:54" ht="24" customHeight="1" x14ac:dyDescent="0.3">
      <c r="A39" s="34"/>
      <c r="B39" s="1110"/>
      <c r="C39" s="17"/>
      <c r="D39" s="54"/>
      <c r="E39" s="82"/>
      <c r="F39" s="89"/>
      <c r="G39" s="1110"/>
      <c r="H39" s="1110"/>
      <c r="I39" s="1110"/>
      <c r="J39" s="1110"/>
      <c r="K39" s="1110"/>
      <c r="L39" s="1110"/>
      <c r="M39" s="1110"/>
      <c r="N39" s="235"/>
      <c r="Q39" s="1110"/>
      <c r="R39" s="1110"/>
      <c r="S39" s="1110"/>
      <c r="T39" s="1110"/>
      <c r="U39" s="1110"/>
      <c r="V39" s="1110"/>
      <c r="W39" s="1110"/>
      <c r="X39" s="1110"/>
      <c r="Y39" s="1110"/>
      <c r="Z39" s="1110"/>
      <c r="AA39" s="1110"/>
      <c r="AB39" s="1110"/>
      <c r="AC39" s="1110"/>
      <c r="AD39" s="1110"/>
      <c r="AE39" s="1110"/>
      <c r="AF39" s="1110"/>
      <c r="AG39" s="1110"/>
      <c r="AH39" s="1110"/>
      <c r="AI39" s="1110"/>
      <c r="AJ39" s="1110"/>
      <c r="AK39" s="1110"/>
      <c r="AL39" s="1110"/>
      <c r="AM39" s="1110"/>
      <c r="AN39" s="1110"/>
      <c r="AO39" s="1110"/>
      <c r="AP39" s="90"/>
      <c r="AQ39" s="90"/>
      <c r="AR39" s="90"/>
      <c r="AS39" s="90"/>
      <c r="AT39" s="90"/>
      <c r="AU39" s="1110"/>
      <c r="AV39" s="1769"/>
      <c r="AW39" s="1708"/>
      <c r="AX39" s="1704"/>
      <c r="AY39" s="1913"/>
      <c r="AZ39" s="1914"/>
    </row>
    <row r="40" spans="1:54" ht="24" customHeight="1" x14ac:dyDescent="0.3">
      <c r="A40" s="34"/>
      <c r="B40" s="1110"/>
      <c r="C40" s="17"/>
      <c r="D40" s="54"/>
      <c r="E40" s="82"/>
      <c r="F40" s="89"/>
      <c r="G40" s="1110"/>
      <c r="H40" s="1110"/>
      <c r="I40" s="1110"/>
      <c r="J40" s="1110"/>
      <c r="K40" s="1110"/>
      <c r="L40" s="1110"/>
      <c r="M40" s="1110"/>
      <c r="N40" s="235"/>
      <c r="Q40" s="1110"/>
      <c r="R40" s="1110"/>
      <c r="S40" s="1110"/>
      <c r="T40" s="1110"/>
      <c r="U40" s="1110"/>
      <c r="V40" s="1110"/>
      <c r="W40" s="1110"/>
      <c r="X40" s="1110"/>
      <c r="Y40" s="1110"/>
      <c r="Z40" s="1110"/>
      <c r="AA40" s="1110"/>
      <c r="AB40" s="1110"/>
      <c r="AC40" s="1110"/>
      <c r="AD40" s="1110"/>
      <c r="AE40" s="1110"/>
      <c r="AF40" s="1110"/>
      <c r="AG40" s="1110"/>
      <c r="AH40" s="1110"/>
      <c r="AI40" s="1110"/>
      <c r="AJ40" s="1110"/>
      <c r="AK40" s="1110"/>
      <c r="AL40" s="1110"/>
      <c r="AM40" s="1110"/>
      <c r="AN40" s="1110"/>
      <c r="AO40" s="1110"/>
      <c r="AP40" s="90"/>
      <c r="AQ40" s="90"/>
      <c r="AR40" s="90"/>
      <c r="AS40" s="90"/>
      <c r="AT40" s="90"/>
      <c r="AU40" s="1110"/>
      <c r="AV40" s="1770"/>
      <c r="AW40" s="1708"/>
      <c r="AX40" s="1704"/>
      <c r="AY40" s="1913"/>
      <c r="AZ40" s="1914"/>
    </row>
    <row r="41" spans="1:54" ht="24" customHeight="1" thickBot="1" x14ac:dyDescent="0.35">
      <c r="A41" s="34"/>
      <c r="B41" s="85" t="s">
        <v>124</v>
      </c>
      <c r="C41" s="12"/>
      <c r="D41" s="527" t="s">
        <v>123</v>
      </c>
      <c r="E41" s="1909">
        <f>E$3</f>
        <v>2014</v>
      </c>
      <c r="F41" s="1910"/>
      <c r="G41" s="1909">
        <f>G$3</f>
        <v>2015</v>
      </c>
      <c r="H41" s="1910"/>
      <c r="I41" s="1909">
        <f>I$3</f>
        <v>2016</v>
      </c>
      <c r="J41" s="1910"/>
      <c r="K41" s="1909">
        <f>K$3</f>
        <v>2017</v>
      </c>
      <c r="L41" s="1910"/>
      <c r="M41" s="1909">
        <f>M$3</f>
        <v>2018</v>
      </c>
      <c r="N41" s="1910"/>
      <c r="O41" s="1909">
        <f>O$3</f>
        <v>2019</v>
      </c>
      <c r="P41" s="1910"/>
      <c r="Q41" s="1909">
        <f>Q$3</f>
        <v>2020</v>
      </c>
      <c r="R41" s="1910"/>
      <c r="S41" s="1909">
        <f>S$3</f>
        <v>2021</v>
      </c>
      <c r="T41" s="1910"/>
      <c r="U41" s="1909">
        <f>U$3</f>
        <v>2022</v>
      </c>
      <c r="V41" s="1910"/>
      <c r="W41" s="1909">
        <f>W$3</f>
        <v>2023</v>
      </c>
      <c r="X41" s="1910"/>
      <c r="Y41" s="1909">
        <f>Y$3</f>
        <v>2024</v>
      </c>
      <c r="Z41" s="1910"/>
      <c r="AA41" s="1909">
        <f>AA$3</f>
        <v>2025</v>
      </c>
      <c r="AB41" s="1910"/>
      <c r="AC41" s="1909">
        <f>AC$3</f>
        <v>2026</v>
      </c>
      <c r="AD41" s="1910"/>
      <c r="AE41" s="1909">
        <f>AE$3</f>
        <v>2027</v>
      </c>
      <c r="AF41" s="1910"/>
      <c r="AG41" s="1909">
        <f>AG$3</f>
        <v>2028</v>
      </c>
      <c r="AH41" s="1910"/>
      <c r="AI41" s="1909">
        <f>AI$3</f>
        <v>2029</v>
      </c>
      <c r="AJ41" s="1910"/>
      <c r="AK41" s="1909">
        <f>AK$3</f>
        <v>2030</v>
      </c>
      <c r="AL41" s="1910"/>
      <c r="AM41" s="1909">
        <f>AM$3</f>
        <v>2031</v>
      </c>
      <c r="AN41" s="1910"/>
      <c r="AO41" s="1909">
        <f>AO$3</f>
        <v>2032</v>
      </c>
      <c r="AP41" s="1910"/>
      <c r="AQ41" s="1909">
        <f>AQ$3</f>
        <v>2033</v>
      </c>
      <c r="AR41" s="1910"/>
      <c r="AS41" s="1909">
        <f>AS$3</f>
        <v>2034</v>
      </c>
      <c r="AT41" s="1910"/>
      <c r="AU41" s="1909">
        <f>AU$3</f>
        <v>2044</v>
      </c>
      <c r="AV41" s="1923"/>
      <c r="AW41" s="1709"/>
      <c r="AX41" s="1710"/>
      <c r="AY41" s="1911"/>
      <c r="AZ41" s="1912"/>
    </row>
    <row r="42" spans="1:54" ht="24" customHeight="1" x14ac:dyDescent="0.3">
      <c r="A42" s="34"/>
      <c r="B42" s="236" t="s">
        <v>266</v>
      </c>
      <c r="C42" s="17" t="s">
        <v>95</v>
      </c>
      <c r="D42" s="54" t="s">
        <v>19</v>
      </c>
      <c r="E42" s="82">
        <v>0.05</v>
      </c>
      <c r="F42" s="13"/>
      <c r="G42" s="82">
        <v>0.05</v>
      </c>
      <c r="H42" s="12"/>
      <c r="I42" s="82">
        <v>0.05</v>
      </c>
      <c r="J42" s="15"/>
      <c r="K42" s="82">
        <v>0.05</v>
      </c>
      <c r="L42" s="12"/>
      <c r="M42" s="82">
        <v>0.05</v>
      </c>
      <c r="N42" s="15"/>
      <c r="O42" s="82">
        <v>0.05</v>
      </c>
      <c r="P42" s="12"/>
      <c r="Q42" s="82">
        <v>0.05</v>
      </c>
      <c r="R42" s="15"/>
      <c r="S42" s="82">
        <v>0.05</v>
      </c>
      <c r="T42" s="12"/>
      <c r="U42" s="82">
        <v>0.05</v>
      </c>
      <c r="V42" s="12"/>
      <c r="W42" s="82">
        <v>0.05</v>
      </c>
      <c r="X42" s="12"/>
      <c r="Y42" s="82">
        <v>0.05</v>
      </c>
      <c r="Z42" s="12"/>
      <c r="AA42" s="82">
        <v>0.05</v>
      </c>
      <c r="AB42" s="12"/>
      <c r="AC42" s="82">
        <v>0.05</v>
      </c>
      <c r="AD42" s="12"/>
      <c r="AE42" s="82">
        <v>0.05</v>
      </c>
      <c r="AF42" s="12"/>
      <c r="AG42" s="82">
        <v>0.05</v>
      </c>
      <c r="AH42" s="12"/>
      <c r="AI42" s="82">
        <v>0.05</v>
      </c>
      <c r="AJ42" s="12"/>
      <c r="AK42" s="82">
        <v>0.05</v>
      </c>
      <c r="AL42" s="12"/>
      <c r="AM42" s="82">
        <v>0.05</v>
      </c>
      <c r="AN42" s="12"/>
      <c r="AO42" s="82">
        <v>0.05</v>
      </c>
      <c r="AP42" s="12"/>
      <c r="AQ42" s="82">
        <v>0.05</v>
      </c>
      <c r="AR42" s="12"/>
      <c r="AS42" s="82">
        <v>0.05</v>
      </c>
      <c r="AT42" s="12"/>
      <c r="AU42" s="82">
        <v>0.05</v>
      </c>
      <c r="AV42" s="12"/>
      <c r="AW42" s="237" t="s">
        <v>30</v>
      </c>
      <c r="AX42" s="90"/>
      <c r="AY42" s="91"/>
      <c r="AZ42" s="232"/>
    </row>
    <row r="43" spans="1:54" ht="24" customHeight="1" x14ac:dyDescent="0.3">
      <c r="A43" s="34"/>
      <c r="B43" s="236" t="s">
        <v>267</v>
      </c>
      <c r="C43" s="17" t="s">
        <v>127</v>
      </c>
      <c r="D43" s="54" t="s">
        <v>19</v>
      </c>
      <c r="E43" s="82">
        <v>0.4</v>
      </c>
      <c r="F43" s="13"/>
      <c r="G43" s="82">
        <v>0.5</v>
      </c>
      <c r="H43" s="89"/>
      <c r="I43" s="82">
        <v>0.6</v>
      </c>
      <c r="J43" s="110"/>
      <c r="K43" s="82">
        <v>0.7</v>
      </c>
      <c r="L43" s="89"/>
      <c r="M43" s="82">
        <v>0.75</v>
      </c>
      <c r="N43" s="110"/>
      <c r="O43" s="82">
        <v>0.75</v>
      </c>
      <c r="P43" s="89"/>
      <c r="Q43" s="82">
        <v>0.8</v>
      </c>
      <c r="R43" s="110"/>
      <c r="S43" s="82">
        <v>0.8</v>
      </c>
      <c r="T43" s="90"/>
      <c r="U43" s="82">
        <v>0.8</v>
      </c>
      <c r="V43" s="90"/>
      <c r="W43" s="82">
        <v>0.8</v>
      </c>
      <c r="X43" s="90"/>
      <c r="Y43" s="82">
        <v>0.85</v>
      </c>
      <c r="Z43" s="90"/>
      <c r="AA43" s="82">
        <v>0.85</v>
      </c>
      <c r="AB43" s="90"/>
      <c r="AC43" s="82">
        <v>0.85</v>
      </c>
      <c r="AD43" s="90"/>
      <c r="AE43" s="82">
        <v>0.85</v>
      </c>
      <c r="AF43" s="90"/>
      <c r="AG43" s="82">
        <v>0.85</v>
      </c>
      <c r="AH43" s="90"/>
      <c r="AI43" s="82">
        <v>0.85</v>
      </c>
      <c r="AJ43" s="90"/>
      <c r="AK43" s="82">
        <v>0.9</v>
      </c>
      <c r="AL43" s="90"/>
      <c r="AM43" s="82">
        <v>0.9</v>
      </c>
      <c r="AN43" s="90"/>
      <c r="AO43" s="82">
        <v>0.9</v>
      </c>
      <c r="AP43" s="90"/>
      <c r="AQ43" s="82">
        <v>0.95</v>
      </c>
      <c r="AR43" s="90"/>
      <c r="AS43" s="82">
        <v>0.95</v>
      </c>
      <c r="AT43" s="90"/>
      <c r="AU43" s="82">
        <v>0.95</v>
      </c>
      <c r="AV43" s="15"/>
      <c r="AW43" s="89" t="s">
        <v>31</v>
      </c>
      <c r="AX43" s="12"/>
      <c r="AY43" s="12"/>
      <c r="AZ43" s="232"/>
    </row>
    <row r="44" spans="1:54" ht="24" customHeight="1" x14ac:dyDescent="0.3">
      <c r="A44" s="34"/>
      <c r="B44" s="236" t="s">
        <v>268</v>
      </c>
      <c r="C44" s="17" t="s">
        <v>112</v>
      </c>
      <c r="D44" s="54" t="s">
        <v>19</v>
      </c>
      <c r="E44" s="82">
        <v>0</v>
      </c>
      <c r="F44" s="13"/>
      <c r="G44" s="82">
        <v>0</v>
      </c>
      <c r="H44" s="89"/>
      <c r="I44" s="82">
        <v>0</v>
      </c>
      <c r="J44" s="110"/>
      <c r="K44" s="82">
        <v>0</v>
      </c>
      <c r="L44" s="89"/>
      <c r="M44" s="82">
        <v>0</v>
      </c>
      <c r="N44" s="110"/>
      <c r="O44" s="82">
        <v>0</v>
      </c>
      <c r="P44" s="89"/>
      <c r="Q44" s="82">
        <v>0</v>
      </c>
      <c r="R44" s="110"/>
      <c r="S44" s="82">
        <v>0</v>
      </c>
      <c r="T44" s="90"/>
      <c r="U44" s="82">
        <v>0</v>
      </c>
      <c r="V44" s="90"/>
      <c r="W44" s="82">
        <v>0</v>
      </c>
      <c r="X44" s="90"/>
      <c r="Y44" s="82">
        <v>0</v>
      </c>
      <c r="Z44" s="90"/>
      <c r="AA44" s="82">
        <v>0</v>
      </c>
      <c r="AB44" s="90"/>
      <c r="AC44" s="82">
        <v>0</v>
      </c>
      <c r="AD44" s="90"/>
      <c r="AE44" s="82">
        <v>0</v>
      </c>
      <c r="AF44" s="90"/>
      <c r="AG44" s="82">
        <v>0</v>
      </c>
      <c r="AH44" s="90"/>
      <c r="AI44" s="82">
        <v>0</v>
      </c>
      <c r="AJ44" s="90"/>
      <c r="AK44" s="82">
        <v>0</v>
      </c>
      <c r="AL44" s="90"/>
      <c r="AM44" s="82">
        <v>0</v>
      </c>
      <c r="AN44" s="90"/>
      <c r="AO44" s="82">
        <v>0</v>
      </c>
      <c r="AP44" s="90"/>
      <c r="AQ44" s="82">
        <v>0</v>
      </c>
      <c r="AR44" s="90"/>
      <c r="AS44" s="82">
        <v>0</v>
      </c>
      <c r="AT44" s="90"/>
      <c r="AU44" s="82">
        <v>0</v>
      </c>
      <c r="AV44" s="15"/>
      <c r="AW44" s="89" t="s">
        <v>175</v>
      </c>
      <c r="AX44" s="12"/>
      <c r="AY44" s="12"/>
      <c r="AZ44" s="232"/>
    </row>
    <row r="45" spans="1:54" ht="24" customHeight="1" x14ac:dyDescent="0.3">
      <c r="A45" s="34"/>
      <c r="B45" s="236"/>
      <c r="C45" s="94" t="s">
        <v>93</v>
      </c>
      <c r="D45" s="54" t="s">
        <v>19</v>
      </c>
      <c r="E45" s="95">
        <f>E43*$G42+E44</f>
        <v>2.0000000000000004E-2</v>
      </c>
      <c r="F45" s="13"/>
      <c r="G45" s="95">
        <f>G43*$G42+G44</f>
        <v>2.5000000000000001E-2</v>
      </c>
      <c r="H45" s="96"/>
      <c r="I45" s="95">
        <f>I43*$G42+I44</f>
        <v>0.03</v>
      </c>
      <c r="J45" s="238"/>
      <c r="K45" s="95">
        <f>K43*$G42+K44</f>
        <v>3.4999999999999996E-2</v>
      </c>
      <c r="L45" s="96"/>
      <c r="M45" s="95">
        <f>M43*$G42+M44</f>
        <v>3.7500000000000006E-2</v>
      </c>
      <c r="N45" s="238"/>
      <c r="O45" s="95">
        <f>O43*$G42+O44</f>
        <v>3.7500000000000006E-2</v>
      </c>
      <c r="P45" s="96"/>
      <c r="Q45" s="95">
        <f>Q43*$G42+Q44</f>
        <v>4.0000000000000008E-2</v>
      </c>
      <c r="R45" s="238"/>
      <c r="S45" s="95">
        <f>S43*$G42+S44</f>
        <v>4.0000000000000008E-2</v>
      </c>
      <c r="T45" s="97"/>
      <c r="U45" s="95">
        <f>U43*$G42+U44</f>
        <v>4.0000000000000008E-2</v>
      </c>
      <c r="V45" s="97"/>
      <c r="W45" s="95">
        <f>W43*$G42+W44</f>
        <v>4.0000000000000008E-2</v>
      </c>
      <c r="X45" s="97"/>
      <c r="Y45" s="95">
        <f>Y43*$G42+Y44</f>
        <v>4.2500000000000003E-2</v>
      </c>
      <c r="Z45" s="97"/>
      <c r="AA45" s="95">
        <f>AA43*$G42+AA44</f>
        <v>4.2500000000000003E-2</v>
      </c>
      <c r="AB45" s="97"/>
      <c r="AC45" s="95">
        <f>AC43*$G42+AC44</f>
        <v>4.2500000000000003E-2</v>
      </c>
      <c r="AD45" s="97"/>
      <c r="AE45" s="95">
        <f>AE43*$G42+AE44</f>
        <v>4.2500000000000003E-2</v>
      </c>
      <c r="AF45" s="97"/>
      <c r="AG45" s="95">
        <f>AG43*$G42+AG44</f>
        <v>4.2500000000000003E-2</v>
      </c>
      <c r="AH45" s="97"/>
      <c r="AI45" s="95">
        <f>AI43*$G42+AI44</f>
        <v>4.2500000000000003E-2</v>
      </c>
      <c r="AJ45" s="97"/>
      <c r="AK45" s="95">
        <f>AK43*$G42+AK44</f>
        <v>4.5000000000000005E-2</v>
      </c>
      <c r="AL45" s="97"/>
      <c r="AM45" s="95">
        <f>AM43*$G42+AM44</f>
        <v>4.5000000000000005E-2</v>
      </c>
      <c r="AN45" s="97"/>
      <c r="AO45" s="95">
        <f>AO43*$G42+AO44</f>
        <v>4.5000000000000005E-2</v>
      </c>
      <c r="AP45" s="97"/>
      <c r="AQ45" s="95">
        <f>AQ43*$G42+AQ44</f>
        <v>4.7500000000000001E-2</v>
      </c>
      <c r="AR45" s="97"/>
      <c r="AS45" s="95">
        <f>AS43*$G42+AS44</f>
        <v>4.7500000000000001E-2</v>
      </c>
      <c r="AT45" s="97"/>
      <c r="AU45" s="95">
        <f>AU43*$G42+AU44</f>
        <v>4.7500000000000001E-2</v>
      </c>
      <c r="AV45" s="15"/>
      <c r="AW45" s="98"/>
      <c r="AX45" s="12"/>
      <c r="AY45" s="12"/>
      <c r="AZ45" s="232"/>
    </row>
    <row r="46" spans="1:54" ht="24" customHeight="1" x14ac:dyDescent="0.3">
      <c r="A46" s="34"/>
      <c r="B46" s="236"/>
      <c r="C46" s="94" t="s">
        <v>96</v>
      </c>
      <c r="D46" s="54" t="s">
        <v>19</v>
      </c>
      <c r="E46" s="95">
        <f>E43-E45</f>
        <v>0.38</v>
      </c>
      <c r="F46" s="13"/>
      <c r="G46" s="95">
        <f>G43-G45</f>
        <v>0.47499999999999998</v>
      </c>
      <c r="H46" s="96"/>
      <c r="I46" s="95">
        <f>I43-I45</f>
        <v>0.56999999999999995</v>
      </c>
      <c r="J46" s="238"/>
      <c r="K46" s="95">
        <f>K43-K45</f>
        <v>0.66499999999999992</v>
      </c>
      <c r="L46" s="96"/>
      <c r="M46" s="95">
        <f>M43-M45</f>
        <v>0.71250000000000002</v>
      </c>
      <c r="N46" s="238"/>
      <c r="O46" s="95">
        <f>O43-O45</f>
        <v>0.71250000000000002</v>
      </c>
      <c r="P46" s="96"/>
      <c r="Q46" s="95">
        <f>Q43-Q45</f>
        <v>0.76</v>
      </c>
      <c r="R46" s="238"/>
      <c r="S46" s="95">
        <f>S43-S45</f>
        <v>0.76</v>
      </c>
      <c r="T46" s="97"/>
      <c r="U46" s="95">
        <f>U43-U45</f>
        <v>0.76</v>
      </c>
      <c r="V46" s="97"/>
      <c r="W46" s="95">
        <f>W43-W45</f>
        <v>0.76</v>
      </c>
      <c r="X46" s="97"/>
      <c r="Y46" s="95">
        <f>Y43-Y45</f>
        <v>0.8075</v>
      </c>
      <c r="Z46" s="97"/>
      <c r="AA46" s="95">
        <f>AA43-AA45</f>
        <v>0.8075</v>
      </c>
      <c r="AB46" s="97"/>
      <c r="AC46" s="95">
        <f>AC43-AC45</f>
        <v>0.8075</v>
      </c>
      <c r="AD46" s="97"/>
      <c r="AE46" s="95">
        <f>AE43-AE45</f>
        <v>0.8075</v>
      </c>
      <c r="AF46" s="97"/>
      <c r="AG46" s="95">
        <f>AG43-AG45</f>
        <v>0.8075</v>
      </c>
      <c r="AH46" s="97"/>
      <c r="AI46" s="95">
        <f>AI43-AI45</f>
        <v>0.8075</v>
      </c>
      <c r="AJ46" s="97"/>
      <c r="AK46" s="95">
        <f>AK43-AK45</f>
        <v>0.85499999999999998</v>
      </c>
      <c r="AL46" s="97"/>
      <c r="AM46" s="95">
        <f>AM43-AM45</f>
        <v>0.85499999999999998</v>
      </c>
      <c r="AN46" s="97"/>
      <c r="AO46" s="95">
        <f>AO43-AO45</f>
        <v>0.85499999999999998</v>
      </c>
      <c r="AP46" s="97"/>
      <c r="AQ46" s="95">
        <f>AQ43-AQ45</f>
        <v>0.90249999999999997</v>
      </c>
      <c r="AR46" s="97"/>
      <c r="AS46" s="95">
        <f>AS43-AS45</f>
        <v>0.90249999999999997</v>
      </c>
      <c r="AT46" s="97"/>
      <c r="AU46" s="95">
        <f>AU43-AU45</f>
        <v>0.90249999999999997</v>
      </c>
      <c r="AV46" s="15"/>
      <c r="AW46" s="98"/>
      <c r="AX46" s="12"/>
      <c r="AY46" s="12"/>
      <c r="AZ46" s="232"/>
    </row>
    <row r="47" spans="1:54" ht="24" customHeight="1" x14ac:dyDescent="0.3">
      <c r="A47" s="34"/>
      <c r="B47" s="236" t="s">
        <v>269</v>
      </c>
      <c r="C47" s="239" t="s">
        <v>270</v>
      </c>
      <c r="D47" s="54" t="s">
        <v>19</v>
      </c>
      <c r="E47" s="82">
        <v>0</v>
      </c>
      <c r="F47" s="13"/>
      <c r="G47" s="82">
        <v>0.05</v>
      </c>
      <c r="H47" s="89"/>
      <c r="I47" s="82">
        <v>0.1</v>
      </c>
      <c r="J47" s="110"/>
      <c r="K47" s="82">
        <v>0.2</v>
      </c>
      <c r="L47" s="89"/>
      <c r="M47" s="82">
        <v>0.3</v>
      </c>
      <c r="N47" s="110"/>
      <c r="O47" s="82">
        <v>0.35</v>
      </c>
      <c r="P47" s="89"/>
      <c r="Q47" s="82">
        <v>0.4</v>
      </c>
      <c r="R47" s="110"/>
      <c r="S47" s="82">
        <v>0.45</v>
      </c>
      <c r="T47" s="90"/>
      <c r="U47" s="82">
        <v>0.45</v>
      </c>
      <c r="V47" s="90"/>
      <c r="W47" s="82">
        <v>0.55000000000000004</v>
      </c>
      <c r="X47" s="90"/>
      <c r="Y47" s="82">
        <v>0.45</v>
      </c>
      <c r="Z47" s="90"/>
      <c r="AA47" s="82">
        <v>0.65</v>
      </c>
      <c r="AB47" s="90"/>
      <c r="AC47" s="82">
        <v>0.7</v>
      </c>
      <c r="AD47" s="90"/>
      <c r="AE47" s="82">
        <v>0.75</v>
      </c>
      <c r="AF47" s="90"/>
      <c r="AG47" s="82">
        <v>0.75</v>
      </c>
      <c r="AH47" s="90"/>
      <c r="AI47" s="82">
        <v>0.8</v>
      </c>
      <c r="AJ47" s="90"/>
      <c r="AK47" s="82">
        <v>0.8</v>
      </c>
      <c r="AL47" s="90"/>
      <c r="AM47" s="82">
        <v>0.8</v>
      </c>
      <c r="AN47" s="90"/>
      <c r="AO47" s="82">
        <v>0.85</v>
      </c>
      <c r="AP47" s="90"/>
      <c r="AQ47" s="82">
        <v>0.9</v>
      </c>
      <c r="AR47" s="90"/>
      <c r="AS47" s="82">
        <v>0.9</v>
      </c>
      <c r="AT47" s="90"/>
      <c r="AU47" s="82">
        <v>0.95</v>
      </c>
      <c r="AV47" s="15"/>
      <c r="AW47" s="89" t="s">
        <v>146</v>
      </c>
      <c r="AX47" s="12"/>
      <c r="AY47" s="12"/>
      <c r="AZ47" s="232"/>
    </row>
    <row r="48" spans="1:54" ht="24" customHeight="1" x14ac:dyDescent="0.3">
      <c r="A48" s="34"/>
      <c r="B48" s="236" t="s">
        <v>271</v>
      </c>
      <c r="C48" s="239" t="s">
        <v>272</v>
      </c>
      <c r="D48" s="54" t="s">
        <v>19</v>
      </c>
      <c r="E48" s="82">
        <v>0.1</v>
      </c>
      <c r="F48" s="13"/>
      <c r="G48" s="82">
        <v>0.1</v>
      </c>
      <c r="H48" s="96"/>
      <c r="I48" s="82">
        <v>0.1</v>
      </c>
      <c r="J48" s="238"/>
      <c r="K48" s="82">
        <v>0.05</v>
      </c>
      <c r="L48" s="96"/>
      <c r="M48" s="82">
        <v>0.05</v>
      </c>
      <c r="N48" s="238"/>
      <c r="O48" s="82">
        <v>0.05</v>
      </c>
      <c r="P48" s="96"/>
      <c r="Q48" s="82">
        <v>0.05</v>
      </c>
      <c r="R48" s="238"/>
      <c r="S48" s="82">
        <v>0.05</v>
      </c>
      <c r="T48" s="90"/>
      <c r="U48" s="82">
        <v>0.05</v>
      </c>
      <c r="V48" s="90"/>
      <c r="W48" s="82">
        <v>0.05</v>
      </c>
      <c r="X48" s="90"/>
      <c r="Y48" s="82">
        <v>0.05</v>
      </c>
      <c r="Z48" s="90"/>
      <c r="AA48" s="82">
        <v>0.05</v>
      </c>
      <c r="AB48" s="90"/>
      <c r="AC48" s="82">
        <v>0.05</v>
      </c>
      <c r="AD48" s="90"/>
      <c r="AE48" s="82">
        <v>0.05</v>
      </c>
      <c r="AF48" s="90"/>
      <c r="AG48" s="82">
        <v>0.05</v>
      </c>
      <c r="AH48" s="90"/>
      <c r="AI48" s="82">
        <v>0.05</v>
      </c>
      <c r="AJ48" s="90"/>
      <c r="AK48" s="82">
        <v>0.05</v>
      </c>
      <c r="AL48" s="90"/>
      <c r="AM48" s="82">
        <v>0.05</v>
      </c>
      <c r="AN48" s="90"/>
      <c r="AO48" s="82">
        <v>0.05</v>
      </c>
      <c r="AP48" s="90"/>
      <c r="AQ48" s="82">
        <v>0.05</v>
      </c>
      <c r="AR48" s="90"/>
      <c r="AS48" s="82">
        <v>0.05</v>
      </c>
      <c r="AT48" s="90"/>
      <c r="AU48" s="82">
        <v>0.05</v>
      </c>
      <c r="AV48" s="15"/>
      <c r="AW48" s="47" t="s">
        <v>144</v>
      </c>
      <c r="AX48" s="12"/>
      <c r="AY48" s="12"/>
      <c r="AZ48" s="232"/>
      <c r="BB48" s="86"/>
    </row>
    <row r="49" spans="1:54" ht="24" customHeight="1" x14ac:dyDescent="0.3">
      <c r="A49" s="34"/>
      <c r="B49" s="236" t="s">
        <v>273</v>
      </c>
      <c r="C49" s="99" t="s">
        <v>149</v>
      </c>
      <c r="D49" s="59" t="s">
        <v>19</v>
      </c>
      <c r="E49" s="100">
        <v>0.7</v>
      </c>
      <c r="F49" s="220"/>
      <c r="G49" s="100">
        <v>0.67</v>
      </c>
      <c r="H49" s="101"/>
      <c r="I49" s="100">
        <v>0.65</v>
      </c>
      <c r="J49" s="240"/>
      <c r="K49" s="100">
        <v>0.6</v>
      </c>
      <c r="L49" s="101"/>
      <c r="M49" s="100">
        <v>0.5</v>
      </c>
      <c r="N49" s="240"/>
      <c r="O49" s="100">
        <v>0.4</v>
      </c>
      <c r="P49" s="101"/>
      <c r="Q49" s="100">
        <v>0.3</v>
      </c>
      <c r="R49" s="240"/>
      <c r="S49" s="100">
        <v>0.28000000000000003</v>
      </c>
      <c r="T49" s="102"/>
      <c r="U49" s="100">
        <v>0.28000000000000003</v>
      </c>
      <c r="V49" s="102"/>
      <c r="W49" s="100">
        <v>0.25</v>
      </c>
      <c r="X49" s="102"/>
      <c r="Y49" s="100">
        <v>0.28000000000000003</v>
      </c>
      <c r="Z49" s="102"/>
      <c r="AA49" s="100">
        <v>0.23</v>
      </c>
      <c r="AB49" s="102"/>
      <c r="AC49" s="100">
        <v>0.22</v>
      </c>
      <c r="AD49" s="102"/>
      <c r="AE49" s="100">
        <v>0.21</v>
      </c>
      <c r="AF49" s="102"/>
      <c r="AG49" s="100">
        <v>0.2</v>
      </c>
      <c r="AH49" s="102"/>
      <c r="AI49" s="100">
        <v>0.19</v>
      </c>
      <c r="AJ49" s="102"/>
      <c r="AK49" s="100">
        <v>0.18</v>
      </c>
      <c r="AL49" s="102"/>
      <c r="AM49" s="100">
        <v>0.17</v>
      </c>
      <c r="AN49" s="102"/>
      <c r="AO49" s="100">
        <v>0.15</v>
      </c>
      <c r="AP49" s="102"/>
      <c r="AQ49" s="100">
        <v>0.12</v>
      </c>
      <c r="AR49" s="102"/>
      <c r="AS49" s="100">
        <v>0.12</v>
      </c>
      <c r="AT49" s="102"/>
      <c r="AU49" s="100">
        <v>0.1</v>
      </c>
      <c r="AV49" s="23"/>
      <c r="AW49" s="89" t="s">
        <v>128</v>
      </c>
      <c r="AX49" s="12"/>
      <c r="AY49" s="12"/>
      <c r="AZ49" s="38"/>
      <c r="BB49" s="86"/>
    </row>
    <row r="50" spans="1:54" ht="24" customHeight="1" x14ac:dyDescent="0.3">
      <c r="A50" s="34"/>
      <c r="B50" s="12"/>
      <c r="C50" s="61" t="s">
        <v>133</v>
      </c>
      <c r="D50" s="54" t="s">
        <v>19</v>
      </c>
      <c r="E50" s="103">
        <f>E43*E42+E44</f>
        <v>2.0000000000000004E-2</v>
      </c>
      <c r="F50" s="13"/>
      <c r="G50" s="103">
        <f>G43*G42+G44</f>
        <v>2.5000000000000001E-2</v>
      </c>
      <c r="H50" s="96"/>
      <c r="I50" s="103">
        <f>I43*I42+I44</f>
        <v>0.03</v>
      </c>
      <c r="J50" s="238"/>
      <c r="K50" s="103">
        <f>K43*K42+K44</f>
        <v>3.4999999999999996E-2</v>
      </c>
      <c r="L50" s="96"/>
      <c r="M50" s="103">
        <f>M43*M42+M44</f>
        <v>3.7500000000000006E-2</v>
      </c>
      <c r="N50" s="238"/>
      <c r="O50" s="103">
        <f>O43*O42+O44</f>
        <v>3.7500000000000006E-2</v>
      </c>
      <c r="P50" s="96"/>
      <c r="Q50" s="103">
        <f>Q43*Q42+Q44</f>
        <v>4.0000000000000008E-2</v>
      </c>
      <c r="R50" s="238"/>
      <c r="S50" s="103">
        <f>S43*S42+S44</f>
        <v>4.0000000000000008E-2</v>
      </c>
      <c r="T50" s="90"/>
      <c r="U50" s="103">
        <f>U43*U42+U44</f>
        <v>4.0000000000000008E-2</v>
      </c>
      <c r="V50" s="90"/>
      <c r="W50" s="103">
        <f>W43*W42+W44</f>
        <v>4.0000000000000008E-2</v>
      </c>
      <c r="X50" s="90"/>
      <c r="Y50" s="103">
        <f>Y43*Y42+Y44</f>
        <v>4.2500000000000003E-2</v>
      </c>
      <c r="Z50" s="90"/>
      <c r="AA50" s="103">
        <f>AA43*AA42+AA44</f>
        <v>4.2500000000000003E-2</v>
      </c>
      <c r="AB50" s="90"/>
      <c r="AC50" s="103">
        <f>AC43*AC42+AC44</f>
        <v>4.2500000000000003E-2</v>
      </c>
      <c r="AD50" s="90"/>
      <c r="AE50" s="103">
        <f>AE43*AE42+AE44</f>
        <v>4.2500000000000003E-2</v>
      </c>
      <c r="AF50" s="90"/>
      <c r="AG50" s="103">
        <f>AG43*AG42+AG44</f>
        <v>4.2500000000000003E-2</v>
      </c>
      <c r="AH50" s="90"/>
      <c r="AI50" s="103">
        <f>AI43*AI42+AI44</f>
        <v>4.2500000000000003E-2</v>
      </c>
      <c r="AJ50" s="90"/>
      <c r="AK50" s="103">
        <f>AK43*AK42+AK44</f>
        <v>4.5000000000000005E-2</v>
      </c>
      <c r="AL50" s="90"/>
      <c r="AM50" s="103">
        <f>AM43*AM42+AM44</f>
        <v>4.5000000000000005E-2</v>
      </c>
      <c r="AN50" s="90"/>
      <c r="AO50" s="103">
        <f>AO43*AO42+AO44</f>
        <v>4.5000000000000005E-2</v>
      </c>
      <c r="AP50" s="90"/>
      <c r="AQ50" s="103">
        <f>AQ43*AQ42+AQ44</f>
        <v>4.7500000000000001E-2</v>
      </c>
      <c r="AR50" s="90"/>
      <c r="AS50" s="103">
        <f>AS43*AS42+AS44</f>
        <v>4.7500000000000001E-2</v>
      </c>
      <c r="AT50" s="90"/>
      <c r="AU50" s="103">
        <f>AU43*AU42+AU44</f>
        <v>4.7500000000000001E-2</v>
      </c>
      <c r="AV50" s="84"/>
      <c r="AW50" s="89" t="s">
        <v>147</v>
      </c>
      <c r="AX50" s="12"/>
      <c r="AY50" s="12"/>
      <c r="AZ50" s="38"/>
      <c r="BB50" s="86"/>
    </row>
    <row r="51" spans="1:54" ht="24" customHeight="1" x14ac:dyDescent="0.3">
      <c r="A51" s="34"/>
      <c r="B51" s="12"/>
      <c r="C51" s="61" t="s">
        <v>131</v>
      </c>
      <c r="D51" s="54" t="s">
        <v>19</v>
      </c>
      <c r="E51" s="103">
        <f>(1-E43)*E42</f>
        <v>0.03</v>
      </c>
      <c r="F51" s="13"/>
      <c r="G51" s="103">
        <f>(1-G43)*G42</f>
        <v>2.5000000000000001E-2</v>
      </c>
      <c r="H51" s="12"/>
      <c r="I51" s="103">
        <f>(1-I43)*I42</f>
        <v>2.0000000000000004E-2</v>
      </c>
      <c r="J51" s="15"/>
      <c r="K51" s="103">
        <f>(1-K43)*K42</f>
        <v>1.5000000000000003E-2</v>
      </c>
      <c r="L51" s="12"/>
      <c r="M51" s="103">
        <f>(1-M43)*M42</f>
        <v>1.2500000000000001E-2</v>
      </c>
      <c r="N51" s="15"/>
      <c r="O51" s="103">
        <f>(1-O43)*O42</f>
        <v>1.2500000000000001E-2</v>
      </c>
      <c r="P51" s="12"/>
      <c r="Q51" s="103">
        <f>(1-Q43)*Q42</f>
        <v>9.9999999999999985E-3</v>
      </c>
      <c r="R51" s="15"/>
      <c r="S51" s="103">
        <f>(1-S43)*S42</f>
        <v>9.9999999999999985E-3</v>
      </c>
      <c r="T51" s="12"/>
      <c r="U51" s="103">
        <f>(1-U43)*U42</f>
        <v>9.9999999999999985E-3</v>
      </c>
      <c r="V51" s="12"/>
      <c r="W51" s="103">
        <f>(1-W43)*W42</f>
        <v>9.9999999999999985E-3</v>
      </c>
      <c r="X51" s="12"/>
      <c r="Y51" s="103">
        <f>(1-Y43)*Y42</f>
        <v>7.5000000000000015E-3</v>
      </c>
      <c r="Z51" s="12"/>
      <c r="AA51" s="103">
        <f>(1-AA43)*AA42</f>
        <v>7.5000000000000015E-3</v>
      </c>
      <c r="AB51" s="12"/>
      <c r="AC51" s="103">
        <f>(1-AC43)*AC42</f>
        <v>7.5000000000000015E-3</v>
      </c>
      <c r="AD51" s="12"/>
      <c r="AE51" s="103">
        <f>(1-AE43)*AE42</f>
        <v>7.5000000000000015E-3</v>
      </c>
      <c r="AF51" s="12"/>
      <c r="AG51" s="103">
        <f>(1-AG43)*AG42</f>
        <v>7.5000000000000015E-3</v>
      </c>
      <c r="AH51" s="12"/>
      <c r="AI51" s="103">
        <f>(1-AI43)*AI42</f>
        <v>7.5000000000000015E-3</v>
      </c>
      <c r="AJ51" s="12"/>
      <c r="AK51" s="103">
        <f>(1-AK43)*AK42</f>
        <v>4.9999999999999992E-3</v>
      </c>
      <c r="AL51" s="12"/>
      <c r="AM51" s="103">
        <f>(1-AM43)*AM42</f>
        <v>4.9999999999999992E-3</v>
      </c>
      <c r="AN51" s="12"/>
      <c r="AO51" s="103">
        <f>(1-AO43)*AO42</f>
        <v>4.9999999999999992E-3</v>
      </c>
      <c r="AP51" s="12"/>
      <c r="AQ51" s="103">
        <f>(1-AQ43)*AQ42</f>
        <v>2.5000000000000022E-3</v>
      </c>
      <c r="AR51" s="12"/>
      <c r="AS51" s="103">
        <f>(1-AS43)*AS42</f>
        <v>2.5000000000000022E-3</v>
      </c>
      <c r="AT51" s="12"/>
      <c r="AU51" s="103">
        <f>(1-AU43)*AU42</f>
        <v>2.5000000000000022E-3</v>
      </c>
      <c r="AV51" s="15"/>
      <c r="AW51" s="47" t="s">
        <v>135</v>
      </c>
      <c r="AX51" s="12"/>
      <c r="AY51" s="12"/>
      <c r="AZ51" s="38"/>
      <c r="BB51" s="86"/>
    </row>
    <row r="52" spans="1:54" ht="24" customHeight="1" x14ac:dyDescent="0.3">
      <c r="A52" s="34"/>
      <c r="B52" s="12"/>
      <c r="C52" s="61" t="s">
        <v>132</v>
      </c>
      <c r="D52" s="54" t="s">
        <v>19</v>
      </c>
      <c r="E52" s="103">
        <f>(1-E43)*(1-E42)</f>
        <v>0.56999999999999995</v>
      </c>
      <c r="F52" s="13"/>
      <c r="G52" s="103">
        <f>(1-G43)*(1-G42)</f>
        <v>0.47499999999999998</v>
      </c>
      <c r="H52" s="12"/>
      <c r="I52" s="103">
        <f>(1-I43)*(1-I42)</f>
        <v>0.38</v>
      </c>
      <c r="J52" s="15"/>
      <c r="K52" s="103">
        <f>(1-K43)*(1-K42)</f>
        <v>0.28500000000000003</v>
      </c>
      <c r="L52" s="12"/>
      <c r="M52" s="103">
        <f>(1-M43)*(1-M42)</f>
        <v>0.23749999999999999</v>
      </c>
      <c r="N52" s="15"/>
      <c r="O52" s="103">
        <f>(1-O43)*(1-O42)</f>
        <v>0.23749999999999999</v>
      </c>
      <c r="P52" s="12"/>
      <c r="Q52" s="103">
        <f>(1-Q43)*(1-Q42)</f>
        <v>0.18999999999999995</v>
      </c>
      <c r="R52" s="15"/>
      <c r="S52" s="103">
        <f>(1-S43)*(1-S42)</f>
        <v>0.18999999999999995</v>
      </c>
      <c r="T52" s="12"/>
      <c r="U52" s="103">
        <f>(1-U43)*(1-U42)</f>
        <v>0.18999999999999995</v>
      </c>
      <c r="V52" s="12"/>
      <c r="W52" s="103">
        <f>(1-W43)*(1-W42)</f>
        <v>0.18999999999999995</v>
      </c>
      <c r="X52" s="12"/>
      <c r="Y52" s="103">
        <f>(1-Y43)*(1-Y42)</f>
        <v>0.14250000000000002</v>
      </c>
      <c r="Z52" s="12"/>
      <c r="AA52" s="103">
        <f>(1-AA43)*(1-AA42)</f>
        <v>0.14250000000000002</v>
      </c>
      <c r="AB52" s="12"/>
      <c r="AC52" s="103">
        <f>(1-AC43)*(1-AC42)</f>
        <v>0.14250000000000002</v>
      </c>
      <c r="AD52" s="12"/>
      <c r="AE52" s="103">
        <f>(1-AE43)*(1-AE42)</f>
        <v>0.14250000000000002</v>
      </c>
      <c r="AF52" s="12"/>
      <c r="AG52" s="103">
        <f>(1-AG43)*(1-AG42)</f>
        <v>0.14250000000000002</v>
      </c>
      <c r="AH52" s="12"/>
      <c r="AI52" s="103">
        <f>(1-AI43)*(1-AI42)</f>
        <v>0.14250000000000002</v>
      </c>
      <c r="AJ52" s="12"/>
      <c r="AK52" s="103">
        <f>(1-AK43)*(1-AK42)</f>
        <v>9.4999999999999973E-2</v>
      </c>
      <c r="AL52" s="12"/>
      <c r="AM52" s="103">
        <f>(1-AM43)*(1-AM42)</f>
        <v>9.4999999999999973E-2</v>
      </c>
      <c r="AN52" s="12"/>
      <c r="AO52" s="103">
        <f>(1-AO43)*(1-AO42)</f>
        <v>9.4999999999999973E-2</v>
      </c>
      <c r="AP52" s="12"/>
      <c r="AQ52" s="103">
        <f>(1-AQ43)*(1-AQ42)</f>
        <v>4.7500000000000042E-2</v>
      </c>
      <c r="AR52" s="12"/>
      <c r="AS52" s="103">
        <f>(1-AS43)*(1-AS42)</f>
        <v>4.7500000000000042E-2</v>
      </c>
      <c r="AT52" s="12"/>
      <c r="AU52" s="103">
        <f>(1-AU43)*(1-AU42)</f>
        <v>4.7500000000000042E-2</v>
      </c>
      <c r="AV52" s="15"/>
      <c r="AW52" s="47"/>
      <c r="AX52" s="12"/>
      <c r="AY52" s="12"/>
      <c r="AZ52" s="38"/>
      <c r="BB52" s="86"/>
    </row>
    <row r="53" spans="1:54" ht="24" customHeight="1" x14ac:dyDescent="0.3">
      <c r="A53" s="34"/>
      <c r="B53" s="12"/>
      <c r="C53" s="104" t="s">
        <v>129</v>
      </c>
      <c r="D53" s="59" t="s">
        <v>19</v>
      </c>
      <c r="E53" s="105">
        <f>E46</f>
        <v>0.38</v>
      </c>
      <c r="F53" s="220"/>
      <c r="G53" s="105">
        <f>G46</f>
        <v>0.47499999999999998</v>
      </c>
      <c r="H53" s="22"/>
      <c r="I53" s="105">
        <f>I46</f>
        <v>0.56999999999999995</v>
      </c>
      <c r="J53" s="23"/>
      <c r="K53" s="105">
        <f>K46</f>
        <v>0.66499999999999992</v>
      </c>
      <c r="L53" s="22"/>
      <c r="M53" s="105">
        <f>M46</f>
        <v>0.71250000000000002</v>
      </c>
      <c r="N53" s="23"/>
      <c r="O53" s="105">
        <f>O46</f>
        <v>0.71250000000000002</v>
      </c>
      <c r="P53" s="22"/>
      <c r="Q53" s="105">
        <f>Q46</f>
        <v>0.76</v>
      </c>
      <c r="R53" s="23"/>
      <c r="S53" s="105">
        <f>S46</f>
        <v>0.76</v>
      </c>
      <c r="T53" s="22"/>
      <c r="U53" s="105">
        <f>U46</f>
        <v>0.76</v>
      </c>
      <c r="V53" s="22"/>
      <c r="W53" s="105">
        <f>W46</f>
        <v>0.76</v>
      </c>
      <c r="X53" s="22"/>
      <c r="Y53" s="105">
        <f>Y46</f>
        <v>0.8075</v>
      </c>
      <c r="Z53" s="22"/>
      <c r="AA53" s="105">
        <f>AA46</f>
        <v>0.8075</v>
      </c>
      <c r="AB53" s="22"/>
      <c r="AC53" s="105">
        <f>AC46</f>
        <v>0.8075</v>
      </c>
      <c r="AD53" s="22"/>
      <c r="AE53" s="105">
        <f>AE46</f>
        <v>0.8075</v>
      </c>
      <c r="AF53" s="22"/>
      <c r="AG53" s="105">
        <f>AG46</f>
        <v>0.8075</v>
      </c>
      <c r="AH53" s="22"/>
      <c r="AI53" s="105">
        <f>AI46</f>
        <v>0.8075</v>
      </c>
      <c r="AJ53" s="22"/>
      <c r="AK53" s="105">
        <f>AK46</f>
        <v>0.85499999999999998</v>
      </c>
      <c r="AL53" s="22"/>
      <c r="AM53" s="105">
        <f>AM46</f>
        <v>0.85499999999999998</v>
      </c>
      <c r="AN53" s="22"/>
      <c r="AO53" s="105">
        <f>AO46</f>
        <v>0.85499999999999998</v>
      </c>
      <c r="AP53" s="22"/>
      <c r="AQ53" s="105">
        <f>AQ46</f>
        <v>0.90249999999999997</v>
      </c>
      <c r="AR53" s="22"/>
      <c r="AS53" s="105">
        <f>AS46</f>
        <v>0.90249999999999997</v>
      </c>
      <c r="AT53" s="22"/>
      <c r="AU53" s="105">
        <f>AU46</f>
        <v>0.90249999999999997</v>
      </c>
      <c r="AV53" s="23"/>
      <c r="AW53" s="47" t="s">
        <v>138</v>
      </c>
      <c r="AX53" s="12"/>
      <c r="AY53" s="12"/>
      <c r="AZ53" s="38"/>
      <c r="BB53" s="86"/>
    </row>
    <row r="54" spans="1:54" ht="24" customHeight="1" x14ac:dyDescent="0.3">
      <c r="A54" s="34"/>
      <c r="B54" s="12"/>
      <c r="C54" s="106" t="s">
        <v>134</v>
      </c>
      <c r="D54" s="107" t="s">
        <v>19</v>
      </c>
      <c r="E54" s="108">
        <f>SUM(E50:E53)</f>
        <v>1</v>
      </c>
      <c r="F54" s="107"/>
      <c r="G54" s="108">
        <f>SUM(G50:G53)</f>
        <v>1</v>
      </c>
      <c r="H54" s="106"/>
      <c r="I54" s="108">
        <f>SUM(I50:I53)</f>
        <v>1</v>
      </c>
      <c r="J54" s="241"/>
      <c r="K54" s="108">
        <f>SUM(K50:K53)</f>
        <v>1</v>
      </c>
      <c r="L54" s="106"/>
      <c r="M54" s="108">
        <f>SUM(M50:M53)</f>
        <v>1</v>
      </c>
      <c r="N54" s="241"/>
      <c r="O54" s="108">
        <f>SUM(O50:O53)</f>
        <v>1</v>
      </c>
      <c r="P54" s="106"/>
      <c r="Q54" s="108">
        <f>SUM(Q50:Q53)</f>
        <v>1</v>
      </c>
      <c r="R54" s="241"/>
      <c r="S54" s="108">
        <f>SUM(S50:S53)</f>
        <v>1</v>
      </c>
      <c r="T54" s="106"/>
      <c r="U54" s="108">
        <f>SUM(U50:U53)</f>
        <v>1</v>
      </c>
      <c r="V54" s="106"/>
      <c r="W54" s="108">
        <f>SUM(W50:W53)</f>
        <v>1</v>
      </c>
      <c r="X54" s="106"/>
      <c r="Y54" s="108">
        <f>SUM(Y50:Y53)</f>
        <v>1</v>
      </c>
      <c r="Z54" s="106"/>
      <c r="AA54" s="108">
        <f>SUM(AA50:AA53)</f>
        <v>1</v>
      </c>
      <c r="AB54" s="106"/>
      <c r="AC54" s="108">
        <f>SUM(AC50:AC53)</f>
        <v>1</v>
      </c>
      <c r="AD54" s="106"/>
      <c r="AE54" s="108">
        <f>SUM(AE50:AE53)</f>
        <v>1</v>
      </c>
      <c r="AF54" s="106"/>
      <c r="AG54" s="108">
        <f>SUM(AG50:AG53)</f>
        <v>1</v>
      </c>
      <c r="AH54" s="106"/>
      <c r="AI54" s="108">
        <f>SUM(AI50:AI53)</f>
        <v>1</v>
      </c>
      <c r="AJ54" s="106"/>
      <c r="AK54" s="108">
        <f>SUM(AK50:AK53)</f>
        <v>1</v>
      </c>
      <c r="AL54" s="106"/>
      <c r="AM54" s="108">
        <f>SUM(AM50:AM53)</f>
        <v>1</v>
      </c>
      <c r="AN54" s="106"/>
      <c r="AO54" s="108">
        <f>SUM(AO50:AO53)</f>
        <v>1</v>
      </c>
      <c r="AP54" s="106"/>
      <c r="AQ54" s="108">
        <f>SUM(AQ50:AQ53)</f>
        <v>1</v>
      </c>
      <c r="AR54" s="106"/>
      <c r="AS54" s="108">
        <f>SUM(AS50:AS53)</f>
        <v>1</v>
      </c>
      <c r="AT54" s="106"/>
      <c r="AU54" s="108">
        <f>SUM(AU50:AU53)</f>
        <v>1</v>
      </c>
      <c r="AV54" s="109"/>
      <c r="AW54" s="47"/>
      <c r="AX54" s="12"/>
      <c r="AY54" s="12"/>
      <c r="AZ54" s="38"/>
      <c r="BB54" s="86"/>
    </row>
    <row r="55" spans="1:54" ht="24" customHeight="1" x14ac:dyDescent="0.3">
      <c r="A55" s="34"/>
      <c r="B55" s="12"/>
      <c r="C55" s="61" t="s">
        <v>139</v>
      </c>
      <c r="D55" s="54" t="s">
        <v>19</v>
      </c>
      <c r="E55" s="103">
        <f>E52*(1-E49)</f>
        <v>0.17100000000000001</v>
      </c>
      <c r="F55" s="13"/>
      <c r="G55" s="103">
        <f>G52*(1-G49)</f>
        <v>0.15674999999999997</v>
      </c>
      <c r="H55" s="12"/>
      <c r="I55" s="103">
        <f>I52*(1-I49)</f>
        <v>0.13299999999999998</v>
      </c>
      <c r="J55" s="15"/>
      <c r="K55" s="103">
        <f>K52*(1-K49)</f>
        <v>0.11400000000000002</v>
      </c>
      <c r="L55" s="12"/>
      <c r="M55" s="103">
        <f>M52*(1-M49)</f>
        <v>0.11874999999999999</v>
      </c>
      <c r="N55" s="15"/>
      <c r="O55" s="103">
        <f>O52*(1-O49)</f>
        <v>0.14249999999999999</v>
      </c>
      <c r="P55" s="12"/>
      <c r="Q55" s="103">
        <f>Q52*(1-Q49)</f>
        <v>0.13299999999999995</v>
      </c>
      <c r="R55" s="15"/>
      <c r="S55" s="103">
        <f>S52*(1-S49)</f>
        <v>0.13679999999999995</v>
      </c>
      <c r="T55" s="12"/>
      <c r="U55" s="103">
        <f>U52*(1-U49)</f>
        <v>0.13679999999999995</v>
      </c>
      <c r="V55" s="12"/>
      <c r="W55" s="103">
        <f>W52*(1-W49)</f>
        <v>0.14249999999999996</v>
      </c>
      <c r="X55" s="12"/>
      <c r="Y55" s="103">
        <f>Y52*(1-Y49)</f>
        <v>0.10260000000000001</v>
      </c>
      <c r="Z55" s="12"/>
      <c r="AA55" s="103">
        <f>AA52*(1-AA49)</f>
        <v>0.10972500000000002</v>
      </c>
      <c r="AB55" s="12"/>
      <c r="AC55" s="103">
        <f>AC52*(1-AC49)</f>
        <v>0.11115000000000001</v>
      </c>
      <c r="AD55" s="12"/>
      <c r="AE55" s="103">
        <f>AE52*(1-AE49)</f>
        <v>0.11257500000000002</v>
      </c>
      <c r="AF55" s="12"/>
      <c r="AG55" s="103">
        <f>AG52*(1-AG49)</f>
        <v>0.11400000000000002</v>
      </c>
      <c r="AH55" s="12"/>
      <c r="AI55" s="103">
        <f>AI52*(1-AI49)</f>
        <v>0.11542500000000001</v>
      </c>
      <c r="AJ55" s="12"/>
      <c r="AK55" s="103">
        <f>AK52*(1-AK49)</f>
        <v>7.7899999999999983E-2</v>
      </c>
      <c r="AL55" s="12"/>
      <c r="AM55" s="103">
        <f>AM52*(1-AM49)</f>
        <v>7.8849999999999976E-2</v>
      </c>
      <c r="AN55" s="12"/>
      <c r="AO55" s="103">
        <f>AO52*(1-AO49)</f>
        <v>8.0749999999999975E-2</v>
      </c>
      <c r="AP55" s="12"/>
      <c r="AQ55" s="103">
        <f>AQ52*(1-AQ49)</f>
        <v>4.1800000000000039E-2</v>
      </c>
      <c r="AR55" s="12"/>
      <c r="AS55" s="103">
        <f>AS52*(1-AS49)</f>
        <v>4.1800000000000039E-2</v>
      </c>
      <c r="AT55" s="12"/>
      <c r="AU55" s="103">
        <f>AU52*(1-AU49)</f>
        <v>4.2750000000000038E-2</v>
      </c>
      <c r="AV55" s="84"/>
      <c r="AW55" s="47" t="s">
        <v>148</v>
      </c>
      <c r="AX55" s="12"/>
      <c r="AY55" s="12"/>
      <c r="AZ55" s="38"/>
      <c r="BB55" s="86"/>
    </row>
    <row r="56" spans="1:54" ht="24" customHeight="1" x14ac:dyDescent="0.3">
      <c r="A56" s="34"/>
      <c r="B56" s="12"/>
      <c r="C56" s="17" t="s">
        <v>125</v>
      </c>
      <c r="D56" s="54" t="s">
        <v>19</v>
      </c>
      <c r="E56" s="82">
        <v>0</v>
      </c>
      <c r="F56" s="13"/>
      <c r="G56" s="82">
        <v>0</v>
      </c>
      <c r="H56" s="89"/>
      <c r="I56" s="82">
        <v>0.25</v>
      </c>
      <c r="J56" s="110"/>
      <c r="K56" s="82">
        <v>0.5</v>
      </c>
      <c r="L56" s="89"/>
      <c r="M56" s="82">
        <v>0.75</v>
      </c>
      <c r="N56" s="110"/>
      <c r="O56" s="82">
        <v>0.9</v>
      </c>
      <c r="P56" s="89"/>
      <c r="Q56" s="82">
        <v>0.95</v>
      </c>
      <c r="R56" s="110"/>
      <c r="S56" s="82">
        <v>1</v>
      </c>
      <c r="T56" s="89"/>
      <c r="U56" s="82">
        <v>1</v>
      </c>
      <c r="V56" s="89"/>
      <c r="W56" s="82">
        <v>1</v>
      </c>
      <c r="X56" s="89"/>
      <c r="Y56" s="82">
        <v>1</v>
      </c>
      <c r="Z56" s="89"/>
      <c r="AA56" s="82">
        <v>1</v>
      </c>
      <c r="AB56" s="89"/>
      <c r="AC56" s="82">
        <v>1</v>
      </c>
      <c r="AD56" s="89"/>
      <c r="AE56" s="82">
        <v>1</v>
      </c>
      <c r="AF56" s="89"/>
      <c r="AG56" s="82">
        <v>1</v>
      </c>
      <c r="AH56" s="89"/>
      <c r="AI56" s="82">
        <v>1</v>
      </c>
      <c r="AJ56" s="89"/>
      <c r="AK56" s="82">
        <v>1</v>
      </c>
      <c r="AL56" s="89"/>
      <c r="AM56" s="82">
        <v>1</v>
      </c>
      <c r="AN56" s="89"/>
      <c r="AO56" s="82">
        <v>1</v>
      </c>
      <c r="AP56" s="89"/>
      <c r="AQ56" s="82">
        <v>1</v>
      </c>
      <c r="AR56" s="89"/>
      <c r="AS56" s="82">
        <v>1</v>
      </c>
      <c r="AT56" s="89"/>
      <c r="AU56" s="82">
        <v>1</v>
      </c>
      <c r="AV56" s="110"/>
      <c r="AW56" s="89" t="s">
        <v>136</v>
      </c>
      <c r="AX56" s="12"/>
      <c r="AY56" s="12"/>
      <c r="AZ56" s="38"/>
      <c r="BB56" s="86"/>
    </row>
    <row r="57" spans="1:54" ht="24" customHeight="1" x14ac:dyDescent="0.3">
      <c r="A57" s="34"/>
      <c r="B57" s="12"/>
      <c r="C57" s="17" t="s">
        <v>141</v>
      </c>
      <c r="D57" s="54" t="s">
        <v>19</v>
      </c>
      <c r="E57" s="88">
        <f>E55*E56</f>
        <v>0</v>
      </c>
      <c r="F57" s="13"/>
      <c r="G57" s="88">
        <f>G55*G56</f>
        <v>0</v>
      </c>
      <c r="H57" s="89"/>
      <c r="I57" s="88">
        <f>I55*I56</f>
        <v>3.3249999999999995E-2</v>
      </c>
      <c r="J57" s="110"/>
      <c r="K57" s="88">
        <f>K55*K56</f>
        <v>5.7000000000000009E-2</v>
      </c>
      <c r="L57" s="89"/>
      <c r="M57" s="88">
        <f>M55*M56</f>
        <v>8.9062499999999989E-2</v>
      </c>
      <c r="N57" s="110"/>
      <c r="O57" s="88">
        <f>O55*O56</f>
        <v>0.12825</v>
      </c>
      <c r="P57" s="89"/>
      <c r="Q57" s="88">
        <f>Q55*Q56</f>
        <v>0.12634999999999993</v>
      </c>
      <c r="R57" s="110"/>
      <c r="S57" s="88">
        <f>S55*S56</f>
        <v>0.13679999999999995</v>
      </c>
      <c r="T57" s="89"/>
      <c r="U57" s="88">
        <f>U55*U56</f>
        <v>0.13679999999999995</v>
      </c>
      <c r="V57" s="89"/>
      <c r="W57" s="88">
        <f>W55*W56</f>
        <v>0.14249999999999996</v>
      </c>
      <c r="X57" s="89"/>
      <c r="Y57" s="88">
        <f>Y55*Y56</f>
        <v>0.10260000000000001</v>
      </c>
      <c r="Z57" s="89"/>
      <c r="AA57" s="88">
        <f>AA55*AA56</f>
        <v>0.10972500000000002</v>
      </c>
      <c r="AB57" s="89"/>
      <c r="AC57" s="88">
        <f>AC55*AC56</f>
        <v>0.11115000000000001</v>
      </c>
      <c r="AD57" s="89"/>
      <c r="AE57" s="88">
        <f>AE55*AE56</f>
        <v>0.11257500000000002</v>
      </c>
      <c r="AF57" s="89"/>
      <c r="AG57" s="88">
        <f>AG55*AG56</f>
        <v>0.11400000000000002</v>
      </c>
      <c r="AH57" s="89"/>
      <c r="AI57" s="88">
        <f>AI55*AI56</f>
        <v>0.11542500000000001</v>
      </c>
      <c r="AJ57" s="89"/>
      <c r="AK57" s="88">
        <f>AK55*AK56</f>
        <v>7.7899999999999983E-2</v>
      </c>
      <c r="AL57" s="89"/>
      <c r="AM57" s="88">
        <f>AM55*AM56</f>
        <v>7.8849999999999976E-2</v>
      </c>
      <c r="AN57" s="89"/>
      <c r="AO57" s="88">
        <f>AO55*AO56</f>
        <v>8.0749999999999975E-2</v>
      </c>
      <c r="AP57" s="89"/>
      <c r="AQ57" s="88">
        <f>AQ55*AQ56</f>
        <v>4.1800000000000039E-2</v>
      </c>
      <c r="AR57" s="89"/>
      <c r="AS57" s="88">
        <f>AS55*AS56</f>
        <v>4.1800000000000039E-2</v>
      </c>
      <c r="AT57" s="89"/>
      <c r="AU57" s="88">
        <f>AU55*AU56</f>
        <v>4.2750000000000038E-2</v>
      </c>
      <c r="AV57" s="110"/>
      <c r="AW57" s="89" t="s">
        <v>137</v>
      </c>
      <c r="AX57" s="12"/>
      <c r="AY57" s="12"/>
      <c r="AZ57" s="38"/>
      <c r="BB57" s="86"/>
    </row>
    <row r="58" spans="1:54" ht="24" customHeight="1" x14ac:dyDescent="0.3">
      <c r="A58" s="34"/>
      <c r="B58" s="12"/>
      <c r="C58" s="17" t="s">
        <v>140</v>
      </c>
      <c r="D58" s="54" t="s">
        <v>19</v>
      </c>
      <c r="E58" s="88">
        <f>E51*E56</f>
        <v>0</v>
      </c>
      <c r="F58" s="13"/>
      <c r="G58" s="88">
        <f>G51*G56</f>
        <v>0</v>
      </c>
      <c r="H58" s="89"/>
      <c r="I58" s="88">
        <f>I51*I56</f>
        <v>5.000000000000001E-3</v>
      </c>
      <c r="J58" s="110"/>
      <c r="K58" s="88">
        <f>K51*K56</f>
        <v>7.5000000000000015E-3</v>
      </c>
      <c r="L58" s="89"/>
      <c r="M58" s="88">
        <f>M51*M56</f>
        <v>9.3750000000000014E-3</v>
      </c>
      <c r="N58" s="110"/>
      <c r="O58" s="88">
        <f>O51*O56</f>
        <v>1.1250000000000001E-2</v>
      </c>
      <c r="P58" s="89"/>
      <c r="Q58" s="88">
        <f>Q51*Q56</f>
        <v>9.499999999999998E-3</v>
      </c>
      <c r="R58" s="110"/>
      <c r="S58" s="88">
        <f>S51*S56</f>
        <v>9.9999999999999985E-3</v>
      </c>
      <c r="T58" s="89"/>
      <c r="U58" s="88">
        <f>U51*U56</f>
        <v>9.9999999999999985E-3</v>
      </c>
      <c r="V58" s="89"/>
      <c r="W58" s="88">
        <f>W51*W56</f>
        <v>9.9999999999999985E-3</v>
      </c>
      <c r="X58" s="89"/>
      <c r="Y58" s="88">
        <f>Y51*Y56</f>
        <v>7.5000000000000015E-3</v>
      </c>
      <c r="Z58" s="89"/>
      <c r="AA58" s="88">
        <f>AA51*AA56</f>
        <v>7.5000000000000015E-3</v>
      </c>
      <c r="AB58" s="89"/>
      <c r="AC58" s="88">
        <f>AC51*AC56</f>
        <v>7.5000000000000015E-3</v>
      </c>
      <c r="AD58" s="89"/>
      <c r="AE58" s="88">
        <f>AE51*AE56</f>
        <v>7.5000000000000015E-3</v>
      </c>
      <c r="AF58" s="89"/>
      <c r="AG58" s="88">
        <f>AG51*AG56</f>
        <v>7.5000000000000015E-3</v>
      </c>
      <c r="AH58" s="89"/>
      <c r="AI58" s="88">
        <f>AI51*AI56</f>
        <v>7.5000000000000015E-3</v>
      </c>
      <c r="AJ58" s="89"/>
      <c r="AK58" s="88">
        <f>AK51*AK56</f>
        <v>4.9999999999999992E-3</v>
      </c>
      <c r="AL58" s="89"/>
      <c r="AM58" s="88">
        <f>AM51*AM56</f>
        <v>4.9999999999999992E-3</v>
      </c>
      <c r="AN58" s="89"/>
      <c r="AO58" s="88">
        <f>AO51*AO56</f>
        <v>4.9999999999999992E-3</v>
      </c>
      <c r="AP58" s="89"/>
      <c r="AQ58" s="88">
        <f>AQ51*AQ56</f>
        <v>2.5000000000000022E-3</v>
      </c>
      <c r="AR58" s="89"/>
      <c r="AS58" s="88">
        <f>AS51*AS56</f>
        <v>2.5000000000000022E-3</v>
      </c>
      <c r="AT58" s="89"/>
      <c r="AU58" s="88">
        <f>AU51*AU56</f>
        <v>2.5000000000000022E-3</v>
      </c>
      <c r="AV58" s="110"/>
      <c r="AW58" s="86"/>
      <c r="AX58" s="12"/>
      <c r="AY58" s="12"/>
      <c r="AZ58" s="38"/>
      <c r="BB58" s="86"/>
    </row>
    <row r="59" spans="1:54" ht="24" customHeight="1" x14ac:dyDescent="0.3">
      <c r="A59" s="34"/>
      <c r="B59" s="24" t="s">
        <v>155</v>
      </c>
      <c r="C59" s="111" t="s">
        <v>156</v>
      </c>
      <c r="D59" s="54" t="s">
        <v>19</v>
      </c>
      <c r="E59" s="112">
        <f>E51-E58</f>
        <v>0.03</v>
      </c>
      <c r="F59" s="13"/>
      <c r="G59" s="112">
        <f>G51-G58</f>
        <v>2.5000000000000001E-2</v>
      </c>
      <c r="H59" s="89"/>
      <c r="I59" s="112">
        <f>I51-I58</f>
        <v>1.5000000000000003E-2</v>
      </c>
      <c r="J59" s="110"/>
      <c r="K59" s="112">
        <f>K51-K58</f>
        <v>7.5000000000000015E-3</v>
      </c>
      <c r="L59" s="89"/>
      <c r="M59" s="112">
        <f>M51-M58</f>
        <v>3.1249999999999993E-3</v>
      </c>
      <c r="N59" s="110"/>
      <c r="O59" s="112">
        <f>O51-O58</f>
        <v>1.2499999999999994E-3</v>
      </c>
      <c r="P59" s="89"/>
      <c r="Q59" s="112">
        <f>Q51-Q58</f>
        <v>5.0000000000000044E-4</v>
      </c>
      <c r="R59" s="110"/>
      <c r="S59" s="112">
        <f>S51-S58</f>
        <v>0</v>
      </c>
      <c r="T59" s="89"/>
      <c r="U59" s="112">
        <f>U51-U58</f>
        <v>0</v>
      </c>
      <c r="V59" s="89"/>
      <c r="W59" s="112">
        <f>W51-W58</f>
        <v>0</v>
      </c>
      <c r="X59" s="89"/>
      <c r="Y59" s="112">
        <f>Y51-Y58</f>
        <v>0</v>
      </c>
      <c r="Z59" s="89"/>
      <c r="AA59" s="112">
        <f>AA51-AA58</f>
        <v>0</v>
      </c>
      <c r="AB59" s="89"/>
      <c r="AC59" s="112">
        <f>AC51-AC58</f>
        <v>0</v>
      </c>
      <c r="AD59" s="89"/>
      <c r="AE59" s="112">
        <f>AE51-AE58</f>
        <v>0</v>
      </c>
      <c r="AF59" s="89"/>
      <c r="AG59" s="112">
        <f>AG51-AG58</f>
        <v>0</v>
      </c>
      <c r="AH59" s="89"/>
      <c r="AI59" s="112">
        <f>AI51-AI58</f>
        <v>0</v>
      </c>
      <c r="AJ59" s="89"/>
      <c r="AK59" s="112">
        <f>AK51-AK58</f>
        <v>0</v>
      </c>
      <c r="AL59" s="89"/>
      <c r="AM59" s="112">
        <f>AM51-AM58</f>
        <v>0</v>
      </c>
      <c r="AN59" s="89"/>
      <c r="AO59" s="112">
        <f>AO51-AO58</f>
        <v>0</v>
      </c>
      <c r="AP59" s="89"/>
      <c r="AQ59" s="112">
        <f>AQ51-AQ58</f>
        <v>0</v>
      </c>
      <c r="AR59" s="89"/>
      <c r="AS59" s="112">
        <f>AS51-AS58</f>
        <v>0</v>
      </c>
      <c r="AT59" s="89"/>
      <c r="AU59" s="112">
        <f>AU51-AU58</f>
        <v>0</v>
      </c>
      <c r="AV59" s="110"/>
      <c r="AW59" s="86"/>
      <c r="AX59" s="12"/>
      <c r="AY59" s="12"/>
      <c r="AZ59" s="38"/>
      <c r="BB59" s="86"/>
    </row>
    <row r="60" spans="1:54" ht="24" customHeight="1" x14ac:dyDescent="0.3">
      <c r="A60" s="34"/>
      <c r="B60" s="24" t="s">
        <v>155</v>
      </c>
      <c r="C60" s="111" t="s">
        <v>281</v>
      </c>
      <c r="D60" s="54" t="s">
        <v>19</v>
      </c>
      <c r="E60" s="113">
        <f>E52*E49+(E55-E57)</f>
        <v>0.56999999999999995</v>
      </c>
      <c r="F60" s="13"/>
      <c r="G60" s="113">
        <f>G52*G49+(G55-G57)</f>
        <v>0.47499999999999998</v>
      </c>
      <c r="H60" s="89"/>
      <c r="I60" s="113">
        <f>I52*I49+(I55-I57)</f>
        <v>0.34675</v>
      </c>
      <c r="J60" s="110"/>
      <c r="K60" s="113">
        <f>K52*K49+(K55-K57)</f>
        <v>0.22800000000000004</v>
      </c>
      <c r="L60" s="89"/>
      <c r="M60" s="113">
        <f>M52*M49+(M55-M57)</f>
        <v>0.1484375</v>
      </c>
      <c r="N60" s="110"/>
      <c r="O60" s="113">
        <f>O52*O49+(O55-O57)</f>
        <v>0.10924999999999999</v>
      </c>
      <c r="P60" s="89"/>
      <c r="Q60" s="113">
        <f>Q52*Q49+(Q55-Q57)</f>
        <v>6.3649999999999998E-2</v>
      </c>
      <c r="R60" s="110"/>
      <c r="S60" s="112">
        <f>S52*S49</f>
        <v>5.319999999999999E-2</v>
      </c>
      <c r="T60" s="89"/>
      <c r="U60" s="112">
        <f>U52*U49</f>
        <v>5.319999999999999E-2</v>
      </c>
      <c r="V60" s="89"/>
      <c r="W60" s="112">
        <f>W52*W49</f>
        <v>4.7499999999999987E-2</v>
      </c>
      <c r="X60" s="89"/>
      <c r="Y60" s="112">
        <f>Y52*Y49</f>
        <v>3.9900000000000005E-2</v>
      </c>
      <c r="Z60" s="89"/>
      <c r="AA60" s="112">
        <f>AA52*AA49</f>
        <v>3.2775000000000006E-2</v>
      </c>
      <c r="AB60" s="89"/>
      <c r="AC60" s="112">
        <f>AC52*AC49</f>
        <v>3.1350000000000003E-2</v>
      </c>
      <c r="AD60" s="89"/>
      <c r="AE60" s="112">
        <f>AE52*AE49</f>
        <v>2.9925000000000004E-2</v>
      </c>
      <c r="AF60" s="89"/>
      <c r="AG60" s="112">
        <f>AG52-AG57</f>
        <v>2.8499999999999998E-2</v>
      </c>
      <c r="AH60" s="89"/>
      <c r="AI60" s="112">
        <f>AI52-AI57</f>
        <v>2.7075000000000002E-2</v>
      </c>
      <c r="AJ60" s="89"/>
      <c r="AK60" s="112">
        <f>AK52-AK57</f>
        <v>1.709999999999999E-2</v>
      </c>
      <c r="AL60" s="89"/>
      <c r="AM60" s="112">
        <f>AM52-AM57</f>
        <v>1.6149999999999998E-2</v>
      </c>
      <c r="AN60" s="89"/>
      <c r="AO60" s="112">
        <f>AO52-AO57</f>
        <v>1.4249999999999999E-2</v>
      </c>
      <c r="AP60" s="89"/>
      <c r="AQ60" s="112">
        <f>AQ52-AQ57</f>
        <v>5.7000000000000037E-3</v>
      </c>
      <c r="AR60" s="89"/>
      <c r="AS60" s="112">
        <f>AS52-AS57</f>
        <v>5.7000000000000037E-3</v>
      </c>
      <c r="AT60" s="89"/>
      <c r="AU60" s="112">
        <f>AU52-AU57</f>
        <v>4.7500000000000042E-3</v>
      </c>
      <c r="AV60" s="110"/>
      <c r="AW60" s="86"/>
      <c r="AX60" s="12"/>
      <c r="AY60" s="12"/>
      <c r="AZ60" s="38"/>
      <c r="BB60" s="86"/>
    </row>
    <row r="61" spans="1:54" ht="24" customHeight="1" x14ac:dyDescent="0.3">
      <c r="A61" s="34"/>
      <c r="B61" s="114"/>
      <c r="C61" s="94" t="s">
        <v>130</v>
      </c>
      <c r="D61" s="54" t="s">
        <v>19</v>
      </c>
      <c r="E61" s="103">
        <f>E53*(1-E49)+E57</f>
        <v>0.11400000000000002</v>
      </c>
      <c r="F61" s="13"/>
      <c r="G61" s="103">
        <f>G53*(1-G49)+G57</f>
        <v>0.15674999999999997</v>
      </c>
      <c r="H61" s="89"/>
      <c r="I61" s="103">
        <f>I53*(1-I49)+I57</f>
        <v>0.23274999999999998</v>
      </c>
      <c r="J61" s="110"/>
      <c r="K61" s="103">
        <f>K53*(1-K49)+K57</f>
        <v>0.32299999999999995</v>
      </c>
      <c r="L61" s="89"/>
      <c r="M61" s="103">
        <f>M53*(1-M49)+M57</f>
        <v>0.4453125</v>
      </c>
      <c r="N61" s="110"/>
      <c r="O61" s="103">
        <f>O53*(1-O49)+O57</f>
        <v>0.55574999999999997</v>
      </c>
      <c r="P61" s="89"/>
      <c r="Q61" s="103">
        <f>Q53*(1-Q49)+Q57</f>
        <v>0.65834999999999988</v>
      </c>
      <c r="R61" s="110"/>
      <c r="S61" s="103">
        <f>S53*(1-S49)+S57</f>
        <v>0.68399999999999994</v>
      </c>
      <c r="T61" s="89"/>
      <c r="U61" s="103">
        <f>U53*(1-U49)+U57</f>
        <v>0.68399999999999994</v>
      </c>
      <c r="V61" s="89"/>
      <c r="W61" s="103">
        <f>W53*(1-W49)+W57</f>
        <v>0.71250000000000002</v>
      </c>
      <c r="X61" s="89"/>
      <c r="Y61" s="103">
        <f>Y53*(1-Y49)+Y57</f>
        <v>0.68400000000000005</v>
      </c>
      <c r="Z61" s="89"/>
      <c r="AA61" s="103">
        <f>AA53*(1-AA49)+AA57</f>
        <v>0.73150000000000004</v>
      </c>
      <c r="AB61" s="89"/>
      <c r="AC61" s="103">
        <f>AC53*(1-AC49)+AC57</f>
        <v>0.74099999999999999</v>
      </c>
      <c r="AD61" s="89"/>
      <c r="AE61" s="103">
        <f>AE53*(1-AE49)+AE57</f>
        <v>0.75050000000000006</v>
      </c>
      <c r="AF61" s="89"/>
      <c r="AG61" s="103">
        <f>AG53*(1-AG49)+AG57</f>
        <v>0.76</v>
      </c>
      <c r="AH61" s="89"/>
      <c r="AI61" s="103">
        <f>AI53*(1-AI49)+AI57</f>
        <v>0.76950000000000007</v>
      </c>
      <c r="AJ61" s="89"/>
      <c r="AK61" s="103">
        <f>AK53*(1-AK49)+AK57</f>
        <v>0.77900000000000003</v>
      </c>
      <c r="AL61" s="89"/>
      <c r="AM61" s="103">
        <f>AM53*(1-AM49)+AM57</f>
        <v>0.78849999999999998</v>
      </c>
      <c r="AN61" s="89"/>
      <c r="AO61" s="103">
        <f>AO53*(1-AO49)+AO57</f>
        <v>0.8075</v>
      </c>
      <c r="AP61" s="89"/>
      <c r="AQ61" s="103">
        <f>AQ53*(1-AQ49)+AQ57</f>
        <v>0.83600000000000008</v>
      </c>
      <c r="AR61" s="89"/>
      <c r="AS61" s="103">
        <f>AS53*(1-AS49)+AS57</f>
        <v>0.83600000000000008</v>
      </c>
      <c r="AT61" s="89"/>
      <c r="AU61" s="103">
        <f>AU53*(1-AU49)+AU57</f>
        <v>0.85500000000000009</v>
      </c>
      <c r="AV61" s="110"/>
      <c r="AW61" s="86"/>
      <c r="AX61" s="12"/>
      <c r="AY61" s="12"/>
      <c r="AZ61" s="38"/>
      <c r="BB61" s="86"/>
    </row>
    <row r="62" spans="1:54" ht="24" customHeight="1" x14ac:dyDescent="0.3">
      <c r="A62" s="34"/>
      <c r="B62" s="114"/>
      <c r="C62" s="17" t="s">
        <v>126</v>
      </c>
      <c r="D62" s="54" t="s">
        <v>19</v>
      </c>
      <c r="E62" s="82">
        <v>0</v>
      </c>
      <c r="F62" s="13"/>
      <c r="G62" s="82">
        <v>0</v>
      </c>
      <c r="H62" s="89"/>
      <c r="I62" s="82">
        <v>0.15</v>
      </c>
      <c r="J62" s="110"/>
      <c r="K62" s="82">
        <v>0.3</v>
      </c>
      <c r="L62" s="89"/>
      <c r="M62" s="82">
        <v>0.4</v>
      </c>
      <c r="N62" s="110"/>
      <c r="O62" s="82">
        <v>0.45</v>
      </c>
      <c r="P62" s="89"/>
      <c r="Q62" s="82">
        <v>0.5</v>
      </c>
      <c r="R62" s="110"/>
      <c r="S62" s="82">
        <v>0.65</v>
      </c>
      <c r="T62" s="89"/>
      <c r="U62" s="82">
        <v>0.7</v>
      </c>
      <c r="V62" s="89"/>
      <c r="W62" s="82">
        <v>0.75</v>
      </c>
      <c r="X62" s="89"/>
      <c r="Y62" s="82">
        <v>0.8</v>
      </c>
      <c r="Z62" s="89"/>
      <c r="AA62" s="82">
        <v>0.85</v>
      </c>
      <c r="AB62" s="89"/>
      <c r="AC62" s="82">
        <v>0.9</v>
      </c>
      <c r="AD62" s="89"/>
      <c r="AE62" s="82">
        <v>0.95</v>
      </c>
      <c r="AF62" s="89"/>
      <c r="AG62" s="82">
        <v>1</v>
      </c>
      <c r="AH62" s="89"/>
      <c r="AI62" s="82">
        <v>1</v>
      </c>
      <c r="AJ62" s="89"/>
      <c r="AK62" s="82">
        <v>1</v>
      </c>
      <c r="AL62" s="89"/>
      <c r="AM62" s="82">
        <v>1</v>
      </c>
      <c r="AN62" s="89"/>
      <c r="AO62" s="82">
        <v>1</v>
      </c>
      <c r="AP62" s="89"/>
      <c r="AQ62" s="82">
        <v>1</v>
      </c>
      <c r="AR62" s="89"/>
      <c r="AS62" s="82">
        <v>1</v>
      </c>
      <c r="AT62" s="89"/>
      <c r="AU62" s="82">
        <v>1</v>
      </c>
      <c r="AV62" s="110"/>
      <c r="AW62" s="89" t="s">
        <v>136</v>
      </c>
      <c r="AX62" s="12"/>
      <c r="AY62" s="12"/>
      <c r="AZ62" s="38"/>
      <c r="BB62" s="86"/>
    </row>
    <row r="63" spans="1:54" ht="24" customHeight="1" x14ac:dyDescent="0.3">
      <c r="A63" s="34"/>
      <c r="B63" s="114"/>
      <c r="C63" s="17" t="s">
        <v>142</v>
      </c>
      <c r="D63" s="54" t="s">
        <v>19</v>
      </c>
      <c r="E63" s="103">
        <f>E53*(1-E47)*E62</f>
        <v>0</v>
      </c>
      <c r="F63" s="13"/>
      <c r="G63" s="103">
        <f>G53*(1-G47)*G62</f>
        <v>0</v>
      </c>
      <c r="H63" s="89"/>
      <c r="I63" s="103">
        <f>I53*(1-I47)*I62</f>
        <v>7.6950000000000005E-2</v>
      </c>
      <c r="J63" s="110"/>
      <c r="K63" s="103">
        <f>K53*(1-K47)*K62</f>
        <v>0.15959999999999996</v>
      </c>
      <c r="L63" s="89"/>
      <c r="M63" s="103">
        <f>M53*(1-M47)*M62</f>
        <v>0.19950000000000001</v>
      </c>
      <c r="N63" s="110"/>
      <c r="O63" s="103">
        <f>O53*(1-O47)*O62</f>
        <v>0.20840625000000002</v>
      </c>
      <c r="P63" s="89"/>
      <c r="Q63" s="103">
        <f>Q53*(1-Q47)*Q62</f>
        <v>0.22799999999999998</v>
      </c>
      <c r="R63" s="110"/>
      <c r="S63" s="103">
        <f>S53*(1-S47)*S62</f>
        <v>0.27170000000000005</v>
      </c>
      <c r="T63" s="89"/>
      <c r="U63" s="103">
        <f>U53*(1-U47)*U62</f>
        <v>0.29260000000000003</v>
      </c>
      <c r="V63" s="89"/>
      <c r="W63" s="103">
        <f>W53*(1-W47)*W62</f>
        <v>0.25649999999999995</v>
      </c>
      <c r="X63" s="89"/>
      <c r="Y63" s="103">
        <f>Y53*(1-Y47)*Y62</f>
        <v>0.35530000000000006</v>
      </c>
      <c r="Z63" s="89"/>
      <c r="AA63" s="103">
        <f>AA53*(1-AA47)*AA62</f>
        <v>0.24023124999999995</v>
      </c>
      <c r="AB63" s="89"/>
      <c r="AC63" s="103">
        <f>AC53*(1-AC47)*AC62</f>
        <v>0.21802500000000002</v>
      </c>
      <c r="AD63" s="89"/>
      <c r="AE63" s="103">
        <f>AE53*(1-AE47)*AE62</f>
        <v>0.19178124999999999</v>
      </c>
      <c r="AF63" s="89"/>
      <c r="AG63" s="103">
        <f>AG53*(1-AG47)*AG62</f>
        <v>0.201875</v>
      </c>
      <c r="AH63" s="89"/>
      <c r="AI63" s="103">
        <f>AI53*(1-AI47)*AI62</f>
        <v>0.16149999999999998</v>
      </c>
      <c r="AJ63" s="89"/>
      <c r="AK63" s="103">
        <f>AK53*(1-AK47)*AK62</f>
        <v>0.17099999999999996</v>
      </c>
      <c r="AL63" s="89"/>
      <c r="AM63" s="103">
        <f>AM53*(1-AM47)*AM62</f>
        <v>0.17099999999999996</v>
      </c>
      <c r="AN63" s="89"/>
      <c r="AO63" s="103">
        <f>AO53*(1-AO47)*AO62</f>
        <v>0.12825</v>
      </c>
      <c r="AP63" s="89"/>
      <c r="AQ63" s="103">
        <f>AQ53*(1-AQ47)*AQ62</f>
        <v>9.0249999999999983E-2</v>
      </c>
      <c r="AR63" s="89"/>
      <c r="AS63" s="103">
        <f>AS53*(1-AS47)*AS62</f>
        <v>9.0249999999999983E-2</v>
      </c>
      <c r="AT63" s="89"/>
      <c r="AU63" s="103">
        <f>AU53*(1-AU47)*AU62</f>
        <v>4.512500000000004E-2</v>
      </c>
      <c r="AV63" s="110"/>
      <c r="AW63" s="89" t="s">
        <v>150</v>
      </c>
      <c r="AX63" s="12"/>
      <c r="AY63" s="12"/>
      <c r="AZ63" s="38"/>
      <c r="BB63" s="86"/>
    </row>
    <row r="64" spans="1:54" ht="24" customHeight="1" x14ac:dyDescent="0.3">
      <c r="A64" s="34"/>
      <c r="B64" s="24" t="s">
        <v>155</v>
      </c>
      <c r="C64" s="111" t="s">
        <v>152</v>
      </c>
      <c r="D64" s="54" t="s">
        <v>19</v>
      </c>
      <c r="E64" s="113">
        <f>E61*E62</f>
        <v>0</v>
      </c>
      <c r="F64" s="13"/>
      <c r="G64" s="113">
        <f>G61*G62</f>
        <v>0</v>
      </c>
      <c r="H64" s="89"/>
      <c r="I64" s="113">
        <f>I61*I62</f>
        <v>3.4912499999999999E-2</v>
      </c>
      <c r="J64" s="110"/>
      <c r="K64" s="113">
        <f>K61*K62</f>
        <v>9.6899999999999986E-2</v>
      </c>
      <c r="L64" s="89"/>
      <c r="M64" s="113">
        <f>M61*M62</f>
        <v>0.17812500000000001</v>
      </c>
      <c r="N64" s="110"/>
      <c r="O64" s="113">
        <f>O61*O62</f>
        <v>0.25008750000000002</v>
      </c>
      <c r="P64" s="89"/>
      <c r="Q64" s="113">
        <f>Q61*Q62</f>
        <v>0.32917499999999994</v>
      </c>
      <c r="R64" s="110"/>
      <c r="S64" s="113">
        <f>S61*S62</f>
        <v>0.4446</v>
      </c>
      <c r="T64" s="89"/>
      <c r="U64" s="113">
        <f>U61*U62</f>
        <v>0.47879999999999995</v>
      </c>
      <c r="V64" s="89"/>
      <c r="W64" s="113">
        <f>W61*W62</f>
        <v>0.53437500000000004</v>
      </c>
      <c r="X64" s="89"/>
      <c r="Y64" s="113">
        <f>Y61*Y62</f>
        <v>0.54720000000000002</v>
      </c>
      <c r="Z64" s="89"/>
      <c r="AA64" s="113">
        <f>AA61*AA62</f>
        <v>0.62177499999999997</v>
      </c>
      <c r="AB64" s="89"/>
      <c r="AC64" s="113">
        <f>AC61*AC62</f>
        <v>0.66690000000000005</v>
      </c>
      <c r="AD64" s="89"/>
      <c r="AE64" s="113">
        <f>AE61*AE62</f>
        <v>0.71297500000000003</v>
      </c>
      <c r="AF64" s="89"/>
      <c r="AG64" s="113">
        <f>AG61*AG62</f>
        <v>0.76</v>
      </c>
      <c r="AH64" s="89"/>
      <c r="AI64" s="113">
        <f>AI61*AI62</f>
        <v>0.76950000000000007</v>
      </c>
      <c r="AJ64" s="89"/>
      <c r="AK64" s="113">
        <f>AK61*AK62</f>
        <v>0.77900000000000003</v>
      </c>
      <c r="AL64" s="89"/>
      <c r="AM64" s="113">
        <f>AM61*AM62</f>
        <v>0.78849999999999998</v>
      </c>
      <c r="AN64" s="89"/>
      <c r="AO64" s="113">
        <f>AO61*AO62</f>
        <v>0.8075</v>
      </c>
      <c r="AP64" s="89"/>
      <c r="AQ64" s="113">
        <f>AQ61*AQ62</f>
        <v>0.83600000000000008</v>
      </c>
      <c r="AR64" s="89"/>
      <c r="AS64" s="113">
        <f>AS61*AS62</f>
        <v>0.83600000000000008</v>
      </c>
      <c r="AT64" s="89"/>
      <c r="AU64" s="113">
        <f>AU61*AU62</f>
        <v>0.85500000000000009</v>
      </c>
      <c r="AV64" s="110"/>
      <c r="AW64" s="47"/>
      <c r="AX64" s="12"/>
      <c r="AY64" s="12"/>
      <c r="AZ64" s="232"/>
      <c r="BB64" s="86"/>
    </row>
    <row r="65" spans="1:54" ht="24" customHeight="1" x14ac:dyDescent="0.3">
      <c r="A65" s="34"/>
      <c r="B65" s="24" t="s">
        <v>155</v>
      </c>
      <c r="C65" s="111" t="s">
        <v>151</v>
      </c>
      <c r="D65" s="54" t="s">
        <v>19</v>
      </c>
      <c r="E65" s="113">
        <f>E53*E49+(E61-E64)</f>
        <v>0.38</v>
      </c>
      <c r="F65" s="13"/>
      <c r="G65" s="113">
        <f>G53*G49+(G61-G64)</f>
        <v>0.47499999999999998</v>
      </c>
      <c r="H65" s="89"/>
      <c r="I65" s="113">
        <f>I53*I49+(I61-I64)</f>
        <v>0.56833749999999994</v>
      </c>
      <c r="J65" s="110"/>
      <c r="K65" s="113">
        <f>K53*K49+(K61-K64)</f>
        <v>0.62509999999999999</v>
      </c>
      <c r="L65" s="89"/>
      <c r="M65" s="113">
        <f>M53*M49+(M61-M64)</f>
        <v>0.62343750000000009</v>
      </c>
      <c r="N65" s="110"/>
      <c r="O65" s="113">
        <f>O53*O49+(O61-O64)</f>
        <v>0.59066249999999998</v>
      </c>
      <c r="P65" s="89"/>
      <c r="Q65" s="113">
        <f>Q53*Q49+(Q61-Q64)</f>
        <v>0.55717499999999998</v>
      </c>
      <c r="R65" s="110"/>
      <c r="S65" s="113">
        <f>S53*S49+(S61-S64)</f>
        <v>0.45219999999999994</v>
      </c>
      <c r="T65" s="89"/>
      <c r="U65" s="113">
        <f>U53*U49+(U61-U64)</f>
        <v>0.41800000000000004</v>
      </c>
      <c r="V65" s="89"/>
      <c r="W65" s="113">
        <f>W53*W49+(W61-W64)</f>
        <v>0.36812499999999998</v>
      </c>
      <c r="X65" s="89"/>
      <c r="Y65" s="113">
        <f>Y53*Y49+(Y61-Y64)</f>
        <v>0.36290000000000006</v>
      </c>
      <c r="Z65" s="89"/>
      <c r="AA65" s="113">
        <f>AA53*AA49+(AA61-AA64)</f>
        <v>0.2954500000000001</v>
      </c>
      <c r="AB65" s="89"/>
      <c r="AC65" s="113">
        <f>AC53*AC49+(AC61-AC64)</f>
        <v>0.25174999999999992</v>
      </c>
      <c r="AD65" s="89"/>
      <c r="AE65" s="113">
        <f>AE53*AE49+(AE61-AE64)</f>
        <v>0.20710000000000003</v>
      </c>
      <c r="AF65" s="89"/>
      <c r="AG65" s="113">
        <f>AG53*AG49+(AG61-AG64)</f>
        <v>0.1615</v>
      </c>
      <c r="AH65" s="89"/>
      <c r="AI65" s="113">
        <f>AI53*AI49+(AI61-AI64)</f>
        <v>0.15342500000000001</v>
      </c>
      <c r="AJ65" s="89"/>
      <c r="AK65" s="113">
        <f>AK53*AK49+(AK61-AK64)</f>
        <v>0.15389999999999998</v>
      </c>
      <c r="AL65" s="89"/>
      <c r="AM65" s="113">
        <f>AM53*AM49+(AM61-AM64)</f>
        <v>0.14535000000000001</v>
      </c>
      <c r="AN65" s="89"/>
      <c r="AO65" s="113">
        <f>AO53*AO49+(AO61-AO64)</f>
        <v>0.12825</v>
      </c>
      <c r="AP65" s="89"/>
      <c r="AQ65" s="113">
        <f>AQ53*AQ49+(AQ61-AQ64)</f>
        <v>0.10829999999999999</v>
      </c>
      <c r="AR65" s="89"/>
      <c r="AS65" s="113">
        <f>AS53*AS49+(AS61-AS64)</f>
        <v>0.10829999999999999</v>
      </c>
      <c r="AT65" s="89"/>
      <c r="AU65" s="113">
        <f>AU53*AU49+(AU61-AU64)</f>
        <v>9.0249999999999997E-2</v>
      </c>
      <c r="AV65" s="110"/>
      <c r="AW65" s="47"/>
      <c r="AX65" s="12"/>
      <c r="AY65" s="12"/>
      <c r="AZ65" s="232"/>
      <c r="BB65" s="86"/>
    </row>
    <row r="66" spans="1:54" ht="24" customHeight="1" x14ac:dyDescent="0.3">
      <c r="A66" s="34"/>
      <c r="B66" s="24" t="s">
        <v>155</v>
      </c>
      <c r="C66" s="115" t="s">
        <v>280</v>
      </c>
      <c r="D66" s="59" t="s">
        <v>19</v>
      </c>
      <c r="E66" s="116">
        <f>E50+E58</f>
        <v>2.0000000000000004E-2</v>
      </c>
      <c r="F66" s="220"/>
      <c r="G66" s="116">
        <f>G50+G58</f>
        <v>2.5000000000000001E-2</v>
      </c>
      <c r="H66" s="117"/>
      <c r="I66" s="116">
        <f>I50+I58</f>
        <v>3.5000000000000003E-2</v>
      </c>
      <c r="J66" s="119"/>
      <c r="K66" s="116">
        <f>K50+K58</f>
        <v>4.2499999999999996E-2</v>
      </c>
      <c r="L66" s="117"/>
      <c r="M66" s="116">
        <f>M50+M58</f>
        <v>4.6875000000000007E-2</v>
      </c>
      <c r="N66" s="119"/>
      <c r="O66" s="116">
        <f>O50+O58</f>
        <v>4.8750000000000009E-2</v>
      </c>
      <c r="P66" s="117"/>
      <c r="Q66" s="116">
        <f>Q50+Q58</f>
        <v>4.9500000000000002E-2</v>
      </c>
      <c r="R66" s="119"/>
      <c r="S66" s="118">
        <f>S50+S58</f>
        <v>0.05</v>
      </c>
      <c r="T66" s="117"/>
      <c r="U66" s="118">
        <f>U50+U58</f>
        <v>0.05</v>
      </c>
      <c r="V66" s="117"/>
      <c r="W66" s="118">
        <f>W50+W58</f>
        <v>0.05</v>
      </c>
      <c r="X66" s="117"/>
      <c r="Y66" s="118">
        <f>Y50+Y58</f>
        <v>0.05</v>
      </c>
      <c r="Z66" s="117"/>
      <c r="AA66" s="118">
        <f>AA50+AA58</f>
        <v>0.05</v>
      </c>
      <c r="AB66" s="117"/>
      <c r="AC66" s="118">
        <f>AC50+AC58</f>
        <v>0.05</v>
      </c>
      <c r="AD66" s="117"/>
      <c r="AE66" s="118">
        <f>AE50+AE58</f>
        <v>0.05</v>
      </c>
      <c r="AF66" s="117"/>
      <c r="AG66" s="118">
        <f>AG50+AG58</f>
        <v>0.05</v>
      </c>
      <c r="AH66" s="117"/>
      <c r="AI66" s="118">
        <f>AI50+AI58</f>
        <v>0.05</v>
      </c>
      <c r="AJ66" s="117"/>
      <c r="AK66" s="118">
        <f>AK50+AK58</f>
        <v>0.05</v>
      </c>
      <c r="AL66" s="117"/>
      <c r="AM66" s="118">
        <f>AM50+AM58</f>
        <v>0.05</v>
      </c>
      <c r="AN66" s="117"/>
      <c r="AO66" s="118">
        <f>AO50+AO58</f>
        <v>0.05</v>
      </c>
      <c r="AP66" s="117"/>
      <c r="AQ66" s="118">
        <f>AQ50+AQ58</f>
        <v>0.05</v>
      </c>
      <c r="AR66" s="117"/>
      <c r="AS66" s="118">
        <f>AS50+AS58</f>
        <v>0.05</v>
      </c>
      <c r="AT66" s="117"/>
      <c r="AU66" s="118">
        <f>AU50+AU58</f>
        <v>0.05</v>
      </c>
      <c r="AV66" s="119"/>
      <c r="AW66" s="47" t="s">
        <v>158</v>
      </c>
      <c r="AX66" s="12"/>
      <c r="AY66" s="12"/>
      <c r="AZ66" s="232"/>
      <c r="BB66" s="86"/>
    </row>
    <row r="67" spans="1:54" ht="24" customHeight="1" x14ac:dyDescent="0.3">
      <c r="A67" s="34"/>
      <c r="B67" s="12"/>
      <c r="C67" s="120" t="s">
        <v>157</v>
      </c>
      <c r="D67" s="107" t="s">
        <v>19</v>
      </c>
      <c r="E67" s="108">
        <f>E59+E60+E64+E65+E66</f>
        <v>1</v>
      </c>
      <c r="F67" s="121"/>
      <c r="G67" s="108">
        <f>G59+G60+G64+G65+G66</f>
        <v>1</v>
      </c>
      <c r="H67" s="106"/>
      <c r="I67" s="108">
        <f>I59+I60+I64+I65+I66</f>
        <v>1</v>
      </c>
      <c r="J67" s="241"/>
      <c r="K67" s="108">
        <f>K59+K60+K64+K65+K66</f>
        <v>1</v>
      </c>
      <c r="L67" s="106"/>
      <c r="M67" s="108">
        <f>M59+M60+M64+M65+M66</f>
        <v>1.0000000000000002</v>
      </c>
      <c r="N67" s="241"/>
      <c r="O67" s="108">
        <f>O59+O60+O64+O65+O66</f>
        <v>0.99999999999999989</v>
      </c>
      <c r="P67" s="106"/>
      <c r="Q67" s="108">
        <f>Q59+Q60+Q64+Q65+Q66</f>
        <v>0.99999999999999989</v>
      </c>
      <c r="R67" s="241"/>
      <c r="S67" s="108">
        <f>S59+S60+S64+S65+S66</f>
        <v>1</v>
      </c>
      <c r="T67" s="106"/>
      <c r="U67" s="108">
        <f>U59+U60+U64+U65+U66</f>
        <v>1</v>
      </c>
      <c r="V67" s="106"/>
      <c r="W67" s="108">
        <f>W59+W60+W64+W65+W66</f>
        <v>1</v>
      </c>
      <c r="X67" s="106"/>
      <c r="Y67" s="108">
        <f>Y59+Y60+Y64+Y65+Y66</f>
        <v>1.0000000000000002</v>
      </c>
      <c r="Z67" s="106"/>
      <c r="AA67" s="108">
        <f>AA59+AA60+AA64+AA65+AA66</f>
        <v>1</v>
      </c>
      <c r="AB67" s="106"/>
      <c r="AC67" s="108">
        <f>AC59+AC60+AC64+AC65+AC66</f>
        <v>1</v>
      </c>
      <c r="AD67" s="106"/>
      <c r="AE67" s="108">
        <f>AE59+AE60+AE64+AE65+AE66</f>
        <v>1</v>
      </c>
      <c r="AF67" s="106"/>
      <c r="AG67" s="108">
        <f>AG59+AG60+AG64+AG65+AG66</f>
        <v>1</v>
      </c>
      <c r="AH67" s="106"/>
      <c r="AI67" s="108">
        <f>AI59+AI60+AI64+AI65+AI66</f>
        <v>1</v>
      </c>
      <c r="AJ67" s="106"/>
      <c r="AK67" s="108">
        <f>AK59+AK60+AK64+AK65+AK66</f>
        <v>1</v>
      </c>
      <c r="AL67" s="106"/>
      <c r="AM67" s="108">
        <f>AM59+AM60+AM64+AM65+AM66</f>
        <v>1</v>
      </c>
      <c r="AN67" s="106"/>
      <c r="AO67" s="108">
        <f>AO59+AO60+AO64+AO65+AO66</f>
        <v>1</v>
      </c>
      <c r="AP67" s="106"/>
      <c r="AQ67" s="108">
        <f>AQ59+AQ60+AQ64+AQ65+AQ66</f>
        <v>1</v>
      </c>
      <c r="AR67" s="106"/>
      <c r="AS67" s="108">
        <f>AS59+AS60+AS64+AS65+AS66</f>
        <v>1</v>
      </c>
      <c r="AT67" s="106"/>
      <c r="AU67" s="108">
        <f>AU59+AU60+AU64+AU65+AU66</f>
        <v>1.0000000000000002</v>
      </c>
      <c r="AV67" s="122"/>
      <c r="AW67" s="47"/>
      <c r="AX67" s="12"/>
      <c r="AY67" s="12"/>
      <c r="AZ67" s="232"/>
      <c r="BB67" s="86"/>
    </row>
    <row r="68" spans="1:54" ht="24" customHeight="1" x14ac:dyDescent="0.3">
      <c r="A68" s="34"/>
      <c r="B68" s="12"/>
      <c r="C68" s="61" t="s">
        <v>143</v>
      </c>
      <c r="D68" s="54" t="s">
        <v>19</v>
      </c>
      <c r="E68" s="103">
        <f>E58+E57+E63</f>
        <v>0</v>
      </c>
      <c r="F68" s="13"/>
      <c r="G68" s="103">
        <f>G58+G57+G63</f>
        <v>0</v>
      </c>
      <c r="H68" s="89"/>
      <c r="I68" s="103">
        <f>I58+I57+I63</f>
        <v>0.1152</v>
      </c>
      <c r="J68" s="110"/>
      <c r="K68" s="103">
        <f>K58+K57+K63</f>
        <v>0.22409999999999997</v>
      </c>
      <c r="L68" s="89"/>
      <c r="M68" s="103">
        <f>M58+M57+M63</f>
        <v>0.29793749999999997</v>
      </c>
      <c r="N68" s="110"/>
      <c r="O68" s="103">
        <f>O58+O57+O63</f>
        <v>0.34790625000000003</v>
      </c>
      <c r="P68" s="89"/>
      <c r="Q68" s="103">
        <f>Q58+Q57+Q63</f>
        <v>0.3638499999999999</v>
      </c>
      <c r="R68" s="110"/>
      <c r="S68" s="103">
        <f>S58+S57+S63</f>
        <v>0.41849999999999998</v>
      </c>
      <c r="T68" s="90"/>
      <c r="U68" s="103">
        <f>U58+U57+U63</f>
        <v>0.43940000000000001</v>
      </c>
      <c r="V68" s="90"/>
      <c r="W68" s="103">
        <f>W58+W57+W63</f>
        <v>0.40899999999999992</v>
      </c>
      <c r="X68" s="90"/>
      <c r="Y68" s="103">
        <f>Y58+Y57+Y63</f>
        <v>0.46540000000000009</v>
      </c>
      <c r="Z68" s="90"/>
      <c r="AA68" s="103">
        <f>AA58+AA57+AA63</f>
        <v>0.35745624999999998</v>
      </c>
      <c r="AB68" s="90"/>
      <c r="AC68" s="103">
        <f>AC58+AC57+AC63</f>
        <v>0.33667500000000006</v>
      </c>
      <c r="AD68" s="90"/>
      <c r="AE68" s="103">
        <f>AE58+AE57+AE63</f>
        <v>0.31185625</v>
      </c>
      <c r="AF68" s="90"/>
      <c r="AG68" s="103">
        <f>AG58+AG57+AG63</f>
        <v>0.32337500000000002</v>
      </c>
      <c r="AH68" s="90"/>
      <c r="AI68" s="103">
        <f>AI58+AI57+AI63</f>
        <v>0.28442499999999998</v>
      </c>
      <c r="AJ68" s="90"/>
      <c r="AK68" s="103">
        <f>AK58+AK57+AK63</f>
        <v>0.25389999999999996</v>
      </c>
      <c r="AL68" s="90"/>
      <c r="AM68" s="103">
        <f>AM58+AM57+AM63</f>
        <v>0.25484999999999991</v>
      </c>
      <c r="AN68" s="90"/>
      <c r="AO68" s="103">
        <f>AO58+AO57+AO63</f>
        <v>0.21399999999999997</v>
      </c>
      <c r="AP68" s="90"/>
      <c r="AQ68" s="103">
        <f>AQ58+AQ57+AQ63</f>
        <v>0.13455000000000003</v>
      </c>
      <c r="AR68" s="90"/>
      <c r="AS68" s="103">
        <f>AS58+AS57+AS63</f>
        <v>0.13455000000000003</v>
      </c>
      <c r="AT68" s="90"/>
      <c r="AU68" s="103">
        <f>AU58+AU57+AU63</f>
        <v>9.037500000000008E-2</v>
      </c>
      <c r="AV68" s="15"/>
      <c r="AW68" s="47" t="s">
        <v>154</v>
      </c>
      <c r="AX68" s="12"/>
      <c r="AY68" s="12"/>
      <c r="AZ68" s="232"/>
      <c r="BB68" s="86"/>
    </row>
    <row r="69" spans="1:54" ht="24" customHeight="1" x14ac:dyDescent="0.3">
      <c r="A69" s="67"/>
      <c r="B69" s="22"/>
      <c r="C69" s="123" t="s">
        <v>153</v>
      </c>
      <c r="D69" s="59" t="s">
        <v>19</v>
      </c>
      <c r="E69" s="105">
        <f>E59+E60+E65</f>
        <v>0.98</v>
      </c>
      <c r="F69" s="220"/>
      <c r="G69" s="105">
        <f>G59+G60+G65</f>
        <v>0.97499999999999998</v>
      </c>
      <c r="H69" s="22"/>
      <c r="I69" s="105">
        <f>I59+I60+I65</f>
        <v>0.93008749999999996</v>
      </c>
      <c r="J69" s="23"/>
      <c r="K69" s="105">
        <f>K59+K60+K65</f>
        <v>0.86060000000000003</v>
      </c>
      <c r="L69" s="22"/>
      <c r="M69" s="105">
        <f>M59+M60+M65</f>
        <v>0.77500000000000013</v>
      </c>
      <c r="N69" s="23"/>
      <c r="O69" s="105">
        <f>O59+O60+O65</f>
        <v>0.70116249999999991</v>
      </c>
      <c r="P69" s="22"/>
      <c r="Q69" s="105">
        <f>Q59+Q60+Q65</f>
        <v>0.62132500000000002</v>
      </c>
      <c r="R69" s="23"/>
      <c r="S69" s="105">
        <f>S59+S60+S65</f>
        <v>0.50539999999999996</v>
      </c>
      <c r="T69" s="22"/>
      <c r="U69" s="105">
        <f>U59+U60+U65</f>
        <v>0.47120000000000001</v>
      </c>
      <c r="V69" s="22"/>
      <c r="W69" s="105">
        <f>W59+W60+W65</f>
        <v>0.41562499999999997</v>
      </c>
      <c r="X69" s="22"/>
      <c r="Y69" s="105">
        <f>Y59+Y60+Y65</f>
        <v>0.40280000000000005</v>
      </c>
      <c r="Z69" s="22"/>
      <c r="AA69" s="105">
        <f>AA59+AA60+AA65</f>
        <v>0.3282250000000001</v>
      </c>
      <c r="AB69" s="22"/>
      <c r="AC69" s="105">
        <f>AC59+AC60+AC65</f>
        <v>0.28309999999999991</v>
      </c>
      <c r="AD69" s="22"/>
      <c r="AE69" s="105">
        <f>AE59+AE60+AE65</f>
        <v>0.23702500000000004</v>
      </c>
      <c r="AF69" s="22"/>
      <c r="AG69" s="105">
        <f>AG59+AG60+AG65</f>
        <v>0.19</v>
      </c>
      <c r="AH69" s="22"/>
      <c r="AI69" s="105">
        <f>AI59+AI60+AI65</f>
        <v>0.18049999999999999</v>
      </c>
      <c r="AJ69" s="22"/>
      <c r="AK69" s="105">
        <f>AK59+AK60+AK65</f>
        <v>0.17099999999999999</v>
      </c>
      <c r="AL69" s="22"/>
      <c r="AM69" s="105">
        <f>AM59+AM60+AM65</f>
        <v>0.1615</v>
      </c>
      <c r="AN69" s="22"/>
      <c r="AO69" s="105">
        <f>AO59+AO60+AO65</f>
        <v>0.14250000000000002</v>
      </c>
      <c r="AP69" s="22"/>
      <c r="AQ69" s="105">
        <f>AQ59+AQ60+AQ65</f>
        <v>0.11399999999999999</v>
      </c>
      <c r="AR69" s="22"/>
      <c r="AS69" s="105">
        <f>AS59+AS60+AS65</f>
        <v>0.11399999999999999</v>
      </c>
      <c r="AT69" s="22"/>
      <c r="AU69" s="105">
        <f>AU59+AU60+AU65</f>
        <v>9.5000000000000001E-2</v>
      </c>
      <c r="AV69" s="23"/>
      <c r="AW69" s="257" t="s">
        <v>145</v>
      </c>
      <c r="AX69" s="124"/>
      <c r="AY69" s="22"/>
      <c r="AZ69" s="42"/>
    </row>
    <row r="70" spans="1:54" ht="24" customHeight="1" x14ac:dyDescent="0.3">
      <c r="A70" s="34"/>
      <c r="B70" s="12"/>
      <c r="C70" s="12"/>
      <c r="D70" s="12"/>
      <c r="E70" s="1909">
        <f>E$3</f>
        <v>2014</v>
      </c>
      <c r="F70" s="1910"/>
      <c r="G70" s="1909">
        <f>G$3</f>
        <v>2015</v>
      </c>
      <c r="H70" s="1910"/>
      <c r="I70" s="1909">
        <f>I$3</f>
        <v>2016</v>
      </c>
      <c r="J70" s="1910"/>
      <c r="K70" s="1909">
        <f>K$3</f>
        <v>2017</v>
      </c>
      <c r="L70" s="1910"/>
      <c r="M70" s="1909">
        <f>M$3</f>
        <v>2018</v>
      </c>
      <c r="N70" s="1910"/>
      <c r="O70" s="1909">
        <f>O$3</f>
        <v>2019</v>
      </c>
      <c r="P70" s="1910"/>
      <c r="Q70" s="1909">
        <f>Q$3</f>
        <v>2020</v>
      </c>
      <c r="R70" s="1910"/>
      <c r="S70" s="1909">
        <f>S$3</f>
        <v>2021</v>
      </c>
      <c r="T70" s="1910"/>
      <c r="U70" s="1909">
        <f>U$3</f>
        <v>2022</v>
      </c>
      <c r="V70" s="1910"/>
      <c r="W70" s="1909">
        <f>W$3</f>
        <v>2023</v>
      </c>
      <c r="X70" s="1910"/>
      <c r="Y70" s="1909">
        <f>Y$3</f>
        <v>2024</v>
      </c>
      <c r="Z70" s="1910"/>
      <c r="AA70" s="1909">
        <f>AA$3</f>
        <v>2025</v>
      </c>
      <c r="AB70" s="1910"/>
      <c r="AC70" s="1909">
        <f>AC$3</f>
        <v>2026</v>
      </c>
      <c r="AD70" s="1910"/>
      <c r="AE70" s="1909">
        <f>AE$3</f>
        <v>2027</v>
      </c>
      <c r="AF70" s="1910"/>
      <c r="AG70" s="1909">
        <f>AG$3</f>
        <v>2028</v>
      </c>
      <c r="AH70" s="1910"/>
      <c r="AI70" s="1909">
        <f>AI$3</f>
        <v>2029</v>
      </c>
      <c r="AJ70" s="1910"/>
      <c r="AK70" s="1909">
        <f>AK$3</f>
        <v>2030</v>
      </c>
      <c r="AL70" s="1910"/>
      <c r="AM70" s="1909">
        <f>AM$3</f>
        <v>2031</v>
      </c>
      <c r="AN70" s="1910"/>
      <c r="AO70" s="1909">
        <f>AO$3</f>
        <v>2032</v>
      </c>
      <c r="AP70" s="1910"/>
      <c r="AQ70" s="1909">
        <f>AQ$3</f>
        <v>2033</v>
      </c>
      <c r="AR70" s="1910"/>
      <c r="AS70" s="1909">
        <f>AS$3</f>
        <v>2034</v>
      </c>
      <c r="AT70" s="1910"/>
      <c r="AU70" s="1909">
        <f>AU$3</f>
        <v>2044</v>
      </c>
      <c r="AV70" s="1910"/>
      <c r="AW70" s="12"/>
      <c r="AX70" s="12"/>
      <c r="AY70" s="12"/>
      <c r="AZ70" s="38"/>
    </row>
    <row r="71" spans="1:54" ht="24" customHeight="1" thickBot="1" x14ac:dyDescent="0.35">
      <c r="A71" s="242"/>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71"/>
    </row>
    <row r="72" spans="1:54" ht="21" customHeight="1" x14ac:dyDescent="0.3">
      <c r="D72" s="19"/>
      <c r="E72" s="19"/>
      <c r="F72" s="19"/>
      <c r="G72" s="19"/>
    </row>
    <row r="73" spans="1:54" ht="21" customHeight="1" x14ac:dyDescent="0.3">
      <c r="D73" s="19"/>
      <c r="E73" s="19"/>
      <c r="F73" s="19"/>
      <c r="G73" s="19"/>
    </row>
    <row r="74" spans="1:54" ht="21" customHeight="1" x14ac:dyDescent="0.3">
      <c r="D74" s="19"/>
      <c r="E74" s="19"/>
      <c r="F74" s="19"/>
      <c r="G74" s="19"/>
    </row>
    <row r="75" spans="1:54" ht="21" customHeight="1" x14ac:dyDescent="0.3">
      <c r="D75" s="19"/>
      <c r="E75" s="19"/>
      <c r="F75" s="19"/>
      <c r="G75" s="19"/>
    </row>
    <row r="76" spans="1:54" ht="21" customHeight="1" x14ac:dyDescent="0.3">
      <c r="D76" s="19"/>
      <c r="E76" s="19"/>
      <c r="F76" s="19"/>
      <c r="G76" s="19"/>
    </row>
    <row r="77" spans="1:54" ht="21" customHeight="1" x14ac:dyDescent="0.3">
      <c r="D77" s="19"/>
      <c r="E77" s="19"/>
      <c r="F77" s="19"/>
      <c r="G77" s="19"/>
    </row>
    <row r="78" spans="1:54" ht="21" customHeight="1" x14ac:dyDescent="0.3">
      <c r="D78" s="19"/>
      <c r="E78" s="19"/>
      <c r="F78" s="19"/>
      <c r="G78" s="19"/>
    </row>
    <row r="79" spans="1:54" ht="21" customHeight="1" x14ac:dyDescent="0.3">
      <c r="D79" s="19"/>
      <c r="E79" s="19"/>
      <c r="F79" s="19"/>
      <c r="G79" s="19"/>
    </row>
    <row r="80" spans="1:54" ht="21" customHeight="1" x14ac:dyDescent="0.3">
      <c r="D80" s="19"/>
      <c r="E80" s="19"/>
      <c r="F80" s="19"/>
      <c r="G80" s="19"/>
    </row>
    <row r="81" spans="4:7" x14ac:dyDescent="0.3">
      <c r="D81" s="19"/>
      <c r="E81" s="19"/>
      <c r="F81" s="19"/>
      <c r="G81" s="19"/>
    </row>
    <row r="82" spans="4:7" x14ac:dyDescent="0.3">
      <c r="D82" s="19"/>
      <c r="E82" s="19"/>
      <c r="F82" s="19"/>
      <c r="G82" s="19"/>
    </row>
    <row r="83" spans="4:7" x14ac:dyDescent="0.3">
      <c r="D83" s="19"/>
      <c r="E83" s="19"/>
      <c r="F83" s="19"/>
      <c r="G83" s="19"/>
    </row>
    <row r="84" spans="4:7" x14ac:dyDescent="0.3">
      <c r="D84" s="19"/>
      <c r="E84" s="19"/>
      <c r="F84" s="19"/>
      <c r="G84" s="19"/>
    </row>
    <row r="85" spans="4:7" x14ac:dyDescent="0.3">
      <c r="D85" s="19"/>
      <c r="E85" s="19"/>
      <c r="F85" s="19"/>
      <c r="G85" s="19"/>
    </row>
    <row r="86" spans="4:7" x14ac:dyDescent="0.3">
      <c r="D86" s="19"/>
      <c r="E86" s="19"/>
      <c r="F86" s="19"/>
      <c r="G86" s="19"/>
    </row>
    <row r="87" spans="4:7" x14ac:dyDescent="0.3">
      <c r="D87" s="19"/>
      <c r="E87" s="19"/>
      <c r="F87" s="19"/>
      <c r="G87" s="19"/>
    </row>
    <row r="88" spans="4:7" x14ac:dyDescent="0.3">
      <c r="D88" s="19"/>
      <c r="E88" s="19"/>
      <c r="F88" s="19"/>
      <c r="G88" s="19"/>
    </row>
    <row r="89" spans="4:7" x14ac:dyDescent="0.3">
      <c r="D89" s="19"/>
      <c r="E89" s="19"/>
      <c r="F89" s="19"/>
      <c r="G89" s="19"/>
    </row>
    <row r="90" spans="4:7" x14ac:dyDescent="0.3">
      <c r="D90" s="19"/>
      <c r="E90" s="19"/>
      <c r="F90" s="19"/>
      <c r="G90" s="19"/>
    </row>
    <row r="91" spans="4:7" x14ac:dyDescent="0.3">
      <c r="D91" s="19"/>
      <c r="E91" s="19"/>
      <c r="F91" s="19"/>
      <c r="G91" s="19"/>
    </row>
    <row r="92" spans="4:7" x14ac:dyDescent="0.3">
      <c r="D92" s="19"/>
      <c r="E92" s="19"/>
      <c r="F92" s="19"/>
      <c r="G92" s="19"/>
    </row>
    <row r="93" spans="4:7" x14ac:dyDescent="0.3">
      <c r="D93" s="19"/>
      <c r="E93" s="19"/>
      <c r="F93" s="19"/>
      <c r="G93" s="19"/>
    </row>
    <row r="94" spans="4:7" x14ac:dyDescent="0.3">
      <c r="D94" s="19"/>
      <c r="E94" s="19"/>
      <c r="F94" s="19"/>
      <c r="G94" s="19"/>
    </row>
    <row r="95" spans="4:7" x14ac:dyDescent="0.3">
      <c r="D95" s="19"/>
      <c r="E95" s="19"/>
      <c r="F95" s="19"/>
      <c r="G95" s="19"/>
    </row>
    <row r="96" spans="4:7" x14ac:dyDescent="0.3">
      <c r="D96" s="19"/>
      <c r="E96" s="19"/>
      <c r="F96" s="19"/>
      <c r="G96" s="19"/>
    </row>
    <row r="97" spans="4:7" x14ac:dyDescent="0.3">
      <c r="D97" s="19"/>
      <c r="E97" s="19"/>
      <c r="F97" s="19"/>
      <c r="G97" s="19"/>
    </row>
    <row r="98" spans="4:7" x14ac:dyDescent="0.3">
      <c r="D98" s="19"/>
      <c r="E98" s="19"/>
      <c r="F98" s="19"/>
      <c r="G98" s="19"/>
    </row>
    <row r="99" spans="4:7" x14ac:dyDescent="0.3">
      <c r="D99" s="19"/>
      <c r="E99" s="19"/>
      <c r="F99" s="19"/>
      <c r="G99" s="19"/>
    </row>
    <row r="100" spans="4:7" x14ac:dyDescent="0.3">
      <c r="D100" s="19"/>
      <c r="E100" s="19"/>
      <c r="F100" s="19"/>
      <c r="G100" s="19"/>
    </row>
    <row r="101" spans="4:7" x14ac:dyDescent="0.3">
      <c r="D101" s="19"/>
      <c r="E101" s="19"/>
      <c r="F101" s="19"/>
      <c r="G101" s="19"/>
    </row>
    <row r="102" spans="4:7" x14ac:dyDescent="0.3">
      <c r="D102" s="19"/>
      <c r="E102" s="19"/>
      <c r="F102" s="19"/>
      <c r="G102" s="19"/>
    </row>
    <row r="103" spans="4:7" x14ac:dyDescent="0.3">
      <c r="D103" s="19"/>
      <c r="E103" s="19"/>
      <c r="F103" s="19"/>
      <c r="G103" s="19"/>
    </row>
    <row r="104" spans="4:7" x14ac:dyDescent="0.3">
      <c r="D104" s="19"/>
      <c r="E104" s="19"/>
      <c r="F104" s="19"/>
      <c r="G104" s="19"/>
    </row>
    <row r="105" spans="4:7" x14ac:dyDescent="0.3">
      <c r="D105" s="19"/>
      <c r="E105" s="19"/>
      <c r="F105" s="19"/>
      <c r="G105" s="19"/>
    </row>
    <row r="106" spans="4:7" x14ac:dyDescent="0.3">
      <c r="D106" s="19"/>
      <c r="E106" s="19"/>
      <c r="F106" s="19"/>
      <c r="G106" s="19"/>
    </row>
    <row r="107" spans="4:7" x14ac:dyDescent="0.3">
      <c r="D107" s="19"/>
      <c r="E107" s="19"/>
      <c r="F107" s="19"/>
      <c r="G107" s="19"/>
    </row>
    <row r="108" spans="4:7" x14ac:dyDescent="0.3">
      <c r="D108" s="19"/>
      <c r="E108" s="19"/>
      <c r="F108" s="19"/>
      <c r="G108" s="19"/>
    </row>
    <row r="109" spans="4:7" x14ac:dyDescent="0.3">
      <c r="D109" s="19"/>
      <c r="E109" s="19"/>
      <c r="F109" s="19"/>
      <c r="G109" s="19"/>
    </row>
    <row r="110" spans="4:7" x14ac:dyDescent="0.3">
      <c r="D110" s="19"/>
      <c r="E110" s="19"/>
      <c r="F110" s="19"/>
      <c r="G110" s="19"/>
    </row>
    <row r="111" spans="4:7" x14ac:dyDescent="0.3">
      <c r="D111" s="19"/>
      <c r="E111" s="19"/>
      <c r="F111" s="19"/>
      <c r="G111" s="19"/>
    </row>
    <row r="112" spans="4:7" x14ac:dyDescent="0.3">
      <c r="D112" s="19"/>
      <c r="E112" s="19"/>
      <c r="F112" s="19"/>
      <c r="G112" s="19"/>
    </row>
    <row r="113" spans="4:7" x14ac:dyDescent="0.3">
      <c r="D113" s="19"/>
      <c r="E113" s="19"/>
      <c r="F113" s="19"/>
      <c r="G113" s="19"/>
    </row>
    <row r="114" spans="4:7" x14ac:dyDescent="0.3">
      <c r="D114" s="19"/>
      <c r="E114" s="19"/>
      <c r="F114" s="19"/>
      <c r="G114" s="19"/>
    </row>
    <row r="115" spans="4:7" x14ac:dyDescent="0.3">
      <c r="D115" s="19"/>
      <c r="E115" s="19"/>
      <c r="F115" s="19"/>
      <c r="G115" s="19"/>
    </row>
    <row r="116" spans="4:7" x14ac:dyDescent="0.3">
      <c r="D116" s="19"/>
      <c r="E116" s="19"/>
      <c r="F116" s="19"/>
      <c r="G116" s="19"/>
    </row>
    <row r="117" spans="4:7" x14ac:dyDescent="0.3">
      <c r="D117" s="19"/>
      <c r="E117" s="19"/>
      <c r="F117" s="19"/>
      <c r="G117" s="19"/>
    </row>
    <row r="118" spans="4:7" x14ac:dyDescent="0.3">
      <c r="D118" s="19"/>
      <c r="E118" s="19"/>
      <c r="F118" s="19"/>
      <c r="G118" s="19"/>
    </row>
    <row r="119" spans="4:7" x14ac:dyDescent="0.3">
      <c r="D119" s="19"/>
      <c r="E119" s="19"/>
      <c r="F119" s="19"/>
      <c r="G119" s="19"/>
    </row>
    <row r="120" spans="4:7" x14ac:dyDescent="0.3">
      <c r="D120" s="19"/>
      <c r="E120" s="19"/>
      <c r="F120" s="19"/>
      <c r="G120" s="19"/>
    </row>
    <row r="121" spans="4:7" x14ac:dyDescent="0.3">
      <c r="D121" s="19"/>
      <c r="E121" s="19"/>
      <c r="F121" s="19"/>
      <c r="G121" s="19"/>
    </row>
    <row r="122" spans="4:7" x14ac:dyDescent="0.3">
      <c r="D122" s="19"/>
      <c r="E122" s="19"/>
      <c r="F122" s="19"/>
      <c r="G122" s="19"/>
    </row>
    <row r="123" spans="4:7" x14ac:dyDescent="0.3">
      <c r="D123" s="19"/>
      <c r="E123" s="19"/>
      <c r="F123" s="19"/>
      <c r="G123" s="19"/>
    </row>
    <row r="124" spans="4:7" x14ac:dyDescent="0.3">
      <c r="D124" s="19"/>
      <c r="E124" s="19"/>
      <c r="F124" s="19"/>
      <c r="G124" s="19"/>
    </row>
    <row r="125" spans="4:7" x14ac:dyDescent="0.3">
      <c r="D125" s="19"/>
      <c r="E125" s="19"/>
      <c r="F125" s="19"/>
      <c r="G125" s="19"/>
    </row>
  </sheetData>
  <mergeCells count="92">
    <mergeCell ref="AE70:AF70"/>
    <mergeCell ref="AK70:AL70"/>
    <mergeCell ref="AY24:AZ24"/>
    <mergeCell ref="AY25:AZ25"/>
    <mergeCell ref="AY26:AZ26"/>
    <mergeCell ref="AQ41:AR41"/>
    <mergeCell ref="AY30:AZ30"/>
    <mergeCell ref="AY28:AZ28"/>
    <mergeCell ref="AY29:AZ29"/>
    <mergeCell ref="AY27:AZ27"/>
    <mergeCell ref="AY31:AZ31"/>
    <mergeCell ref="AY32:AZ32"/>
    <mergeCell ref="AG70:AH70"/>
    <mergeCell ref="AO70:AP70"/>
    <mergeCell ref="AI70:AJ70"/>
    <mergeCell ref="AM70:AN70"/>
    <mergeCell ref="AY19:AZ19"/>
    <mergeCell ref="AY20:AZ20"/>
    <mergeCell ref="AY21:AZ21"/>
    <mergeCell ref="AY22:AZ22"/>
    <mergeCell ref="AY23:AZ23"/>
    <mergeCell ref="AU3:AV3"/>
    <mergeCell ref="AS3:AT3"/>
    <mergeCell ref="S3:T3"/>
    <mergeCell ref="W3:X3"/>
    <mergeCell ref="Y3:Z3"/>
    <mergeCell ref="U3:V3"/>
    <mergeCell ref="AM3:AN3"/>
    <mergeCell ref="AO3:AP3"/>
    <mergeCell ref="A3:B3"/>
    <mergeCell ref="AE3:AF3"/>
    <mergeCell ref="AI3:AJ3"/>
    <mergeCell ref="U41:V41"/>
    <mergeCell ref="Y41:Z41"/>
    <mergeCell ref="W41:X41"/>
    <mergeCell ref="A13:B17"/>
    <mergeCell ref="AG3:AH3"/>
    <mergeCell ref="AC3:AD3"/>
    <mergeCell ref="AG41:AH41"/>
    <mergeCell ref="AC41:AD41"/>
    <mergeCell ref="AE41:AF41"/>
    <mergeCell ref="AA41:AB41"/>
    <mergeCell ref="S41:T41"/>
    <mergeCell ref="E70:F70"/>
    <mergeCell ref="AC70:AD70"/>
    <mergeCell ref="M41:N41"/>
    <mergeCell ref="G70:H70"/>
    <mergeCell ref="I70:J70"/>
    <mergeCell ref="K70:L70"/>
    <mergeCell ref="M70:N70"/>
    <mergeCell ref="U70:V70"/>
    <mergeCell ref="Y70:Z70"/>
    <mergeCell ref="W70:X70"/>
    <mergeCell ref="AA70:AB70"/>
    <mergeCell ref="O70:P70"/>
    <mergeCell ref="O41:P41"/>
    <mergeCell ref="S70:T70"/>
    <mergeCell ref="Q70:R70"/>
    <mergeCell ref="Q41:R41"/>
    <mergeCell ref="AW8:AZ9"/>
    <mergeCell ref="AQ3:AR3"/>
    <mergeCell ref="Q3:R3"/>
    <mergeCell ref="E3:F3"/>
    <mergeCell ref="E41:F41"/>
    <mergeCell ref="AA3:AB3"/>
    <mergeCell ref="AK3:AL3"/>
    <mergeCell ref="G3:H3"/>
    <mergeCell ref="I3:J3"/>
    <mergeCell ref="K3:L3"/>
    <mergeCell ref="M3:N3"/>
    <mergeCell ref="O3:P3"/>
    <mergeCell ref="AU41:AV41"/>
    <mergeCell ref="G41:H41"/>
    <mergeCell ref="I41:J41"/>
    <mergeCell ref="K41:L41"/>
    <mergeCell ref="AS70:AT70"/>
    <mergeCell ref="AQ70:AR70"/>
    <mergeCell ref="AY33:AZ33"/>
    <mergeCell ref="AY34:AZ34"/>
    <mergeCell ref="AS41:AT41"/>
    <mergeCell ref="AU70:AV70"/>
    <mergeCell ref="AY35:AZ35"/>
    <mergeCell ref="AY36:AZ36"/>
    <mergeCell ref="AY37:AZ37"/>
    <mergeCell ref="AY38:AZ38"/>
    <mergeCell ref="AY39:AZ39"/>
    <mergeCell ref="AY40:AZ40"/>
    <mergeCell ref="AO41:AP41"/>
    <mergeCell ref="AI41:AJ41"/>
    <mergeCell ref="AM41:AN41"/>
    <mergeCell ref="AK41:AL41"/>
    <mergeCell ref="AY41:AZ41"/>
  </mergeCells>
  <printOptions horizontalCentered="1"/>
  <pageMargins left="0.23622047244094491" right="0.23622047244094491" top="0.39370078740157483" bottom="0.59055118110236227" header="0.31496062992125984" footer="0.31496062992125984"/>
  <pageSetup paperSize="263" scale="57"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54"/>
  <sheetViews>
    <sheetView zoomScaleNormal="100" workbookViewId="0">
      <pane xSplit="4" ySplit="5" topLeftCell="E6" activePane="bottomRight" state="frozen"/>
      <selection activeCell="E4" sqref="E4:F4"/>
      <selection pane="topRight" activeCell="E4" sqref="E4:F4"/>
      <selection pane="bottomLeft" activeCell="E4" sqref="E4:F4"/>
      <selection pane="bottomRight" activeCell="E2" sqref="E2"/>
    </sheetView>
  </sheetViews>
  <sheetFormatPr defaultColWidth="9.109375" defaultRowHeight="13.8" x14ac:dyDescent="0.25"/>
  <cols>
    <col min="1" max="2" width="3.6640625" style="321" customWidth="1"/>
    <col min="3" max="3" width="40.6640625" style="403" customWidth="1"/>
    <col min="4" max="16" width="9.6640625" style="321" customWidth="1"/>
    <col min="17" max="18" width="6.6640625" style="321" customWidth="1"/>
    <col min="19" max="19" width="8.6640625" style="321" customWidth="1"/>
    <col min="20" max="20" width="48.6640625" style="321" customWidth="1"/>
    <col min="21" max="16384" width="9.109375" style="321"/>
  </cols>
  <sheetData>
    <row r="1" spans="1:20" ht="24" customHeight="1" x14ac:dyDescent="0.25">
      <c r="A1" s="605" t="s">
        <v>497</v>
      </c>
      <c r="B1" s="606"/>
      <c r="C1" s="607"/>
      <c r="D1" s="608"/>
      <c r="E1" s="609" t="s">
        <v>787</v>
      </c>
      <c r="F1" s="27"/>
      <c r="G1" s="27"/>
      <c r="H1" s="27"/>
      <c r="I1" s="27"/>
      <c r="J1" s="27"/>
      <c r="K1" s="27"/>
      <c r="L1" s="27"/>
      <c r="M1" s="27"/>
      <c r="N1" s="27"/>
      <c r="O1" s="413"/>
      <c r="P1" s="413"/>
      <c r="Q1" s="413"/>
      <c r="R1" s="413"/>
      <c r="S1" s="413"/>
      <c r="T1" s="414"/>
    </row>
    <row r="2" spans="1:20" ht="24" customHeight="1" x14ac:dyDescent="0.25">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088" t="s">
        <v>364</v>
      </c>
      <c r="F3" s="2089"/>
      <c r="G3" s="2088" t="s">
        <v>365</v>
      </c>
      <c r="H3" s="2090"/>
      <c r="I3" s="2088" t="s">
        <v>366</v>
      </c>
      <c r="J3" s="2090"/>
      <c r="K3" s="2087" t="s">
        <v>367</v>
      </c>
      <c r="L3" s="2087"/>
      <c r="M3" s="2087" t="s">
        <v>368</v>
      </c>
      <c r="N3" s="2087"/>
      <c r="O3" s="2087" t="s">
        <v>370</v>
      </c>
      <c r="P3" s="2087"/>
      <c r="Q3" s="731"/>
      <c r="R3" s="732"/>
      <c r="S3" s="733"/>
      <c r="T3" s="735" t="s">
        <v>446</v>
      </c>
    </row>
    <row r="4" spans="1:20" ht="45" customHeight="1" x14ac:dyDescent="0.25">
      <c r="A4" s="416"/>
      <c r="B4" s="33"/>
      <c r="C4" s="603" t="e">
        <f>#REF!</f>
        <v>#REF!</v>
      </c>
      <c r="D4" s="402"/>
      <c r="E4" s="2039" t="s">
        <v>501</v>
      </c>
      <c r="F4" s="2039"/>
      <c r="G4" s="2039" t="s">
        <v>501</v>
      </c>
      <c r="H4" s="2039"/>
      <c r="I4" s="2039" t="s">
        <v>501</v>
      </c>
      <c r="J4" s="2039"/>
      <c r="K4" s="2039" t="s">
        <v>501</v>
      </c>
      <c r="L4" s="2039"/>
      <c r="M4" s="2039" t="s">
        <v>501</v>
      </c>
      <c r="N4" s="2039"/>
      <c r="O4" s="2039" t="s">
        <v>501</v>
      </c>
      <c r="P4" s="2039"/>
      <c r="Q4" s="485"/>
      <c r="R4" s="485"/>
      <c r="S4" s="485"/>
      <c r="T4" s="463" t="s">
        <v>387</v>
      </c>
    </row>
    <row r="5" spans="1:20" ht="36" customHeight="1" x14ac:dyDescent="0.25">
      <c r="A5" s="417"/>
      <c r="B5" s="404"/>
      <c r="C5" s="405"/>
      <c r="D5" s="406"/>
      <c r="E5" s="49" t="s">
        <v>8</v>
      </c>
      <c r="F5" s="51" t="s">
        <v>371</v>
      </c>
      <c r="G5" s="49" t="s">
        <v>8</v>
      </c>
      <c r="H5" s="51" t="s">
        <v>371</v>
      </c>
      <c r="I5" s="49" t="s">
        <v>8</v>
      </c>
      <c r="J5" s="51" t="s">
        <v>371</v>
      </c>
      <c r="K5" s="49" t="s">
        <v>8</v>
      </c>
      <c r="L5" s="51" t="s">
        <v>371</v>
      </c>
      <c r="M5" s="49" t="s">
        <v>8</v>
      </c>
      <c r="N5" s="51" t="s">
        <v>371</v>
      </c>
      <c r="O5" s="49" t="s">
        <v>8</v>
      </c>
      <c r="P5" s="51" t="s">
        <v>371</v>
      </c>
      <c r="Q5" s="664" t="s">
        <v>430</v>
      </c>
      <c r="R5" s="665" t="s">
        <v>442</v>
      </c>
      <c r="S5" s="666" t="s">
        <v>443</v>
      </c>
      <c r="T5" s="463" t="s">
        <v>444</v>
      </c>
    </row>
    <row r="6" spans="1:20" ht="24" customHeight="1" x14ac:dyDescent="0.25">
      <c r="A6" s="2078" t="s">
        <v>441</v>
      </c>
      <c r="B6" s="2079"/>
      <c r="C6" s="12" t="s">
        <v>374</v>
      </c>
      <c r="D6" s="470" t="s">
        <v>4</v>
      </c>
      <c r="E6" s="355"/>
      <c r="F6" s="411"/>
      <c r="G6" s="410"/>
      <c r="H6" s="407"/>
      <c r="I6" s="410"/>
      <c r="J6" s="407"/>
      <c r="K6" s="410"/>
      <c r="L6" s="411"/>
      <c r="M6" s="355"/>
      <c r="N6" s="411"/>
      <c r="O6" s="355"/>
      <c r="P6" s="411"/>
      <c r="Q6" s="660"/>
      <c r="R6" s="622"/>
      <c r="S6" s="486"/>
      <c r="T6" s="811" t="s">
        <v>504</v>
      </c>
    </row>
    <row r="7" spans="1:20" ht="24" customHeight="1" x14ac:dyDescent="0.25">
      <c r="A7" s="2080"/>
      <c r="B7" s="2081"/>
      <c r="C7" s="12" t="s">
        <v>375</v>
      </c>
      <c r="D7" s="470" t="s">
        <v>5</v>
      </c>
      <c r="E7" s="410"/>
      <c r="F7" s="623"/>
      <c r="G7" s="410"/>
      <c r="H7" s="622"/>
      <c r="I7" s="410"/>
      <c r="J7" s="622"/>
      <c r="K7" s="410"/>
      <c r="L7" s="623"/>
      <c r="M7" s="410"/>
      <c r="N7" s="623"/>
      <c r="O7" s="410"/>
      <c r="P7" s="623"/>
      <c r="Q7" s="660"/>
      <c r="R7" s="622"/>
      <c r="S7" s="486"/>
      <c r="T7" s="415"/>
    </row>
    <row r="8" spans="1:20" ht="24" customHeight="1" x14ac:dyDescent="0.25">
      <c r="A8" s="2080"/>
      <c r="B8" s="2081"/>
      <c r="C8" s="12" t="s">
        <v>376</v>
      </c>
      <c r="D8" s="470" t="s">
        <v>5</v>
      </c>
      <c r="E8" s="331"/>
      <c r="F8" s="412"/>
      <c r="G8" s="331"/>
      <c r="H8" s="408"/>
      <c r="I8" s="331"/>
      <c r="J8" s="408"/>
      <c r="K8" s="331"/>
      <c r="L8" s="412"/>
      <c r="M8" s="331"/>
      <c r="N8" s="412"/>
      <c r="O8" s="331"/>
      <c r="P8" s="412"/>
      <c r="Q8" s="661"/>
      <c r="R8" s="408"/>
      <c r="S8" s="486"/>
      <c r="T8" s="415"/>
    </row>
    <row r="9" spans="1:20" ht="24" customHeight="1" x14ac:dyDescent="0.25">
      <c r="A9" s="2080"/>
      <c r="B9" s="2081"/>
      <c r="C9" s="17" t="s">
        <v>503</v>
      </c>
      <c r="D9" s="66" t="s">
        <v>363</v>
      </c>
      <c r="E9" s="640">
        <v>0</v>
      </c>
      <c r="F9" s="638"/>
      <c r="G9" s="640">
        <v>2</v>
      </c>
      <c r="H9" s="638"/>
      <c r="I9" s="640">
        <v>3</v>
      </c>
      <c r="J9" s="638"/>
      <c r="K9" s="640">
        <v>6</v>
      </c>
      <c r="L9" s="638"/>
      <c r="M9" s="640">
        <v>10</v>
      </c>
      <c r="N9" s="638"/>
      <c r="O9" s="640">
        <v>1</v>
      </c>
      <c r="P9" s="466"/>
      <c r="Q9" s="662">
        <f>'Gate Seating Base'!I7</f>
        <v>190</v>
      </c>
      <c r="R9" s="612">
        <f>'Gate Seating Base'!I13</f>
        <v>129</v>
      </c>
      <c r="S9" s="612">
        <f>'Gate Seating Base'!J22</f>
        <v>3409.1806311612627</v>
      </c>
      <c r="T9" s="657" t="str">
        <f>CONCATENATE("Large ADG III/Code C, ref.: ",'Gate Seating Base'!I6)</f>
        <v>Large ADG III/Code C, ref.: JetBlue A321</v>
      </c>
    </row>
    <row r="10" spans="1:20" ht="24" customHeight="1" x14ac:dyDescent="0.25">
      <c r="A10" s="2080"/>
      <c r="B10" s="2081"/>
      <c r="C10" s="17" t="s">
        <v>502</v>
      </c>
      <c r="D10" s="66" t="s">
        <v>363</v>
      </c>
      <c r="E10" s="640">
        <v>0</v>
      </c>
      <c r="F10" s="638"/>
      <c r="G10" s="640">
        <v>0</v>
      </c>
      <c r="H10" s="638"/>
      <c r="I10" s="640">
        <v>1</v>
      </c>
      <c r="J10" s="638"/>
      <c r="K10" s="640">
        <v>0</v>
      </c>
      <c r="L10" s="638"/>
      <c r="M10" s="640">
        <v>0</v>
      </c>
      <c r="N10" s="638"/>
      <c r="O10" s="640">
        <v>0</v>
      </c>
      <c r="P10" s="465"/>
      <c r="Q10" s="662">
        <f>'Gate Seating Base'!M7</f>
        <v>252</v>
      </c>
      <c r="R10" s="612">
        <f>'Gate Seating Base'!M13</f>
        <v>154</v>
      </c>
      <c r="S10" s="612">
        <f>'Gate Seating Base'!N22</f>
        <v>4057.0479445581118</v>
      </c>
      <c r="T10" s="658" t="str">
        <f>CONCATENATE("Small ADG V/Code E, ref.: ",'Gate Seating Base'!M6)</f>
        <v>Small ADG V/Code E, ref.: US Airways A330-200</v>
      </c>
    </row>
    <row r="11" spans="1:20" ht="24" customHeight="1" x14ac:dyDescent="0.25">
      <c r="A11" s="2080"/>
      <c r="B11" s="2081"/>
      <c r="C11" s="99" t="s">
        <v>362</v>
      </c>
      <c r="D11" s="66" t="s">
        <v>363</v>
      </c>
      <c r="E11" s="641">
        <v>0</v>
      </c>
      <c r="F11" s="639"/>
      <c r="G11" s="770">
        <f>'All Years'!AC12</f>
        <v>1</v>
      </c>
      <c r="H11" s="639"/>
      <c r="I11" s="641">
        <v>0</v>
      </c>
      <c r="J11" s="639"/>
      <c r="K11" s="641">
        <v>1</v>
      </c>
      <c r="L11" s="639"/>
      <c r="M11" s="641">
        <v>0</v>
      </c>
      <c r="N11" s="639"/>
      <c r="O11" s="641">
        <v>0</v>
      </c>
      <c r="P11" s="467"/>
      <c r="Q11" s="663">
        <f>'Gate Seating Base'!K27</f>
        <v>516</v>
      </c>
      <c r="R11" s="642">
        <f>'Gate Seating Base'!K33</f>
        <v>315</v>
      </c>
      <c r="S11" s="642">
        <f>'Gate Seating Base'!L42</f>
        <v>7928.6907533015074</v>
      </c>
      <c r="T11" s="659" t="str">
        <f>CONCATENATE("ADG VI/Code F, ref.: ",'Gate Seating Base'!K26)</f>
        <v>ADG VI/Code F, ref.: Air France A380</v>
      </c>
    </row>
    <row r="12" spans="1:20" ht="24" customHeight="1" x14ac:dyDescent="0.25">
      <c r="A12" s="2082"/>
      <c r="B12" s="2083"/>
      <c r="C12" s="464" t="s">
        <v>369</v>
      </c>
      <c r="D12" s="471" t="s">
        <v>167</v>
      </c>
      <c r="E12" s="613">
        <f>E9+E10+E11*2</f>
        <v>0</v>
      </c>
      <c r="F12" s="468"/>
      <c r="G12" s="772">
        <f>G9+G10+G11*2</f>
        <v>4</v>
      </c>
      <c r="H12" s="773"/>
      <c r="I12" s="613">
        <f>I9+I10+I11*2</f>
        <v>4</v>
      </c>
      <c r="J12" s="468"/>
      <c r="K12" s="613">
        <f>K9+K10+K11*2</f>
        <v>8</v>
      </c>
      <c r="L12" s="468"/>
      <c r="M12" s="613">
        <f>M9+M10+M11*2</f>
        <v>10</v>
      </c>
      <c r="N12" s="468"/>
      <c r="O12" s="613">
        <f>O9+O10+O11*2</f>
        <v>1</v>
      </c>
      <c r="P12" s="468"/>
      <c r="Q12" s="647"/>
      <c r="R12" s="647"/>
      <c r="S12" s="614">
        <f>SUM(E12:P12)</f>
        <v>27</v>
      </c>
      <c r="T12" s="487" t="s">
        <v>377</v>
      </c>
    </row>
    <row r="13" spans="1:20" ht="24" customHeight="1" x14ac:dyDescent="0.25">
      <c r="A13" s="472"/>
      <c r="B13" s="473"/>
      <c r="C13" s="491" t="s">
        <v>378</v>
      </c>
      <c r="D13" s="474"/>
      <c r="E13" s="475"/>
      <c r="F13" s="476"/>
      <c r="G13" s="475"/>
      <c r="H13" s="476"/>
      <c r="I13" s="475"/>
      <c r="J13" s="476"/>
      <c r="K13" s="475"/>
      <c r="L13" s="476"/>
      <c r="M13" s="475"/>
      <c r="N13" s="476"/>
      <c r="O13" s="475"/>
      <c r="P13" s="476"/>
      <c r="Q13" s="648"/>
      <c r="R13" s="648"/>
      <c r="S13" s="492"/>
      <c r="T13" s="477"/>
    </row>
    <row r="14" spans="1:20" ht="24" customHeight="1" x14ac:dyDescent="0.25">
      <c r="A14" s="472"/>
      <c r="B14" s="473"/>
      <c r="C14" s="490" t="s">
        <v>341</v>
      </c>
      <c r="D14" s="478" t="s">
        <v>384</v>
      </c>
      <c r="E14" s="652">
        <f>SUMPRODUCT(E9:E11,$R9:$R11)</f>
        <v>0</v>
      </c>
      <c r="F14" s="615">
        <f>SUMPRODUCT(E9:E11,$S9:$S11)</f>
        <v>0</v>
      </c>
      <c r="G14" s="652">
        <f>SUMPRODUCT(G9:G11,$R9:$R11)</f>
        <v>573</v>
      </c>
      <c r="H14" s="615">
        <f>SUMPRODUCT(G9:G11,$S9:$S11)</f>
        <v>14747.052015624033</v>
      </c>
      <c r="I14" s="652">
        <f>SUMPRODUCT(I9:I11,$R9:$R11)</f>
        <v>541</v>
      </c>
      <c r="J14" s="615">
        <f>SUMPRODUCT(I9:I11,$S9:$S11)</f>
        <v>14284.589838041898</v>
      </c>
      <c r="K14" s="652">
        <f>SUMPRODUCT(K9:K11,$R9:$R11)</f>
        <v>1089</v>
      </c>
      <c r="L14" s="615">
        <f>SUMPRODUCT(K9:K11,$S9:$S11)</f>
        <v>28383.774540269082</v>
      </c>
      <c r="M14" s="652">
        <f>SUMPRODUCT(M9:M11,$R9:$R11)</f>
        <v>1290</v>
      </c>
      <c r="N14" s="615">
        <f>SUMPRODUCT(M9:M11,$S9:$S11)</f>
        <v>34091.806311612629</v>
      </c>
      <c r="O14" s="652">
        <f>SUMPRODUCT(O9:O11,$R9:$R11)</f>
        <v>129</v>
      </c>
      <c r="P14" s="615">
        <f>SUMPRODUCT(O9:O11,$S9:$S11)</f>
        <v>3409.1806311612627</v>
      </c>
      <c r="Q14" s="756"/>
      <c r="R14" s="649"/>
      <c r="S14" s="480"/>
      <c r="T14" s="477"/>
    </row>
    <row r="15" spans="1:20" ht="24" customHeight="1" x14ac:dyDescent="0.25">
      <c r="A15" s="472"/>
      <c r="B15" s="473"/>
      <c r="C15" s="490"/>
      <c r="D15" s="478"/>
      <c r="E15" s="479"/>
      <c r="F15" s="489"/>
      <c r="G15" s="479"/>
      <c r="H15" s="488"/>
      <c r="I15" s="479"/>
      <c r="J15" s="488"/>
      <c r="K15" s="479"/>
      <c r="L15" s="489"/>
      <c r="M15" s="479"/>
      <c r="N15" s="489"/>
      <c r="O15" s="479"/>
      <c r="P15" s="489"/>
      <c r="Q15" s="488"/>
      <c r="R15" s="488"/>
      <c r="S15" s="480"/>
      <c r="T15" s="477"/>
    </row>
    <row r="16" spans="1:20" ht="24" customHeight="1" x14ac:dyDescent="0.25">
      <c r="A16" s="481"/>
      <c r="B16" s="482"/>
      <c r="C16" s="645" t="s">
        <v>433</v>
      </c>
      <c r="D16" s="545"/>
      <c r="E16" s="547"/>
      <c r="F16" s="618"/>
      <c r="G16" s="547"/>
      <c r="H16" s="546"/>
      <c r="I16" s="547"/>
      <c r="J16" s="546"/>
      <c r="K16" s="547"/>
      <c r="L16" s="618"/>
      <c r="M16" s="547"/>
      <c r="N16" s="618"/>
      <c r="O16" s="547"/>
      <c r="P16" s="548"/>
      <c r="Q16" s="650"/>
      <c r="R16" s="650"/>
      <c r="S16" s="549"/>
      <c r="T16" s="550"/>
    </row>
    <row r="17" spans="1:20" ht="24" customHeight="1" x14ac:dyDescent="0.25">
      <c r="A17" s="481"/>
      <c r="B17" s="482"/>
      <c r="C17" s="646" t="s">
        <v>164</v>
      </c>
      <c r="D17" s="621" t="s">
        <v>373</v>
      </c>
      <c r="E17" s="552"/>
      <c r="F17" s="553"/>
      <c r="G17" s="552"/>
      <c r="H17" s="551"/>
      <c r="I17" s="552"/>
      <c r="J17" s="551"/>
      <c r="K17" s="552"/>
      <c r="L17" s="553"/>
      <c r="M17" s="552"/>
      <c r="N17" s="553"/>
      <c r="O17" s="555"/>
      <c r="P17" s="553"/>
      <c r="Q17" s="551"/>
      <c r="R17" s="551"/>
      <c r="S17" s="554"/>
      <c r="T17" s="483"/>
    </row>
    <row r="18" spans="1:20" ht="24" customHeight="1" x14ac:dyDescent="0.25">
      <c r="A18" s="481"/>
      <c r="B18" s="482"/>
      <c r="C18" s="646" t="s">
        <v>354</v>
      </c>
      <c r="D18" s="621" t="s">
        <v>373</v>
      </c>
      <c r="E18" s="552"/>
      <c r="F18" s="553"/>
      <c r="G18" s="552"/>
      <c r="H18" s="551"/>
      <c r="I18" s="552"/>
      <c r="J18" s="551"/>
      <c r="K18" s="552"/>
      <c r="L18" s="553"/>
      <c r="M18" s="552"/>
      <c r="N18" s="553"/>
      <c r="O18" s="555"/>
      <c r="P18" s="553"/>
      <c r="Q18" s="551"/>
      <c r="R18" s="551"/>
      <c r="S18" s="554"/>
      <c r="T18" s="483"/>
    </row>
    <row r="19" spans="1:20" ht="24" customHeight="1" x14ac:dyDescent="0.25">
      <c r="A19" s="481"/>
      <c r="B19" s="482"/>
      <c r="C19" s="646" t="s">
        <v>432</v>
      </c>
      <c r="D19" s="621" t="s">
        <v>373</v>
      </c>
      <c r="E19" s="552"/>
      <c r="F19" s="553"/>
      <c r="G19" s="552"/>
      <c r="H19" s="551"/>
      <c r="I19" s="552"/>
      <c r="J19" s="551"/>
      <c r="K19" s="552"/>
      <c r="L19" s="553"/>
      <c r="M19" s="552"/>
      <c r="N19" s="553"/>
      <c r="O19" s="555"/>
      <c r="P19" s="553"/>
      <c r="Q19" s="551"/>
      <c r="R19" s="551"/>
      <c r="S19" s="554"/>
      <c r="T19" s="483"/>
    </row>
    <row r="20" spans="1:20" ht="24" customHeight="1" x14ac:dyDescent="0.25">
      <c r="A20" s="481"/>
      <c r="B20" s="482"/>
      <c r="C20" s="646" t="s">
        <v>372</v>
      </c>
      <c r="D20" s="643" t="s">
        <v>388</v>
      </c>
      <c r="E20" s="555"/>
      <c r="F20" s="617">
        <v>45000</v>
      </c>
      <c r="G20" s="555"/>
      <c r="H20" s="616">
        <v>2000</v>
      </c>
      <c r="I20" s="555"/>
      <c r="J20" s="616">
        <v>15000</v>
      </c>
      <c r="K20" s="555"/>
      <c r="L20" s="617">
        <v>3000</v>
      </c>
      <c r="M20" s="555"/>
      <c r="N20" s="617">
        <v>8000</v>
      </c>
      <c r="O20" s="555"/>
      <c r="P20" s="617">
        <v>0</v>
      </c>
      <c r="Q20" s="667" t="s">
        <v>434</v>
      </c>
      <c r="R20" s="616"/>
      <c r="S20" s="554"/>
      <c r="T20" s="483"/>
    </row>
    <row r="21" spans="1:20" ht="24" customHeight="1" x14ac:dyDescent="0.25">
      <c r="A21" s="496"/>
      <c r="B21" s="497"/>
      <c r="C21" s="498" t="s">
        <v>355</v>
      </c>
      <c r="D21" s="500"/>
      <c r="E21" s="502"/>
      <c r="F21" s="556"/>
      <c r="G21" s="502"/>
      <c r="H21" s="544"/>
      <c r="I21" s="502"/>
      <c r="J21" s="544"/>
      <c r="K21" s="502"/>
      <c r="L21" s="556"/>
      <c r="M21" s="502"/>
      <c r="N21" s="556"/>
      <c r="O21" s="620"/>
      <c r="P21" s="556"/>
      <c r="Q21" s="544"/>
      <c r="R21" s="544"/>
      <c r="S21" s="544"/>
      <c r="T21" s="501"/>
    </row>
    <row r="22" spans="1:20" ht="24" customHeight="1" x14ac:dyDescent="0.25">
      <c r="A22" s="496"/>
      <c r="B22" s="497"/>
      <c r="C22" s="499" t="s">
        <v>164</v>
      </c>
      <c r="D22" s="543" t="s">
        <v>382</v>
      </c>
      <c r="E22" s="502"/>
      <c r="F22" s="559"/>
      <c r="G22" s="502"/>
      <c r="H22" s="557"/>
      <c r="I22" s="502"/>
      <c r="J22" s="557"/>
      <c r="K22" s="502"/>
      <c r="L22" s="556"/>
      <c r="M22" s="502"/>
      <c r="N22" s="556"/>
      <c r="O22" s="620"/>
      <c r="P22" s="556"/>
      <c r="Q22" s="544"/>
      <c r="R22" s="544"/>
      <c r="S22" s="558"/>
      <c r="T22" s="501"/>
    </row>
    <row r="23" spans="1:20" ht="24" customHeight="1" x14ac:dyDescent="0.25">
      <c r="A23" s="496"/>
      <c r="B23" s="497"/>
      <c r="C23" s="499" t="s">
        <v>165</v>
      </c>
      <c r="D23" s="543" t="s">
        <v>382</v>
      </c>
      <c r="E23" s="502"/>
      <c r="F23" s="559"/>
      <c r="G23" s="502"/>
      <c r="H23" s="557"/>
      <c r="I23" s="502"/>
      <c r="J23" s="557"/>
      <c r="K23" s="502"/>
      <c r="L23" s="556"/>
      <c r="M23" s="502"/>
      <c r="N23" s="556"/>
      <c r="O23" s="620"/>
      <c r="P23" s="556"/>
      <c r="Q23" s="544"/>
      <c r="R23" s="544"/>
      <c r="S23" s="558"/>
      <c r="T23" s="501"/>
    </row>
    <row r="24" spans="1:20" ht="24" customHeight="1" x14ac:dyDescent="0.25">
      <c r="A24" s="496"/>
      <c r="B24" s="497"/>
      <c r="C24" s="499" t="s">
        <v>432</v>
      </c>
      <c r="D24" s="543" t="s">
        <v>382</v>
      </c>
      <c r="E24" s="502"/>
      <c r="F24" s="559"/>
      <c r="G24" s="502"/>
      <c r="H24" s="557"/>
      <c r="I24" s="502"/>
      <c r="J24" s="557"/>
      <c r="K24" s="502"/>
      <c r="L24" s="556"/>
      <c r="M24" s="502"/>
      <c r="N24" s="556"/>
      <c r="O24" s="620"/>
      <c r="P24" s="556"/>
      <c r="Q24" s="544"/>
      <c r="R24" s="544"/>
      <c r="S24" s="558"/>
      <c r="T24" s="501"/>
    </row>
    <row r="25" spans="1:20" ht="24" customHeight="1" x14ac:dyDescent="0.25">
      <c r="A25" s="496"/>
      <c r="B25" s="497"/>
      <c r="C25" s="499" t="s">
        <v>357</v>
      </c>
      <c r="D25" s="543" t="s">
        <v>383</v>
      </c>
      <c r="E25" s="589"/>
      <c r="F25" s="591"/>
      <c r="G25" s="589"/>
      <c r="H25" s="590"/>
      <c r="I25" s="589"/>
      <c r="J25" s="590"/>
      <c r="K25" s="589"/>
      <c r="L25" s="591"/>
      <c r="M25" s="589"/>
      <c r="N25" s="591"/>
      <c r="O25" s="589"/>
      <c r="P25" s="591"/>
      <c r="Q25" s="590"/>
      <c r="R25" s="590"/>
      <c r="S25" s="590"/>
      <c r="T25" s="501"/>
    </row>
    <row r="26" spans="1:20" ht="24" customHeight="1" x14ac:dyDescent="0.25">
      <c r="A26" s="584"/>
      <c r="B26" s="585"/>
      <c r="C26" s="493" t="s">
        <v>186</v>
      </c>
      <c r="D26" s="653" t="s">
        <v>373</v>
      </c>
      <c r="E26" s="519"/>
      <c r="F26" s="520">
        <v>1000</v>
      </c>
      <c r="G26" s="519"/>
      <c r="H26" s="518">
        <v>0</v>
      </c>
      <c r="I26" s="519"/>
      <c r="J26" s="518">
        <v>1000</v>
      </c>
      <c r="K26" s="519"/>
      <c r="L26" s="520">
        <v>0</v>
      </c>
      <c r="M26" s="519"/>
      <c r="N26" s="520">
        <v>1000</v>
      </c>
      <c r="O26" s="519"/>
      <c r="P26" s="520">
        <v>0</v>
      </c>
      <c r="Q26" s="667" t="s">
        <v>166</v>
      </c>
      <c r="R26" s="518"/>
      <c r="S26" s="494"/>
      <c r="T26" s="592"/>
    </row>
    <row r="27" spans="1:20" ht="24" customHeight="1" x14ac:dyDescent="0.25">
      <c r="A27" s="503"/>
      <c r="B27" s="504"/>
      <c r="C27" s="495" t="s">
        <v>342</v>
      </c>
      <c r="D27" s="505"/>
      <c r="E27" s="510"/>
      <c r="F27" s="509"/>
      <c r="G27" s="510"/>
      <c r="H27" s="509"/>
      <c r="I27" s="510"/>
      <c r="J27" s="509"/>
      <c r="K27" s="510"/>
      <c r="L27" s="509"/>
      <c r="M27" s="510"/>
      <c r="N27" s="509"/>
      <c r="O27" s="510"/>
      <c r="P27" s="509"/>
      <c r="Q27" s="668"/>
      <c r="R27" s="563"/>
      <c r="S27" s="563"/>
      <c r="T27" s="596"/>
    </row>
    <row r="28" spans="1:20" ht="24" customHeight="1" x14ac:dyDescent="0.25">
      <c r="A28" s="503"/>
      <c r="B28" s="504"/>
      <c r="C28" s="506" t="s">
        <v>379</v>
      </c>
      <c r="D28" s="586" t="s">
        <v>383</v>
      </c>
      <c r="E28" s="629">
        <v>1</v>
      </c>
      <c r="F28" s="677">
        <f>E28*$Q28</f>
        <v>2500</v>
      </c>
      <c r="G28" s="629">
        <v>0</v>
      </c>
      <c r="H28" s="677">
        <f>G28*$Q28</f>
        <v>0</v>
      </c>
      <c r="I28" s="629">
        <v>1</v>
      </c>
      <c r="J28" s="677">
        <f>I28*$Q28</f>
        <v>2500</v>
      </c>
      <c r="K28" s="629">
        <v>1</v>
      </c>
      <c r="L28" s="677">
        <f>K28*$Q28</f>
        <v>2500</v>
      </c>
      <c r="M28" s="629">
        <v>2</v>
      </c>
      <c r="N28" s="677">
        <f>M28*$Q28</f>
        <v>5000</v>
      </c>
      <c r="O28" s="629">
        <v>1</v>
      </c>
      <c r="P28" s="677">
        <f>O28*$Q28</f>
        <v>2500</v>
      </c>
      <c r="Q28" s="689">
        <v>2500</v>
      </c>
      <c r="R28" s="676" t="s">
        <v>440</v>
      </c>
      <c r="S28" s="507"/>
      <c r="T28" s="593"/>
    </row>
    <row r="29" spans="1:20" ht="24" customHeight="1" x14ac:dyDescent="0.25">
      <c r="A29" s="503"/>
      <c r="B29" s="504"/>
      <c r="C29" s="679" t="s">
        <v>385</v>
      </c>
      <c r="D29" s="586" t="s">
        <v>383</v>
      </c>
      <c r="E29" s="627"/>
      <c r="F29" s="628">
        <v>100</v>
      </c>
      <c r="G29" s="508"/>
      <c r="H29" s="626">
        <v>0</v>
      </c>
      <c r="I29" s="508"/>
      <c r="J29" s="628">
        <v>100</v>
      </c>
      <c r="K29" s="508"/>
      <c r="L29" s="628">
        <v>0</v>
      </c>
      <c r="M29" s="508"/>
      <c r="N29" s="628">
        <v>100</v>
      </c>
      <c r="O29" s="508"/>
      <c r="P29" s="628">
        <v>0</v>
      </c>
      <c r="Q29" s="669" t="s">
        <v>435</v>
      </c>
      <c r="R29" s="626"/>
      <c r="S29" s="507"/>
      <c r="T29" s="593"/>
    </row>
    <row r="30" spans="1:20" ht="24" customHeight="1" x14ac:dyDescent="0.25">
      <c r="A30" s="511"/>
      <c r="B30" s="512"/>
      <c r="C30" s="513" t="s">
        <v>358</v>
      </c>
      <c r="D30" s="587" t="s">
        <v>383</v>
      </c>
      <c r="E30" s="514"/>
      <c r="F30" s="516">
        <v>1000</v>
      </c>
      <c r="G30" s="514"/>
      <c r="H30" s="516">
        <v>0</v>
      </c>
      <c r="I30" s="514"/>
      <c r="J30" s="516">
        <v>1500</v>
      </c>
      <c r="K30" s="514"/>
      <c r="L30" s="516">
        <v>1000</v>
      </c>
      <c r="M30" s="514"/>
      <c r="N30" s="516">
        <v>1000</v>
      </c>
      <c r="O30" s="514"/>
      <c r="P30" s="516">
        <v>0</v>
      </c>
      <c r="Q30" s="670" t="s">
        <v>381</v>
      </c>
      <c r="R30" s="515"/>
      <c r="S30" s="517"/>
      <c r="T30" s="594"/>
    </row>
    <row r="31" spans="1:20" ht="24" customHeight="1" x14ac:dyDescent="0.25">
      <c r="A31" s="562"/>
      <c r="B31" s="563"/>
      <c r="C31" s="564" t="s">
        <v>87</v>
      </c>
      <c r="D31" s="586" t="s">
        <v>383</v>
      </c>
      <c r="E31" s="619"/>
      <c r="F31" s="560">
        <v>400</v>
      </c>
      <c r="G31" s="561"/>
      <c r="H31" s="560">
        <v>0</v>
      </c>
      <c r="I31" s="561"/>
      <c r="J31" s="560">
        <v>400</v>
      </c>
      <c r="K31" s="561"/>
      <c r="L31" s="560">
        <v>400</v>
      </c>
      <c r="M31" s="619"/>
      <c r="N31" s="560">
        <v>400</v>
      </c>
      <c r="O31" s="561"/>
      <c r="P31" s="560">
        <v>0</v>
      </c>
      <c r="Q31" s="671" t="s">
        <v>436</v>
      </c>
      <c r="R31" s="651"/>
      <c r="S31" s="565"/>
      <c r="T31" s="624"/>
    </row>
    <row r="32" spans="1:20" ht="24" customHeight="1" x14ac:dyDescent="0.25">
      <c r="A32" s="503"/>
      <c r="B32" s="504"/>
      <c r="C32" s="506" t="s">
        <v>437</v>
      </c>
      <c r="D32" s="644" t="s">
        <v>389</v>
      </c>
      <c r="E32" s="654"/>
      <c r="F32" s="636">
        <v>30000</v>
      </c>
      <c r="G32" s="631"/>
      <c r="H32" s="636">
        <v>6000</v>
      </c>
      <c r="I32" s="631"/>
      <c r="J32" s="636">
        <v>18000</v>
      </c>
      <c r="K32" s="631"/>
      <c r="L32" s="636">
        <v>20000</v>
      </c>
      <c r="M32" s="633"/>
      <c r="N32" s="636">
        <v>10000</v>
      </c>
      <c r="O32" s="634"/>
      <c r="P32" s="636">
        <v>0</v>
      </c>
      <c r="Q32" s="672" t="s">
        <v>380</v>
      </c>
      <c r="R32" s="632"/>
      <c r="S32" s="630"/>
      <c r="T32" s="635"/>
    </row>
    <row r="33" spans="1:20" ht="24" customHeight="1" x14ac:dyDescent="0.25">
      <c r="A33" s="511"/>
      <c r="B33" s="512"/>
      <c r="C33" s="678" t="s">
        <v>386</v>
      </c>
      <c r="D33" s="587" t="s">
        <v>383</v>
      </c>
      <c r="E33" s="655"/>
      <c r="F33" s="656">
        <v>200</v>
      </c>
      <c r="G33" s="568"/>
      <c r="H33" s="637">
        <v>0</v>
      </c>
      <c r="I33" s="568"/>
      <c r="J33" s="637">
        <v>400</v>
      </c>
      <c r="K33" s="568"/>
      <c r="L33" s="637">
        <v>200</v>
      </c>
      <c r="M33" s="566"/>
      <c r="N33" s="637">
        <v>400</v>
      </c>
      <c r="O33" s="569"/>
      <c r="P33" s="516">
        <v>200</v>
      </c>
      <c r="Q33" s="673"/>
      <c r="R33" s="515"/>
      <c r="S33" s="567"/>
      <c r="T33" s="625"/>
    </row>
    <row r="34" spans="1:20" ht="24" customHeight="1" x14ac:dyDescent="0.25">
      <c r="A34" s="570"/>
      <c r="B34" s="571"/>
      <c r="C34" s="680" t="s">
        <v>168</v>
      </c>
      <c r="D34" s="588" t="s">
        <v>383</v>
      </c>
      <c r="E34" s="573"/>
      <c r="F34" s="575">
        <f>F14+F20+F26+SUM(F28:F33)</f>
        <v>80200</v>
      </c>
      <c r="G34" s="573"/>
      <c r="H34" s="574">
        <f>H14+H20+H26+SUM(H28:H33)</f>
        <v>22747.052015624031</v>
      </c>
      <c r="I34" s="573"/>
      <c r="J34" s="574">
        <f>J14+J20+J26+SUM(J28:J33)</f>
        <v>53184.589838041895</v>
      </c>
      <c r="K34" s="573"/>
      <c r="L34" s="574">
        <f>L14+L20+L26+SUM(L28:L33)</f>
        <v>55483.774540269078</v>
      </c>
      <c r="M34" s="573"/>
      <c r="N34" s="574">
        <f>N14+N20+N26+SUM(N28:N33)</f>
        <v>59991.806311612629</v>
      </c>
      <c r="O34" s="573"/>
      <c r="P34" s="575">
        <f>P14+P20+P26+SUM(P28:P33)</f>
        <v>6109.1806311612627</v>
      </c>
      <c r="Q34" s="574"/>
      <c r="R34" s="574"/>
      <c r="S34" s="574"/>
      <c r="T34" s="576"/>
    </row>
    <row r="35" spans="1:20" ht="24" customHeight="1" x14ac:dyDescent="0.25">
      <c r="A35" s="570"/>
      <c r="B35" s="571"/>
      <c r="C35" s="572" t="s">
        <v>356</v>
      </c>
      <c r="D35" s="588" t="s">
        <v>383</v>
      </c>
      <c r="E35" s="577"/>
      <c r="F35" s="575">
        <f>F34*$Q35</f>
        <v>8020</v>
      </c>
      <c r="G35" s="577"/>
      <c r="H35" s="574">
        <f>H34*$Q35</f>
        <v>2274.7052015624031</v>
      </c>
      <c r="I35" s="577"/>
      <c r="J35" s="574">
        <f>J34*$Q35</f>
        <v>5318.4589838041902</v>
      </c>
      <c r="K35" s="577"/>
      <c r="L35" s="574">
        <f>L34*$Q35</f>
        <v>5548.3774540269078</v>
      </c>
      <c r="M35" s="577"/>
      <c r="N35" s="574">
        <f>N34*$Q35</f>
        <v>5999.1806311612636</v>
      </c>
      <c r="O35" s="577"/>
      <c r="P35" s="575">
        <f>P34*$Q35</f>
        <v>610.91806311612629</v>
      </c>
      <c r="Q35" s="578">
        <v>0.1</v>
      </c>
      <c r="R35" s="674" t="s">
        <v>289</v>
      </c>
      <c r="S35" s="574"/>
      <c r="T35" s="576"/>
    </row>
    <row r="36" spans="1:20" ht="24" customHeight="1" x14ac:dyDescent="0.25">
      <c r="A36" s="579"/>
      <c r="B36" s="580"/>
      <c r="C36" s="681" t="s">
        <v>297</v>
      </c>
      <c r="D36" s="682" t="s">
        <v>438</v>
      </c>
      <c r="E36" s="581"/>
      <c r="F36" s="690">
        <f>ROUND(F34+F35,-3)</f>
        <v>88000</v>
      </c>
      <c r="G36" s="691"/>
      <c r="H36" s="690">
        <f>ROUND(H34+H35,-3)</f>
        <v>25000</v>
      </c>
      <c r="I36" s="691"/>
      <c r="J36" s="690">
        <f>ROUND(J34+J35,-3)</f>
        <v>59000</v>
      </c>
      <c r="K36" s="691"/>
      <c r="L36" s="690">
        <f>ROUND(L34+L35,-3)</f>
        <v>61000</v>
      </c>
      <c r="M36" s="691"/>
      <c r="N36" s="690">
        <f>ROUND(N34+N35,-3)</f>
        <v>66000</v>
      </c>
      <c r="O36" s="691"/>
      <c r="P36" s="690">
        <f>ROUND(P34+P35,-3)</f>
        <v>7000</v>
      </c>
      <c r="Q36" s="675" t="s">
        <v>439</v>
      </c>
      <c r="R36" s="675"/>
      <c r="S36" s="582"/>
      <c r="T36" s="583"/>
    </row>
    <row r="37" spans="1:20" ht="24" customHeight="1" x14ac:dyDescent="0.25">
      <c r="A37" s="418"/>
      <c r="B37" s="323"/>
      <c r="C37" s="323"/>
      <c r="D37" s="323"/>
      <c r="E37" s="2084" t="str">
        <f>E3</f>
        <v>Zone 1</v>
      </c>
      <c r="F37" s="2065"/>
      <c r="G37" s="2084" t="str">
        <f>G3</f>
        <v>Zone 1A</v>
      </c>
      <c r="H37" s="2086"/>
      <c r="I37" s="2084" t="str">
        <f>I3</f>
        <v>Zone 2</v>
      </c>
      <c r="J37" s="2086"/>
      <c r="K37" s="2085" t="str">
        <f>K3</f>
        <v>Zone 3</v>
      </c>
      <c r="L37" s="2085"/>
      <c r="M37" s="2085" t="str">
        <f>M3</f>
        <v>Zone 4</v>
      </c>
      <c r="N37" s="2085"/>
      <c r="O37" s="2085" t="str">
        <f>O3</f>
        <v>Orphan</v>
      </c>
      <c r="P37" s="2085"/>
      <c r="Q37" s="595"/>
      <c r="R37" s="595"/>
      <c r="S37" s="595"/>
      <c r="T37" s="419"/>
    </row>
    <row r="38" spans="1:20" ht="24" customHeight="1" thickBot="1" x14ac:dyDescent="0.3">
      <c r="A38" s="420"/>
      <c r="B38" s="421"/>
      <c r="C38" s="421"/>
      <c r="D38" s="421"/>
      <c r="E38" s="421"/>
      <c r="F38" s="421"/>
      <c r="G38" s="421"/>
      <c r="H38" s="421"/>
      <c r="I38" s="421"/>
      <c r="J38" s="421"/>
      <c r="K38" s="421"/>
      <c r="L38" s="421"/>
      <c r="M38" s="421"/>
      <c r="N38" s="421"/>
      <c r="O38" s="421"/>
      <c r="P38" s="422"/>
      <c r="Q38" s="422"/>
      <c r="R38" s="422"/>
      <c r="S38" s="422"/>
      <c r="T38" s="423"/>
    </row>
    <row r="39" spans="1:20" ht="24" customHeight="1" x14ac:dyDescent="0.25">
      <c r="A39" s="323"/>
      <c r="B39" s="323"/>
      <c r="C39" s="323"/>
      <c r="D39" s="323"/>
      <c r="E39" s="323"/>
      <c r="F39" s="323"/>
      <c r="G39" s="323"/>
      <c r="H39" s="323"/>
      <c r="I39" s="323"/>
      <c r="J39" s="323"/>
      <c r="K39" s="323"/>
      <c r="L39" s="323"/>
      <c r="M39" s="323"/>
      <c r="N39" s="323"/>
      <c r="O39" s="323"/>
      <c r="P39" s="424"/>
      <c r="Q39" s="424"/>
      <c r="R39" s="424"/>
      <c r="S39" s="424"/>
      <c r="T39" s="323"/>
    </row>
    <row r="40" spans="1:20" ht="24" customHeight="1" x14ac:dyDescent="0.25"/>
    <row r="41" spans="1:20" ht="24" customHeight="1" x14ac:dyDescent="0.25"/>
    <row r="42" spans="1:20" ht="24" customHeight="1" x14ac:dyDescent="0.25"/>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c r="C49" s="321"/>
    </row>
    <row r="50" spans="3:3" ht="24" customHeight="1" x14ac:dyDescent="0.25">
      <c r="C50" s="321"/>
    </row>
    <row r="51" spans="3:3" ht="24" customHeight="1" x14ac:dyDescent="0.25">
      <c r="C51" s="321"/>
    </row>
    <row r="52" spans="3:3" ht="24" customHeight="1" x14ac:dyDescent="0.25">
      <c r="C52" s="321"/>
    </row>
    <row r="53" spans="3:3" ht="24" customHeight="1" x14ac:dyDescent="0.25">
      <c r="C53" s="321"/>
    </row>
    <row r="54" spans="3:3" ht="24" customHeight="1" x14ac:dyDescent="0.25">
      <c r="C54" s="321"/>
    </row>
  </sheetData>
  <mergeCells count="19">
    <mergeCell ref="O3:P3"/>
    <mergeCell ref="E3:F3"/>
    <mergeCell ref="G3:H3"/>
    <mergeCell ref="I3:J3"/>
    <mergeCell ref="K3:L3"/>
    <mergeCell ref="M3:N3"/>
    <mergeCell ref="A6:B12"/>
    <mergeCell ref="E4:F4"/>
    <mergeCell ref="E37:F37"/>
    <mergeCell ref="K37:L37"/>
    <mergeCell ref="O4:P4"/>
    <mergeCell ref="G4:H4"/>
    <mergeCell ref="M4:N4"/>
    <mergeCell ref="G37:H37"/>
    <mergeCell ref="O37:P37"/>
    <mergeCell ref="I37:J37"/>
    <mergeCell ref="M37:N37"/>
    <mergeCell ref="I4:J4"/>
    <mergeCell ref="K4:L4"/>
  </mergeCells>
  <printOptions horizontalCentered="1"/>
  <pageMargins left="0.39370078740157483" right="0.39370078740157483" top="0.39370078740157483" bottom="0.59055118110236227" header="0.23622047244094491" footer="0.23622047244094491"/>
  <pageSetup paperSize="3" scale="79" orientation="landscape" horizontalDpi="1200" verticalDpi="1200" r:id="rId1"/>
  <headerFooter>
    <oddFooter>&amp;L&amp;F&amp;C&amp;A&amp;RPrinted &amp;D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54"/>
  <sheetViews>
    <sheetView workbookViewId="0">
      <pane xSplit="4" ySplit="5" topLeftCell="E6" activePane="bottomRight" state="frozen"/>
      <selection activeCell="E4" sqref="E4:F4"/>
      <selection pane="topRight" activeCell="E4" sqref="E4:F4"/>
      <selection pane="bottomLeft" activeCell="E4" sqref="E4:F4"/>
      <selection pane="bottomRight" activeCell="E2" sqref="E2"/>
    </sheetView>
  </sheetViews>
  <sheetFormatPr defaultColWidth="9.109375" defaultRowHeight="13.8" x14ac:dyDescent="0.25"/>
  <cols>
    <col min="1" max="2" width="3.6640625" style="321" customWidth="1"/>
    <col min="3" max="3" width="40.6640625" style="403" customWidth="1"/>
    <col min="4" max="16" width="9.6640625" style="321" customWidth="1"/>
    <col min="17" max="18" width="6.6640625" style="321" customWidth="1"/>
    <col min="19" max="19" width="8.6640625" style="321" customWidth="1"/>
    <col min="20" max="20" width="48.6640625" style="321" customWidth="1"/>
    <col min="21" max="16384" width="9.109375" style="321"/>
  </cols>
  <sheetData>
    <row r="1" spans="1:20" ht="24" customHeight="1" x14ac:dyDescent="0.25">
      <c r="A1" s="605" t="s">
        <v>497</v>
      </c>
      <c r="B1" s="606"/>
      <c r="C1" s="607"/>
      <c r="D1" s="608"/>
      <c r="E1" s="609" t="s">
        <v>788</v>
      </c>
      <c r="F1" s="27"/>
      <c r="G1" s="27"/>
      <c r="H1" s="27"/>
      <c r="I1" s="27"/>
      <c r="J1" s="27"/>
      <c r="K1" s="27"/>
      <c r="L1" s="27"/>
      <c r="M1" s="27"/>
      <c r="N1" s="27"/>
      <c r="O1" s="413"/>
      <c r="P1" s="413"/>
      <c r="Q1" s="413"/>
      <c r="R1" s="413"/>
      <c r="S1" s="413"/>
      <c r="T1" s="414"/>
    </row>
    <row r="2" spans="1:20" ht="24" customHeight="1" x14ac:dyDescent="0.25">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088" t="s">
        <v>364</v>
      </c>
      <c r="F3" s="2089"/>
      <c r="G3" s="2091" t="s">
        <v>365</v>
      </c>
      <c r="H3" s="2092"/>
      <c r="I3" s="2088" t="s">
        <v>366</v>
      </c>
      <c r="J3" s="2090"/>
      <c r="K3" s="2087" t="s">
        <v>367</v>
      </c>
      <c r="L3" s="2087"/>
      <c r="M3" s="2087" t="s">
        <v>368</v>
      </c>
      <c r="N3" s="2087"/>
      <c r="O3" s="2087" t="s">
        <v>370</v>
      </c>
      <c r="P3" s="2087"/>
      <c r="Q3" s="731"/>
      <c r="R3" s="732"/>
      <c r="S3" s="733"/>
      <c r="T3" s="735" t="s">
        <v>446</v>
      </c>
    </row>
    <row r="4" spans="1:20" ht="45" customHeight="1" x14ac:dyDescent="0.25">
      <c r="A4" s="416"/>
      <c r="B4" s="33"/>
      <c r="C4" s="603" t="e">
        <f>#REF!</f>
        <v>#REF!</v>
      </c>
      <c r="D4" s="402"/>
      <c r="E4" s="2039" t="s">
        <v>500</v>
      </c>
      <c r="F4" s="2039"/>
      <c r="G4" s="2093" t="s">
        <v>500</v>
      </c>
      <c r="H4" s="2093"/>
      <c r="I4" s="2039" t="s">
        <v>500</v>
      </c>
      <c r="J4" s="2039"/>
      <c r="K4" s="2039" t="s">
        <v>500</v>
      </c>
      <c r="L4" s="2039"/>
      <c r="M4" s="2039" t="s">
        <v>500</v>
      </c>
      <c r="N4" s="2039"/>
      <c r="O4" s="2039" t="s">
        <v>500</v>
      </c>
      <c r="P4" s="2039"/>
      <c r="Q4" s="485"/>
      <c r="R4" s="485"/>
      <c r="S4" s="485"/>
      <c r="T4" s="463" t="s">
        <v>445</v>
      </c>
    </row>
    <row r="5" spans="1:20" ht="36" customHeight="1" x14ac:dyDescent="0.25">
      <c r="A5" s="417"/>
      <c r="B5" s="404"/>
      <c r="C5" s="405"/>
      <c r="D5" s="406"/>
      <c r="E5" s="49" t="s">
        <v>8</v>
      </c>
      <c r="F5" s="51" t="s">
        <v>371</v>
      </c>
      <c r="G5" s="761" t="s">
        <v>8</v>
      </c>
      <c r="H5" s="762" t="s">
        <v>371</v>
      </c>
      <c r="I5" s="49" t="s">
        <v>8</v>
      </c>
      <c r="J5" s="51" t="s">
        <v>371</v>
      </c>
      <c r="K5" s="49" t="s">
        <v>8</v>
      </c>
      <c r="L5" s="51" t="s">
        <v>371</v>
      </c>
      <c r="M5" s="49" t="s">
        <v>8</v>
      </c>
      <c r="N5" s="51" t="s">
        <v>371</v>
      </c>
      <c r="O5" s="49" t="s">
        <v>8</v>
      </c>
      <c r="P5" s="51" t="s">
        <v>371</v>
      </c>
      <c r="Q5" s="664" t="s">
        <v>430</v>
      </c>
      <c r="R5" s="665" t="s">
        <v>442</v>
      </c>
      <c r="S5" s="666" t="s">
        <v>443</v>
      </c>
      <c r="T5" s="463" t="s">
        <v>444</v>
      </c>
    </row>
    <row r="6" spans="1:20" ht="24" customHeight="1" x14ac:dyDescent="0.25">
      <c r="A6" s="2078" t="s">
        <v>441</v>
      </c>
      <c r="B6" s="2079"/>
      <c r="C6" s="12" t="s">
        <v>374</v>
      </c>
      <c r="D6" s="470" t="s">
        <v>4</v>
      </c>
      <c r="E6" s="355"/>
      <c r="F6" s="411"/>
      <c r="G6" s="763"/>
      <c r="H6" s="764"/>
      <c r="I6" s="410"/>
      <c r="J6" s="407"/>
      <c r="K6" s="410"/>
      <c r="L6" s="411"/>
      <c r="M6" s="355"/>
      <c r="N6" s="411"/>
      <c r="O6" s="355"/>
      <c r="P6" s="411"/>
      <c r="Q6" s="660"/>
      <c r="R6" s="622"/>
      <c r="S6" s="486"/>
      <c r="T6" s="811" t="s">
        <v>504</v>
      </c>
    </row>
    <row r="7" spans="1:20" ht="24" customHeight="1" x14ac:dyDescent="0.25">
      <c r="A7" s="2080"/>
      <c r="B7" s="2081"/>
      <c r="C7" s="12" t="s">
        <v>375</v>
      </c>
      <c r="D7" s="470" t="s">
        <v>5</v>
      </c>
      <c r="E7" s="410"/>
      <c r="F7" s="623"/>
      <c r="G7" s="763"/>
      <c r="H7" s="765"/>
      <c r="I7" s="410"/>
      <c r="J7" s="622"/>
      <c r="K7" s="410"/>
      <c r="L7" s="623"/>
      <c r="M7" s="410"/>
      <c r="N7" s="623"/>
      <c r="O7" s="410"/>
      <c r="P7" s="623"/>
      <c r="Q7" s="660"/>
      <c r="R7" s="622"/>
      <c r="S7" s="486"/>
      <c r="T7" s="415"/>
    </row>
    <row r="8" spans="1:20" ht="24" customHeight="1" x14ac:dyDescent="0.25">
      <c r="A8" s="2080"/>
      <c r="B8" s="2081"/>
      <c r="C8" s="22" t="s">
        <v>376</v>
      </c>
      <c r="D8" s="683" t="s">
        <v>5</v>
      </c>
      <c r="E8" s="332"/>
      <c r="F8" s="684"/>
      <c r="G8" s="766"/>
      <c r="H8" s="767"/>
      <c r="I8" s="332"/>
      <c r="J8" s="685"/>
      <c r="K8" s="332"/>
      <c r="L8" s="684"/>
      <c r="M8" s="332"/>
      <c r="N8" s="684"/>
      <c r="O8" s="332"/>
      <c r="P8" s="684"/>
      <c r="Q8" s="686"/>
      <c r="R8" s="685"/>
      <c r="S8" s="687"/>
      <c r="T8" s="688"/>
    </row>
    <row r="9" spans="1:20" ht="24" customHeight="1" x14ac:dyDescent="0.25">
      <c r="A9" s="2080"/>
      <c r="B9" s="2081"/>
      <c r="C9" s="17" t="s">
        <v>503</v>
      </c>
      <c r="D9" s="66" t="s">
        <v>363</v>
      </c>
      <c r="E9" s="640">
        <v>0</v>
      </c>
      <c r="F9" s="638"/>
      <c r="G9" s="768">
        <v>0</v>
      </c>
      <c r="H9" s="769"/>
      <c r="I9" s="640">
        <v>5</v>
      </c>
      <c r="J9" s="638"/>
      <c r="K9" s="640">
        <v>6</v>
      </c>
      <c r="L9" s="638"/>
      <c r="M9" s="640">
        <v>11</v>
      </c>
      <c r="N9" s="638"/>
      <c r="O9" s="640">
        <v>1</v>
      </c>
      <c r="P9" s="466"/>
      <c r="Q9" s="662">
        <f>'Gate Seating Base'!I7</f>
        <v>190</v>
      </c>
      <c r="R9" s="612">
        <f>'Gate Seating Base'!I13</f>
        <v>129</v>
      </c>
      <c r="S9" s="612">
        <f>'Gate Seating Base'!J22</f>
        <v>3409.1806311612627</v>
      </c>
      <c r="T9" s="657" t="str">
        <f>CONCATENATE("Large ADG III/Code C, ref.: ",'Gate Seating Base'!I6)</f>
        <v>Large ADG III/Code C, ref.: JetBlue A321</v>
      </c>
    </row>
    <row r="10" spans="1:20" ht="24" customHeight="1" x14ac:dyDescent="0.25">
      <c r="A10" s="2080"/>
      <c r="B10" s="2081"/>
      <c r="C10" s="17" t="s">
        <v>502</v>
      </c>
      <c r="D10" s="66" t="s">
        <v>363</v>
      </c>
      <c r="E10" s="640">
        <v>0</v>
      </c>
      <c r="F10" s="638"/>
      <c r="G10" s="768">
        <v>0</v>
      </c>
      <c r="H10" s="769"/>
      <c r="I10" s="640">
        <v>0</v>
      </c>
      <c r="J10" s="638"/>
      <c r="K10" s="640">
        <v>0</v>
      </c>
      <c r="L10" s="638"/>
      <c r="M10" s="640">
        <v>0</v>
      </c>
      <c r="N10" s="638"/>
      <c r="O10" s="640">
        <v>0</v>
      </c>
      <c r="P10" s="465"/>
      <c r="Q10" s="662">
        <f>'Gate Seating Base'!M7</f>
        <v>252</v>
      </c>
      <c r="R10" s="612">
        <f>'Gate Seating Base'!M13</f>
        <v>154</v>
      </c>
      <c r="S10" s="612">
        <f>'Gate Seating Base'!N22</f>
        <v>4057.0479445581118</v>
      </c>
      <c r="T10" s="658" t="str">
        <f>CONCATENATE("Small ADG V/Code E, ref.: ",'Gate Seating Base'!M6)</f>
        <v>Small ADG V/Code E, ref.: US Airways A330-200</v>
      </c>
    </row>
    <row r="11" spans="1:20" ht="24" customHeight="1" x14ac:dyDescent="0.25">
      <c r="A11" s="2080"/>
      <c r="B11" s="2081"/>
      <c r="C11" s="99" t="s">
        <v>362</v>
      </c>
      <c r="D11" s="66" t="s">
        <v>363</v>
      </c>
      <c r="E11" s="641">
        <v>0</v>
      </c>
      <c r="F11" s="639"/>
      <c r="G11" s="770">
        <v>0</v>
      </c>
      <c r="H11" s="771"/>
      <c r="I11" s="641">
        <v>1</v>
      </c>
      <c r="J11" s="639"/>
      <c r="K11" s="641">
        <v>1</v>
      </c>
      <c r="L11" s="639"/>
      <c r="M11" s="641">
        <v>0</v>
      </c>
      <c r="N11" s="639"/>
      <c r="O11" s="641">
        <v>0</v>
      </c>
      <c r="P11" s="467"/>
      <c r="Q11" s="663">
        <f>'Gate Seating Base'!K27</f>
        <v>516</v>
      </c>
      <c r="R11" s="642">
        <f>'Gate Seating Base'!K33</f>
        <v>315</v>
      </c>
      <c r="S11" s="642">
        <f>'Gate Seating Base'!L42</f>
        <v>7928.6907533015074</v>
      </c>
      <c r="T11" s="659" t="str">
        <f>CONCATENATE("ADG VI/Code F, ref.: ",'Gate Seating Base'!K26)</f>
        <v>ADG VI/Code F, ref.: Air France A380</v>
      </c>
    </row>
    <row r="12" spans="1:20" ht="24" customHeight="1" x14ac:dyDescent="0.25">
      <c r="A12" s="2082"/>
      <c r="B12" s="2083"/>
      <c r="C12" s="464" t="s">
        <v>369</v>
      </c>
      <c r="D12" s="471" t="s">
        <v>167</v>
      </c>
      <c r="E12" s="613">
        <f>E9+E10+E11*2</f>
        <v>0</v>
      </c>
      <c r="F12" s="468"/>
      <c r="G12" s="772">
        <f>G9+G10+G11*2</f>
        <v>0</v>
      </c>
      <c r="H12" s="773"/>
      <c r="I12" s="613">
        <f>I9+I10+I11*2</f>
        <v>7</v>
      </c>
      <c r="J12" s="468"/>
      <c r="K12" s="613">
        <f>K9+K10+K11*2</f>
        <v>8</v>
      </c>
      <c r="L12" s="468"/>
      <c r="M12" s="613">
        <f>M9+M10+M11*2</f>
        <v>11</v>
      </c>
      <c r="N12" s="468"/>
      <c r="O12" s="613">
        <f>O9+O10+O11*2</f>
        <v>1</v>
      </c>
      <c r="P12" s="468"/>
      <c r="Q12" s="647"/>
      <c r="R12" s="647"/>
      <c r="S12" s="614">
        <f>SUM(E12:P12)</f>
        <v>27</v>
      </c>
      <c r="T12" s="487" t="s">
        <v>377</v>
      </c>
    </row>
    <row r="13" spans="1:20" ht="24" customHeight="1" x14ac:dyDescent="0.25">
      <c r="A13" s="472"/>
      <c r="B13" s="473"/>
      <c r="C13" s="491" t="s">
        <v>378</v>
      </c>
      <c r="D13" s="474"/>
      <c r="E13" s="475"/>
      <c r="F13" s="476"/>
      <c r="G13" s="774"/>
      <c r="H13" s="775"/>
      <c r="I13" s="475"/>
      <c r="J13" s="476"/>
      <c r="K13" s="475"/>
      <c r="L13" s="476"/>
      <c r="M13" s="475"/>
      <c r="N13" s="476"/>
      <c r="O13" s="475"/>
      <c r="P13" s="476"/>
      <c r="Q13" s="648"/>
      <c r="R13" s="648"/>
      <c r="S13" s="492"/>
      <c r="T13" s="477"/>
    </row>
    <row r="14" spans="1:20" ht="24" customHeight="1" x14ac:dyDescent="0.25">
      <c r="A14" s="472"/>
      <c r="B14" s="473"/>
      <c r="C14" s="490" t="s">
        <v>341</v>
      </c>
      <c r="D14" s="478" t="s">
        <v>384</v>
      </c>
      <c r="E14" s="652">
        <f>SUMPRODUCT(E9:E11,$R9:$R11)</f>
        <v>0</v>
      </c>
      <c r="F14" s="615">
        <f>SUMPRODUCT(E9:E11,$S9:$S11)</f>
        <v>0</v>
      </c>
      <c r="G14" s="776">
        <f>SUMPRODUCT(G9:G11,$R9:$R11)</f>
        <v>0</v>
      </c>
      <c r="H14" s="777">
        <f>SUMPRODUCT(G9:G11,$S9:$S11)</f>
        <v>0</v>
      </c>
      <c r="I14" s="652">
        <f>SUMPRODUCT(I9:I11,$R9:$R11)</f>
        <v>960</v>
      </c>
      <c r="J14" s="615">
        <f>SUMPRODUCT(I9:I11,$S9:$S11)</f>
        <v>24974.593909107822</v>
      </c>
      <c r="K14" s="652">
        <f>SUMPRODUCT(K9:K11,$R9:$R11)</f>
        <v>1089</v>
      </c>
      <c r="L14" s="615">
        <f>SUMPRODUCT(K9:K11,$S9:$S11)</f>
        <v>28383.774540269082</v>
      </c>
      <c r="M14" s="652">
        <f>SUMPRODUCT(M9:M11,$R9:$R11)</f>
        <v>1419</v>
      </c>
      <c r="N14" s="615">
        <f>SUMPRODUCT(M9:M11,$S9:$S11)</f>
        <v>37500.986942773889</v>
      </c>
      <c r="O14" s="652">
        <f>SUMPRODUCT(O9:O11,$R9:$R11)</f>
        <v>129</v>
      </c>
      <c r="P14" s="615">
        <f>SUMPRODUCT(O9:O11,$S9:$S11)</f>
        <v>3409.1806311612627</v>
      </c>
      <c r="Q14" s="756"/>
      <c r="R14" s="649"/>
      <c r="S14" s="480"/>
      <c r="T14" s="477"/>
    </row>
    <row r="15" spans="1:20" ht="24" customHeight="1" x14ac:dyDescent="0.25">
      <c r="A15" s="472"/>
      <c r="B15" s="473"/>
      <c r="C15" s="490"/>
      <c r="D15" s="478"/>
      <c r="E15" s="479"/>
      <c r="F15" s="489"/>
      <c r="G15" s="778"/>
      <c r="H15" s="779"/>
      <c r="I15" s="479"/>
      <c r="J15" s="488"/>
      <c r="K15" s="479"/>
      <c r="L15" s="489"/>
      <c r="M15" s="479"/>
      <c r="N15" s="489"/>
      <c r="O15" s="479"/>
      <c r="P15" s="489"/>
      <c r="Q15" s="488"/>
      <c r="R15" s="488"/>
      <c r="S15" s="480"/>
      <c r="T15" s="477"/>
    </row>
    <row r="16" spans="1:20" ht="24" customHeight="1" x14ac:dyDescent="0.25">
      <c r="A16" s="481"/>
      <c r="B16" s="482"/>
      <c r="C16" s="645" t="s">
        <v>433</v>
      </c>
      <c r="D16" s="545"/>
      <c r="E16" s="547"/>
      <c r="F16" s="618"/>
      <c r="G16" s="780"/>
      <c r="H16" s="781"/>
      <c r="I16" s="547"/>
      <c r="J16" s="546"/>
      <c r="K16" s="547"/>
      <c r="L16" s="618"/>
      <c r="M16" s="547"/>
      <c r="N16" s="618"/>
      <c r="O16" s="547"/>
      <c r="P16" s="548"/>
      <c r="Q16" s="650"/>
      <c r="R16" s="650"/>
      <c r="S16" s="549"/>
      <c r="T16" s="550"/>
    </row>
    <row r="17" spans="1:20" ht="24" customHeight="1" x14ac:dyDescent="0.25">
      <c r="A17" s="481"/>
      <c r="B17" s="482"/>
      <c r="C17" s="646" t="s">
        <v>164</v>
      </c>
      <c r="D17" s="621" t="s">
        <v>373</v>
      </c>
      <c r="E17" s="552"/>
      <c r="F17" s="553"/>
      <c r="G17" s="782"/>
      <c r="H17" s="783"/>
      <c r="I17" s="552"/>
      <c r="J17" s="551"/>
      <c r="K17" s="552"/>
      <c r="L17" s="553"/>
      <c r="M17" s="552"/>
      <c r="N17" s="553"/>
      <c r="O17" s="555"/>
      <c r="P17" s="553"/>
      <c r="Q17" s="551"/>
      <c r="R17" s="551"/>
      <c r="S17" s="554"/>
      <c r="T17" s="483"/>
    </row>
    <row r="18" spans="1:20" ht="24" customHeight="1" x14ac:dyDescent="0.25">
      <c r="A18" s="481"/>
      <c r="B18" s="482"/>
      <c r="C18" s="646" t="s">
        <v>354</v>
      </c>
      <c r="D18" s="621" t="s">
        <v>373</v>
      </c>
      <c r="E18" s="552"/>
      <c r="F18" s="553"/>
      <c r="G18" s="782"/>
      <c r="H18" s="783"/>
      <c r="I18" s="552"/>
      <c r="J18" s="551"/>
      <c r="K18" s="552"/>
      <c r="L18" s="553"/>
      <c r="M18" s="552"/>
      <c r="N18" s="553"/>
      <c r="O18" s="555"/>
      <c r="P18" s="553"/>
      <c r="Q18" s="551"/>
      <c r="R18" s="551"/>
      <c r="S18" s="554"/>
      <c r="T18" s="483"/>
    </row>
    <row r="19" spans="1:20" ht="24" customHeight="1" x14ac:dyDescent="0.25">
      <c r="A19" s="481"/>
      <c r="B19" s="482"/>
      <c r="C19" s="646" t="s">
        <v>432</v>
      </c>
      <c r="D19" s="621" t="s">
        <v>373</v>
      </c>
      <c r="E19" s="552"/>
      <c r="F19" s="553"/>
      <c r="G19" s="782"/>
      <c r="H19" s="783"/>
      <c r="I19" s="552"/>
      <c r="J19" s="551"/>
      <c r="K19" s="552"/>
      <c r="L19" s="553"/>
      <c r="M19" s="552"/>
      <c r="N19" s="553"/>
      <c r="O19" s="555"/>
      <c r="P19" s="553"/>
      <c r="Q19" s="551"/>
      <c r="R19" s="551"/>
      <c r="S19" s="554"/>
      <c r="T19" s="483"/>
    </row>
    <row r="20" spans="1:20" ht="24" customHeight="1" x14ac:dyDescent="0.25">
      <c r="A20" s="481"/>
      <c r="B20" s="482"/>
      <c r="C20" s="646" t="s">
        <v>372</v>
      </c>
      <c r="D20" s="643" t="s">
        <v>388</v>
      </c>
      <c r="E20" s="555"/>
      <c r="F20" s="617">
        <v>35000</v>
      </c>
      <c r="G20" s="784"/>
      <c r="H20" s="785">
        <v>0</v>
      </c>
      <c r="I20" s="555"/>
      <c r="J20" s="616">
        <v>20000</v>
      </c>
      <c r="K20" s="555"/>
      <c r="L20" s="617">
        <v>3000</v>
      </c>
      <c r="M20" s="555"/>
      <c r="N20" s="617">
        <v>15000</v>
      </c>
      <c r="O20" s="555"/>
      <c r="P20" s="617">
        <v>0</v>
      </c>
      <c r="Q20" s="667" t="s">
        <v>434</v>
      </c>
      <c r="R20" s="616"/>
      <c r="S20" s="554"/>
      <c r="T20" s="483"/>
    </row>
    <row r="21" spans="1:20" ht="24" customHeight="1" x14ac:dyDescent="0.25">
      <c r="A21" s="496"/>
      <c r="B21" s="497"/>
      <c r="C21" s="498" t="s">
        <v>355</v>
      </c>
      <c r="D21" s="500"/>
      <c r="E21" s="502"/>
      <c r="F21" s="556"/>
      <c r="G21" s="786"/>
      <c r="H21" s="787"/>
      <c r="I21" s="502"/>
      <c r="J21" s="544"/>
      <c r="K21" s="502"/>
      <c r="L21" s="556"/>
      <c r="M21" s="502"/>
      <c r="N21" s="556"/>
      <c r="O21" s="620"/>
      <c r="P21" s="556"/>
      <c r="Q21" s="544"/>
      <c r="R21" s="544"/>
      <c r="S21" s="544"/>
      <c r="T21" s="501"/>
    </row>
    <row r="22" spans="1:20" ht="24" customHeight="1" x14ac:dyDescent="0.25">
      <c r="A22" s="496"/>
      <c r="B22" s="497"/>
      <c r="C22" s="499" t="s">
        <v>164</v>
      </c>
      <c r="D22" s="543" t="s">
        <v>382</v>
      </c>
      <c r="E22" s="502"/>
      <c r="F22" s="559"/>
      <c r="G22" s="786"/>
      <c r="H22" s="788"/>
      <c r="I22" s="502"/>
      <c r="J22" s="557"/>
      <c r="K22" s="502"/>
      <c r="L22" s="556"/>
      <c r="M22" s="502"/>
      <c r="N22" s="556"/>
      <c r="O22" s="620"/>
      <c r="P22" s="556"/>
      <c r="Q22" s="544"/>
      <c r="R22" s="544"/>
      <c r="S22" s="558"/>
      <c r="T22" s="501"/>
    </row>
    <row r="23" spans="1:20" ht="24" customHeight="1" x14ac:dyDescent="0.25">
      <c r="A23" s="496"/>
      <c r="B23" s="497"/>
      <c r="C23" s="499" t="s">
        <v>165</v>
      </c>
      <c r="D23" s="543" t="s">
        <v>382</v>
      </c>
      <c r="E23" s="502"/>
      <c r="F23" s="559"/>
      <c r="G23" s="786"/>
      <c r="H23" s="788"/>
      <c r="I23" s="502"/>
      <c r="J23" s="557"/>
      <c r="K23" s="502"/>
      <c r="L23" s="556"/>
      <c r="M23" s="502"/>
      <c r="N23" s="556"/>
      <c r="O23" s="620"/>
      <c r="P23" s="556"/>
      <c r="Q23" s="544"/>
      <c r="R23" s="544"/>
      <c r="S23" s="558"/>
      <c r="T23" s="501"/>
    </row>
    <row r="24" spans="1:20" ht="24" customHeight="1" x14ac:dyDescent="0.25">
      <c r="A24" s="496"/>
      <c r="B24" s="497"/>
      <c r="C24" s="499" t="s">
        <v>432</v>
      </c>
      <c r="D24" s="543" t="s">
        <v>382</v>
      </c>
      <c r="E24" s="502"/>
      <c r="F24" s="559"/>
      <c r="G24" s="786"/>
      <c r="H24" s="788"/>
      <c r="I24" s="502"/>
      <c r="J24" s="557"/>
      <c r="K24" s="502"/>
      <c r="L24" s="556"/>
      <c r="M24" s="502"/>
      <c r="N24" s="556"/>
      <c r="O24" s="620"/>
      <c r="P24" s="556"/>
      <c r="Q24" s="544"/>
      <c r="R24" s="544"/>
      <c r="S24" s="558"/>
      <c r="T24" s="501"/>
    </row>
    <row r="25" spans="1:20" ht="24" customHeight="1" x14ac:dyDescent="0.25">
      <c r="A25" s="496"/>
      <c r="B25" s="497"/>
      <c r="C25" s="499" t="s">
        <v>357</v>
      </c>
      <c r="D25" s="543" t="s">
        <v>383</v>
      </c>
      <c r="E25" s="589"/>
      <c r="F25" s="591"/>
      <c r="G25" s="789"/>
      <c r="H25" s="790"/>
      <c r="I25" s="589"/>
      <c r="J25" s="590"/>
      <c r="K25" s="589"/>
      <c r="L25" s="591"/>
      <c r="M25" s="589"/>
      <c r="N25" s="591"/>
      <c r="O25" s="589"/>
      <c r="P25" s="591"/>
      <c r="Q25" s="590"/>
      <c r="R25" s="590"/>
      <c r="S25" s="590"/>
      <c r="T25" s="501"/>
    </row>
    <row r="26" spans="1:20" ht="24" customHeight="1" x14ac:dyDescent="0.25">
      <c r="A26" s="584"/>
      <c r="B26" s="585"/>
      <c r="C26" s="493" t="s">
        <v>186</v>
      </c>
      <c r="D26" s="653" t="s">
        <v>373</v>
      </c>
      <c r="E26" s="519"/>
      <c r="F26" s="520">
        <v>1000</v>
      </c>
      <c r="G26" s="791"/>
      <c r="H26" s="792">
        <v>0</v>
      </c>
      <c r="I26" s="519"/>
      <c r="J26" s="518">
        <v>1000</v>
      </c>
      <c r="K26" s="519"/>
      <c r="L26" s="520">
        <v>0</v>
      </c>
      <c r="M26" s="519"/>
      <c r="N26" s="520">
        <v>1000</v>
      </c>
      <c r="O26" s="519"/>
      <c r="P26" s="520">
        <v>0</v>
      </c>
      <c r="Q26" s="667" t="s">
        <v>166</v>
      </c>
      <c r="R26" s="518"/>
      <c r="S26" s="494"/>
      <c r="T26" s="592"/>
    </row>
    <row r="27" spans="1:20" ht="24" customHeight="1" x14ac:dyDescent="0.25">
      <c r="A27" s="503"/>
      <c r="B27" s="504"/>
      <c r="C27" s="495" t="s">
        <v>342</v>
      </c>
      <c r="D27" s="505"/>
      <c r="E27" s="510"/>
      <c r="F27" s="509"/>
      <c r="G27" s="793"/>
      <c r="H27" s="794"/>
      <c r="I27" s="510"/>
      <c r="J27" s="509"/>
      <c r="K27" s="510"/>
      <c r="L27" s="509"/>
      <c r="M27" s="510"/>
      <c r="N27" s="509"/>
      <c r="O27" s="510"/>
      <c r="P27" s="509"/>
      <c r="Q27" s="668"/>
      <c r="R27" s="563"/>
      <c r="S27" s="563"/>
      <c r="T27" s="596"/>
    </row>
    <row r="28" spans="1:20" ht="24" customHeight="1" x14ac:dyDescent="0.25">
      <c r="A28" s="503"/>
      <c r="B28" s="504"/>
      <c r="C28" s="506" t="s">
        <v>379</v>
      </c>
      <c r="D28" s="586" t="s">
        <v>383</v>
      </c>
      <c r="E28" s="629">
        <v>1</v>
      </c>
      <c r="F28" s="677">
        <f>E28*$Q28</f>
        <v>2500</v>
      </c>
      <c r="G28" s="795">
        <v>0</v>
      </c>
      <c r="H28" s="796">
        <f>G28*$Q28</f>
        <v>0</v>
      </c>
      <c r="I28" s="629">
        <v>1</v>
      </c>
      <c r="J28" s="677">
        <f>I28*$Q28</f>
        <v>2500</v>
      </c>
      <c r="K28" s="629">
        <v>1</v>
      </c>
      <c r="L28" s="677">
        <f>K28*$Q28</f>
        <v>2500</v>
      </c>
      <c r="M28" s="629">
        <v>2</v>
      </c>
      <c r="N28" s="677">
        <f>M28*$Q28</f>
        <v>5000</v>
      </c>
      <c r="O28" s="629">
        <v>1</v>
      </c>
      <c r="P28" s="677">
        <f>O28*$Q28</f>
        <v>2500</v>
      </c>
      <c r="Q28" s="689">
        <v>2500</v>
      </c>
      <c r="R28" s="676" t="s">
        <v>440</v>
      </c>
      <c r="S28" s="507"/>
      <c r="T28" s="593"/>
    </row>
    <row r="29" spans="1:20" ht="24" customHeight="1" x14ac:dyDescent="0.25">
      <c r="A29" s="503"/>
      <c r="B29" s="504"/>
      <c r="C29" s="679" t="s">
        <v>385</v>
      </c>
      <c r="D29" s="586" t="s">
        <v>383</v>
      </c>
      <c r="E29" s="627"/>
      <c r="F29" s="628">
        <v>100</v>
      </c>
      <c r="G29" s="797"/>
      <c r="H29" s="798">
        <v>0</v>
      </c>
      <c r="I29" s="508"/>
      <c r="J29" s="628">
        <v>100</v>
      </c>
      <c r="K29" s="508"/>
      <c r="L29" s="628">
        <v>0</v>
      </c>
      <c r="M29" s="508"/>
      <c r="N29" s="628">
        <v>100</v>
      </c>
      <c r="O29" s="508"/>
      <c r="P29" s="628">
        <v>0</v>
      </c>
      <c r="Q29" s="669" t="s">
        <v>435</v>
      </c>
      <c r="R29" s="626"/>
      <c r="S29" s="507"/>
      <c r="T29" s="593"/>
    </row>
    <row r="30" spans="1:20" ht="24" customHeight="1" x14ac:dyDescent="0.25">
      <c r="A30" s="511"/>
      <c r="B30" s="512"/>
      <c r="C30" s="513" t="s">
        <v>358</v>
      </c>
      <c r="D30" s="587" t="s">
        <v>383</v>
      </c>
      <c r="E30" s="514"/>
      <c r="F30" s="516">
        <v>1000</v>
      </c>
      <c r="G30" s="791"/>
      <c r="H30" s="799">
        <v>0</v>
      </c>
      <c r="I30" s="514"/>
      <c r="J30" s="516">
        <v>1500</v>
      </c>
      <c r="K30" s="514"/>
      <c r="L30" s="516">
        <v>1000</v>
      </c>
      <c r="M30" s="514"/>
      <c r="N30" s="516">
        <v>1000</v>
      </c>
      <c r="O30" s="514"/>
      <c r="P30" s="516">
        <v>0</v>
      </c>
      <c r="Q30" s="670" t="s">
        <v>381</v>
      </c>
      <c r="R30" s="515"/>
      <c r="S30" s="517"/>
      <c r="T30" s="594"/>
    </row>
    <row r="31" spans="1:20" ht="24" customHeight="1" x14ac:dyDescent="0.25">
      <c r="A31" s="562"/>
      <c r="B31" s="563"/>
      <c r="C31" s="564" t="s">
        <v>87</v>
      </c>
      <c r="D31" s="586" t="s">
        <v>383</v>
      </c>
      <c r="E31" s="619"/>
      <c r="F31" s="560">
        <v>400</v>
      </c>
      <c r="G31" s="800"/>
      <c r="H31" s="801">
        <v>0</v>
      </c>
      <c r="I31" s="561"/>
      <c r="J31" s="560">
        <v>400</v>
      </c>
      <c r="K31" s="561"/>
      <c r="L31" s="560">
        <v>400</v>
      </c>
      <c r="M31" s="619"/>
      <c r="N31" s="560">
        <v>400</v>
      </c>
      <c r="O31" s="561"/>
      <c r="P31" s="560">
        <v>0</v>
      </c>
      <c r="Q31" s="671" t="s">
        <v>436</v>
      </c>
      <c r="R31" s="651"/>
      <c r="S31" s="565"/>
      <c r="T31" s="624"/>
    </row>
    <row r="32" spans="1:20" ht="24" customHeight="1" x14ac:dyDescent="0.25">
      <c r="A32" s="503"/>
      <c r="B32" s="504"/>
      <c r="C32" s="506" t="s">
        <v>437</v>
      </c>
      <c r="D32" s="644" t="s">
        <v>389</v>
      </c>
      <c r="E32" s="654"/>
      <c r="F32" s="636">
        <v>20000</v>
      </c>
      <c r="G32" s="802"/>
      <c r="H32" s="803">
        <v>0</v>
      </c>
      <c r="I32" s="631"/>
      <c r="J32" s="636">
        <v>18000</v>
      </c>
      <c r="K32" s="631"/>
      <c r="L32" s="636">
        <v>20000</v>
      </c>
      <c r="M32" s="633"/>
      <c r="N32" s="636">
        <v>12000</v>
      </c>
      <c r="O32" s="634"/>
      <c r="P32" s="636">
        <v>0</v>
      </c>
      <c r="Q32" s="672" t="s">
        <v>380</v>
      </c>
      <c r="R32" s="632"/>
      <c r="S32" s="630"/>
      <c r="T32" s="635"/>
    </row>
    <row r="33" spans="1:20" ht="24" customHeight="1" x14ac:dyDescent="0.25">
      <c r="A33" s="511"/>
      <c r="B33" s="512"/>
      <c r="C33" s="678" t="s">
        <v>386</v>
      </c>
      <c r="D33" s="587" t="s">
        <v>383</v>
      </c>
      <c r="E33" s="655"/>
      <c r="F33" s="656">
        <v>200</v>
      </c>
      <c r="G33" s="804"/>
      <c r="H33" s="805">
        <v>0</v>
      </c>
      <c r="I33" s="568"/>
      <c r="J33" s="637">
        <v>400</v>
      </c>
      <c r="K33" s="568"/>
      <c r="L33" s="637">
        <v>200</v>
      </c>
      <c r="M33" s="566"/>
      <c r="N33" s="637">
        <v>400</v>
      </c>
      <c r="O33" s="569"/>
      <c r="P33" s="516">
        <v>200</v>
      </c>
      <c r="Q33" s="673"/>
      <c r="R33" s="515"/>
      <c r="S33" s="567"/>
      <c r="T33" s="625"/>
    </row>
    <row r="34" spans="1:20" ht="24" customHeight="1" x14ac:dyDescent="0.25">
      <c r="A34" s="570"/>
      <c r="B34" s="571"/>
      <c r="C34" s="680" t="s">
        <v>168</v>
      </c>
      <c r="D34" s="588" t="s">
        <v>383</v>
      </c>
      <c r="E34" s="573"/>
      <c r="F34" s="575">
        <f>F14+F20+F26+SUM(F28:F33)</f>
        <v>60200</v>
      </c>
      <c r="G34" s="806"/>
      <c r="H34" s="807">
        <f>H14+H20+H26+SUM(H28:H33)</f>
        <v>0</v>
      </c>
      <c r="I34" s="573"/>
      <c r="J34" s="574">
        <f>J14+J20+J26+SUM(J28:J33)</f>
        <v>68874.593909107818</v>
      </c>
      <c r="K34" s="573"/>
      <c r="L34" s="574">
        <f>L14+L20+L26+SUM(L28:L33)</f>
        <v>55483.774540269078</v>
      </c>
      <c r="M34" s="573"/>
      <c r="N34" s="574">
        <f>N14+N20+N26+SUM(N28:N33)</f>
        <v>72400.986942773889</v>
      </c>
      <c r="O34" s="573"/>
      <c r="P34" s="575">
        <f>P14+P20+P26+SUM(P28:P33)</f>
        <v>6109.1806311612627</v>
      </c>
      <c r="Q34" s="574"/>
      <c r="R34" s="574"/>
      <c r="S34" s="574"/>
      <c r="T34" s="576"/>
    </row>
    <row r="35" spans="1:20" ht="24" customHeight="1" x14ac:dyDescent="0.25">
      <c r="A35" s="570"/>
      <c r="B35" s="571"/>
      <c r="C35" s="572" t="s">
        <v>356</v>
      </c>
      <c r="D35" s="588" t="s">
        <v>383</v>
      </c>
      <c r="E35" s="577"/>
      <c r="F35" s="575">
        <f>F34*$Q35</f>
        <v>6020</v>
      </c>
      <c r="G35" s="808"/>
      <c r="H35" s="807">
        <f>H34*$Q35</f>
        <v>0</v>
      </c>
      <c r="I35" s="577"/>
      <c r="J35" s="574">
        <f>J34*$Q35</f>
        <v>6887.4593909107825</v>
      </c>
      <c r="K35" s="577"/>
      <c r="L35" s="574">
        <f>L34*$Q35</f>
        <v>5548.3774540269078</v>
      </c>
      <c r="M35" s="577"/>
      <c r="N35" s="574">
        <f>N34*$Q35</f>
        <v>7240.0986942773889</v>
      </c>
      <c r="O35" s="577"/>
      <c r="P35" s="575">
        <f>P34*$Q35</f>
        <v>610.91806311612629</v>
      </c>
      <c r="Q35" s="578">
        <v>0.1</v>
      </c>
      <c r="R35" s="674" t="s">
        <v>289</v>
      </c>
      <c r="S35" s="574"/>
      <c r="T35" s="576"/>
    </row>
    <row r="36" spans="1:20" ht="24" customHeight="1" x14ac:dyDescent="0.25">
      <c r="A36" s="579"/>
      <c r="B36" s="580"/>
      <c r="C36" s="681" t="s">
        <v>297</v>
      </c>
      <c r="D36" s="682" t="s">
        <v>438</v>
      </c>
      <c r="E36" s="581"/>
      <c r="F36" s="690">
        <f>ROUND(F34+F35,-3)</f>
        <v>66000</v>
      </c>
      <c r="G36" s="809"/>
      <c r="H36" s="810">
        <f>ROUND(H34+H35,-3)</f>
        <v>0</v>
      </c>
      <c r="I36" s="691"/>
      <c r="J36" s="690">
        <f>ROUND(J34+J35,-3)</f>
        <v>76000</v>
      </c>
      <c r="K36" s="691"/>
      <c r="L36" s="690">
        <f>ROUND(L34+L35,-3)</f>
        <v>61000</v>
      </c>
      <c r="M36" s="691"/>
      <c r="N36" s="690">
        <f>ROUND(N34+N35,-3)</f>
        <v>80000</v>
      </c>
      <c r="O36" s="691"/>
      <c r="P36" s="690">
        <f>ROUND(P34+P35,-3)</f>
        <v>7000</v>
      </c>
      <c r="Q36" s="675" t="s">
        <v>439</v>
      </c>
      <c r="R36" s="675"/>
      <c r="S36" s="582"/>
      <c r="T36" s="583"/>
    </row>
    <row r="37" spans="1:20" ht="24" customHeight="1" x14ac:dyDescent="0.25">
      <c r="A37" s="418"/>
      <c r="B37" s="323"/>
      <c r="C37" s="323"/>
      <c r="D37" s="323"/>
      <c r="E37" s="2084" t="str">
        <f>E3</f>
        <v>Zone 1</v>
      </c>
      <c r="F37" s="2065"/>
      <c r="G37" s="2094" t="str">
        <f>G3</f>
        <v>Zone 1A</v>
      </c>
      <c r="H37" s="2095"/>
      <c r="I37" s="2084" t="str">
        <f>I3</f>
        <v>Zone 2</v>
      </c>
      <c r="J37" s="2086"/>
      <c r="K37" s="2085" t="str">
        <f>K3</f>
        <v>Zone 3</v>
      </c>
      <c r="L37" s="2085"/>
      <c r="M37" s="2085" t="str">
        <f>M3</f>
        <v>Zone 4</v>
      </c>
      <c r="N37" s="2085"/>
      <c r="O37" s="2085" t="str">
        <f>O3</f>
        <v>Orphan</v>
      </c>
      <c r="P37" s="2085"/>
      <c r="Q37" s="595"/>
      <c r="R37" s="595"/>
      <c r="S37" s="595"/>
      <c r="T37" s="419"/>
    </row>
    <row r="38" spans="1:20" ht="24" customHeight="1" thickBot="1" x14ac:dyDescent="0.3">
      <c r="A38" s="420"/>
      <c r="B38" s="421"/>
      <c r="C38" s="421"/>
      <c r="D38" s="421"/>
      <c r="E38" s="421"/>
      <c r="F38" s="421"/>
      <c r="G38" s="421"/>
      <c r="H38" s="421"/>
      <c r="I38" s="421"/>
      <c r="J38" s="421"/>
      <c r="K38" s="421"/>
      <c r="L38" s="421"/>
      <c r="M38" s="421"/>
      <c r="N38" s="421"/>
      <c r="O38" s="421"/>
      <c r="P38" s="422"/>
      <c r="Q38" s="422"/>
      <c r="R38" s="422"/>
      <c r="S38" s="422"/>
      <c r="T38" s="423"/>
    </row>
    <row r="39" spans="1:20" ht="24" customHeight="1" x14ac:dyDescent="0.25">
      <c r="A39" s="323"/>
      <c r="B39" s="323"/>
      <c r="C39" s="323"/>
      <c r="D39" s="323"/>
      <c r="E39" s="323"/>
      <c r="F39" s="323"/>
      <c r="G39" s="323"/>
      <c r="H39" s="323"/>
      <c r="I39" s="323"/>
      <c r="J39" s="323"/>
      <c r="K39" s="323"/>
      <c r="L39" s="323"/>
      <c r="M39" s="323"/>
      <c r="N39" s="323"/>
      <c r="O39" s="323"/>
      <c r="P39" s="424"/>
      <c r="Q39" s="424"/>
      <c r="R39" s="424"/>
      <c r="S39" s="424"/>
      <c r="T39" s="323"/>
    </row>
    <row r="40" spans="1:20" ht="24" customHeight="1" x14ac:dyDescent="0.25"/>
    <row r="41" spans="1:20" ht="24" customHeight="1" x14ac:dyDescent="0.25"/>
    <row r="42" spans="1:20" ht="24" customHeight="1" x14ac:dyDescent="0.25"/>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c r="C49" s="321"/>
    </row>
    <row r="50" spans="3:3" ht="24" customHeight="1" x14ac:dyDescent="0.25">
      <c r="C50" s="321"/>
    </row>
    <row r="51" spans="3:3" ht="24" customHeight="1" x14ac:dyDescent="0.25">
      <c r="C51" s="321"/>
    </row>
    <row r="52" spans="3:3" ht="24" customHeight="1" x14ac:dyDescent="0.25">
      <c r="C52" s="321"/>
    </row>
    <row r="53" spans="3:3" ht="24" customHeight="1" x14ac:dyDescent="0.25">
      <c r="C53" s="321"/>
    </row>
    <row r="54" spans="3:3" ht="24" customHeight="1" x14ac:dyDescent="0.25">
      <c r="C54" s="321"/>
    </row>
  </sheetData>
  <mergeCells count="19">
    <mergeCell ref="O37:P37"/>
    <mergeCell ref="A6:B12"/>
    <mergeCell ref="E37:F37"/>
    <mergeCell ref="G37:H37"/>
    <mergeCell ref="I37:J37"/>
    <mergeCell ref="K37:L37"/>
    <mergeCell ref="M37:N37"/>
    <mergeCell ref="O4:P4"/>
    <mergeCell ref="E3:F3"/>
    <mergeCell ref="G3:H3"/>
    <mergeCell ref="I3:J3"/>
    <mergeCell ref="K3:L3"/>
    <mergeCell ref="M3:N3"/>
    <mergeCell ref="O3:P3"/>
    <mergeCell ref="E4:F4"/>
    <mergeCell ref="G4:H4"/>
    <mergeCell ref="I4:J4"/>
    <mergeCell ref="K4:L4"/>
    <mergeCell ref="M4:N4"/>
  </mergeCells>
  <printOptions horizontalCentered="1"/>
  <pageMargins left="0.39370078740157483" right="0.39370078740157483" top="0.39370078740157483" bottom="0.59055118110236227" header="0.23622047244094491" footer="0.23622047244094491"/>
  <pageSetup paperSize="17" scale="79" orientation="landscape" horizontalDpi="1200" verticalDpi="1200" r:id="rId1"/>
  <headerFooter>
    <oddFooter>&amp;L&amp;F&amp;C&amp;A&amp;RPrinted &amp;D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54"/>
  <sheetViews>
    <sheetView workbookViewId="0">
      <pane xSplit="4" ySplit="5" topLeftCell="E6" activePane="bottomRight" state="frozen"/>
      <selection activeCell="E4" sqref="E4:F4"/>
      <selection pane="topRight" activeCell="E4" sqref="E4:F4"/>
      <selection pane="bottomLeft" activeCell="E4" sqref="E4:F4"/>
      <selection pane="bottomRight" activeCell="E2" sqref="E2"/>
    </sheetView>
  </sheetViews>
  <sheetFormatPr defaultColWidth="9.109375" defaultRowHeight="13.8" x14ac:dyDescent="0.25"/>
  <cols>
    <col min="1" max="2" width="3.6640625" style="321" customWidth="1"/>
    <col min="3" max="3" width="40.6640625" style="403" customWidth="1"/>
    <col min="4" max="16" width="9.6640625" style="321" customWidth="1"/>
    <col min="17" max="18" width="6.6640625" style="321" customWidth="1"/>
    <col min="19" max="19" width="8.6640625" style="321" customWidth="1"/>
    <col min="20" max="20" width="48.6640625" style="321" customWidth="1"/>
    <col min="21" max="16384" width="9.109375" style="321"/>
  </cols>
  <sheetData>
    <row r="1" spans="1:20" ht="24" customHeight="1" x14ac:dyDescent="0.25">
      <c r="A1" s="605" t="s">
        <v>497</v>
      </c>
      <c r="B1" s="606"/>
      <c r="C1" s="607"/>
      <c r="D1" s="608"/>
      <c r="E1" s="609" t="s">
        <v>789</v>
      </c>
      <c r="F1" s="27"/>
      <c r="G1" s="27"/>
      <c r="H1" s="27"/>
      <c r="I1" s="27"/>
      <c r="J1" s="27"/>
      <c r="K1" s="27"/>
      <c r="L1" s="27"/>
      <c r="M1" s="27"/>
      <c r="N1" s="27"/>
      <c r="O1" s="413"/>
      <c r="P1" s="413"/>
      <c r="Q1" s="413"/>
      <c r="R1" s="413"/>
      <c r="S1" s="413"/>
      <c r="T1" s="414"/>
    </row>
    <row r="2" spans="1:20" ht="24" customHeight="1" x14ac:dyDescent="0.25">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088" t="s">
        <v>364</v>
      </c>
      <c r="F3" s="2089"/>
      <c r="G3" s="2091" t="s">
        <v>365</v>
      </c>
      <c r="H3" s="2092"/>
      <c r="I3" s="2088" t="s">
        <v>366</v>
      </c>
      <c r="J3" s="2090"/>
      <c r="K3" s="2087" t="s">
        <v>367</v>
      </c>
      <c r="L3" s="2087"/>
      <c r="M3" s="2087" t="s">
        <v>368</v>
      </c>
      <c r="N3" s="2087"/>
      <c r="O3" s="2087" t="s">
        <v>370</v>
      </c>
      <c r="P3" s="2087"/>
      <c r="Q3" s="731"/>
      <c r="R3" s="732"/>
      <c r="S3" s="733"/>
      <c r="T3" s="735" t="s">
        <v>446</v>
      </c>
    </row>
    <row r="4" spans="1:20" ht="45" customHeight="1" x14ac:dyDescent="0.25">
      <c r="A4" s="416"/>
      <c r="B4" s="33"/>
      <c r="C4" s="603" t="e">
        <f>#REF!</f>
        <v>#REF!</v>
      </c>
      <c r="D4" s="402"/>
      <c r="E4" s="2039" t="s">
        <v>499</v>
      </c>
      <c r="F4" s="2039"/>
      <c r="G4" s="2093" t="s">
        <v>499</v>
      </c>
      <c r="H4" s="2093"/>
      <c r="I4" s="2039" t="s">
        <v>499</v>
      </c>
      <c r="J4" s="2039"/>
      <c r="K4" s="2039" t="s">
        <v>499</v>
      </c>
      <c r="L4" s="2039"/>
      <c r="M4" s="2039" t="s">
        <v>499</v>
      </c>
      <c r="N4" s="2039"/>
      <c r="O4" s="2039" t="s">
        <v>499</v>
      </c>
      <c r="P4" s="2039"/>
      <c r="Q4" s="485"/>
      <c r="R4" s="485"/>
      <c r="S4" s="485"/>
      <c r="T4" s="463" t="s">
        <v>445</v>
      </c>
    </row>
    <row r="5" spans="1:20" ht="36" customHeight="1" x14ac:dyDescent="0.25">
      <c r="A5" s="417"/>
      <c r="B5" s="404"/>
      <c r="C5" s="405"/>
      <c r="D5" s="406"/>
      <c r="E5" s="49" t="s">
        <v>8</v>
      </c>
      <c r="F5" s="51" t="s">
        <v>371</v>
      </c>
      <c r="G5" s="761" t="s">
        <v>8</v>
      </c>
      <c r="H5" s="762" t="s">
        <v>371</v>
      </c>
      <c r="I5" s="49" t="s">
        <v>8</v>
      </c>
      <c r="J5" s="51" t="s">
        <v>371</v>
      </c>
      <c r="K5" s="49" t="s">
        <v>8</v>
      </c>
      <c r="L5" s="51" t="s">
        <v>371</v>
      </c>
      <c r="M5" s="49" t="s">
        <v>8</v>
      </c>
      <c r="N5" s="51" t="s">
        <v>371</v>
      </c>
      <c r="O5" s="49" t="s">
        <v>8</v>
      </c>
      <c r="P5" s="51" t="s">
        <v>371</v>
      </c>
      <c r="Q5" s="664" t="s">
        <v>430</v>
      </c>
      <c r="R5" s="665" t="s">
        <v>442</v>
      </c>
      <c r="S5" s="666" t="s">
        <v>443</v>
      </c>
      <c r="T5" s="463" t="s">
        <v>444</v>
      </c>
    </row>
    <row r="6" spans="1:20" ht="24" customHeight="1" x14ac:dyDescent="0.25">
      <c r="A6" s="2078" t="s">
        <v>441</v>
      </c>
      <c r="B6" s="2079"/>
      <c r="C6" s="12" t="s">
        <v>374</v>
      </c>
      <c r="D6" s="470" t="s">
        <v>4</v>
      </c>
      <c r="E6" s="355"/>
      <c r="F6" s="411"/>
      <c r="G6" s="763"/>
      <c r="H6" s="764"/>
      <c r="I6" s="410"/>
      <c r="J6" s="407"/>
      <c r="K6" s="410"/>
      <c r="L6" s="411"/>
      <c r="M6" s="355"/>
      <c r="N6" s="411"/>
      <c r="O6" s="355"/>
      <c r="P6" s="411"/>
      <c r="Q6" s="660"/>
      <c r="R6" s="622"/>
      <c r="S6" s="486"/>
      <c r="T6" s="811" t="s">
        <v>504</v>
      </c>
    </row>
    <row r="7" spans="1:20" ht="24" customHeight="1" x14ac:dyDescent="0.25">
      <c r="A7" s="2080"/>
      <c r="B7" s="2081"/>
      <c r="C7" s="12" t="s">
        <v>375</v>
      </c>
      <c r="D7" s="470" t="s">
        <v>5</v>
      </c>
      <c r="E7" s="410"/>
      <c r="F7" s="623"/>
      <c r="G7" s="763"/>
      <c r="H7" s="765"/>
      <c r="I7" s="410"/>
      <c r="J7" s="622"/>
      <c r="K7" s="410"/>
      <c r="L7" s="623"/>
      <c r="M7" s="410"/>
      <c r="N7" s="623"/>
      <c r="O7" s="410"/>
      <c r="P7" s="623"/>
      <c r="Q7" s="660"/>
      <c r="R7" s="622"/>
      <c r="S7" s="486"/>
      <c r="T7" s="415"/>
    </row>
    <row r="8" spans="1:20" ht="24" customHeight="1" x14ac:dyDescent="0.25">
      <c r="A8" s="2080"/>
      <c r="B8" s="2081"/>
      <c r="C8" s="22" t="s">
        <v>376</v>
      </c>
      <c r="D8" s="683" t="s">
        <v>5</v>
      </c>
      <c r="E8" s="332"/>
      <c r="F8" s="684"/>
      <c r="G8" s="766"/>
      <c r="H8" s="767"/>
      <c r="I8" s="332"/>
      <c r="J8" s="685"/>
      <c r="K8" s="332"/>
      <c r="L8" s="684"/>
      <c r="M8" s="332"/>
      <c r="N8" s="684"/>
      <c r="O8" s="332"/>
      <c r="P8" s="684"/>
      <c r="Q8" s="686"/>
      <c r="R8" s="685"/>
      <c r="S8" s="687"/>
      <c r="T8" s="688"/>
    </row>
    <row r="9" spans="1:20" ht="24" customHeight="1" x14ac:dyDescent="0.25">
      <c r="A9" s="2080"/>
      <c r="B9" s="2081"/>
      <c r="C9" s="17" t="s">
        <v>503</v>
      </c>
      <c r="D9" s="66" t="s">
        <v>363</v>
      </c>
      <c r="E9" s="640">
        <v>0</v>
      </c>
      <c r="F9" s="638"/>
      <c r="G9" s="768">
        <v>0</v>
      </c>
      <c r="H9" s="769"/>
      <c r="I9" s="640">
        <v>6</v>
      </c>
      <c r="J9" s="638"/>
      <c r="K9" s="640">
        <v>5</v>
      </c>
      <c r="L9" s="638"/>
      <c r="M9" s="640">
        <v>11</v>
      </c>
      <c r="N9" s="638"/>
      <c r="O9" s="640">
        <v>1</v>
      </c>
      <c r="P9" s="466"/>
      <c r="Q9" s="662">
        <f>'Gate Seating Base'!I7</f>
        <v>190</v>
      </c>
      <c r="R9" s="612">
        <f>'Gate Seating Base'!I13</f>
        <v>129</v>
      </c>
      <c r="S9" s="612">
        <f>'Gate Seating Base'!J22</f>
        <v>3409.1806311612627</v>
      </c>
      <c r="T9" s="657" t="str">
        <f>CONCATENATE("Large ADG III/Code C, ref.: ",'Gate Seating Base'!I6)</f>
        <v>Large ADG III/Code C, ref.: JetBlue A321</v>
      </c>
    </row>
    <row r="10" spans="1:20" ht="24" customHeight="1" x14ac:dyDescent="0.25">
      <c r="A10" s="2080"/>
      <c r="B10" s="2081"/>
      <c r="C10" s="17" t="s">
        <v>502</v>
      </c>
      <c r="D10" s="66" t="s">
        <v>363</v>
      </c>
      <c r="E10" s="640">
        <v>0</v>
      </c>
      <c r="F10" s="638"/>
      <c r="G10" s="768">
        <v>0</v>
      </c>
      <c r="H10" s="769"/>
      <c r="I10" s="640">
        <v>0</v>
      </c>
      <c r="J10" s="638"/>
      <c r="K10" s="640">
        <v>0</v>
      </c>
      <c r="L10" s="638"/>
      <c r="M10" s="640">
        <v>0</v>
      </c>
      <c r="N10" s="638"/>
      <c r="O10" s="640">
        <v>0</v>
      </c>
      <c r="P10" s="465"/>
      <c r="Q10" s="662">
        <f>'Gate Seating Base'!M7</f>
        <v>252</v>
      </c>
      <c r="R10" s="612">
        <f>'Gate Seating Base'!M13</f>
        <v>154</v>
      </c>
      <c r="S10" s="612">
        <f>'Gate Seating Base'!N22</f>
        <v>4057.0479445581118</v>
      </c>
      <c r="T10" s="658" t="str">
        <f>CONCATENATE("Small ADG V/Code E, ref.: ",'Gate Seating Base'!M6)</f>
        <v>Small ADG V/Code E, ref.: US Airways A330-200</v>
      </c>
    </row>
    <row r="11" spans="1:20" ht="24" customHeight="1" x14ac:dyDescent="0.25">
      <c r="A11" s="2080"/>
      <c r="B11" s="2081"/>
      <c r="C11" s="99" t="s">
        <v>362</v>
      </c>
      <c r="D11" s="66" t="s">
        <v>363</v>
      </c>
      <c r="E11" s="641">
        <v>0</v>
      </c>
      <c r="F11" s="639"/>
      <c r="G11" s="770">
        <v>0</v>
      </c>
      <c r="H11" s="771"/>
      <c r="I11" s="641">
        <v>1</v>
      </c>
      <c r="J11" s="639"/>
      <c r="K11" s="641">
        <v>1</v>
      </c>
      <c r="L11" s="639"/>
      <c r="M11" s="641">
        <v>0</v>
      </c>
      <c r="N11" s="639"/>
      <c r="O11" s="641">
        <v>0</v>
      </c>
      <c r="P11" s="467"/>
      <c r="Q11" s="663">
        <f>'Gate Seating Base'!K27</f>
        <v>516</v>
      </c>
      <c r="R11" s="642">
        <f>'Gate Seating Base'!K33</f>
        <v>315</v>
      </c>
      <c r="S11" s="642">
        <f>'Gate Seating Base'!L42</f>
        <v>7928.6907533015074</v>
      </c>
      <c r="T11" s="659" t="str">
        <f>CONCATENATE("ADG VI/Code F, ref.: ",'Gate Seating Base'!K26)</f>
        <v>ADG VI/Code F, ref.: Air France A380</v>
      </c>
    </row>
    <row r="12" spans="1:20" ht="24" customHeight="1" x14ac:dyDescent="0.25">
      <c r="A12" s="2082"/>
      <c r="B12" s="2083"/>
      <c r="C12" s="464" t="s">
        <v>369</v>
      </c>
      <c r="D12" s="471" t="s">
        <v>167</v>
      </c>
      <c r="E12" s="613">
        <f>E9+E10+E11*2</f>
        <v>0</v>
      </c>
      <c r="F12" s="468"/>
      <c r="G12" s="772">
        <f>G9+G10+G11*2</f>
        <v>0</v>
      </c>
      <c r="H12" s="773"/>
      <c r="I12" s="613">
        <f>I9+I10+I11*2</f>
        <v>8</v>
      </c>
      <c r="J12" s="468"/>
      <c r="K12" s="613">
        <f>K9+K10+K11*2</f>
        <v>7</v>
      </c>
      <c r="L12" s="468"/>
      <c r="M12" s="613">
        <f>M9+M10+M11*2</f>
        <v>11</v>
      </c>
      <c r="N12" s="468"/>
      <c r="O12" s="613">
        <f>O9+O10+O11*2</f>
        <v>1</v>
      </c>
      <c r="P12" s="468"/>
      <c r="Q12" s="647"/>
      <c r="R12" s="647"/>
      <c r="S12" s="614">
        <f>SUM(E12:P12)</f>
        <v>27</v>
      </c>
      <c r="T12" s="487" t="s">
        <v>377</v>
      </c>
    </row>
    <row r="13" spans="1:20" ht="24" customHeight="1" x14ac:dyDescent="0.25">
      <c r="A13" s="472"/>
      <c r="B13" s="473"/>
      <c r="C13" s="491" t="s">
        <v>378</v>
      </c>
      <c r="D13" s="474"/>
      <c r="E13" s="475"/>
      <c r="F13" s="476"/>
      <c r="G13" s="774"/>
      <c r="H13" s="775"/>
      <c r="I13" s="475"/>
      <c r="J13" s="476"/>
      <c r="K13" s="475"/>
      <c r="L13" s="476"/>
      <c r="M13" s="475"/>
      <c r="N13" s="476"/>
      <c r="O13" s="475"/>
      <c r="P13" s="476"/>
      <c r="Q13" s="648"/>
      <c r="R13" s="648"/>
      <c r="S13" s="492"/>
      <c r="T13" s="477"/>
    </row>
    <row r="14" spans="1:20" ht="24" customHeight="1" x14ac:dyDescent="0.25">
      <c r="A14" s="472"/>
      <c r="B14" s="473"/>
      <c r="C14" s="490" t="s">
        <v>341</v>
      </c>
      <c r="D14" s="478" t="s">
        <v>384</v>
      </c>
      <c r="E14" s="652">
        <f>SUMPRODUCT(E9:E11,$R9:$R11)</f>
        <v>0</v>
      </c>
      <c r="F14" s="615">
        <f>SUMPRODUCT(E9:E11,$S9:$S11)</f>
        <v>0</v>
      </c>
      <c r="G14" s="776">
        <f>SUMPRODUCT(G9:G11,$R9:$R11)</f>
        <v>0</v>
      </c>
      <c r="H14" s="777">
        <f>SUMPRODUCT(G9:G11,$S9:$S11)</f>
        <v>0</v>
      </c>
      <c r="I14" s="652">
        <f>SUMPRODUCT(I9:I11,$R9:$R11)</f>
        <v>1089</v>
      </c>
      <c r="J14" s="615">
        <f>SUMPRODUCT(I9:I11,$S9:$S11)</f>
        <v>28383.774540269082</v>
      </c>
      <c r="K14" s="652">
        <f>SUMPRODUCT(K9:K11,$R9:$R11)</f>
        <v>960</v>
      </c>
      <c r="L14" s="615">
        <f>SUMPRODUCT(K9:K11,$S9:$S11)</f>
        <v>24974.593909107822</v>
      </c>
      <c r="M14" s="652">
        <f>SUMPRODUCT(M9:M11,$R9:$R11)</f>
        <v>1419</v>
      </c>
      <c r="N14" s="615">
        <f>SUMPRODUCT(M9:M11,$S9:$S11)</f>
        <v>37500.986942773889</v>
      </c>
      <c r="O14" s="652">
        <f>SUMPRODUCT(O9:O11,$R9:$R11)</f>
        <v>129</v>
      </c>
      <c r="P14" s="615">
        <f>SUMPRODUCT(O9:O11,$S9:$S11)</f>
        <v>3409.1806311612627</v>
      </c>
      <c r="Q14" s="756"/>
      <c r="R14" s="649"/>
      <c r="S14" s="480"/>
      <c r="T14" s="477"/>
    </row>
    <row r="15" spans="1:20" ht="24" customHeight="1" x14ac:dyDescent="0.25">
      <c r="A15" s="472"/>
      <c r="B15" s="473"/>
      <c r="C15" s="490"/>
      <c r="D15" s="478"/>
      <c r="E15" s="479"/>
      <c r="F15" s="489"/>
      <c r="G15" s="778"/>
      <c r="H15" s="779"/>
      <c r="I15" s="479"/>
      <c r="J15" s="488"/>
      <c r="K15" s="479"/>
      <c r="L15" s="489"/>
      <c r="M15" s="479"/>
      <c r="N15" s="489"/>
      <c r="O15" s="479"/>
      <c r="P15" s="489"/>
      <c r="Q15" s="488"/>
      <c r="R15" s="488"/>
      <c r="S15" s="480"/>
      <c r="T15" s="477"/>
    </row>
    <row r="16" spans="1:20" ht="24" customHeight="1" x14ac:dyDescent="0.25">
      <c r="A16" s="481"/>
      <c r="B16" s="482"/>
      <c r="C16" s="645" t="s">
        <v>433</v>
      </c>
      <c r="D16" s="545"/>
      <c r="E16" s="547"/>
      <c r="F16" s="618"/>
      <c r="G16" s="780"/>
      <c r="H16" s="781"/>
      <c r="I16" s="547"/>
      <c r="J16" s="546"/>
      <c r="K16" s="547"/>
      <c r="L16" s="618"/>
      <c r="M16" s="547"/>
      <c r="N16" s="618"/>
      <c r="O16" s="547"/>
      <c r="P16" s="548"/>
      <c r="Q16" s="650"/>
      <c r="R16" s="650"/>
      <c r="S16" s="549"/>
      <c r="T16" s="550"/>
    </row>
    <row r="17" spans="1:20" ht="24" customHeight="1" x14ac:dyDescent="0.25">
      <c r="A17" s="481"/>
      <c r="B17" s="482"/>
      <c r="C17" s="646" t="s">
        <v>164</v>
      </c>
      <c r="D17" s="621" t="s">
        <v>373</v>
      </c>
      <c r="E17" s="552"/>
      <c r="F17" s="553"/>
      <c r="G17" s="782"/>
      <c r="H17" s="783"/>
      <c r="I17" s="552"/>
      <c r="J17" s="551"/>
      <c r="K17" s="552"/>
      <c r="L17" s="553"/>
      <c r="M17" s="552"/>
      <c r="N17" s="553"/>
      <c r="O17" s="555"/>
      <c r="P17" s="553"/>
      <c r="Q17" s="551"/>
      <c r="R17" s="551"/>
      <c r="S17" s="554"/>
      <c r="T17" s="483"/>
    </row>
    <row r="18" spans="1:20" ht="24" customHeight="1" x14ac:dyDescent="0.25">
      <c r="A18" s="481"/>
      <c r="B18" s="482"/>
      <c r="C18" s="646" t="s">
        <v>354</v>
      </c>
      <c r="D18" s="621" t="s">
        <v>373</v>
      </c>
      <c r="E18" s="552"/>
      <c r="F18" s="553"/>
      <c r="G18" s="782"/>
      <c r="H18" s="783"/>
      <c r="I18" s="552"/>
      <c r="J18" s="551"/>
      <c r="K18" s="552"/>
      <c r="L18" s="553"/>
      <c r="M18" s="552"/>
      <c r="N18" s="553"/>
      <c r="O18" s="555"/>
      <c r="P18" s="553"/>
      <c r="Q18" s="551"/>
      <c r="R18" s="551"/>
      <c r="S18" s="554"/>
      <c r="T18" s="483"/>
    </row>
    <row r="19" spans="1:20" ht="24" customHeight="1" x14ac:dyDescent="0.25">
      <c r="A19" s="481"/>
      <c r="B19" s="482"/>
      <c r="C19" s="646" t="s">
        <v>432</v>
      </c>
      <c r="D19" s="621" t="s">
        <v>373</v>
      </c>
      <c r="E19" s="552"/>
      <c r="F19" s="553"/>
      <c r="G19" s="782"/>
      <c r="H19" s="783"/>
      <c r="I19" s="552"/>
      <c r="J19" s="551"/>
      <c r="K19" s="552"/>
      <c r="L19" s="553"/>
      <c r="M19" s="552"/>
      <c r="N19" s="553"/>
      <c r="O19" s="555"/>
      <c r="P19" s="553"/>
      <c r="Q19" s="551"/>
      <c r="R19" s="551"/>
      <c r="S19" s="554"/>
      <c r="T19" s="483"/>
    </row>
    <row r="20" spans="1:20" ht="24" customHeight="1" x14ac:dyDescent="0.25">
      <c r="A20" s="481"/>
      <c r="B20" s="482"/>
      <c r="C20" s="646" t="s">
        <v>372</v>
      </c>
      <c r="D20" s="643" t="s">
        <v>388</v>
      </c>
      <c r="E20" s="555"/>
      <c r="F20" s="617">
        <v>40000</v>
      </c>
      <c r="G20" s="784"/>
      <c r="H20" s="785">
        <v>0</v>
      </c>
      <c r="I20" s="555"/>
      <c r="J20" s="616">
        <v>25000</v>
      </c>
      <c r="K20" s="555"/>
      <c r="L20" s="617">
        <v>3000</v>
      </c>
      <c r="M20" s="555"/>
      <c r="N20" s="617">
        <v>15000</v>
      </c>
      <c r="O20" s="555"/>
      <c r="P20" s="617">
        <v>0</v>
      </c>
      <c r="Q20" s="667" t="s">
        <v>434</v>
      </c>
      <c r="R20" s="616"/>
      <c r="S20" s="554"/>
      <c r="T20" s="483"/>
    </row>
    <row r="21" spans="1:20" ht="24" customHeight="1" x14ac:dyDescent="0.25">
      <c r="A21" s="496"/>
      <c r="B21" s="497"/>
      <c r="C21" s="498" t="s">
        <v>355</v>
      </c>
      <c r="D21" s="500"/>
      <c r="E21" s="502"/>
      <c r="F21" s="556"/>
      <c r="G21" s="786"/>
      <c r="H21" s="787"/>
      <c r="I21" s="502"/>
      <c r="J21" s="544"/>
      <c r="K21" s="502"/>
      <c r="L21" s="556"/>
      <c r="M21" s="502"/>
      <c r="N21" s="556"/>
      <c r="O21" s="620"/>
      <c r="P21" s="556"/>
      <c r="Q21" s="544"/>
      <c r="R21" s="544"/>
      <c r="S21" s="544"/>
      <c r="T21" s="501"/>
    </row>
    <row r="22" spans="1:20" ht="24" customHeight="1" x14ac:dyDescent="0.25">
      <c r="A22" s="496"/>
      <c r="B22" s="497"/>
      <c r="C22" s="499" t="s">
        <v>164</v>
      </c>
      <c r="D22" s="543" t="s">
        <v>382</v>
      </c>
      <c r="E22" s="502"/>
      <c r="F22" s="559"/>
      <c r="G22" s="786"/>
      <c r="H22" s="788"/>
      <c r="I22" s="502"/>
      <c r="J22" s="557"/>
      <c r="K22" s="502"/>
      <c r="L22" s="556"/>
      <c r="M22" s="502"/>
      <c r="N22" s="556"/>
      <c r="O22" s="620"/>
      <c r="P22" s="556"/>
      <c r="Q22" s="544"/>
      <c r="R22" s="544"/>
      <c r="S22" s="558"/>
      <c r="T22" s="501"/>
    </row>
    <row r="23" spans="1:20" ht="24" customHeight="1" x14ac:dyDescent="0.25">
      <c r="A23" s="496"/>
      <c r="B23" s="497"/>
      <c r="C23" s="499" t="s">
        <v>165</v>
      </c>
      <c r="D23" s="543" t="s">
        <v>382</v>
      </c>
      <c r="E23" s="502"/>
      <c r="F23" s="559"/>
      <c r="G23" s="786"/>
      <c r="H23" s="788"/>
      <c r="I23" s="502"/>
      <c r="J23" s="557"/>
      <c r="K23" s="502"/>
      <c r="L23" s="556"/>
      <c r="M23" s="502"/>
      <c r="N23" s="556"/>
      <c r="O23" s="620"/>
      <c r="P23" s="556"/>
      <c r="Q23" s="544"/>
      <c r="R23" s="544"/>
      <c r="S23" s="558"/>
      <c r="T23" s="501"/>
    </row>
    <row r="24" spans="1:20" ht="24" customHeight="1" x14ac:dyDescent="0.25">
      <c r="A24" s="496"/>
      <c r="B24" s="497"/>
      <c r="C24" s="499" t="s">
        <v>432</v>
      </c>
      <c r="D24" s="543" t="s">
        <v>382</v>
      </c>
      <c r="E24" s="502"/>
      <c r="F24" s="559"/>
      <c r="G24" s="786"/>
      <c r="H24" s="788"/>
      <c r="I24" s="502"/>
      <c r="J24" s="557"/>
      <c r="K24" s="502"/>
      <c r="L24" s="556"/>
      <c r="M24" s="502"/>
      <c r="N24" s="556"/>
      <c r="O24" s="620"/>
      <c r="P24" s="556"/>
      <c r="Q24" s="544"/>
      <c r="R24" s="544"/>
      <c r="S24" s="558"/>
      <c r="T24" s="501"/>
    </row>
    <row r="25" spans="1:20" ht="24" customHeight="1" x14ac:dyDescent="0.25">
      <c r="A25" s="496"/>
      <c r="B25" s="497"/>
      <c r="C25" s="499" t="s">
        <v>357</v>
      </c>
      <c r="D25" s="543" t="s">
        <v>383</v>
      </c>
      <c r="E25" s="589"/>
      <c r="F25" s="591"/>
      <c r="G25" s="789"/>
      <c r="H25" s="790"/>
      <c r="I25" s="589"/>
      <c r="J25" s="590"/>
      <c r="K25" s="589"/>
      <c r="L25" s="591"/>
      <c r="M25" s="589"/>
      <c r="N25" s="591"/>
      <c r="O25" s="589"/>
      <c r="P25" s="591"/>
      <c r="Q25" s="590"/>
      <c r="R25" s="590"/>
      <c r="S25" s="590"/>
      <c r="T25" s="501"/>
    </row>
    <row r="26" spans="1:20" ht="24" customHeight="1" x14ac:dyDescent="0.25">
      <c r="A26" s="584"/>
      <c r="B26" s="585"/>
      <c r="C26" s="493" t="s">
        <v>186</v>
      </c>
      <c r="D26" s="653" t="s">
        <v>373</v>
      </c>
      <c r="E26" s="519"/>
      <c r="F26" s="520">
        <v>1000</v>
      </c>
      <c r="G26" s="791"/>
      <c r="H26" s="792">
        <v>0</v>
      </c>
      <c r="I26" s="519"/>
      <c r="J26" s="518">
        <v>1000</v>
      </c>
      <c r="K26" s="519"/>
      <c r="L26" s="520">
        <v>0</v>
      </c>
      <c r="M26" s="519"/>
      <c r="N26" s="520">
        <v>1000</v>
      </c>
      <c r="O26" s="519"/>
      <c r="P26" s="520">
        <v>0</v>
      </c>
      <c r="Q26" s="667" t="s">
        <v>166</v>
      </c>
      <c r="R26" s="518"/>
      <c r="S26" s="494"/>
      <c r="T26" s="592"/>
    </row>
    <row r="27" spans="1:20" ht="24" customHeight="1" x14ac:dyDescent="0.25">
      <c r="A27" s="503"/>
      <c r="B27" s="504"/>
      <c r="C27" s="495" t="s">
        <v>342</v>
      </c>
      <c r="D27" s="505"/>
      <c r="E27" s="510"/>
      <c r="F27" s="509"/>
      <c r="G27" s="793"/>
      <c r="H27" s="794"/>
      <c r="I27" s="510"/>
      <c r="J27" s="509"/>
      <c r="K27" s="510"/>
      <c r="L27" s="509"/>
      <c r="M27" s="510"/>
      <c r="N27" s="509"/>
      <c r="O27" s="510"/>
      <c r="P27" s="509"/>
      <c r="Q27" s="668"/>
      <c r="R27" s="563"/>
      <c r="S27" s="563"/>
      <c r="T27" s="596"/>
    </row>
    <row r="28" spans="1:20" ht="24" customHeight="1" x14ac:dyDescent="0.25">
      <c r="A28" s="503"/>
      <c r="B28" s="504"/>
      <c r="C28" s="506" t="s">
        <v>379</v>
      </c>
      <c r="D28" s="586" t="s">
        <v>383</v>
      </c>
      <c r="E28" s="629">
        <v>1</v>
      </c>
      <c r="F28" s="677">
        <f>E28*$Q28</f>
        <v>2500</v>
      </c>
      <c r="G28" s="795">
        <v>0</v>
      </c>
      <c r="H28" s="796">
        <f>G28*$Q28</f>
        <v>0</v>
      </c>
      <c r="I28" s="629">
        <v>1</v>
      </c>
      <c r="J28" s="677">
        <f>I28*$Q28</f>
        <v>2500</v>
      </c>
      <c r="K28" s="629">
        <v>1</v>
      </c>
      <c r="L28" s="677">
        <f>K28*$Q28</f>
        <v>2500</v>
      </c>
      <c r="M28" s="629">
        <v>2</v>
      </c>
      <c r="N28" s="677">
        <f>M28*$Q28</f>
        <v>5000</v>
      </c>
      <c r="O28" s="629">
        <v>1</v>
      </c>
      <c r="P28" s="677">
        <f>O28*$Q28</f>
        <v>2500</v>
      </c>
      <c r="Q28" s="689">
        <v>2500</v>
      </c>
      <c r="R28" s="676" t="s">
        <v>440</v>
      </c>
      <c r="S28" s="507"/>
      <c r="T28" s="593"/>
    </row>
    <row r="29" spans="1:20" ht="24" customHeight="1" x14ac:dyDescent="0.25">
      <c r="A29" s="503"/>
      <c r="B29" s="504"/>
      <c r="C29" s="679" t="s">
        <v>385</v>
      </c>
      <c r="D29" s="586" t="s">
        <v>383</v>
      </c>
      <c r="E29" s="627"/>
      <c r="F29" s="628">
        <v>100</v>
      </c>
      <c r="G29" s="797"/>
      <c r="H29" s="798">
        <v>0</v>
      </c>
      <c r="I29" s="508"/>
      <c r="J29" s="628">
        <v>100</v>
      </c>
      <c r="K29" s="508"/>
      <c r="L29" s="628">
        <v>0</v>
      </c>
      <c r="M29" s="508"/>
      <c r="N29" s="628">
        <v>100</v>
      </c>
      <c r="O29" s="508"/>
      <c r="P29" s="628">
        <v>0</v>
      </c>
      <c r="Q29" s="669" t="s">
        <v>435</v>
      </c>
      <c r="R29" s="626"/>
      <c r="S29" s="507"/>
      <c r="T29" s="593"/>
    </row>
    <row r="30" spans="1:20" ht="24" customHeight="1" x14ac:dyDescent="0.25">
      <c r="A30" s="511"/>
      <c r="B30" s="512"/>
      <c r="C30" s="513" t="s">
        <v>358</v>
      </c>
      <c r="D30" s="587" t="s">
        <v>383</v>
      </c>
      <c r="E30" s="514"/>
      <c r="F30" s="516">
        <v>1000</v>
      </c>
      <c r="G30" s="791"/>
      <c r="H30" s="799">
        <v>0</v>
      </c>
      <c r="I30" s="514"/>
      <c r="J30" s="516">
        <v>1500</v>
      </c>
      <c r="K30" s="514"/>
      <c r="L30" s="516">
        <v>1000</v>
      </c>
      <c r="M30" s="514"/>
      <c r="N30" s="516">
        <v>1000</v>
      </c>
      <c r="O30" s="514"/>
      <c r="P30" s="516">
        <v>0</v>
      </c>
      <c r="Q30" s="670" t="s">
        <v>381</v>
      </c>
      <c r="R30" s="515"/>
      <c r="S30" s="517"/>
      <c r="T30" s="594"/>
    </row>
    <row r="31" spans="1:20" ht="24" customHeight="1" x14ac:dyDescent="0.25">
      <c r="A31" s="562"/>
      <c r="B31" s="563"/>
      <c r="C31" s="564" t="s">
        <v>87</v>
      </c>
      <c r="D31" s="586" t="s">
        <v>383</v>
      </c>
      <c r="E31" s="619"/>
      <c r="F31" s="560">
        <v>400</v>
      </c>
      <c r="G31" s="800"/>
      <c r="H31" s="801">
        <v>0</v>
      </c>
      <c r="I31" s="561"/>
      <c r="J31" s="560">
        <v>400</v>
      </c>
      <c r="K31" s="561"/>
      <c r="L31" s="560">
        <v>400</v>
      </c>
      <c r="M31" s="619"/>
      <c r="N31" s="560">
        <v>400</v>
      </c>
      <c r="O31" s="561"/>
      <c r="P31" s="560">
        <v>0</v>
      </c>
      <c r="Q31" s="671" t="s">
        <v>436</v>
      </c>
      <c r="R31" s="651"/>
      <c r="S31" s="565"/>
      <c r="T31" s="624"/>
    </row>
    <row r="32" spans="1:20" ht="24" customHeight="1" x14ac:dyDescent="0.25">
      <c r="A32" s="503"/>
      <c r="B32" s="504"/>
      <c r="C32" s="506" t="s">
        <v>437</v>
      </c>
      <c r="D32" s="644" t="s">
        <v>389</v>
      </c>
      <c r="E32" s="654"/>
      <c r="F32" s="636">
        <v>20000</v>
      </c>
      <c r="G32" s="802"/>
      <c r="H32" s="803">
        <v>0</v>
      </c>
      <c r="I32" s="631"/>
      <c r="J32" s="636">
        <v>18000</v>
      </c>
      <c r="K32" s="631"/>
      <c r="L32" s="636">
        <v>20000</v>
      </c>
      <c r="M32" s="633"/>
      <c r="N32" s="636">
        <v>12000</v>
      </c>
      <c r="O32" s="634"/>
      <c r="P32" s="636">
        <v>0</v>
      </c>
      <c r="Q32" s="672" t="s">
        <v>380</v>
      </c>
      <c r="R32" s="632"/>
      <c r="S32" s="630"/>
      <c r="T32" s="635"/>
    </row>
    <row r="33" spans="1:20" ht="24" customHeight="1" x14ac:dyDescent="0.25">
      <c r="A33" s="511"/>
      <c r="B33" s="512"/>
      <c r="C33" s="678" t="s">
        <v>386</v>
      </c>
      <c r="D33" s="587" t="s">
        <v>383</v>
      </c>
      <c r="E33" s="655"/>
      <c r="F33" s="656">
        <v>200</v>
      </c>
      <c r="G33" s="804"/>
      <c r="H33" s="805">
        <v>0</v>
      </c>
      <c r="I33" s="568"/>
      <c r="J33" s="637">
        <v>400</v>
      </c>
      <c r="K33" s="568"/>
      <c r="L33" s="637">
        <v>200</v>
      </c>
      <c r="M33" s="566"/>
      <c r="N33" s="637">
        <v>400</v>
      </c>
      <c r="O33" s="569"/>
      <c r="P33" s="516">
        <v>200</v>
      </c>
      <c r="Q33" s="673"/>
      <c r="R33" s="515"/>
      <c r="S33" s="567"/>
      <c r="T33" s="625"/>
    </row>
    <row r="34" spans="1:20" ht="24" customHeight="1" x14ac:dyDescent="0.25">
      <c r="A34" s="570"/>
      <c r="B34" s="571"/>
      <c r="C34" s="680" t="s">
        <v>168</v>
      </c>
      <c r="D34" s="588" t="s">
        <v>383</v>
      </c>
      <c r="E34" s="573"/>
      <c r="F34" s="575">
        <f>F14+F20+F26+SUM(F28:F33)</f>
        <v>65200</v>
      </c>
      <c r="G34" s="806"/>
      <c r="H34" s="807">
        <f>H14+H20+H26+SUM(H28:H33)</f>
        <v>0</v>
      </c>
      <c r="I34" s="573"/>
      <c r="J34" s="574">
        <f>J14+J20+J26+SUM(J28:J33)</f>
        <v>77283.774540269078</v>
      </c>
      <c r="K34" s="573"/>
      <c r="L34" s="574">
        <f>L14+L20+L26+SUM(L28:L33)</f>
        <v>52074.593909107818</v>
      </c>
      <c r="M34" s="573"/>
      <c r="N34" s="574">
        <f>N14+N20+N26+SUM(N28:N33)</f>
        <v>72400.986942773889</v>
      </c>
      <c r="O34" s="573"/>
      <c r="P34" s="575">
        <f>P14+P20+P26+SUM(P28:P33)</f>
        <v>6109.1806311612627</v>
      </c>
      <c r="Q34" s="574"/>
      <c r="R34" s="574"/>
      <c r="S34" s="574"/>
      <c r="T34" s="576"/>
    </row>
    <row r="35" spans="1:20" ht="24" customHeight="1" x14ac:dyDescent="0.25">
      <c r="A35" s="570"/>
      <c r="B35" s="571"/>
      <c r="C35" s="572" t="s">
        <v>356</v>
      </c>
      <c r="D35" s="588" t="s">
        <v>383</v>
      </c>
      <c r="E35" s="577"/>
      <c r="F35" s="575">
        <f>F34*$Q35</f>
        <v>6520</v>
      </c>
      <c r="G35" s="808"/>
      <c r="H35" s="807">
        <f>H34*$Q35</f>
        <v>0</v>
      </c>
      <c r="I35" s="577"/>
      <c r="J35" s="574">
        <f>J34*$Q35</f>
        <v>7728.3774540269078</v>
      </c>
      <c r="K35" s="577"/>
      <c r="L35" s="574">
        <f>L34*$Q35</f>
        <v>5207.4593909107825</v>
      </c>
      <c r="M35" s="577"/>
      <c r="N35" s="574">
        <f>N34*$Q35</f>
        <v>7240.0986942773889</v>
      </c>
      <c r="O35" s="577"/>
      <c r="P35" s="575">
        <f>P34*$Q35</f>
        <v>610.91806311612629</v>
      </c>
      <c r="Q35" s="578">
        <v>0.1</v>
      </c>
      <c r="R35" s="674" t="s">
        <v>289</v>
      </c>
      <c r="S35" s="574"/>
      <c r="T35" s="576"/>
    </row>
    <row r="36" spans="1:20" ht="24" customHeight="1" x14ac:dyDescent="0.25">
      <c r="A36" s="579"/>
      <c r="B36" s="580"/>
      <c r="C36" s="681" t="s">
        <v>297</v>
      </c>
      <c r="D36" s="682" t="s">
        <v>438</v>
      </c>
      <c r="E36" s="581"/>
      <c r="F36" s="690">
        <f>ROUND(F34+F35,-3)</f>
        <v>72000</v>
      </c>
      <c r="G36" s="809"/>
      <c r="H36" s="810">
        <f>ROUND(H34+H35,-3)</f>
        <v>0</v>
      </c>
      <c r="I36" s="691"/>
      <c r="J36" s="690">
        <f>ROUND(J34+J35,-3)</f>
        <v>85000</v>
      </c>
      <c r="K36" s="691"/>
      <c r="L36" s="690">
        <f>ROUND(L34+L35,-3)</f>
        <v>57000</v>
      </c>
      <c r="M36" s="691"/>
      <c r="N36" s="690">
        <f>ROUND(N34+N35,-3)</f>
        <v>80000</v>
      </c>
      <c r="O36" s="691"/>
      <c r="P36" s="690">
        <f>ROUND(P34+P35,-3)</f>
        <v>7000</v>
      </c>
      <c r="Q36" s="675" t="s">
        <v>439</v>
      </c>
      <c r="R36" s="675"/>
      <c r="S36" s="582"/>
      <c r="T36" s="583"/>
    </row>
    <row r="37" spans="1:20" ht="24" customHeight="1" x14ac:dyDescent="0.25">
      <c r="A37" s="418"/>
      <c r="B37" s="323"/>
      <c r="C37" s="323"/>
      <c r="D37" s="323"/>
      <c r="E37" s="2084" t="str">
        <f>E3</f>
        <v>Zone 1</v>
      </c>
      <c r="F37" s="2065"/>
      <c r="G37" s="2094" t="str">
        <f>G3</f>
        <v>Zone 1A</v>
      </c>
      <c r="H37" s="2095"/>
      <c r="I37" s="2084" t="str">
        <f>I3</f>
        <v>Zone 2</v>
      </c>
      <c r="J37" s="2086"/>
      <c r="K37" s="2085" t="str">
        <f>K3</f>
        <v>Zone 3</v>
      </c>
      <c r="L37" s="2085"/>
      <c r="M37" s="2085" t="str">
        <f>M3</f>
        <v>Zone 4</v>
      </c>
      <c r="N37" s="2085"/>
      <c r="O37" s="2085" t="str">
        <f>O3</f>
        <v>Orphan</v>
      </c>
      <c r="P37" s="2085"/>
      <c r="Q37" s="595"/>
      <c r="R37" s="595"/>
      <c r="S37" s="595"/>
      <c r="T37" s="419"/>
    </row>
    <row r="38" spans="1:20" ht="24" customHeight="1" thickBot="1" x14ac:dyDescent="0.3">
      <c r="A38" s="420"/>
      <c r="B38" s="421"/>
      <c r="C38" s="421"/>
      <c r="D38" s="421"/>
      <c r="E38" s="421"/>
      <c r="F38" s="421"/>
      <c r="G38" s="421"/>
      <c r="H38" s="421"/>
      <c r="I38" s="421"/>
      <c r="J38" s="421"/>
      <c r="K38" s="421"/>
      <c r="L38" s="421"/>
      <c r="M38" s="421"/>
      <c r="N38" s="421"/>
      <c r="O38" s="421"/>
      <c r="P38" s="422"/>
      <c r="Q38" s="422"/>
      <c r="R38" s="422"/>
      <c r="S38" s="422"/>
      <c r="T38" s="423"/>
    </row>
    <row r="39" spans="1:20" ht="24" customHeight="1" x14ac:dyDescent="0.25">
      <c r="A39" s="323"/>
      <c r="B39" s="323"/>
      <c r="C39" s="323"/>
      <c r="D39" s="323"/>
      <c r="E39" s="323"/>
      <c r="F39" s="323"/>
      <c r="G39" s="323"/>
      <c r="H39" s="323"/>
      <c r="I39" s="323"/>
      <c r="J39" s="323"/>
      <c r="K39" s="323"/>
      <c r="L39" s="323"/>
      <c r="M39" s="323"/>
      <c r="N39" s="323"/>
      <c r="O39" s="323"/>
      <c r="P39" s="424"/>
      <c r="Q39" s="424"/>
      <c r="R39" s="424"/>
      <c r="S39" s="424"/>
      <c r="T39" s="323"/>
    </row>
    <row r="40" spans="1:20" ht="24" customHeight="1" x14ac:dyDescent="0.25"/>
    <row r="41" spans="1:20" ht="24" customHeight="1" x14ac:dyDescent="0.25"/>
    <row r="42" spans="1:20" ht="24" customHeight="1" x14ac:dyDescent="0.25"/>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c r="C49" s="321"/>
    </row>
    <row r="50" spans="3:3" ht="24" customHeight="1" x14ac:dyDescent="0.25">
      <c r="C50" s="321"/>
    </row>
    <row r="51" spans="3:3" ht="24" customHeight="1" x14ac:dyDescent="0.25">
      <c r="C51" s="321"/>
    </row>
    <row r="52" spans="3:3" ht="24" customHeight="1" x14ac:dyDescent="0.25">
      <c r="C52" s="321"/>
    </row>
    <row r="53" spans="3:3" ht="24" customHeight="1" x14ac:dyDescent="0.25">
      <c r="C53" s="321"/>
    </row>
    <row r="54" spans="3:3" ht="24" customHeight="1" x14ac:dyDescent="0.25">
      <c r="C54" s="321"/>
    </row>
  </sheetData>
  <mergeCells count="19">
    <mergeCell ref="O37:P37"/>
    <mergeCell ref="A6:B12"/>
    <mergeCell ref="E37:F37"/>
    <mergeCell ref="G37:H37"/>
    <mergeCell ref="I37:J37"/>
    <mergeCell ref="K37:L37"/>
    <mergeCell ref="M37:N37"/>
    <mergeCell ref="O4:P4"/>
    <mergeCell ref="E3:F3"/>
    <mergeCell ref="G3:H3"/>
    <mergeCell ref="I3:J3"/>
    <mergeCell ref="K3:L3"/>
    <mergeCell ref="M3:N3"/>
    <mergeCell ref="O3:P3"/>
    <mergeCell ref="E4:F4"/>
    <mergeCell ref="G4:H4"/>
    <mergeCell ref="I4:J4"/>
    <mergeCell ref="K4:L4"/>
    <mergeCell ref="M4:N4"/>
  </mergeCells>
  <printOptions horizontalCentered="1"/>
  <pageMargins left="0.39370078740157483" right="0.39370078740157483" top="0.39370078740157483" bottom="0.59055118110236227" header="0.23622047244094491" footer="0.23622047244094491"/>
  <pageSetup paperSize="3" scale="79" orientation="landscape" horizontalDpi="1200" verticalDpi="1200" r:id="rId1"/>
  <headerFooter>
    <oddFooter>&amp;L&amp;F&amp;C&amp;A&amp;RPrinted &amp;D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54"/>
  <sheetViews>
    <sheetView workbookViewId="0">
      <pane xSplit="4" ySplit="5" topLeftCell="E6" activePane="bottomRight" state="frozen"/>
      <selection activeCell="E4" sqref="E4:F4"/>
      <selection pane="topRight" activeCell="E4" sqref="E4:F4"/>
      <selection pane="bottomLeft" activeCell="E4" sqref="E4:F4"/>
      <selection pane="bottomRight" activeCell="E2" sqref="E2"/>
    </sheetView>
  </sheetViews>
  <sheetFormatPr defaultColWidth="9.109375" defaultRowHeight="13.8" x14ac:dyDescent="0.25"/>
  <cols>
    <col min="1" max="2" width="3.6640625" style="321" customWidth="1"/>
    <col min="3" max="3" width="40.6640625" style="403" customWidth="1"/>
    <col min="4" max="16" width="9.6640625" style="321" customWidth="1"/>
    <col min="17" max="18" width="6.6640625" style="321" customWidth="1"/>
    <col min="19" max="19" width="8.6640625" style="321" customWidth="1"/>
    <col min="20" max="20" width="48.6640625" style="321" customWidth="1"/>
    <col min="21" max="16384" width="9.109375" style="321"/>
  </cols>
  <sheetData>
    <row r="1" spans="1:20" ht="24" customHeight="1" x14ac:dyDescent="0.25">
      <c r="A1" s="605" t="s">
        <v>497</v>
      </c>
      <c r="B1" s="606"/>
      <c r="C1" s="607"/>
      <c r="D1" s="608"/>
      <c r="E1" s="609" t="s">
        <v>790</v>
      </c>
      <c r="F1" s="27"/>
      <c r="G1" s="27"/>
      <c r="H1" s="27"/>
      <c r="I1" s="27"/>
      <c r="J1" s="27"/>
      <c r="K1" s="27"/>
      <c r="L1" s="27"/>
      <c r="M1" s="27"/>
      <c r="N1" s="27"/>
      <c r="O1" s="413"/>
      <c r="P1" s="413"/>
      <c r="Q1" s="413"/>
      <c r="R1" s="413"/>
      <c r="S1" s="413"/>
      <c r="T1" s="414"/>
    </row>
    <row r="2" spans="1:20" ht="24" customHeight="1" x14ac:dyDescent="0.25">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088" t="s">
        <v>364</v>
      </c>
      <c r="F3" s="2089"/>
      <c r="G3" s="2088" t="s">
        <v>365</v>
      </c>
      <c r="H3" s="2090"/>
      <c r="I3" s="2088" t="s">
        <v>366</v>
      </c>
      <c r="J3" s="2090"/>
      <c r="K3" s="2087" t="s">
        <v>367</v>
      </c>
      <c r="L3" s="2087"/>
      <c r="M3" s="2087" t="s">
        <v>368</v>
      </c>
      <c r="N3" s="2087"/>
      <c r="O3" s="2087" t="s">
        <v>370</v>
      </c>
      <c r="P3" s="2087"/>
      <c r="Q3" s="731"/>
      <c r="R3" s="732"/>
      <c r="S3" s="733"/>
      <c r="T3" s="735" t="s">
        <v>446</v>
      </c>
    </row>
    <row r="4" spans="1:20" ht="45" customHeight="1" x14ac:dyDescent="0.25">
      <c r="A4" s="416"/>
      <c r="B4" s="33"/>
      <c r="C4" s="603" t="e">
        <f>#REF!</f>
        <v>#REF!</v>
      </c>
      <c r="D4" s="402"/>
      <c r="E4" s="2039" t="s">
        <v>498</v>
      </c>
      <c r="F4" s="2039"/>
      <c r="G4" s="2039" t="s">
        <v>498</v>
      </c>
      <c r="H4" s="2039"/>
      <c r="I4" s="2039" t="s">
        <v>498</v>
      </c>
      <c r="J4" s="2039"/>
      <c r="K4" s="2039" t="s">
        <v>498</v>
      </c>
      <c r="L4" s="2039"/>
      <c r="M4" s="2039" t="s">
        <v>498</v>
      </c>
      <c r="N4" s="2039"/>
      <c r="O4" s="2039" t="s">
        <v>498</v>
      </c>
      <c r="P4" s="2039"/>
      <c r="Q4" s="485"/>
      <c r="R4" s="485"/>
      <c r="S4" s="485"/>
      <c r="T4" s="463" t="s">
        <v>445</v>
      </c>
    </row>
    <row r="5" spans="1:20" ht="36" customHeight="1" x14ac:dyDescent="0.25">
      <c r="A5" s="417"/>
      <c r="B5" s="404"/>
      <c r="C5" s="405"/>
      <c r="D5" s="406"/>
      <c r="E5" s="49" t="s">
        <v>8</v>
      </c>
      <c r="F5" s="51" t="s">
        <v>371</v>
      </c>
      <c r="G5" s="49" t="s">
        <v>8</v>
      </c>
      <c r="H5" s="51" t="s">
        <v>371</v>
      </c>
      <c r="I5" s="49" t="s">
        <v>8</v>
      </c>
      <c r="J5" s="51" t="s">
        <v>371</v>
      </c>
      <c r="K5" s="49" t="s">
        <v>8</v>
      </c>
      <c r="L5" s="51" t="s">
        <v>371</v>
      </c>
      <c r="M5" s="49" t="s">
        <v>8</v>
      </c>
      <c r="N5" s="51" t="s">
        <v>371</v>
      </c>
      <c r="O5" s="49" t="s">
        <v>8</v>
      </c>
      <c r="P5" s="51" t="s">
        <v>371</v>
      </c>
      <c r="Q5" s="664" t="s">
        <v>430</v>
      </c>
      <c r="R5" s="665" t="s">
        <v>442</v>
      </c>
      <c r="S5" s="666" t="s">
        <v>443</v>
      </c>
      <c r="T5" s="463" t="s">
        <v>444</v>
      </c>
    </row>
    <row r="6" spans="1:20" ht="24" customHeight="1" x14ac:dyDescent="0.25">
      <c r="A6" s="2078" t="s">
        <v>441</v>
      </c>
      <c r="B6" s="2079"/>
      <c r="C6" s="12" t="s">
        <v>374</v>
      </c>
      <c r="D6" s="470" t="s">
        <v>4</v>
      </c>
      <c r="E6" s="355"/>
      <c r="F6" s="411"/>
      <c r="G6" s="410"/>
      <c r="H6" s="407"/>
      <c r="I6" s="410"/>
      <c r="J6" s="407"/>
      <c r="K6" s="410"/>
      <c r="L6" s="411"/>
      <c r="M6" s="355"/>
      <c r="N6" s="411"/>
      <c r="O6" s="355"/>
      <c r="P6" s="411"/>
      <c r="Q6" s="660"/>
      <c r="R6" s="622"/>
      <c r="S6" s="486"/>
      <c r="T6" s="811" t="s">
        <v>504</v>
      </c>
    </row>
    <row r="7" spans="1:20" ht="24" customHeight="1" x14ac:dyDescent="0.25">
      <c r="A7" s="2080"/>
      <c r="B7" s="2081"/>
      <c r="C7" s="12" t="s">
        <v>375</v>
      </c>
      <c r="D7" s="470" t="s">
        <v>5</v>
      </c>
      <c r="E7" s="410"/>
      <c r="F7" s="623"/>
      <c r="G7" s="410"/>
      <c r="H7" s="622"/>
      <c r="I7" s="410"/>
      <c r="J7" s="622"/>
      <c r="K7" s="410"/>
      <c r="L7" s="623"/>
      <c r="M7" s="410"/>
      <c r="N7" s="623"/>
      <c r="O7" s="410"/>
      <c r="P7" s="623"/>
      <c r="Q7" s="660"/>
      <c r="R7" s="622"/>
      <c r="S7" s="486"/>
      <c r="T7" s="415"/>
    </row>
    <row r="8" spans="1:20" ht="24" customHeight="1" x14ac:dyDescent="0.25">
      <c r="A8" s="2080"/>
      <c r="B8" s="2081"/>
      <c r="C8" s="22" t="s">
        <v>376</v>
      </c>
      <c r="D8" s="683" t="s">
        <v>5</v>
      </c>
      <c r="E8" s="332"/>
      <c r="F8" s="684"/>
      <c r="G8" s="332"/>
      <c r="H8" s="685"/>
      <c r="I8" s="332"/>
      <c r="J8" s="685"/>
      <c r="K8" s="332"/>
      <c r="L8" s="684"/>
      <c r="M8" s="332"/>
      <c r="N8" s="684"/>
      <c r="O8" s="332"/>
      <c r="P8" s="684"/>
      <c r="Q8" s="686"/>
      <c r="R8" s="685"/>
      <c r="S8" s="687"/>
      <c r="T8" s="688"/>
    </row>
    <row r="9" spans="1:20" ht="24" customHeight="1" x14ac:dyDescent="0.25">
      <c r="A9" s="2080"/>
      <c r="B9" s="2081"/>
      <c r="C9" s="17" t="s">
        <v>503</v>
      </c>
      <c r="D9" s="66" t="s">
        <v>363</v>
      </c>
      <c r="E9" s="640">
        <v>0</v>
      </c>
      <c r="F9" s="638"/>
      <c r="G9" s="640">
        <v>2</v>
      </c>
      <c r="H9" s="638"/>
      <c r="I9" s="640">
        <v>3</v>
      </c>
      <c r="J9" s="638"/>
      <c r="K9" s="640">
        <v>7</v>
      </c>
      <c r="L9" s="638"/>
      <c r="M9" s="640">
        <v>10</v>
      </c>
      <c r="N9" s="638"/>
      <c r="O9" s="640">
        <v>1</v>
      </c>
      <c r="P9" s="466"/>
      <c r="Q9" s="662">
        <f>'Gate Seating Base'!I7</f>
        <v>190</v>
      </c>
      <c r="R9" s="612">
        <f>'Gate Seating Base'!I13</f>
        <v>129</v>
      </c>
      <c r="S9" s="612">
        <f>'Gate Seating Base'!J22</f>
        <v>3409.1806311612627</v>
      </c>
      <c r="T9" s="657" t="str">
        <f>CONCATENATE("Large ADG III/Code C, ref.: ",'Gate Seating Base'!I6)</f>
        <v>Large ADG III/Code C, ref.: JetBlue A321</v>
      </c>
    </row>
    <row r="10" spans="1:20" ht="24" customHeight="1" x14ac:dyDescent="0.25">
      <c r="A10" s="2080"/>
      <c r="B10" s="2081"/>
      <c r="C10" s="17" t="s">
        <v>502</v>
      </c>
      <c r="D10" s="66" t="s">
        <v>363</v>
      </c>
      <c r="E10" s="640">
        <v>0</v>
      </c>
      <c r="F10" s="638"/>
      <c r="G10" s="640">
        <v>0</v>
      </c>
      <c r="H10" s="638"/>
      <c r="I10" s="640">
        <v>0</v>
      </c>
      <c r="J10" s="638"/>
      <c r="K10" s="640">
        <v>0</v>
      </c>
      <c r="L10" s="638"/>
      <c r="M10" s="640">
        <v>0</v>
      </c>
      <c r="N10" s="638"/>
      <c r="O10" s="640">
        <v>0</v>
      </c>
      <c r="P10" s="465"/>
      <c r="Q10" s="662">
        <f>'Gate Seating Base'!M7</f>
        <v>252</v>
      </c>
      <c r="R10" s="612">
        <f>'Gate Seating Base'!M13</f>
        <v>154</v>
      </c>
      <c r="S10" s="612">
        <f>'Gate Seating Base'!N22</f>
        <v>4057.0479445581118</v>
      </c>
      <c r="T10" s="658" t="str">
        <f>CONCATENATE("Small ADG V/Code E, ref.: ",'Gate Seating Base'!M6)</f>
        <v>Small ADG V/Code E, ref.: US Airways A330-200</v>
      </c>
    </row>
    <row r="11" spans="1:20" ht="24" customHeight="1" x14ac:dyDescent="0.25">
      <c r="A11" s="2080"/>
      <c r="B11" s="2081"/>
      <c r="C11" s="99" t="s">
        <v>362</v>
      </c>
      <c r="D11" s="66" t="s">
        <v>363</v>
      </c>
      <c r="E11" s="641">
        <v>0</v>
      </c>
      <c r="F11" s="639"/>
      <c r="G11" s="770">
        <v>1</v>
      </c>
      <c r="H11" s="639"/>
      <c r="I11" s="641">
        <v>0</v>
      </c>
      <c r="J11" s="639"/>
      <c r="K11" s="641">
        <v>1</v>
      </c>
      <c r="L11" s="639"/>
      <c r="M11" s="641">
        <v>0</v>
      </c>
      <c r="N11" s="639"/>
      <c r="O11" s="641">
        <v>0</v>
      </c>
      <c r="P11" s="467"/>
      <c r="Q11" s="663">
        <f>'Gate Seating Base'!K27</f>
        <v>516</v>
      </c>
      <c r="R11" s="642">
        <f>'Gate Seating Base'!K33</f>
        <v>315</v>
      </c>
      <c r="S11" s="642">
        <f>'Gate Seating Base'!L42</f>
        <v>7928.6907533015074</v>
      </c>
      <c r="T11" s="659" t="str">
        <f>CONCATENATE("ADG VI/Code F, ref.: ",'Gate Seating Base'!K26)</f>
        <v>ADG VI/Code F, ref.: Air France A380</v>
      </c>
    </row>
    <row r="12" spans="1:20" ht="24" customHeight="1" x14ac:dyDescent="0.25">
      <c r="A12" s="2082"/>
      <c r="B12" s="2083"/>
      <c r="C12" s="464" t="s">
        <v>369</v>
      </c>
      <c r="D12" s="471" t="s">
        <v>167</v>
      </c>
      <c r="E12" s="613">
        <f>E9+E10+E11*2</f>
        <v>0</v>
      </c>
      <c r="F12" s="468"/>
      <c r="G12" s="772">
        <f>G9+G10+G11*2</f>
        <v>4</v>
      </c>
      <c r="H12" s="773"/>
      <c r="I12" s="613">
        <f>I9+I10+I11*2</f>
        <v>3</v>
      </c>
      <c r="J12" s="468"/>
      <c r="K12" s="613">
        <f>K9+K10+K11*2</f>
        <v>9</v>
      </c>
      <c r="L12" s="468"/>
      <c r="M12" s="613">
        <f>M9+M10+M11*2</f>
        <v>10</v>
      </c>
      <c r="N12" s="468"/>
      <c r="O12" s="613">
        <f>O9+O10+O11*2</f>
        <v>1</v>
      </c>
      <c r="P12" s="468"/>
      <c r="Q12" s="647"/>
      <c r="R12" s="647"/>
      <c r="S12" s="614">
        <f>SUM(E12:P12)</f>
        <v>27</v>
      </c>
      <c r="T12" s="487" t="s">
        <v>377</v>
      </c>
    </row>
    <row r="13" spans="1:20" ht="24" customHeight="1" x14ac:dyDescent="0.25">
      <c r="A13" s="472"/>
      <c r="B13" s="473"/>
      <c r="C13" s="491" t="s">
        <v>378</v>
      </c>
      <c r="D13" s="474"/>
      <c r="E13" s="475"/>
      <c r="F13" s="476"/>
      <c r="G13" s="475"/>
      <c r="H13" s="476"/>
      <c r="I13" s="475"/>
      <c r="J13" s="476"/>
      <c r="K13" s="475"/>
      <c r="L13" s="476"/>
      <c r="M13" s="475"/>
      <c r="N13" s="476"/>
      <c r="O13" s="475"/>
      <c r="P13" s="476"/>
      <c r="Q13" s="648"/>
      <c r="R13" s="648"/>
      <c r="S13" s="492"/>
      <c r="T13" s="477"/>
    </row>
    <row r="14" spans="1:20" ht="24" customHeight="1" x14ac:dyDescent="0.25">
      <c r="A14" s="472"/>
      <c r="B14" s="473"/>
      <c r="C14" s="490" t="s">
        <v>341</v>
      </c>
      <c r="D14" s="478" t="s">
        <v>384</v>
      </c>
      <c r="E14" s="652">
        <f>SUMPRODUCT(E9:E11,$R9:$R11)</f>
        <v>0</v>
      </c>
      <c r="F14" s="615">
        <f>SUMPRODUCT(E9:E11,$S9:$S11)</f>
        <v>0</v>
      </c>
      <c r="G14" s="652">
        <f>SUMPRODUCT(G9:G11,$R9:$R11)</f>
        <v>573</v>
      </c>
      <c r="H14" s="615">
        <f>SUMPRODUCT(G9:G11,$S9:$S11)</f>
        <v>14747.052015624033</v>
      </c>
      <c r="I14" s="652">
        <f>SUMPRODUCT(I9:I11,$R9:$R11)</f>
        <v>387</v>
      </c>
      <c r="J14" s="615">
        <f>SUMPRODUCT(I9:I11,$S9:$S11)</f>
        <v>10227.541893483787</v>
      </c>
      <c r="K14" s="652">
        <f>SUMPRODUCT(K9:K11,$R9:$R11)</f>
        <v>1218</v>
      </c>
      <c r="L14" s="615">
        <f>SUMPRODUCT(K9:K11,$S9:$S11)</f>
        <v>31792.955171430345</v>
      </c>
      <c r="M14" s="652">
        <f>SUMPRODUCT(M9:M11,$R9:$R11)</f>
        <v>1290</v>
      </c>
      <c r="N14" s="615">
        <f>SUMPRODUCT(M9:M11,$S9:$S11)</f>
        <v>34091.806311612629</v>
      </c>
      <c r="O14" s="652">
        <f>SUMPRODUCT(O9:O11,$R9:$R11)</f>
        <v>129</v>
      </c>
      <c r="P14" s="615">
        <f>SUMPRODUCT(O9:O11,$S9:$S11)</f>
        <v>3409.1806311612627</v>
      </c>
      <c r="Q14" s="756"/>
      <c r="R14" s="649"/>
      <c r="S14" s="480"/>
      <c r="T14" s="477"/>
    </row>
    <row r="15" spans="1:20" ht="24" customHeight="1" x14ac:dyDescent="0.25">
      <c r="A15" s="472"/>
      <c r="B15" s="473"/>
      <c r="C15" s="490"/>
      <c r="D15" s="478"/>
      <c r="E15" s="479"/>
      <c r="F15" s="489"/>
      <c r="G15" s="479"/>
      <c r="H15" s="488"/>
      <c r="I15" s="479"/>
      <c r="J15" s="488"/>
      <c r="K15" s="479"/>
      <c r="L15" s="489"/>
      <c r="M15" s="479"/>
      <c r="N15" s="489"/>
      <c r="O15" s="479"/>
      <c r="P15" s="489"/>
      <c r="Q15" s="488"/>
      <c r="R15" s="488"/>
      <c r="S15" s="480"/>
      <c r="T15" s="477"/>
    </row>
    <row r="16" spans="1:20" ht="24" customHeight="1" x14ac:dyDescent="0.25">
      <c r="A16" s="481"/>
      <c r="B16" s="482"/>
      <c r="C16" s="645" t="s">
        <v>433</v>
      </c>
      <c r="D16" s="545"/>
      <c r="E16" s="547"/>
      <c r="F16" s="618"/>
      <c r="G16" s="547"/>
      <c r="H16" s="546"/>
      <c r="I16" s="547"/>
      <c r="J16" s="546"/>
      <c r="K16" s="547"/>
      <c r="L16" s="618"/>
      <c r="M16" s="547"/>
      <c r="N16" s="618"/>
      <c r="O16" s="547"/>
      <c r="P16" s="548"/>
      <c r="Q16" s="650"/>
      <c r="R16" s="650"/>
      <c r="S16" s="549"/>
      <c r="T16" s="550"/>
    </row>
    <row r="17" spans="1:20" ht="24" customHeight="1" x14ac:dyDescent="0.25">
      <c r="A17" s="481"/>
      <c r="B17" s="482"/>
      <c r="C17" s="646" t="s">
        <v>164</v>
      </c>
      <c r="D17" s="621" t="s">
        <v>373</v>
      </c>
      <c r="E17" s="552"/>
      <c r="F17" s="553"/>
      <c r="G17" s="552"/>
      <c r="H17" s="551"/>
      <c r="I17" s="552"/>
      <c r="J17" s="551"/>
      <c r="K17" s="552"/>
      <c r="L17" s="553"/>
      <c r="M17" s="552"/>
      <c r="N17" s="553"/>
      <c r="O17" s="555"/>
      <c r="P17" s="553"/>
      <c r="Q17" s="551"/>
      <c r="R17" s="551"/>
      <c r="S17" s="554"/>
      <c r="T17" s="483"/>
    </row>
    <row r="18" spans="1:20" ht="24" customHeight="1" x14ac:dyDescent="0.25">
      <c r="A18" s="481"/>
      <c r="B18" s="482"/>
      <c r="C18" s="646" t="s">
        <v>354</v>
      </c>
      <c r="D18" s="621" t="s">
        <v>373</v>
      </c>
      <c r="E18" s="552"/>
      <c r="F18" s="553"/>
      <c r="G18" s="552"/>
      <c r="H18" s="551"/>
      <c r="I18" s="552"/>
      <c r="J18" s="551"/>
      <c r="K18" s="552"/>
      <c r="L18" s="553"/>
      <c r="M18" s="552"/>
      <c r="N18" s="553"/>
      <c r="O18" s="555"/>
      <c r="P18" s="553"/>
      <c r="Q18" s="551"/>
      <c r="R18" s="551"/>
      <c r="S18" s="554"/>
      <c r="T18" s="483"/>
    </row>
    <row r="19" spans="1:20" ht="24" customHeight="1" x14ac:dyDescent="0.25">
      <c r="A19" s="481"/>
      <c r="B19" s="482"/>
      <c r="C19" s="646" t="s">
        <v>432</v>
      </c>
      <c r="D19" s="621" t="s">
        <v>373</v>
      </c>
      <c r="E19" s="552"/>
      <c r="F19" s="553"/>
      <c r="G19" s="552"/>
      <c r="H19" s="551"/>
      <c r="I19" s="552"/>
      <c r="J19" s="551"/>
      <c r="K19" s="552"/>
      <c r="L19" s="553"/>
      <c r="M19" s="552"/>
      <c r="N19" s="553"/>
      <c r="O19" s="555"/>
      <c r="P19" s="553"/>
      <c r="Q19" s="551"/>
      <c r="R19" s="551"/>
      <c r="S19" s="554"/>
      <c r="T19" s="483"/>
    </row>
    <row r="20" spans="1:20" ht="24" customHeight="1" x14ac:dyDescent="0.25">
      <c r="A20" s="481"/>
      <c r="B20" s="482"/>
      <c r="C20" s="646" t="s">
        <v>372</v>
      </c>
      <c r="D20" s="643" t="s">
        <v>388</v>
      </c>
      <c r="E20" s="555"/>
      <c r="F20" s="617">
        <v>45000</v>
      </c>
      <c r="G20" s="555"/>
      <c r="H20" s="616">
        <v>2000</v>
      </c>
      <c r="I20" s="555"/>
      <c r="J20" s="616">
        <v>15000</v>
      </c>
      <c r="K20" s="555"/>
      <c r="L20" s="617">
        <v>3000</v>
      </c>
      <c r="M20" s="555"/>
      <c r="N20" s="617">
        <v>8000</v>
      </c>
      <c r="O20" s="555"/>
      <c r="P20" s="617">
        <v>0</v>
      </c>
      <c r="Q20" s="667" t="s">
        <v>434</v>
      </c>
      <c r="R20" s="616"/>
      <c r="S20" s="554"/>
      <c r="T20" s="483"/>
    </row>
    <row r="21" spans="1:20" ht="24" customHeight="1" x14ac:dyDescent="0.25">
      <c r="A21" s="496"/>
      <c r="B21" s="497"/>
      <c r="C21" s="498" t="s">
        <v>355</v>
      </c>
      <c r="D21" s="500"/>
      <c r="E21" s="502"/>
      <c r="F21" s="556"/>
      <c r="G21" s="502"/>
      <c r="H21" s="544"/>
      <c r="I21" s="502"/>
      <c r="J21" s="544"/>
      <c r="K21" s="502"/>
      <c r="L21" s="556"/>
      <c r="M21" s="502"/>
      <c r="N21" s="556"/>
      <c r="O21" s="620"/>
      <c r="P21" s="556"/>
      <c r="Q21" s="544"/>
      <c r="R21" s="544"/>
      <c r="S21" s="544"/>
      <c r="T21" s="501"/>
    </row>
    <row r="22" spans="1:20" ht="24" customHeight="1" x14ac:dyDescent="0.25">
      <c r="A22" s="496"/>
      <c r="B22" s="497"/>
      <c r="C22" s="499" t="s">
        <v>164</v>
      </c>
      <c r="D22" s="543" t="s">
        <v>382</v>
      </c>
      <c r="E22" s="502"/>
      <c r="F22" s="559"/>
      <c r="G22" s="502"/>
      <c r="H22" s="557"/>
      <c r="I22" s="502"/>
      <c r="J22" s="557"/>
      <c r="K22" s="502"/>
      <c r="L22" s="556"/>
      <c r="M22" s="502"/>
      <c r="N22" s="556"/>
      <c r="O22" s="620"/>
      <c r="P22" s="556"/>
      <c r="Q22" s="544"/>
      <c r="R22" s="544"/>
      <c r="S22" s="558"/>
      <c r="T22" s="501"/>
    </row>
    <row r="23" spans="1:20" ht="24" customHeight="1" x14ac:dyDescent="0.25">
      <c r="A23" s="496"/>
      <c r="B23" s="497"/>
      <c r="C23" s="499" t="s">
        <v>165</v>
      </c>
      <c r="D23" s="543" t="s">
        <v>382</v>
      </c>
      <c r="E23" s="502"/>
      <c r="F23" s="559"/>
      <c r="G23" s="502"/>
      <c r="H23" s="557"/>
      <c r="I23" s="502"/>
      <c r="J23" s="557"/>
      <c r="K23" s="502"/>
      <c r="L23" s="556"/>
      <c r="M23" s="502"/>
      <c r="N23" s="556"/>
      <c r="O23" s="620"/>
      <c r="P23" s="556"/>
      <c r="Q23" s="544"/>
      <c r="R23" s="544"/>
      <c r="S23" s="558"/>
      <c r="T23" s="501"/>
    </row>
    <row r="24" spans="1:20" ht="24" customHeight="1" x14ac:dyDescent="0.25">
      <c r="A24" s="496"/>
      <c r="B24" s="497"/>
      <c r="C24" s="499" t="s">
        <v>432</v>
      </c>
      <c r="D24" s="543" t="s">
        <v>382</v>
      </c>
      <c r="E24" s="502"/>
      <c r="F24" s="559"/>
      <c r="G24" s="502"/>
      <c r="H24" s="557"/>
      <c r="I24" s="502"/>
      <c r="J24" s="557"/>
      <c r="K24" s="502"/>
      <c r="L24" s="556"/>
      <c r="M24" s="502"/>
      <c r="N24" s="556"/>
      <c r="O24" s="620"/>
      <c r="P24" s="556"/>
      <c r="Q24" s="544"/>
      <c r="R24" s="544"/>
      <c r="S24" s="558"/>
      <c r="T24" s="501"/>
    </row>
    <row r="25" spans="1:20" ht="24" customHeight="1" x14ac:dyDescent="0.25">
      <c r="A25" s="496"/>
      <c r="B25" s="497"/>
      <c r="C25" s="499" t="s">
        <v>357</v>
      </c>
      <c r="D25" s="543" t="s">
        <v>383</v>
      </c>
      <c r="E25" s="589"/>
      <c r="F25" s="591"/>
      <c r="G25" s="589"/>
      <c r="H25" s="590"/>
      <c r="I25" s="589"/>
      <c r="J25" s="590"/>
      <c r="K25" s="589"/>
      <c r="L25" s="591"/>
      <c r="M25" s="589"/>
      <c r="N25" s="591"/>
      <c r="O25" s="589"/>
      <c r="P25" s="591"/>
      <c r="Q25" s="590"/>
      <c r="R25" s="590"/>
      <c r="S25" s="590"/>
      <c r="T25" s="501"/>
    </row>
    <row r="26" spans="1:20" ht="24" customHeight="1" x14ac:dyDescent="0.25">
      <c r="A26" s="584"/>
      <c r="B26" s="585"/>
      <c r="C26" s="493" t="s">
        <v>186</v>
      </c>
      <c r="D26" s="653" t="s">
        <v>373</v>
      </c>
      <c r="E26" s="519"/>
      <c r="F26" s="520">
        <v>1000</v>
      </c>
      <c r="G26" s="519"/>
      <c r="H26" s="518">
        <v>0</v>
      </c>
      <c r="I26" s="519"/>
      <c r="J26" s="518">
        <v>1000</v>
      </c>
      <c r="K26" s="519"/>
      <c r="L26" s="520">
        <v>0</v>
      </c>
      <c r="M26" s="519"/>
      <c r="N26" s="520">
        <v>1000</v>
      </c>
      <c r="O26" s="519"/>
      <c r="P26" s="520">
        <v>0</v>
      </c>
      <c r="Q26" s="667" t="s">
        <v>166</v>
      </c>
      <c r="R26" s="518"/>
      <c r="S26" s="494"/>
      <c r="T26" s="592"/>
    </row>
    <row r="27" spans="1:20" ht="24" customHeight="1" x14ac:dyDescent="0.25">
      <c r="A27" s="503"/>
      <c r="B27" s="504"/>
      <c r="C27" s="495" t="s">
        <v>342</v>
      </c>
      <c r="D27" s="505"/>
      <c r="E27" s="510"/>
      <c r="F27" s="509"/>
      <c r="G27" s="510"/>
      <c r="H27" s="509"/>
      <c r="I27" s="510"/>
      <c r="J27" s="509"/>
      <c r="K27" s="510"/>
      <c r="L27" s="509"/>
      <c r="M27" s="510"/>
      <c r="N27" s="509"/>
      <c r="O27" s="510"/>
      <c r="P27" s="509"/>
      <c r="Q27" s="668"/>
      <c r="R27" s="563"/>
      <c r="S27" s="563"/>
      <c r="T27" s="596"/>
    </row>
    <row r="28" spans="1:20" ht="24" customHeight="1" x14ac:dyDescent="0.25">
      <c r="A28" s="503"/>
      <c r="B28" s="504"/>
      <c r="C28" s="506" t="s">
        <v>379</v>
      </c>
      <c r="D28" s="586" t="s">
        <v>383</v>
      </c>
      <c r="E28" s="629">
        <v>1</v>
      </c>
      <c r="F28" s="677">
        <f>E28*$Q28</f>
        <v>2500</v>
      </c>
      <c r="G28" s="629">
        <v>0</v>
      </c>
      <c r="H28" s="677">
        <f>G28*$Q28</f>
        <v>0</v>
      </c>
      <c r="I28" s="629">
        <v>1</v>
      </c>
      <c r="J28" s="677">
        <f>I28*$Q28</f>
        <v>2500</v>
      </c>
      <c r="K28" s="629">
        <v>1</v>
      </c>
      <c r="L28" s="677">
        <f>K28*$Q28</f>
        <v>2500</v>
      </c>
      <c r="M28" s="629">
        <v>2</v>
      </c>
      <c r="N28" s="677">
        <f>M28*$Q28</f>
        <v>5000</v>
      </c>
      <c r="O28" s="629">
        <v>1</v>
      </c>
      <c r="P28" s="677">
        <f>O28*$Q28</f>
        <v>2500</v>
      </c>
      <c r="Q28" s="689">
        <v>2500</v>
      </c>
      <c r="R28" s="676" t="s">
        <v>440</v>
      </c>
      <c r="S28" s="507"/>
      <c r="T28" s="593"/>
    </row>
    <row r="29" spans="1:20" ht="24" customHeight="1" x14ac:dyDescent="0.25">
      <c r="A29" s="503"/>
      <c r="B29" s="504"/>
      <c r="C29" s="679" t="s">
        <v>385</v>
      </c>
      <c r="D29" s="586" t="s">
        <v>383</v>
      </c>
      <c r="E29" s="627"/>
      <c r="F29" s="628">
        <v>100</v>
      </c>
      <c r="G29" s="508"/>
      <c r="H29" s="626">
        <v>0</v>
      </c>
      <c r="I29" s="508"/>
      <c r="J29" s="628">
        <v>100</v>
      </c>
      <c r="K29" s="508"/>
      <c r="L29" s="628">
        <v>0</v>
      </c>
      <c r="M29" s="508"/>
      <c r="N29" s="628">
        <v>100</v>
      </c>
      <c r="O29" s="508"/>
      <c r="P29" s="628">
        <v>0</v>
      </c>
      <c r="Q29" s="669" t="s">
        <v>435</v>
      </c>
      <c r="R29" s="626"/>
      <c r="S29" s="507"/>
      <c r="T29" s="593"/>
    </row>
    <row r="30" spans="1:20" ht="24" customHeight="1" x14ac:dyDescent="0.25">
      <c r="A30" s="511"/>
      <c r="B30" s="512"/>
      <c r="C30" s="513" t="s">
        <v>358</v>
      </c>
      <c r="D30" s="587" t="s">
        <v>383</v>
      </c>
      <c r="E30" s="514"/>
      <c r="F30" s="516">
        <v>1000</v>
      </c>
      <c r="G30" s="514"/>
      <c r="H30" s="516">
        <v>0</v>
      </c>
      <c r="I30" s="514"/>
      <c r="J30" s="516">
        <v>1500</v>
      </c>
      <c r="K30" s="514"/>
      <c r="L30" s="516">
        <v>1000</v>
      </c>
      <c r="M30" s="514"/>
      <c r="N30" s="516">
        <v>1000</v>
      </c>
      <c r="O30" s="514"/>
      <c r="P30" s="516">
        <v>0</v>
      </c>
      <c r="Q30" s="670" t="s">
        <v>381</v>
      </c>
      <c r="R30" s="515"/>
      <c r="S30" s="517"/>
      <c r="T30" s="594"/>
    </row>
    <row r="31" spans="1:20" ht="24" customHeight="1" x14ac:dyDescent="0.25">
      <c r="A31" s="562"/>
      <c r="B31" s="563"/>
      <c r="C31" s="564" t="s">
        <v>87</v>
      </c>
      <c r="D31" s="586" t="s">
        <v>383</v>
      </c>
      <c r="E31" s="619"/>
      <c r="F31" s="560">
        <v>400</v>
      </c>
      <c r="G31" s="561"/>
      <c r="H31" s="560">
        <v>0</v>
      </c>
      <c r="I31" s="561"/>
      <c r="J31" s="560">
        <v>400</v>
      </c>
      <c r="K31" s="561"/>
      <c r="L31" s="560">
        <v>400</v>
      </c>
      <c r="M31" s="619"/>
      <c r="N31" s="560">
        <v>400</v>
      </c>
      <c r="O31" s="561"/>
      <c r="P31" s="560">
        <v>0</v>
      </c>
      <c r="Q31" s="671" t="s">
        <v>436</v>
      </c>
      <c r="R31" s="651"/>
      <c r="S31" s="565"/>
      <c r="T31" s="624"/>
    </row>
    <row r="32" spans="1:20" ht="24" customHeight="1" x14ac:dyDescent="0.25">
      <c r="A32" s="503"/>
      <c r="B32" s="504"/>
      <c r="C32" s="506" t="s">
        <v>437</v>
      </c>
      <c r="D32" s="644" t="s">
        <v>389</v>
      </c>
      <c r="E32" s="654"/>
      <c r="F32" s="636">
        <v>30000</v>
      </c>
      <c r="G32" s="631"/>
      <c r="H32" s="636">
        <v>6000</v>
      </c>
      <c r="I32" s="631"/>
      <c r="J32" s="636">
        <v>18000</v>
      </c>
      <c r="K32" s="631"/>
      <c r="L32" s="636">
        <v>20000</v>
      </c>
      <c r="M32" s="633"/>
      <c r="N32" s="636">
        <v>10000</v>
      </c>
      <c r="O32" s="634"/>
      <c r="P32" s="636">
        <v>0</v>
      </c>
      <c r="Q32" s="672" t="s">
        <v>380</v>
      </c>
      <c r="R32" s="632"/>
      <c r="S32" s="630"/>
      <c r="T32" s="635"/>
    </row>
    <row r="33" spans="1:20" ht="24" customHeight="1" x14ac:dyDescent="0.25">
      <c r="A33" s="511"/>
      <c r="B33" s="512"/>
      <c r="C33" s="678" t="s">
        <v>386</v>
      </c>
      <c r="D33" s="587" t="s">
        <v>383</v>
      </c>
      <c r="E33" s="655"/>
      <c r="F33" s="656">
        <v>200</v>
      </c>
      <c r="G33" s="568"/>
      <c r="H33" s="637">
        <v>0</v>
      </c>
      <c r="I33" s="568"/>
      <c r="J33" s="637">
        <v>400</v>
      </c>
      <c r="K33" s="568"/>
      <c r="L33" s="637">
        <v>200</v>
      </c>
      <c r="M33" s="566"/>
      <c r="N33" s="637">
        <v>400</v>
      </c>
      <c r="O33" s="569"/>
      <c r="P33" s="516">
        <v>200</v>
      </c>
      <c r="Q33" s="673"/>
      <c r="R33" s="515"/>
      <c r="S33" s="567"/>
      <c r="T33" s="625"/>
    </row>
    <row r="34" spans="1:20" ht="24" customHeight="1" x14ac:dyDescent="0.25">
      <c r="A34" s="570"/>
      <c r="B34" s="571"/>
      <c r="C34" s="680" t="s">
        <v>168</v>
      </c>
      <c r="D34" s="588" t="s">
        <v>383</v>
      </c>
      <c r="E34" s="573"/>
      <c r="F34" s="575">
        <f>F14+F20+F26+SUM(F28:F33)</f>
        <v>80200</v>
      </c>
      <c r="G34" s="573"/>
      <c r="H34" s="574">
        <f>H14+H20+H26+SUM(H28:H33)</f>
        <v>22747.052015624031</v>
      </c>
      <c r="I34" s="573"/>
      <c r="J34" s="574">
        <f>J14+J20+J26+SUM(J28:J33)</f>
        <v>49127.541893483787</v>
      </c>
      <c r="K34" s="573"/>
      <c r="L34" s="574">
        <f>L14+L20+L26+SUM(L28:L33)</f>
        <v>58892.955171430345</v>
      </c>
      <c r="M34" s="573"/>
      <c r="N34" s="574">
        <f>N14+N20+N26+SUM(N28:N33)</f>
        <v>59991.806311612629</v>
      </c>
      <c r="O34" s="573"/>
      <c r="P34" s="575">
        <f>P14+P20+P26+SUM(P28:P33)</f>
        <v>6109.1806311612627</v>
      </c>
      <c r="Q34" s="574"/>
      <c r="R34" s="574"/>
      <c r="S34" s="574"/>
      <c r="T34" s="576"/>
    </row>
    <row r="35" spans="1:20" ht="24" customHeight="1" x14ac:dyDescent="0.25">
      <c r="A35" s="570"/>
      <c r="B35" s="571"/>
      <c r="C35" s="572" t="s">
        <v>356</v>
      </c>
      <c r="D35" s="588" t="s">
        <v>383</v>
      </c>
      <c r="E35" s="577"/>
      <c r="F35" s="575">
        <f>F34*$Q35</f>
        <v>8020</v>
      </c>
      <c r="G35" s="577"/>
      <c r="H35" s="574">
        <f>H34*$Q35</f>
        <v>2274.7052015624031</v>
      </c>
      <c r="I35" s="577"/>
      <c r="J35" s="574">
        <f>J34*$Q35</f>
        <v>4912.7541893483794</v>
      </c>
      <c r="K35" s="577"/>
      <c r="L35" s="574">
        <f>L34*$Q35</f>
        <v>5889.2955171430349</v>
      </c>
      <c r="M35" s="577"/>
      <c r="N35" s="574">
        <f>N34*$Q35</f>
        <v>5999.1806311612636</v>
      </c>
      <c r="O35" s="577"/>
      <c r="P35" s="575">
        <f>P34*$Q35</f>
        <v>610.91806311612629</v>
      </c>
      <c r="Q35" s="578">
        <v>0.1</v>
      </c>
      <c r="R35" s="674" t="s">
        <v>289</v>
      </c>
      <c r="S35" s="574"/>
      <c r="T35" s="576"/>
    </row>
    <row r="36" spans="1:20" ht="24" customHeight="1" x14ac:dyDescent="0.25">
      <c r="A36" s="579"/>
      <c r="B36" s="580"/>
      <c r="C36" s="681" t="s">
        <v>297</v>
      </c>
      <c r="D36" s="682" t="s">
        <v>438</v>
      </c>
      <c r="E36" s="581"/>
      <c r="F36" s="690">
        <f>ROUND(F34+F35,-3)</f>
        <v>88000</v>
      </c>
      <c r="G36" s="691"/>
      <c r="H36" s="690">
        <f>ROUND(H34+H35,-3)</f>
        <v>25000</v>
      </c>
      <c r="I36" s="691"/>
      <c r="J36" s="690">
        <f>ROUND(J34+J35,-3)</f>
        <v>54000</v>
      </c>
      <c r="K36" s="691"/>
      <c r="L36" s="690">
        <f>ROUND(L34+L35,-3)</f>
        <v>65000</v>
      </c>
      <c r="M36" s="691"/>
      <c r="N36" s="690">
        <f>ROUND(N34+N35,-3)</f>
        <v>66000</v>
      </c>
      <c r="O36" s="691"/>
      <c r="P36" s="690">
        <f>ROUND(P34+P35,-3)</f>
        <v>7000</v>
      </c>
      <c r="Q36" s="675" t="s">
        <v>439</v>
      </c>
      <c r="R36" s="675"/>
      <c r="S36" s="582"/>
      <c r="T36" s="583"/>
    </row>
    <row r="37" spans="1:20" ht="24" customHeight="1" x14ac:dyDescent="0.25">
      <c r="A37" s="418"/>
      <c r="B37" s="323"/>
      <c r="C37" s="323"/>
      <c r="D37" s="323"/>
      <c r="E37" s="2084" t="str">
        <f>E3</f>
        <v>Zone 1</v>
      </c>
      <c r="F37" s="2065"/>
      <c r="G37" s="2084" t="str">
        <f>G3</f>
        <v>Zone 1A</v>
      </c>
      <c r="H37" s="2086"/>
      <c r="I37" s="2084" t="str">
        <f>I3</f>
        <v>Zone 2</v>
      </c>
      <c r="J37" s="2086"/>
      <c r="K37" s="2085" t="str">
        <f>K3</f>
        <v>Zone 3</v>
      </c>
      <c r="L37" s="2085"/>
      <c r="M37" s="2085" t="str">
        <f>M3</f>
        <v>Zone 4</v>
      </c>
      <c r="N37" s="2085"/>
      <c r="O37" s="2085" t="str">
        <f>O3</f>
        <v>Orphan</v>
      </c>
      <c r="P37" s="2085"/>
      <c r="Q37" s="595"/>
      <c r="R37" s="595"/>
      <c r="S37" s="595"/>
      <c r="T37" s="419"/>
    </row>
    <row r="38" spans="1:20" ht="24" customHeight="1" thickBot="1" x14ac:dyDescent="0.3">
      <c r="A38" s="420"/>
      <c r="B38" s="421"/>
      <c r="C38" s="421"/>
      <c r="D38" s="421"/>
      <c r="E38" s="421"/>
      <c r="F38" s="421"/>
      <c r="G38" s="421"/>
      <c r="H38" s="421"/>
      <c r="I38" s="421"/>
      <c r="J38" s="421"/>
      <c r="K38" s="421"/>
      <c r="L38" s="421"/>
      <c r="M38" s="421"/>
      <c r="N38" s="421"/>
      <c r="O38" s="421"/>
      <c r="P38" s="422"/>
      <c r="Q38" s="422"/>
      <c r="R38" s="422"/>
      <c r="S38" s="422"/>
      <c r="T38" s="423"/>
    </row>
    <row r="39" spans="1:20" ht="24" customHeight="1" x14ac:dyDescent="0.25">
      <c r="A39" s="323"/>
      <c r="B39" s="323"/>
      <c r="C39" s="323"/>
      <c r="D39" s="323"/>
      <c r="E39" s="323"/>
      <c r="F39" s="323"/>
      <c r="G39" s="323"/>
      <c r="H39" s="323"/>
      <c r="I39" s="323"/>
      <c r="J39" s="323"/>
      <c r="K39" s="323"/>
      <c r="L39" s="323"/>
      <c r="M39" s="323"/>
      <c r="N39" s="323"/>
      <c r="O39" s="323"/>
      <c r="P39" s="424"/>
      <c r="Q39" s="424"/>
      <c r="R39" s="424"/>
      <c r="S39" s="424"/>
      <c r="T39" s="323"/>
    </row>
    <row r="40" spans="1:20" ht="24" customHeight="1" x14ac:dyDescent="0.25"/>
    <row r="41" spans="1:20" ht="24" customHeight="1" x14ac:dyDescent="0.25"/>
    <row r="42" spans="1:20" ht="24" customHeight="1" x14ac:dyDescent="0.25"/>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c r="C49" s="321"/>
    </row>
    <row r="50" spans="3:3" ht="24" customHeight="1" x14ac:dyDescent="0.25">
      <c r="C50" s="321"/>
    </row>
    <row r="51" spans="3:3" ht="24" customHeight="1" x14ac:dyDescent="0.25">
      <c r="C51" s="321"/>
    </row>
    <row r="52" spans="3:3" ht="24" customHeight="1" x14ac:dyDescent="0.25">
      <c r="C52" s="321"/>
    </row>
    <row r="53" spans="3:3" ht="24" customHeight="1" x14ac:dyDescent="0.25">
      <c r="C53" s="321"/>
    </row>
    <row r="54" spans="3:3" ht="24" customHeight="1" x14ac:dyDescent="0.25">
      <c r="C54" s="321"/>
    </row>
  </sheetData>
  <mergeCells count="19">
    <mergeCell ref="O37:P37"/>
    <mergeCell ref="A6:B12"/>
    <mergeCell ref="E37:F37"/>
    <mergeCell ref="G37:H37"/>
    <mergeCell ref="I37:J37"/>
    <mergeCell ref="K37:L37"/>
    <mergeCell ref="M37:N37"/>
    <mergeCell ref="O4:P4"/>
    <mergeCell ref="E3:F3"/>
    <mergeCell ref="G3:H3"/>
    <mergeCell ref="I3:J3"/>
    <mergeCell ref="K3:L3"/>
    <mergeCell ref="M3:N3"/>
    <mergeCell ref="O3:P3"/>
    <mergeCell ref="E4:F4"/>
    <mergeCell ref="G4:H4"/>
    <mergeCell ref="I4:J4"/>
    <mergeCell ref="K4:L4"/>
    <mergeCell ref="M4:N4"/>
  </mergeCells>
  <printOptions horizontalCentered="1"/>
  <pageMargins left="0.39370078740157483" right="0.39370078740157483" top="0.39370078740157483" bottom="0.59055118110236227" header="0.23622047244094491" footer="0.23622047244094491"/>
  <pageSetup paperSize="3" scale="79" orientation="landscape" horizontalDpi="1200" verticalDpi="1200" r:id="rId1"/>
  <headerFooter>
    <oddFooter>&amp;L&amp;F&amp;C&amp;A&amp;RPrinted &amp;D</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U57"/>
  <sheetViews>
    <sheetView workbookViewId="0">
      <pane xSplit="4" ySplit="5" topLeftCell="E6" activePane="bottomRight" state="frozen"/>
      <selection activeCell="E6" sqref="E6"/>
      <selection pane="topRight" activeCell="E6" sqref="E6"/>
      <selection pane="bottomLeft" activeCell="E6" sqref="E6"/>
      <selection pane="bottomRight" activeCell="E2" sqref="E2"/>
    </sheetView>
  </sheetViews>
  <sheetFormatPr defaultColWidth="9.109375" defaultRowHeight="13.8" x14ac:dyDescent="0.25"/>
  <cols>
    <col min="1" max="2" width="3.6640625" style="321" customWidth="1"/>
    <col min="3" max="3" width="40.6640625" style="403" customWidth="1"/>
    <col min="4" max="5" width="9.6640625" style="321" customWidth="1"/>
    <col min="6" max="6" width="12.88671875" style="321" customWidth="1"/>
    <col min="7" max="7" width="9.6640625" style="321" customWidth="1"/>
    <col min="8" max="8" width="12.6640625" style="321" customWidth="1"/>
    <col min="9" max="9" width="9.6640625" style="321" customWidth="1"/>
    <col min="10" max="10" width="12.6640625" style="321" customWidth="1"/>
    <col min="11" max="11" width="9.6640625" style="321" customWidth="1"/>
    <col min="12" max="12" width="12.6640625" style="321" customWidth="1"/>
    <col min="13" max="14" width="6.6640625" style="321" customWidth="1"/>
    <col min="15" max="15" width="8.6640625" style="321" customWidth="1"/>
    <col min="16" max="16" width="6.6640625" style="321" customWidth="1"/>
    <col min="17" max="17" width="8.6640625" style="321" customWidth="1"/>
    <col min="18" max="18" width="48.6640625" style="321" customWidth="1"/>
    <col min="19" max="19" width="9.109375" style="321"/>
    <col min="20" max="21" width="15.6640625" style="321" customWidth="1"/>
    <col min="22" max="16384" width="9.109375" style="321"/>
  </cols>
  <sheetData>
    <row r="1" spans="1:20" ht="24" customHeight="1" x14ac:dyDescent="0.25">
      <c r="A1" s="605" t="s">
        <v>497</v>
      </c>
      <c r="B1" s="606"/>
      <c r="C1" s="607"/>
      <c r="D1" s="608"/>
      <c r="E1" s="609" t="s">
        <v>791</v>
      </c>
      <c r="F1" s="27"/>
      <c r="G1" s="27"/>
      <c r="H1" s="27"/>
      <c r="I1" s="27"/>
      <c r="J1" s="27"/>
      <c r="K1" s="413"/>
      <c r="L1" s="413"/>
      <c r="M1" s="413"/>
      <c r="N1" s="413"/>
      <c r="O1" s="413"/>
      <c r="P1" s="413"/>
      <c r="Q1" s="413"/>
      <c r="R1" s="414"/>
    </row>
    <row r="2" spans="1:20" ht="24" customHeight="1" x14ac:dyDescent="0.25">
      <c r="A2" s="34"/>
      <c r="B2" s="12"/>
      <c r="C2" s="610" t="str">
        <f>'All Years'!C2</f>
        <v>Fixed Link Calculations Added</v>
      </c>
      <c r="D2" s="604" t="s">
        <v>0</v>
      </c>
      <c r="E2" s="37" t="e">
        <f>#REF!</f>
        <v>#REF!</v>
      </c>
      <c r="F2" s="7"/>
      <c r="G2" s="7"/>
      <c r="H2" s="7"/>
      <c r="I2" s="7"/>
      <c r="J2" s="7"/>
      <c r="K2" s="33"/>
      <c r="L2" s="33"/>
      <c r="M2" s="33"/>
      <c r="N2" s="33"/>
      <c r="O2" s="33"/>
      <c r="P2" s="33"/>
      <c r="Q2" s="33"/>
      <c r="R2" s="729" t="s">
        <v>447</v>
      </c>
    </row>
    <row r="3" spans="1:20" ht="24" customHeight="1" x14ac:dyDescent="0.25">
      <c r="A3" s="39" t="s">
        <v>10</v>
      </c>
      <c r="B3" s="40"/>
      <c r="C3" s="598" t="e">
        <f>#REF!</f>
        <v>#REF!</v>
      </c>
      <c r="D3" s="602" t="e">
        <f>#REF!</f>
        <v>#REF!</v>
      </c>
      <c r="E3" s="2088" t="s">
        <v>364</v>
      </c>
      <c r="F3" s="2089"/>
      <c r="G3" s="2088" t="s">
        <v>366</v>
      </c>
      <c r="H3" s="2090"/>
      <c r="I3" s="2087" t="s">
        <v>367</v>
      </c>
      <c r="J3" s="2087"/>
      <c r="K3" s="2087" t="s">
        <v>591</v>
      </c>
      <c r="L3" s="2087"/>
      <c r="M3" s="731"/>
      <c r="N3" s="732"/>
      <c r="O3" s="732"/>
      <c r="P3" s="733"/>
      <c r="Q3" s="733"/>
      <c r="R3" s="735" t="s">
        <v>446</v>
      </c>
    </row>
    <row r="4" spans="1:20" ht="45" customHeight="1" x14ac:dyDescent="0.25">
      <c r="A4" s="416"/>
      <c r="B4" s="33"/>
      <c r="C4" s="603" t="e">
        <f>#REF!</f>
        <v>#REF!</v>
      </c>
      <c r="D4" s="402"/>
      <c r="E4" s="2039" t="s">
        <v>585</v>
      </c>
      <c r="F4" s="2039"/>
      <c r="G4" s="2039" t="s">
        <v>585</v>
      </c>
      <c r="H4" s="2039"/>
      <c r="I4" s="2039" t="s">
        <v>585</v>
      </c>
      <c r="J4" s="2039"/>
      <c r="K4" s="2039" t="s">
        <v>585</v>
      </c>
      <c r="L4" s="2039"/>
      <c r="M4" s="1062" t="s">
        <v>430</v>
      </c>
      <c r="N4" s="1063" t="s">
        <v>586</v>
      </c>
      <c r="O4" s="1064" t="s">
        <v>588</v>
      </c>
      <c r="P4" s="1065" t="s">
        <v>587</v>
      </c>
      <c r="Q4" s="1066" t="s">
        <v>590</v>
      </c>
      <c r="R4" s="463" t="s">
        <v>444</v>
      </c>
    </row>
    <row r="5" spans="1:20" ht="36" customHeight="1" x14ac:dyDescent="0.25">
      <c r="A5" s="417"/>
      <c r="B5" s="404"/>
      <c r="C5" s="405"/>
      <c r="D5" s="406"/>
      <c r="E5" s="49" t="s">
        <v>8</v>
      </c>
      <c r="F5" s="51" t="s">
        <v>371</v>
      </c>
      <c r="G5" s="49" t="s">
        <v>8</v>
      </c>
      <c r="H5" s="51" t="s">
        <v>371</v>
      </c>
      <c r="I5" s="49" t="s">
        <v>8</v>
      </c>
      <c r="J5" s="51" t="s">
        <v>371</v>
      </c>
      <c r="K5" s="49" t="s">
        <v>8</v>
      </c>
      <c r="L5" s="51" t="s">
        <v>371</v>
      </c>
      <c r="M5" s="664" t="s">
        <v>8</v>
      </c>
      <c r="N5" s="1047" t="s">
        <v>8</v>
      </c>
      <c r="O5" s="1048" t="s">
        <v>589</v>
      </c>
      <c r="P5" s="665" t="s">
        <v>8</v>
      </c>
      <c r="Q5" s="666" t="s">
        <v>589</v>
      </c>
      <c r="R5" s="463" t="s">
        <v>504</v>
      </c>
    </row>
    <row r="6" spans="1:20" ht="24" customHeight="1" x14ac:dyDescent="0.25">
      <c r="A6" s="2078" t="s">
        <v>441</v>
      </c>
      <c r="B6" s="2079"/>
      <c r="C6" s="12" t="s">
        <v>374</v>
      </c>
      <c r="D6" s="470" t="s">
        <v>4</v>
      </c>
      <c r="E6" s="355"/>
      <c r="F6" s="411"/>
      <c r="G6" s="410"/>
      <c r="H6" s="407"/>
      <c r="I6" s="410"/>
      <c r="J6" s="411"/>
      <c r="K6" s="355"/>
      <c r="L6" s="411"/>
      <c r="M6" s="660"/>
      <c r="N6" s="1049"/>
      <c r="O6" s="1050"/>
      <c r="Q6" s="1057"/>
      <c r="R6" s="463"/>
    </row>
    <row r="7" spans="1:20" ht="24" customHeight="1" x14ac:dyDescent="0.25">
      <c r="A7" s="2080"/>
      <c r="B7" s="2081"/>
      <c r="C7" s="12" t="s">
        <v>375</v>
      </c>
      <c r="D7" s="470" t="s">
        <v>5</v>
      </c>
      <c r="E7" s="410"/>
      <c r="F7" s="623"/>
      <c r="G7" s="410"/>
      <c r="H7" s="622"/>
      <c r="I7" s="410"/>
      <c r="J7" s="623"/>
      <c r="K7" s="410"/>
      <c r="L7" s="623"/>
      <c r="M7" s="660"/>
      <c r="N7" s="1049"/>
      <c r="O7" s="1050"/>
      <c r="Q7" s="1057"/>
      <c r="R7" s="415"/>
    </row>
    <row r="8" spans="1:20" ht="24" customHeight="1" x14ac:dyDescent="0.25">
      <c r="A8" s="2080"/>
      <c r="B8" s="2081"/>
      <c r="C8" s="22" t="s">
        <v>376</v>
      </c>
      <c r="D8" s="683" t="s">
        <v>5</v>
      </c>
      <c r="E8" s="332"/>
      <c r="F8" s="684"/>
      <c r="G8" s="332"/>
      <c r="H8" s="685"/>
      <c r="I8" s="332"/>
      <c r="J8" s="684"/>
      <c r="K8" s="332"/>
      <c r="L8" s="684"/>
      <c r="M8" s="686"/>
      <c r="N8" s="1051"/>
      <c r="O8" s="1052"/>
      <c r="P8" s="404"/>
      <c r="Q8" s="1058"/>
      <c r="R8" s="688"/>
    </row>
    <row r="9" spans="1:20" ht="24" customHeight="1" x14ac:dyDescent="0.25">
      <c r="A9" s="2080"/>
      <c r="B9" s="2081"/>
      <c r="C9" s="17" t="s">
        <v>503</v>
      </c>
      <c r="D9" s="66" t="s">
        <v>363</v>
      </c>
      <c r="E9" s="640">
        <v>7</v>
      </c>
      <c r="F9" s="638"/>
      <c r="G9" s="640">
        <v>3</v>
      </c>
      <c r="H9" s="638"/>
      <c r="I9" s="640">
        <v>8</v>
      </c>
      <c r="J9" s="638"/>
      <c r="K9" s="640">
        <v>3</v>
      </c>
      <c r="L9" s="466"/>
      <c r="M9" s="662">
        <f>'Gate Seating Base'!I7</f>
        <v>190</v>
      </c>
      <c r="N9" s="1053">
        <f>'Gate Seating Base'!I13</f>
        <v>129</v>
      </c>
      <c r="O9" s="1054">
        <f>'Gate Seating Base'!J22</f>
        <v>3409.1806311612627</v>
      </c>
      <c r="P9" s="612">
        <f>'Gate Seating High'!I12</f>
        <v>138.98500000000001</v>
      </c>
      <c r="Q9" s="1059">
        <f>'Gate Seating High'!J21</f>
        <v>3635.0376667975565</v>
      </c>
      <c r="R9" s="657" t="str">
        <f>CONCATENATE("Large ADG III/Code C, ref.: ",'Gate Seating Base'!I6)</f>
        <v>Large ADG III/Code C, ref.: JetBlue A321</v>
      </c>
    </row>
    <row r="10" spans="1:20" ht="24" customHeight="1" x14ac:dyDescent="0.25">
      <c r="A10" s="2080"/>
      <c r="B10" s="2081"/>
      <c r="C10" s="17" t="s">
        <v>502</v>
      </c>
      <c r="D10" s="66" t="s">
        <v>363</v>
      </c>
      <c r="E10" s="640">
        <v>0</v>
      </c>
      <c r="F10" s="638"/>
      <c r="G10" s="640">
        <v>0</v>
      </c>
      <c r="H10" s="638"/>
      <c r="I10" s="640">
        <v>0</v>
      </c>
      <c r="J10" s="638"/>
      <c r="K10" s="640">
        <v>0</v>
      </c>
      <c r="L10" s="465"/>
      <c r="M10" s="662">
        <f>'Gate Seating Base'!M7</f>
        <v>252</v>
      </c>
      <c r="N10" s="1053">
        <f>'Gate Seating Base'!M13</f>
        <v>154</v>
      </c>
      <c r="O10" s="1054">
        <f>'Gate Seating Base'!N22</f>
        <v>4057.0479445581118</v>
      </c>
      <c r="P10" s="1053">
        <f>'Gate Seating High'!M12</f>
        <v>165.90419999999997</v>
      </c>
      <c r="Q10" s="1059">
        <f>'Gate Seating High'!N21</f>
        <v>4327.2781201562402</v>
      </c>
      <c r="R10" s="658" t="str">
        <f>CONCATENATE("Small ADG V/Code E, ref.: ",'Gate Seating Base'!M6)</f>
        <v>Small ADG V/Code E, ref.: US Airways A330-200</v>
      </c>
    </row>
    <row r="11" spans="1:20" ht="24" customHeight="1" x14ac:dyDescent="0.25">
      <c r="A11" s="2080"/>
      <c r="B11" s="2081"/>
      <c r="C11" s="99" t="s">
        <v>362</v>
      </c>
      <c r="D11" s="66" t="s">
        <v>363</v>
      </c>
      <c r="E11" s="641">
        <v>0</v>
      </c>
      <c r="F11" s="639"/>
      <c r="G11" s="641">
        <v>2</v>
      </c>
      <c r="H11" s="639"/>
      <c r="I11" s="641">
        <v>1</v>
      </c>
      <c r="J11" s="639"/>
      <c r="K11" s="641">
        <v>0</v>
      </c>
      <c r="L11" s="467"/>
      <c r="M11" s="663">
        <f>'Gate Seating Base'!K27</f>
        <v>516</v>
      </c>
      <c r="N11" s="1055">
        <f>'Gate Seating Base'!K33</f>
        <v>315</v>
      </c>
      <c r="O11" s="1056">
        <f>'Gate Seating Base'!L42</f>
        <v>7928.6907533015074</v>
      </c>
      <c r="P11" s="1055">
        <f>'Gate Seating High'!K31</f>
        <v>339.70859999999999</v>
      </c>
      <c r="Q11" s="1060">
        <f>'Gate Seating High'!L40</f>
        <v>8487.7599603199214</v>
      </c>
      <c r="R11" s="659" t="str">
        <f>CONCATENATE("ADG VI/Code F, ref.: ",'Gate Seating Base'!K26)</f>
        <v>ADG VI/Code F, ref.: Air France A380</v>
      </c>
    </row>
    <row r="12" spans="1:20" ht="24" customHeight="1" x14ac:dyDescent="0.25">
      <c r="A12" s="2082"/>
      <c r="B12" s="2083"/>
      <c r="C12" s="464" t="s">
        <v>369</v>
      </c>
      <c r="D12" s="471" t="s">
        <v>167</v>
      </c>
      <c r="E12" s="613">
        <f>E9+E10+E11*2</f>
        <v>7</v>
      </c>
      <c r="F12" s="468"/>
      <c r="G12" s="613">
        <f>G9+G10+G11*2</f>
        <v>7</v>
      </c>
      <c r="H12" s="468"/>
      <c r="I12" s="613">
        <f>I9+I10+I11*2</f>
        <v>10</v>
      </c>
      <c r="J12" s="468"/>
      <c r="K12" s="613">
        <f>K9+K10+K11*2</f>
        <v>3</v>
      </c>
      <c r="L12" s="468"/>
      <c r="M12" s="614">
        <f>SUM(E12:L12)</f>
        <v>27</v>
      </c>
      <c r="N12" s="647"/>
      <c r="O12" s="647"/>
      <c r="P12" s="1067"/>
      <c r="Q12" s="1061"/>
      <c r="R12" s="487" t="s">
        <v>377</v>
      </c>
    </row>
    <row r="13" spans="1:20" ht="24" customHeight="1" x14ac:dyDescent="0.25">
      <c r="A13" s="472"/>
      <c r="B13" s="473"/>
      <c r="C13" s="491" t="s">
        <v>378</v>
      </c>
      <c r="D13" s="474"/>
      <c r="E13" s="475"/>
      <c r="F13" s="476"/>
      <c r="G13" s="475"/>
      <c r="H13" s="476"/>
      <c r="I13" s="475"/>
      <c r="J13" s="476"/>
      <c r="K13" s="475"/>
      <c r="L13" s="476"/>
      <c r="M13" s="648"/>
      <c r="N13" s="648"/>
      <c r="O13" s="648"/>
      <c r="P13" s="492"/>
      <c r="Q13" s="492"/>
      <c r="R13" s="477"/>
    </row>
    <row r="14" spans="1:20" ht="24" customHeight="1" x14ac:dyDescent="0.25">
      <c r="A14" s="472"/>
      <c r="B14" s="473"/>
      <c r="C14" s="490" t="s">
        <v>592</v>
      </c>
      <c r="D14" s="478" t="s">
        <v>384</v>
      </c>
      <c r="E14" s="1108">
        <f>SUMPRODUCT(E9:E11,$N9:$N11)</f>
        <v>903</v>
      </c>
      <c r="F14" s="1107">
        <f>SUMPRODUCT(E9:E11,$O9:$O11)</f>
        <v>23864.264418128838</v>
      </c>
      <c r="G14" s="1108">
        <f>SUMPRODUCT(G9:G11,$N9:$N11)</f>
        <v>1017</v>
      </c>
      <c r="H14" s="1107">
        <f>SUMPRODUCT(G9:G11,$O9:$O11)</f>
        <v>26084.923400086802</v>
      </c>
      <c r="I14" s="1108">
        <f>SUMPRODUCT(I9:I11,$N9:$N11)</f>
        <v>1347</v>
      </c>
      <c r="J14" s="1107">
        <f>SUMPRODUCT(I9:I11,$O9:$O11)</f>
        <v>35202.135802591612</v>
      </c>
      <c r="K14" s="1108">
        <f>SUMPRODUCT(K9:K11,$N9:$N11)</f>
        <v>387</v>
      </c>
      <c r="L14" s="1107">
        <f>SUMPRODUCT(K9:K11,$O9:$O11)</f>
        <v>10227.541893483787</v>
      </c>
      <c r="M14" s="756"/>
      <c r="N14" s="649"/>
      <c r="O14" s="649"/>
      <c r="P14" s="480"/>
      <c r="Q14" s="480"/>
      <c r="R14" s="477"/>
      <c r="T14" s="1109">
        <f>F14+H14+J14</f>
        <v>85151.323620807249</v>
      </c>
    </row>
    <row r="15" spans="1:20" ht="24" customHeight="1" x14ac:dyDescent="0.25">
      <c r="A15" s="472"/>
      <c r="B15" s="473"/>
      <c r="C15" s="490" t="s">
        <v>593</v>
      </c>
      <c r="D15" s="478" t="s">
        <v>384</v>
      </c>
      <c r="E15" s="1108">
        <f>SUMPRODUCT(E9:E11,$P9:$P11)</f>
        <v>972.8950000000001</v>
      </c>
      <c r="F15" s="1107">
        <f>SUMPRODUCT(E9:E11,$Q9:$Q11)</f>
        <v>25445.263667582894</v>
      </c>
      <c r="G15" s="1108">
        <f>SUMPRODUCT(G9:G11,$P9:$P11)</f>
        <v>1096.3722</v>
      </c>
      <c r="H15" s="1107">
        <f>SUMPRODUCT(G9:G11,$Q9:$Q11)</f>
        <v>27880.632921032513</v>
      </c>
      <c r="I15" s="1108">
        <f>SUMPRODUCT(I9:I11,$P9:$P11)</f>
        <v>1451.5886</v>
      </c>
      <c r="J15" s="1107">
        <f>SUMPRODUCT(I9:I11,$Q9:$Q11)</f>
        <v>37568.061294700376</v>
      </c>
      <c r="K15" s="1108">
        <f>SUMPRODUCT(K9:K11,$P9:$P11)</f>
        <v>416.95500000000004</v>
      </c>
      <c r="L15" s="1107">
        <f>SUMPRODUCT(K9:K11,$Q9:$Q11)</f>
        <v>10905.11300039267</v>
      </c>
      <c r="M15" s="488"/>
      <c r="N15" s="488"/>
      <c r="O15" s="488"/>
      <c r="P15" s="480"/>
      <c r="Q15" s="480"/>
      <c r="R15" s="477"/>
      <c r="T15" s="1109">
        <f>F15+H15+J15</f>
        <v>90893.957883315772</v>
      </c>
    </row>
    <row r="16" spans="1:20" ht="24" customHeight="1" x14ac:dyDescent="0.25">
      <c r="A16" s="481"/>
      <c r="B16" s="482"/>
      <c r="C16" s="645" t="s">
        <v>433</v>
      </c>
      <c r="D16" s="545"/>
      <c r="E16" s="547"/>
      <c r="F16" s="618"/>
      <c r="G16" s="547"/>
      <c r="H16" s="546"/>
      <c r="I16" s="547"/>
      <c r="J16" s="618"/>
      <c r="K16" s="547"/>
      <c r="L16" s="548"/>
      <c r="M16" s="650"/>
      <c r="N16" s="650"/>
      <c r="O16" s="650"/>
      <c r="P16" s="549"/>
      <c r="Q16" s="549"/>
      <c r="R16" s="550"/>
      <c r="T16" s="33"/>
    </row>
    <row r="17" spans="1:21" ht="24" customHeight="1" x14ac:dyDescent="0.25">
      <c r="A17" s="481"/>
      <c r="B17" s="482"/>
      <c r="C17" s="646" t="s">
        <v>164</v>
      </c>
      <c r="D17" s="621" t="s">
        <v>373</v>
      </c>
      <c r="E17" s="552"/>
      <c r="F17" s="553"/>
      <c r="G17" s="552"/>
      <c r="H17" s="551"/>
      <c r="I17" s="552"/>
      <c r="J17" s="553"/>
      <c r="K17" s="555"/>
      <c r="L17" s="553"/>
      <c r="M17" s="551"/>
      <c r="N17" s="551"/>
      <c r="O17" s="551"/>
      <c r="P17" s="554"/>
      <c r="Q17" s="554"/>
      <c r="R17" s="483"/>
      <c r="T17" s="33"/>
    </row>
    <row r="18" spans="1:21" ht="24" customHeight="1" x14ac:dyDescent="0.25">
      <c r="A18" s="481"/>
      <c r="B18" s="482"/>
      <c r="C18" s="646" t="s">
        <v>354</v>
      </c>
      <c r="D18" s="621" t="s">
        <v>373</v>
      </c>
      <c r="E18" s="552"/>
      <c r="F18" s="553"/>
      <c r="G18" s="552"/>
      <c r="H18" s="551"/>
      <c r="I18" s="552"/>
      <c r="J18" s="553"/>
      <c r="K18" s="555"/>
      <c r="L18" s="553"/>
      <c r="M18" s="551"/>
      <c r="N18" s="551"/>
      <c r="O18" s="551"/>
      <c r="P18" s="554"/>
      <c r="Q18" s="554"/>
      <c r="R18" s="483"/>
      <c r="T18" s="33"/>
    </row>
    <row r="19" spans="1:21" ht="24" customHeight="1" x14ac:dyDescent="0.25">
      <c r="A19" s="481"/>
      <c r="B19" s="482"/>
      <c r="C19" s="646" t="s">
        <v>432</v>
      </c>
      <c r="D19" s="621" t="s">
        <v>373</v>
      </c>
      <c r="E19" s="552"/>
      <c r="F19" s="553"/>
      <c r="G19" s="552"/>
      <c r="H19" s="551"/>
      <c r="I19" s="552"/>
      <c r="J19" s="553"/>
      <c r="K19" s="555"/>
      <c r="L19" s="553"/>
      <c r="M19" s="551"/>
      <c r="N19" s="551"/>
      <c r="O19" s="551"/>
      <c r="P19" s="554"/>
      <c r="Q19" s="554"/>
      <c r="R19" s="483"/>
      <c r="T19" s="33"/>
    </row>
    <row r="20" spans="1:21" ht="24" customHeight="1" x14ac:dyDescent="0.25">
      <c r="A20" s="481"/>
      <c r="B20" s="482"/>
      <c r="C20" s="646" t="s">
        <v>372</v>
      </c>
      <c r="D20" s="643" t="s">
        <v>388</v>
      </c>
      <c r="E20" s="555"/>
      <c r="F20" s="617">
        <v>30740</v>
      </c>
      <c r="G20" s="555"/>
      <c r="H20" s="616">
        <v>8750</v>
      </c>
      <c r="I20" s="555"/>
      <c r="J20" s="617">
        <v>10380</v>
      </c>
      <c r="K20" s="555"/>
      <c r="L20" s="617">
        <v>0</v>
      </c>
      <c r="M20" s="667" t="s">
        <v>594</v>
      </c>
      <c r="N20" s="616"/>
      <c r="O20" s="616"/>
      <c r="P20" s="554"/>
      <c r="Q20" s="554"/>
      <c r="R20" s="483"/>
      <c r="T20" s="1109">
        <f>F20+H20+J20</f>
        <v>49870</v>
      </c>
    </row>
    <row r="21" spans="1:21" ht="24" customHeight="1" x14ac:dyDescent="0.25">
      <c r="A21" s="496"/>
      <c r="B21" s="497"/>
      <c r="C21" s="498" t="s">
        <v>355</v>
      </c>
      <c r="D21" s="500"/>
      <c r="E21" s="502"/>
      <c r="F21" s="556"/>
      <c r="G21" s="502"/>
      <c r="H21" s="544"/>
      <c r="I21" s="502"/>
      <c r="J21" s="556"/>
      <c r="K21" s="620"/>
      <c r="L21" s="556"/>
      <c r="M21" s="544"/>
      <c r="N21" s="544"/>
      <c r="O21" s="544"/>
      <c r="P21" s="544"/>
      <c r="Q21" s="544"/>
      <c r="R21" s="501"/>
      <c r="T21" s="33"/>
    </row>
    <row r="22" spans="1:21" ht="24" customHeight="1" x14ac:dyDescent="0.25">
      <c r="A22" s="496"/>
      <c r="B22" s="497"/>
      <c r="C22" s="499" t="s">
        <v>164</v>
      </c>
      <c r="D22" s="543" t="s">
        <v>382</v>
      </c>
      <c r="E22" s="502"/>
      <c r="F22" s="559"/>
      <c r="G22" s="502"/>
      <c r="H22" s="557"/>
      <c r="I22" s="502"/>
      <c r="J22" s="556"/>
      <c r="K22" s="620"/>
      <c r="L22" s="556"/>
      <c r="M22" s="544"/>
      <c r="N22" s="544"/>
      <c r="O22" s="544"/>
      <c r="P22" s="558"/>
      <c r="Q22" s="558"/>
      <c r="R22" s="501"/>
      <c r="T22" s="33"/>
    </row>
    <row r="23" spans="1:21" ht="24" customHeight="1" x14ac:dyDescent="0.25">
      <c r="A23" s="496"/>
      <c r="B23" s="497"/>
      <c r="C23" s="499" t="s">
        <v>165</v>
      </c>
      <c r="D23" s="543" t="s">
        <v>382</v>
      </c>
      <c r="E23" s="502"/>
      <c r="F23" s="559"/>
      <c r="G23" s="502"/>
      <c r="H23" s="557"/>
      <c r="I23" s="502"/>
      <c r="J23" s="556"/>
      <c r="K23" s="620"/>
      <c r="L23" s="556"/>
      <c r="M23" s="544"/>
      <c r="N23" s="544"/>
      <c r="O23" s="544"/>
      <c r="P23" s="558"/>
      <c r="Q23" s="558"/>
      <c r="R23" s="501"/>
      <c r="T23" s="33"/>
    </row>
    <row r="24" spans="1:21" ht="24" customHeight="1" x14ac:dyDescent="0.25">
      <c r="A24" s="496"/>
      <c r="B24" s="497"/>
      <c r="C24" s="499" t="s">
        <v>432</v>
      </c>
      <c r="D24" s="543" t="s">
        <v>382</v>
      </c>
      <c r="E24" s="502"/>
      <c r="F24" s="559"/>
      <c r="G24" s="502"/>
      <c r="H24" s="557"/>
      <c r="I24" s="502"/>
      <c r="J24" s="556"/>
      <c r="K24" s="620"/>
      <c r="L24" s="556"/>
      <c r="M24" s="544"/>
      <c r="N24" s="544"/>
      <c r="O24" s="544"/>
      <c r="P24" s="558"/>
      <c r="Q24" s="558"/>
      <c r="R24" s="501"/>
      <c r="T24" s="33"/>
    </row>
    <row r="25" spans="1:21" ht="24" customHeight="1" x14ac:dyDescent="0.25">
      <c r="A25" s="496"/>
      <c r="B25" s="497"/>
      <c r="C25" s="499" t="s">
        <v>357</v>
      </c>
      <c r="D25" s="543" t="s">
        <v>383</v>
      </c>
      <c r="E25" s="589"/>
      <c r="F25" s="591"/>
      <c r="G25" s="589"/>
      <c r="H25" s="590"/>
      <c r="I25" s="589"/>
      <c r="J25" s="591"/>
      <c r="K25" s="589"/>
      <c r="L25" s="591"/>
      <c r="M25" s="590"/>
      <c r="N25" s="590"/>
      <c r="O25" s="590"/>
      <c r="P25" s="590"/>
      <c r="Q25" s="590"/>
      <c r="R25" s="501"/>
      <c r="T25" s="33"/>
    </row>
    <row r="26" spans="1:21" ht="24" customHeight="1" x14ac:dyDescent="0.25">
      <c r="A26" s="584"/>
      <c r="B26" s="585"/>
      <c r="C26" s="493" t="s">
        <v>604</v>
      </c>
      <c r="D26" s="653" t="s">
        <v>373</v>
      </c>
      <c r="E26" s="519"/>
      <c r="F26" s="520">
        <v>1000</v>
      </c>
      <c r="G26" s="519"/>
      <c r="H26" s="518">
        <v>1000</v>
      </c>
      <c r="I26" s="519"/>
      <c r="J26" s="520">
        <v>1000</v>
      </c>
      <c r="K26" s="519"/>
      <c r="L26" s="520">
        <v>0</v>
      </c>
      <c r="M26" s="667" t="s">
        <v>599</v>
      </c>
      <c r="N26" s="518"/>
      <c r="O26" s="518"/>
      <c r="P26" s="494"/>
      <c r="Q26" s="494"/>
      <c r="R26" s="592"/>
      <c r="T26" s="1109">
        <f>F26+H26+J26</f>
        <v>3000</v>
      </c>
    </row>
    <row r="27" spans="1:21" ht="24" customHeight="1" x14ac:dyDescent="0.25">
      <c r="A27" s="503"/>
      <c r="B27" s="504"/>
      <c r="C27" s="495" t="s">
        <v>342</v>
      </c>
      <c r="D27" s="505"/>
      <c r="E27" s="510"/>
      <c r="F27" s="509"/>
      <c r="G27" s="510"/>
      <c r="H27" s="509"/>
      <c r="I27" s="510"/>
      <c r="J27" s="509"/>
      <c r="K27" s="510"/>
      <c r="L27" s="509"/>
      <c r="M27" s="668"/>
      <c r="N27" s="563"/>
      <c r="O27" s="563"/>
      <c r="P27" s="563"/>
      <c r="Q27" s="563"/>
      <c r="R27" s="596"/>
      <c r="T27" s="33"/>
    </row>
    <row r="28" spans="1:21" ht="24" customHeight="1" x14ac:dyDescent="0.25">
      <c r="A28" s="503"/>
      <c r="B28" s="504"/>
      <c r="C28" s="506" t="s">
        <v>379</v>
      </c>
      <c r="D28" s="586" t="s">
        <v>383</v>
      </c>
      <c r="E28" s="1106">
        <f>E12/6</f>
        <v>1.1666666666666667</v>
      </c>
      <c r="F28" s="677">
        <f>E28*$M28</f>
        <v>3150</v>
      </c>
      <c r="G28" s="1106">
        <f>G12/6</f>
        <v>1.1666666666666667</v>
      </c>
      <c r="H28" s="677">
        <f>G28*$M28</f>
        <v>3150</v>
      </c>
      <c r="I28" s="1106">
        <f>I12/6</f>
        <v>1.6666666666666667</v>
      </c>
      <c r="J28" s="677">
        <f>I28*$M28</f>
        <v>4500</v>
      </c>
      <c r="K28" s="1106">
        <f>K12/6</f>
        <v>0.5</v>
      </c>
      <c r="L28" s="677">
        <f>K28*$M28</f>
        <v>1350</v>
      </c>
      <c r="M28" s="689">
        <v>2700</v>
      </c>
      <c r="N28" s="676" t="s">
        <v>440</v>
      </c>
      <c r="O28" s="676"/>
      <c r="P28" s="507"/>
      <c r="Q28" s="507"/>
      <c r="R28" s="593"/>
      <c r="T28" s="1109">
        <f t="shared" ref="T28:T36" si="0">F28+H28+J28</f>
        <v>10800</v>
      </c>
    </row>
    <row r="29" spans="1:21" ht="24" customHeight="1" x14ac:dyDescent="0.25">
      <c r="A29" s="503"/>
      <c r="B29" s="504"/>
      <c r="C29" s="679" t="s">
        <v>385</v>
      </c>
      <c r="D29" s="586" t="s">
        <v>383</v>
      </c>
      <c r="E29" s="627"/>
      <c r="F29" s="628">
        <v>100</v>
      </c>
      <c r="G29" s="508"/>
      <c r="H29" s="628">
        <v>100</v>
      </c>
      <c r="I29" s="508"/>
      <c r="J29" s="628">
        <v>100</v>
      </c>
      <c r="K29" s="508"/>
      <c r="L29" s="628">
        <v>0</v>
      </c>
      <c r="M29" s="1076" t="s">
        <v>600</v>
      </c>
      <c r="N29" s="626"/>
      <c r="O29" s="626"/>
      <c r="P29" s="507"/>
      <c r="Q29" s="507"/>
      <c r="R29" s="593"/>
      <c r="T29" s="1109">
        <f t="shared" si="0"/>
        <v>300</v>
      </c>
    </row>
    <row r="30" spans="1:21" ht="24" customHeight="1" x14ac:dyDescent="0.25">
      <c r="A30" s="511"/>
      <c r="B30" s="512"/>
      <c r="C30" s="513" t="s">
        <v>358</v>
      </c>
      <c r="D30" s="587" t="s">
        <v>383</v>
      </c>
      <c r="E30" s="514"/>
      <c r="F30" s="516">
        <v>1000</v>
      </c>
      <c r="G30" s="514"/>
      <c r="H30" s="516">
        <v>1000</v>
      </c>
      <c r="I30" s="514"/>
      <c r="J30" s="516">
        <v>1000</v>
      </c>
      <c r="K30" s="514"/>
      <c r="L30" s="516">
        <v>0</v>
      </c>
      <c r="M30" s="1077" t="s">
        <v>601</v>
      </c>
      <c r="N30" s="515"/>
      <c r="O30" s="515"/>
      <c r="P30" s="517"/>
      <c r="Q30" s="517"/>
      <c r="R30" s="594"/>
      <c r="T30" s="1109">
        <f t="shared" si="0"/>
        <v>3000</v>
      </c>
      <c r="U30" s="1109">
        <f>SUM(T28:T30)</f>
        <v>14100</v>
      </c>
    </row>
    <row r="31" spans="1:21" ht="24" customHeight="1" x14ac:dyDescent="0.25">
      <c r="A31" s="562"/>
      <c r="B31" s="563"/>
      <c r="C31" s="564" t="s">
        <v>87</v>
      </c>
      <c r="D31" s="586" t="s">
        <v>383</v>
      </c>
      <c r="E31" s="619"/>
      <c r="F31" s="560">
        <v>1500</v>
      </c>
      <c r="G31" s="561"/>
      <c r="H31" s="560">
        <v>1500</v>
      </c>
      <c r="I31" s="561"/>
      <c r="J31" s="560">
        <v>1000</v>
      </c>
      <c r="K31" s="561"/>
      <c r="L31" s="560">
        <v>0</v>
      </c>
      <c r="M31" s="1078" t="s">
        <v>436</v>
      </c>
      <c r="N31" s="651"/>
      <c r="O31" s="651"/>
      <c r="P31" s="565"/>
      <c r="Q31" s="565"/>
      <c r="R31" s="624"/>
      <c r="T31" s="1109">
        <f t="shared" si="0"/>
        <v>4000</v>
      </c>
    </row>
    <row r="32" spans="1:21" ht="24" customHeight="1" x14ac:dyDescent="0.25">
      <c r="A32" s="503"/>
      <c r="B32" s="504"/>
      <c r="C32" s="506" t="s">
        <v>437</v>
      </c>
      <c r="D32" s="644" t="s">
        <v>389</v>
      </c>
      <c r="E32" s="654"/>
      <c r="F32" s="636">
        <f>60*565</f>
        <v>33900</v>
      </c>
      <c r="G32" s="631"/>
      <c r="H32" s="636">
        <f>40*545</f>
        <v>21800</v>
      </c>
      <c r="I32" s="631"/>
      <c r="J32" s="636">
        <f>30*400</f>
        <v>12000</v>
      </c>
      <c r="K32" s="634"/>
      <c r="L32" s="636">
        <v>0</v>
      </c>
      <c r="M32" s="1076" t="s">
        <v>603</v>
      </c>
      <c r="N32" s="632"/>
      <c r="O32" s="632"/>
      <c r="P32" s="630"/>
      <c r="Q32" s="630"/>
      <c r="R32" s="635"/>
      <c r="T32" s="1109">
        <f t="shared" si="0"/>
        <v>67700</v>
      </c>
    </row>
    <row r="33" spans="1:20" ht="24" customHeight="1" x14ac:dyDescent="0.25">
      <c r="A33" s="511"/>
      <c r="B33" s="512"/>
      <c r="C33" s="678" t="s">
        <v>606</v>
      </c>
      <c r="D33" s="587" t="s">
        <v>383</v>
      </c>
      <c r="E33" s="655"/>
      <c r="F33" s="656">
        <v>800</v>
      </c>
      <c r="G33" s="568"/>
      <c r="H33" s="637">
        <v>800</v>
      </c>
      <c r="I33" s="568"/>
      <c r="J33" s="637">
        <v>500</v>
      </c>
      <c r="K33" s="569"/>
      <c r="L33" s="516">
        <v>200</v>
      </c>
      <c r="M33" s="673"/>
      <c r="N33" s="515"/>
      <c r="O33" s="515"/>
      <c r="P33" s="567"/>
      <c r="Q33" s="567"/>
      <c r="R33" s="625"/>
      <c r="T33" s="1109">
        <f t="shared" si="0"/>
        <v>2100</v>
      </c>
    </row>
    <row r="34" spans="1:20" ht="24" customHeight="1" x14ac:dyDescent="0.25">
      <c r="A34" s="570"/>
      <c r="B34" s="571"/>
      <c r="C34" s="680" t="s">
        <v>595</v>
      </c>
      <c r="D34" s="588" t="s">
        <v>383</v>
      </c>
      <c r="E34" s="573"/>
      <c r="F34" s="575">
        <f>F14+F20+F26+SUM(F28:F33)</f>
        <v>96054.264418128834</v>
      </c>
      <c r="G34" s="573"/>
      <c r="H34" s="574">
        <f>H14+H20+H26+SUM(H28:H33)</f>
        <v>64184.923400086802</v>
      </c>
      <c r="I34" s="573"/>
      <c r="J34" s="574">
        <f>J14+J20+J26+SUM(J28:J33)</f>
        <v>65682.135802591612</v>
      </c>
      <c r="K34" s="573"/>
      <c r="L34" s="575">
        <f>L14+L20+L26+SUM(L28:L33)</f>
        <v>11777.541893483787</v>
      </c>
      <c r="M34" s="574"/>
      <c r="N34" s="574"/>
      <c r="O34" s="574"/>
      <c r="P34" s="574"/>
      <c r="Q34" s="574"/>
      <c r="R34" s="576"/>
    </row>
    <row r="35" spans="1:20" ht="24" customHeight="1" x14ac:dyDescent="0.25">
      <c r="A35" s="570"/>
      <c r="B35" s="571"/>
      <c r="C35" s="572" t="s">
        <v>356</v>
      </c>
      <c r="D35" s="588" t="s">
        <v>383</v>
      </c>
      <c r="E35" s="577"/>
      <c r="F35" s="575">
        <f>F34*$M$35</f>
        <v>9605.4264418128841</v>
      </c>
      <c r="G35" s="577"/>
      <c r="H35" s="574">
        <f>H34*$M35</f>
        <v>6418.4923400086809</v>
      </c>
      <c r="I35" s="577"/>
      <c r="J35" s="574">
        <f>J34*$M35</f>
        <v>6568.213580259162</v>
      </c>
      <c r="K35" s="577"/>
      <c r="L35" s="575">
        <f>L34*$M35</f>
        <v>1177.7541893483788</v>
      </c>
      <c r="M35" s="578">
        <v>0.1</v>
      </c>
      <c r="N35" s="674" t="s">
        <v>289</v>
      </c>
      <c r="O35" s="1045"/>
      <c r="P35" s="574"/>
      <c r="Q35" s="574"/>
      <c r="R35" s="576"/>
      <c r="T35" s="1109">
        <f t="shared" si="0"/>
        <v>22592.132362080727</v>
      </c>
    </row>
    <row r="36" spans="1:20" ht="24" customHeight="1" x14ac:dyDescent="0.25">
      <c r="A36" s="579"/>
      <c r="B36" s="580"/>
      <c r="C36" s="681" t="s">
        <v>598</v>
      </c>
      <c r="D36" s="682" t="s">
        <v>438</v>
      </c>
      <c r="E36" s="581"/>
      <c r="F36" s="690">
        <f>ROUND(F34+F35,-3)</f>
        <v>106000</v>
      </c>
      <c r="G36" s="691"/>
      <c r="H36" s="690">
        <f>ROUND(H34+H35,-3)</f>
        <v>71000</v>
      </c>
      <c r="I36" s="691"/>
      <c r="J36" s="690">
        <f>ROUND(J34+J35,-3)</f>
        <v>72000</v>
      </c>
      <c r="K36" s="691"/>
      <c r="L36" s="690">
        <f>ROUND(L34+L35,-3)</f>
        <v>13000</v>
      </c>
      <c r="M36" s="675" t="s">
        <v>439</v>
      </c>
      <c r="N36" s="675"/>
      <c r="O36" s="1046"/>
      <c r="P36" s="582"/>
      <c r="Q36" s="582"/>
      <c r="R36" s="583"/>
      <c r="T36" s="1109">
        <f t="shared" si="0"/>
        <v>249000</v>
      </c>
    </row>
    <row r="37" spans="1:20" ht="24" customHeight="1" x14ac:dyDescent="0.25">
      <c r="A37" s="570"/>
      <c r="B37" s="571"/>
      <c r="C37" s="680" t="s">
        <v>596</v>
      </c>
      <c r="D37" s="588" t="s">
        <v>383</v>
      </c>
      <c r="E37" s="1071"/>
      <c r="F37" s="1072">
        <f>F15+F20+F26+SUM(F28:F33)</f>
        <v>97635.263667582898</v>
      </c>
      <c r="G37" s="1073"/>
      <c r="H37" s="1072">
        <f>H15+H20+H26+SUM(H28:H33)</f>
        <v>65980.63292103252</v>
      </c>
      <c r="I37" s="1073"/>
      <c r="J37" s="1072">
        <f>J15+J20+J26+SUM(J28:J33)</f>
        <v>68048.061294700368</v>
      </c>
      <c r="K37" s="1073"/>
      <c r="L37" s="1072">
        <f>L15+L20+L26+SUM(L28:L33)</f>
        <v>12455.11300039267</v>
      </c>
      <c r="M37" s="1068"/>
      <c r="N37" s="1068"/>
      <c r="O37" s="1068"/>
      <c r="P37" s="1069"/>
      <c r="Q37" s="1069"/>
      <c r="R37" s="1070"/>
    </row>
    <row r="38" spans="1:20" ht="24" customHeight="1" x14ac:dyDescent="0.25">
      <c r="A38" s="570"/>
      <c r="B38" s="571"/>
      <c r="C38" s="572" t="s">
        <v>356</v>
      </c>
      <c r="D38" s="588" t="s">
        <v>383</v>
      </c>
      <c r="E38" s="573"/>
      <c r="F38" s="575">
        <f>F37*$M$35</f>
        <v>9763.5263667582894</v>
      </c>
      <c r="G38" s="1074"/>
      <c r="H38" s="575">
        <f>H37*$M$35</f>
        <v>6598.063292103252</v>
      </c>
      <c r="I38" s="1074"/>
      <c r="J38" s="575">
        <f>J37*$M$35</f>
        <v>6804.8061294700374</v>
      </c>
      <c r="K38" s="1074"/>
      <c r="L38" s="575">
        <f>L37*$M$35</f>
        <v>1245.5113000392671</v>
      </c>
      <c r="M38" s="1075">
        <f>M35</f>
        <v>0.1</v>
      </c>
      <c r="N38" s="674" t="s">
        <v>289</v>
      </c>
      <c r="O38" s="1045"/>
      <c r="P38" s="574"/>
      <c r="Q38" s="574"/>
      <c r="R38" s="576"/>
      <c r="T38" s="1109">
        <f t="shared" ref="T38:T39" si="1">F38+H38+J38</f>
        <v>23166.395788331578</v>
      </c>
    </row>
    <row r="39" spans="1:20" ht="24" customHeight="1" x14ac:dyDescent="0.25">
      <c r="A39" s="579"/>
      <c r="B39" s="580"/>
      <c r="C39" s="681" t="s">
        <v>597</v>
      </c>
      <c r="D39" s="682" t="s">
        <v>438</v>
      </c>
      <c r="E39" s="581"/>
      <c r="F39" s="690">
        <f>ROUND(F37+F38,-3)</f>
        <v>107000</v>
      </c>
      <c r="G39" s="691"/>
      <c r="H39" s="690">
        <f>ROUND(H37+H38,-3)</f>
        <v>73000</v>
      </c>
      <c r="I39" s="691"/>
      <c r="J39" s="690">
        <f>ROUND(J37+J38,-3)</f>
        <v>75000</v>
      </c>
      <c r="K39" s="691"/>
      <c r="L39" s="690">
        <f>ROUND(L37+L38,-3)</f>
        <v>14000</v>
      </c>
      <c r="M39" s="675" t="s">
        <v>439</v>
      </c>
      <c r="N39" s="675"/>
      <c r="O39" s="1046"/>
      <c r="P39" s="582"/>
      <c r="Q39" s="582"/>
      <c r="R39" s="583"/>
      <c r="T39" s="1109">
        <f t="shared" si="1"/>
        <v>255000</v>
      </c>
    </row>
    <row r="40" spans="1:20" ht="24" customHeight="1" x14ac:dyDescent="0.25">
      <c r="A40" s="418"/>
      <c r="B40" s="323"/>
      <c r="C40" s="323"/>
      <c r="D40" s="323"/>
      <c r="E40" s="2084" t="str">
        <f>E3</f>
        <v>Zone 1</v>
      </c>
      <c r="F40" s="2065"/>
      <c r="G40" s="2084" t="str">
        <f>G3</f>
        <v>Zone 2</v>
      </c>
      <c r="H40" s="2086"/>
      <c r="I40" s="2085" t="str">
        <f>I3</f>
        <v>Zone 3</v>
      </c>
      <c r="J40" s="2085"/>
      <c r="K40" s="2085" t="str">
        <f>K3</f>
        <v>Orphan*</v>
      </c>
      <c r="L40" s="2085"/>
      <c r="M40" s="595"/>
      <c r="N40" s="595"/>
      <c r="O40" s="595"/>
      <c r="P40" s="595"/>
      <c r="Q40" s="595"/>
      <c r="R40" s="419"/>
    </row>
    <row r="41" spans="1:20" ht="24" customHeight="1" thickBot="1" x14ac:dyDescent="0.3">
      <c r="A41" s="420"/>
      <c r="B41" s="421"/>
      <c r="C41" s="421"/>
      <c r="D41" s="421"/>
      <c r="E41" s="421"/>
      <c r="F41" s="421"/>
      <c r="G41" s="421"/>
      <c r="H41" s="421"/>
      <c r="I41" s="421"/>
      <c r="J41" s="421"/>
      <c r="K41" s="421"/>
      <c r="L41" s="422"/>
      <c r="M41" s="422"/>
      <c r="N41" s="422"/>
      <c r="O41" s="422"/>
      <c r="P41" s="422"/>
      <c r="Q41" s="422"/>
      <c r="R41" s="423"/>
    </row>
    <row r="42" spans="1:20" ht="24" customHeight="1" x14ac:dyDescent="0.25">
      <c r="A42" s="323"/>
      <c r="B42" s="323"/>
      <c r="C42" s="323"/>
      <c r="D42" s="323"/>
      <c r="E42" s="323"/>
      <c r="F42" s="323"/>
      <c r="G42" s="323"/>
      <c r="H42" s="323"/>
      <c r="I42" s="323"/>
      <c r="J42" s="323"/>
      <c r="K42" s="323"/>
      <c r="L42" s="424"/>
      <c r="M42" s="424"/>
      <c r="N42" s="424"/>
      <c r="O42" s="424"/>
      <c r="P42" s="424"/>
      <c r="Q42" s="424"/>
      <c r="R42" s="323"/>
    </row>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row r="50" spans="3:3" ht="24" customHeight="1" x14ac:dyDescent="0.25"/>
    <row r="51" spans="3:3" ht="24" customHeight="1" x14ac:dyDescent="0.25"/>
    <row r="52" spans="3:3" ht="24" customHeight="1" x14ac:dyDescent="0.25">
      <c r="C52" s="321"/>
    </row>
    <row r="53" spans="3:3" ht="24" customHeight="1" x14ac:dyDescent="0.25">
      <c r="C53" s="321"/>
    </row>
    <row r="54" spans="3:3" ht="24" customHeight="1" x14ac:dyDescent="0.25">
      <c r="C54" s="321"/>
    </row>
    <row r="55" spans="3:3" ht="24" customHeight="1" x14ac:dyDescent="0.25">
      <c r="C55" s="321"/>
    </row>
    <row r="56" spans="3:3" ht="24" customHeight="1" x14ac:dyDescent="0.25">
      <c r="C56" s="321"/>
    </row>
    <row r="57" spans="3:3" ht="24" customHeight="1" x14ac:dyDescent="0.25">
      <c r="C57" s="321"/>
    </row>
  </sheetData>
  <mergeCells count="13">
    <mergeCell ref="K40:L40"/>
    <mergeCell ref="A6:B12"/>
    <mergeCell ref="E40:F40"/>
    <mergeCell ref="G40:H40"/>
    <mergeCell ref="I40:J40"/>
    <mergeCell ref="E4:F4"/>
    <mergeCell ref="G4:H4"/>
    <mergeCell ref="I4:J4"/>
    <mergeCell ref="K4:L4"/>
    <mergeCell ref="E3:F3"/>
    <mergeCell ref="G3:H3"/>
    <mergeCell ref="I3:J3"/>
    <mergeCell ref="K3:L3"/>
  </mergeCells>
  <printOptions horizontalCentered="1"/>
  <pageMargins left="0.39370078740157483" right="0.39370078740157483" top="0.39370078740157483" bottom="0.59055118110236227" header="0.23622047244094491" footer="0.23622047244094491"/>
  <pageSetup paperSize="3" scale="73" orientation="landscape" horizontalDpi="1200" verticalDpi="1200" r:id="rId1"/>
  <headerFooter>
    <oddFooter>&amp;L&amp;F&amp;C&amp;A&amp;RPrinted &amp;D</odd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T74"/>
  <sheetViews>
    <sheetView workbookViewId="0">
      <pane xSplit="4" ySplit="3" topLeftCell="E4" activePane="bottomRight" state="frozen"/>
      <selection activeCell="E6" sqref="E6"/>
      <selection pane="topRight" activeCell="E6" sqref="E6"/>
      <selection pane="bottomLeft" activeCell="E6" sqref="E6"/>
      <selection pane="bottomRight" activeCell="E3" sqref="E3:F3"/>
    </sheetView>
  </sheetViews>
  <sheetFormatPr defaultColWidth="9.109375" defaultRowHeight="13.8" x14ac:dyDescent="0.25"/>
  <cols>
    <col min="1" max="2" width="3.6640625" style="321" customWidth="1"/>
    <col min="3" max="3" width="40.6640625" style="403" customWidth="1"/>
    <col min="4" max="17" width="9.6640625" style="321" customWidth="1"/>
    <col min="18" max="18" width="6.6640625" style="321" customWidth="1"/>
    <col min="19" max="19" width="8.6640625" style="321" customWidth="1"/>
    <col min="20" max="20" width="48.6640625" style="321" customWidth="1"/>
    <col min="21" max="16384" width="9.109375" style="321"/>
  </cols>
  <sheetData>
    <row r="1" spans="1:20" ht="24" customHeight="1" x14ac:dyDescent="0.25">
      <c r="A1" s="605" t="s">
        <v>497</v>
      </c>
      <c r="B1" s="606"/>
      <c r="C1" s="607"/>
      <c r="D1" s="608"/>
      <c r="E1" s="609" t="s">
        <v>792</v>
      </c>
      <c r="F1" s="27"/>
      <c r="G1" s="27"/>
      <c r="H1" s="27"/>
      <c r="I1" s="27"/>
      <c r="J1" s="27"/>
      <c r="K1" s="27"/>
      <c r="L1" s="27"/>
      <c r="M1" s="27"/>
      <c r="N1" s="27"/>
      <c r="O1" s="413"/>
      <c r="P1" s="413"/>
      <c r="Q1" s="413"/>
      <c r="R1" s="413"/>
      <c r="S1" s="413"/>
      <c r="T1" s="414"/>
    </row>
    <row r="2" spans="1:20" ht="24" customHeight="1" thickBot="1" x14ac:dyDescent="0.3">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110">
        <v>2014</v>
      </c>
      <c r="F3" s="2111"/>
      <c r="G3" s="2110">
        <v>2015</v>
      </c>
      <c r="H3" s="2112"/>
      <c r="I3" s="2110">
        <v>2018</v>
      </c>
      <c r="J3" s="2112"/>
      <c r="K3" s="2113">
        <v>2023</v>
      </c>
      <c r="L3" s="2114"/>
      <c r="M3" s="2115" t="s">
        <v>515</v>
      </c>
      <c r="N3" s="2116"/>
      <c r="O3" s="2117" t="s">
        <v>514</v>
      </c>
      <c r="P3" s="2118"/>
      <c r="Q3" s="731"/>
      <c r="R3" s="732"/>
      <c r="S3" s="733"/>
      <c r="T3" s="735" t="s">
        <v>446</v>
      </c>
    </row>
    <row r="4" spans="1:20" ht="24" customHeight="1" x14ac:dyDescent="0.25">
      <c r="A4" s="416"/>
      <c r="B4" s="33"/>
      <c r="C4" s="603" t="e">
        <f>#REF!</f>
        <v>#REF!</v>
      </c>
      <c r="D4" s="402"/>
      <c r="E4" s="2109"/>
      <c r="F4" s="2109"/>
      <c r="G4" s="2109"/>
      <c r="H4" s="2109"/>
      <c r="I4" s="2109"/>
      <c r="J4" s="2109"/>
      <c r="K4" s="2109"/>
      <c r="L4" s="2119"/>
      <c r="M4" s="2120"/>
      <c r="N4" s="2121"/>
      <c r="O4" s="2108"/>
      <c r="P4" s="2109"/>
      <c r="Q4" s="485"/>
      <c r="R4" s="485"/>
      <c r="S4" s="485"/>
      <c r="T4" s="2106" t="s">
        <v>574</v>
      </c>
    </row>
    <row r="5" spans="1:20" ht="23.25" customHeight="1" x14ac:dyDescent="0.25">
      <c r="A5" s="417"/>
      <c r="B5" s="404"/>
      <c r="C5" s="405"/>
      <c r="D5" s="406"/>
      <c r="E5" s="49" t="s">
        <v>8</v>
      </c>
      <c r="F5" s="51" t="s">
        <v>371</v>
      </c>
      <c r="G5" s="49" t="s">
        <v>8</v>
      </c>
      <c r="H5" s="51" t="s">
        <v>371</v>
      </c>
      <c r="I5" s="49" t="s">
        <v>8</v>
      </c>
      <c r="J5" s="51" t="s">
        <v>371</v>
      </c>
      <c r="K5" s="49" t="s">
        <v>8</v>
      </c>
      <c r="L5" s="50" t="s">
        <v>371</v>
      </c>
      <c r="M5" s="828" t="s">
        <v>8</v>
      </c>
      <c r="N5" s="829" t="s">
        <v>371</v>
      </c>
      <c r="O5" s="50" t="s">
        <v>8</v>
      </c>
      <c r="P5" s="51" t="s">
        <v>371</v>
      </c>
      <c r="Q5" s="933"/>
      <c r="R5" s="934"/>
      <c r="S5" s="935"/>
      <c r="T5" s="2107"/>
    </row>
    <row r="6" spans="1:20" ht="24" customHeight="1" x14ac:dyDescent="0.25">
      <c r="A6" s="2096" t="s">
        <v>2</v>
      </c>
      <c r="B6" s="2097"/>
      <c r="C6" s="344" t="s">
        <v>513</v>
      </c>
      <c r="D6" s="818" t="s">
        <v>4</v>
      </c>
      <c r="E6" s="819"/>
      <c r="F6" s="820"/>
      <c r="G6" s="819"/>
      <c r="H6" s="821"/>
      <c r="I6" s="822">
        <v>15.126065000000001</v>
      </c>
      <c r="J6" s="823"/>
      <c r="K6" s="822">
        <v>16.772234000000001</v>
      </c>
      <c r="L6" s="823"/>
      <c r="M6" s="830">
        <v>17.32104</v>
      </c>
      <c r="N6" s="831"/>
      <c r="O6" s="825">
        <v>19.817820000000001</v>
      </c>
      <c r="P6" s="820"/>
      <c r="Q6" s="660"/>
      <c r="R6" s="622"/>
      <c r="S6" s="486"/>
      <c r="T6" s="2107"/>
    </row>
    <row r="7" spans="1:20" ht="24" customHeight="1" x14ac:dyDescent="0.25">
      <c r="A7" s="2098"/>
      <c r="B7" s="2099"/>
      <c r="C7" s="978" t="s">
        <v>516</v>
      </c>
      <c r="D7" s="979" t="s">
        <v>5</v>
      </c>
      <c r="E7" s="980"/>
      <c r="F7" s="981"/>
      <c r="G7" s="980"/>
      <c r="H7" s="982"/>
      <c r="I7" s="983">
        <v>3520</v>
      </c>
      <c r="J7" s="984"/>
      <c r="K7" s="983">
        <v>4258</v>
      </c>
      <c r="L7" s="984"/>
      <c r="M7" s="985">
        <v>4513</v>
      </c>
      <c r="N7" s="986"/>
      <c r="O7" s="987">
        <v>5090</v>
      </c>
      <c r="P7" s="981"/>
      <c r="Q7" s="660"/>
      <c r="R7" s="622"/>
      <c r="S7" s="486"/>
      <c r="T7" s="2107" t="s">
        <v>575</v>
      </c>
    </row>
    <row r="8" spans="1:20" ht="24" customHeight="1" x14ac:dyDescent="0.25">
      <c r="A8" s="2098"/>
      <c r="B8" s="2099"/>
      <c r="C8" s="988" t="s">
        <v>517</v>
      </c>
      <c r="D8" s="989" t="s">
        <v>5</v>
      </c>
      <c r="E8" s="990"/>
      <c r="F8" s="991"/>
      <c r="G8" s="990"/>
      <c r="H8" s="992"/>
      <c r="I8" s="993">
        <v>2283</v>
      </c>
      <c r="J8" s="994"/>
      <c r="K8" s="993">
        <v>2497</v>
      </c>
      <c r="L8" s="994"/>
      <c r="M8" s="995">
        <v>2663</v>
      </c>
      <c r="N8" s="996"/>
      <c r="O8" s="997">
        <v>2912</v>
      </c>
      <c r="P8" s="991"/>
      <c r="Q8" s="660"/>
      <c r="R8" s="622"/>
      <c r="S8" s="486"/>
      <c r="T8" s="2107"/>
    </row>
    <row r="9" spans="1:20" ht="24" customHeight="1" thickBot="1" x14ac:dyDescent="0.3">
      <c r="A9" s="2100"/>
      <c r="B9" s="2101"/>
      <c r="C9" s="22" t="s">
        <v>518</v>
      </c>
      <c r="D9" s="683" t="s">
        <v>5</v>
      </c>
      <c r="E9" s="332"/>
      <c r="F9" s="684"/>
      <c r="G9" s="332"/>
      <c r="H9" s="685"/>
      <c r="I9" s="814">
        <v>2193</v>
      </c>
      <c r="J9" s="815"/>
      <c r="K9" s="814">
        <v>2358</v>
      </c>
      <c r="L9" s="815"/>
      <c r="M9" s="999">
        <v>2444</v>
      </c>
      <c r="N9" s="1000"/>
      <c r="O9" s="826">
        <v>2914</v>
      </c>
      <c r="P9" s="684"/>
      <c r="Q9" s="661"/>
      <c r="R9" s="408"/>
      <c r="S9" s="486"/>
      <c r="T9" s="2107"/>
    </row>
    <row r="10" spans="1:20" ht="24" customHeight="1" thickBot="1" x14ac:dyDescent="0.3">
      <c r="A10" s="816"/>
      <c r="B10" s="817"/>
      <c r="C10" s="12"/>
      <c r="D10" s="470"/>
      <c r="E10" s="924"/>
      <c r="F10" s="925"/>
      <c r="G10" s="926"/>
      <c r="H10" s="925"/>
      <c r="I10" s="927"/>
      <c r="J10" s="824"/>
      <c r="K10" s="927"/>
      <c r="L10" s="824"/>
      <c r="M10" s="927"/>
      <c r="N10" s="998"/>
      <c r="O10" s="928"/>
      <c r="P10" s="929"/>
      <c r="Q10" s="930"/>
      <c r="R10" s="930"/>
      <c r="S10" s="931"/>
      <c r="T10" s="932"/>
    </row>
    <row r="11" spans="1:20" ht="24" customHeight="1" x14ac:dyDescent="0.25">
      <c r="A11" s="854"/>
      <c r="B11" s="855"/>
      <c r="C11" s="883" t="s">
        <v>548</v>
      </c>
      <c r="D11" s="856"/>
      <c r="E11" s="834"/>
      <c r="F11" s="834"/>
      <c r="G11" s="834"/>
      <c r="H11" s="834"/>
      <c r="I11" s="834"/>
      <c r="J11" s="834"/>
      <c r="K11" s="834"/>
      <c r="L11" s="413"/>
      <c r="M11" s="834"/>
      <c r="N11" s="834"/>
      <c r="O11" s="834"/>
      <c r="P11" s="834"/>
      <c r="Q11" s="834"/>
      <c r="R11" s="834"/>
      <c r="S11" s="1001"/>
      <c r="T11" s="463"/>
    </row>
    <row r="12" spans="1:20" ht="24" customHeight="1" x14ac:dyDescent="0.25">
      <c r="A12" s="832"/>
      <c r="B12" s="833"/>
      <c r="C12" s="835"/>
      <c r="D12" s="66"/>
      <c r="E12" s="2102" t="s">
        <v>545</v>
      </c>
      <c r="F12" s="2102"/>
      <c r="G12" s="2102"/>
      <c r="H12" s="2102"/>
      <c r="I12" s="2102"/>
      <c r="J12" s="2102"/>
      <c r="K12" s="2102"/>
      <c r="L12" s="2102"/>
      <c r="M12" s="1019"/>
      <c r="N12" s="837"/>
      <c r="O12" s="836"/>
      <c r="P12" s="837"/>
      <c r="Q12" s="864"/>
      <c r="R12" s="837"/>
      <c r="S12" s="1002"/>
      <c r="T12" s="463"/>
    </row>
    <row r="13" spans="1:20" ht="66" customHeight="1" x14ac:dyDescent="0.25">
      <c r="A13" s="877" t="s">
        <v>549</v>
      </c>
      <c r="B13" s="878" t="s">
        <v>550</v>
      </c>
      <c r="C13" s="835"/>
      <c r="D13" s="66"/>
      <c r="E13" s="850" t="s">
        <v>519</v>
      </c>
      <c r="F13" s="851" t="s">
        <v>520</v>
      </c>
      <c r="G13" s="852" t="s">
        <v>546</v>
      </c>
      <c r="H13" s="851" t="s">
        <v>521</v>
      </c>
      <c r="I13" s="851" t="s">
        <v>522</v>
      </c>
      <c r="J13" s="851" t="s">
        <v>523</v>
      </c>
      <c r="K13" s="851" t="s">
        <v>544</v>
      </c>
      <c r="L13" s="853" t="s">
        <v>547</v>
      </c>
      <c r="M13" s="861" t="s">
        <v>542</v>
      </c>
      <c r="N13" s="838"/>
      <c r="O13" s="838"/>
      <c r="P13" s="838"/>
      <c r="Q13" s="839"/>
      <c r="R13" s="839"/>
      <c r="S13" s="1002"/>
      <c r="T13" s="463"/>
    </row>
    <row r="14" spans="1:20" ht="24" customHeight="1" x14ac:dyDescent="0.25">
      <c r="A14" s="951" t="s">
        <v>551</v>
      </c>
      <c r="B14" s="952"/>
      <c r="C14" s="953" t="s">
        <v>531</v>
      </c>
      <c r="D14" s="954" t="s">
        <v>532</v>
      </c>
      <c r="E14" s="955"/>
      <c r="F14" s="956">
        <v>3</v>
      </c>
      <c r="G14" s="957"/>
      <c r="H14" s="956"/>
      <c r="I14" s="956"/>
      <c r="J14" s="956"/>
      <c r="K14" s="956"/>
      <c r="L14" s="958"/>
      <c r="M14" s="959">
        <f t="shared" ref="M14:M15" si="0">SUM(E14:I14)+2*SUM(J14:L14)</f>
        <v>3</v>
      </c>
      <c r="N14" s="841"/>
      <c r="O14" s="840"/>
      <c r="P14" s="842"/>
      <c r="Q14" s="842"/>
      <c r="R14" s="842"/>
      <c r="S14" s="1003"/>
      <c r="T14" s="843"/>
    </row>
    <row r="15" spans="1:20" ht="24" customHeight="1" x14ac:dyDescent="0.25">
      <c r="A15" s="960" t="s">
        <v>551</v>
      </c>
      <c r="B15" s="961"/>
      <c r="C15" s="962" t="s">
        <v>526</v>
      </c>
      <c r="D15" s="963" t="s">
        <v>527</v>
      </c>
      <c r="E15" s="964"/>
      <c r="F15" s="965">
        <v>3</v>
      </c>
      <c r="G15" s="966"/>
      <c r="H15" s="965"/>
      <c r="I15" s="965"/>
      <c r="J15" s="965"/>
      <c r="K15" s="965"/>
      <c r="L15" s="967"/>
      <c r="M15" s="968">
        <f t="shared" si="0"/>
        <v>3</v>
      </c>
      <c r="N15" s="845"/>
      <c r="O15" s="845"/>
      <c r="P15" s="845"/>
      <c r="Q15" s="845"/>
      <c r="R15" s="845"/>
      <c r="S15" s="1004"/>
      <c r="T15" s="463"/>
    </row>
    <row r="16" spans="1:20" ht="24" customHeight="1" x14ac:dyDescent="0.25">
      <c r="A16" s="960" t="s">
        <v>551</v>
      </c>
      <c r="B16" s="961"/>
      <c r="C16" s="962" t="s">
        <v>524</v>
      </c>
      <c r="D16" s="963" t="s">
        <v>528</v>
      </c>
      <c r="E16" s="964"/>
      <c r="F16" s="965">
        <v>6</v>
      </c>
      <c r="G16" s="966"/>
      <c r="H16" s="965"/>
      <c r="I16" s="965"/>
      <c r="J16" s="965"/>
      <c r="K16" s="965">
        <v>2</v>
      </c>
      <c r="L16" s="967"/>
      <c r="M16" s="968">
        <f>SUM(E16:I16)+2*SUM(J16:L16)</f>
        <v>10</v>
      </c>
      <c r="N16" s="845"/>
      <c r="O16" s="845"/>
      <c r="P16" s="845"/>
      <c r="Q16" s="845"/>
      <c r="R16" s="845"/>
      <c r="S16" s="1004"/>
      <c r="T16" s="463"/>
    </row>
    <row r="17" spans="1:20" ht="24" customHeight="1" x14ac:dyDescent="0.25">
      <c r="A17" s="960"/>
      <c r="B17" s="961" t="s">
        <v>551</v>
      </c>
      <c r="C17" s="962" t="s">
        <v>482</v>
      </c>
      <c r="D17" s="963" t="s">
        <v>529</v>
      </c>
      <c r="E17" s="964"/>
      <c r="F17" s="965">
        <v>5</v>
      </c>
      <c r="G17" s="966"/>
      <c r="H17" s="965">
        <v>1</v>
      </c>
      <c r="I17" s="965"/>
      <c r="J17" s="965"/>
      <c r="K17" s="965"/>
      <c r="L17" s="967"/>
      <c r="M17" s="968">
        <f t="shared" ref="M17:M24" si="1">SUM(E17:I17)+2*SUM(J17:L17)</f>
        <v>6</v>
      </c>
      <c r="N17" s="845"/>
      <c r="O17" s="845"/>
      <c r="P17" s="845"/>
      <c r="Q17" s="845"/>
      <c r="R17" s="845"/>
      <c r="S17" s="1004"/>
      <c r="T17" s="463"/>
    </row>
    <row r="18" spans="1:20" ht="24" customHeight="1" x14ac:dyDescent="0.25">
      <c r="A18" s="960" t="s">
        <v>551</v>
      </c>
      <c r="B18" s="961"/>
      <c r="C18" s="962" t="s">
        <v>525</v>
      </c>
      <c r="D18" s="963" t="s">
        <v>530</v>
      </c>
      <c r="E18" s="964"/>
      <c r="F18" s="965"/>
      <c r="G18" s="966"/>
      <c r="H18" s="965"/>
      <c r="I18" s="965"/>
      <c r="J18" s="965"/>
      <c r="K18" s="965"/>
      <c r="L18" s="967"/>
      <c r="M18" s="968">
        <f t="shared" si="1"/>
        <v>0</v>
      </c>
      <c r="N18" s="827"/>
      <c r="O18" s="845"/>
      <c r="P18" s="827"/>
      <c r="Q18" s="864"/>
      <c r="R18" s="827"/>
      <c r="S18" s="1004"/>
      <c r="T18" s="463"/>
    </row>
    <row r="19" spans="1:20" ht="24" customHeight="1" x14ac:dyDescent="0.25">
      <c r="A19" s="960"/>
      <c r="B19" s="961"/>
      <c r="C19" s="962" t="s">
        <v>533</v>
      </c>
      <c r="D19" s="963" t="s">
        <v>538</v>
      </c>
      <c r="E19" s="964"/>
      <c r="F19" s="965"/>
      <c r="G19" s="966"/>
      <c r="H19" s="965"/>
      <c r="I19" s="965"/>
      <c r="J19" s="965"/>
      <c r="K19" s="965"/>
      <c r="L19" s="967"/>
      <c r="M19" s="968">
        <f t="shared" si="1"/>
        <v>0</v>
      </c>
      <c r="N19" s="846"/>
      <c r="O19" s="847"/>
      <c r="P19" s="846"/>
      <c r="Q19" s="846"/>
      <c r="R19" s="846"/>
      <c r="S19" s="1004"/>
      <c r="T19" s="463"/>
    </row>
    <row r="20" spans="1:20" ht="24" customHeight="1" x14ac:dyDescent="0.25">
      <c r="A20" s="960"/>
      <c r="B20" s="961" t="s">
        <v>551</v>
      </c>
      <c r="C20" s="962" t="s">
        <v>534</v>
      </c>
      <c r="D20" s="963" t="s">
        <v>539</v>
      </c>
      <c r="E20" s="964"/>
      <c r="F20" s="965">
        <v>2</v>
      </c>
      <c r="G20" s="966"/>
      <c r="H20" s="965"/>
      <c r="I20" s="965"/>
      <c r="J20" s="965"/>
      <c r="K20" s="965"/>
      <c r="L20" s="967"/>
      <c r="M20" s="968">
        <f t="shared" si="1"/>
        <v>2</v>
      </c>
      <c r="N20" s="846"/>
      <c r="O20" s="847"/>
      <c r="P20" s="846"/>
      <c r="Q20" s="846"/>
      <c r="R20" s="846"/>
      <c r="S20" s="1005"/>
      <c r="T20" s="463"/>
    </row>
    <row r="21" spans="1:20" ht="24" customHeight="1" x14ac:dyDescent="0.25">
      <c r="A21" s="960" t="s">
        <v>551</v>
      </c>
      <c r="B21" s="961"/>
      <c r="C21" s="962" t="s">
        <v>535</v>
      </c>
      <c r="D21" s="963" t="s">
        <v>540</v>
      </c>
      <c r="E21" s="964"/>
      <c r="F21" s="965">
        <v>6</v>
      </c>
      <c r="G21" s="966"/>
      <c r="H21" s="965"/>
      <c r="I21" s="965"/>
      <c r="J21" s="965"/>
      <c r="K21" s="965"/>
      <c r="L21" s="967"/>
      <c r="M21" s="968">
        <f t="shared" si="1"/>
        <v>6</v>
      </c>
      <c r="N21" s="846"/>
      <c r="O21" s="847"/>
      <c r="P21" s="846"/>
      <c r="Q21" s="846"/>
      <c r="R21" s="846"/>
      <c r="S21" s="1005"/>
      <c r="T21" s="463"/>
    </row>
    <row r="22" spans="1:20" ht="24" customHeight="1" x14ac:dyDescent="0.25">
      <c r="A22" s="960"/>
      <c r="B22" s="961"/>
      <c r="C22" s="962" t="s">
        <v>561</v>
      </c>
      <c r="D22" s="963" t="s">
        <v>562</v>
      </c>
      <c r="E22" s="964"/>
      <c r="F22" s="965"/>
      <c r="G22" s="966"/>
      <c r="H22" s="965"/>
      <c r="I22" s="965"/>
      <c r="J22" s="965"/>
      <c r="K22" s="965"/>
      <c r="L22" s="967"/>
      <c r="M22" s="968">
        <f t="shared" si="1"/>
        <v>0</v>
      </c>
      <c r="N22" s="846"/>
      <c r="O22" s="847"/>
      <c r="P22" s="846"/>
      <c r="Q22" s="846"/>
      <c r="R22" s="846"/>
      <c r="S22" s="1005"/>
      <c r="T22" s="463"/>
    </row>
    <row r="23" spans="1:20" ht="24" customHeight="1" x14ac:dyDescent="0.25">
      <c r="A23" s="960"/>
      <c r="B23" s="961"/>
      <c r="C23" s="962" t="s">
        <v>536</v>
      </c>
      <c r="D23" s="963" t="s">
        <v>541</v>
      </c>
      <c r="E23" s="964"/>
      <c r="F23" s="965"/>
      <c r="G23" s="966"/>
      <c r="H23" s="965"/>
      <c r="I23" s="965"/>
      <c r="J23" s="965"/>
      <c r="K23" s="965"/>
      <c r="L23" s="967"/>
      <c r="M23" s="968">
        <f t="shared" si="1"/>
        <v>0</v>
      </c>
      <c r="N23" s="846"/>
      <c r="O23" s="847"/>
      <c r="P23" s="846"/>
      <c r="Q23" s="846"/>
      <c r="R23" s="846"/>
      <c r="S23" s="1005"/>
      <c r="T23" s="463"/>
    </row>
    <row r="24" spans="1:20" ht="24" customHeight="1" x14ac:dyDescent="0.25">
      <c r="A24" s="969"/>
      <c r="B24" s="970"/>
      <c r="C24" s="971" t="s">
        <v>537</v>
      </c>
      <c r="D24" s="972"/>
      <c r="E24" s="973">
        <v>1</v>
      </c>
      <c r="F24" s="974">
        <v>1</v>
      </c>
      <c r="G24" s="975">
        <v>1</v>
      </c>
      <c r="H24" s="974"/>
      <c r="I24" s="974"/>
      <c r="J24" s="974"/>
      <c r="K24" s="974"/>
      <c r="L24" s="976">
        <v>2</v>
      </c>
      <c r="M24" s="977">
        <f t="shared" si="1"/>
        <v>7</v>
      </c>
      <c r="N24" s="849"/>
      <c r="O24" s="848"/>
      <c r="P24" s="849"/>
      <c r="Q24" s="849"/>
      <c r="R24" s="849"/>
      <c r="S24" s="1006"/>
      <c r="T24" s="463"/>
    </row>
    <row r="25" spans="1:20" ht="24" customHeight="1" x14ac:dyDescent="0.25">
      <c r="A25" s="832"/>
      <c r="B25" s="833"/>
      <c r="C25" s="835"/>
      <c r="D25" s="1009"/>
      <c r="E25" s="1016">
        <f>SUM(E14:E24)</f>
        <v>1</v>
      </c>
      <c r="F25" s="1017">
        <f>SUM(F14:F24)</f>
        <v>26</v>
      </c>
      <c r="G25" s="1017">
        <f t="shared" ref="G25:J25" si="2">SUM(G14:G24)</f>
        <v>1</v>
      </c>
      <c r="H25" s="1017">
        <f t="shared" si="2"/>
        <v>1</v>
      </c>
      <c r="I25" s="1017">
        <f t="shared" si="2"/>
        <v>0</v>
      </c>
      <c r="J25" s="1017">
        <f t="shared" si="2"/>
        <v>0</v>
      </c>
      <c r="K25" s="1017">
        <f t="shared" ref="K25" si="3">SUM(K14:K24)</f>
        <v>2</v>
      </c>
      <c r="L25" s="1017">
        <f>SUM(L14:L24)</f>
        <v>2</v>
      </c>
      <c r="M25" s="1018">
        <f>SUM(M14:M24)</f>
        <v>37</v>
      </c>
      <c r="N25" s="884"/>
      <c r="O25" s="846"/>
      <c r="P25" s="846"/>
      <c r="Q25" s="864"/>
      <c r="R25" s="846"/>
      <c r="S25" s="1014"/>
      <c r="T25" s="1010"/>
    </row>
    <row r="26" spans="1:20" ht="24" customHeight="1" thickBot="1" x14ac:dyDescent="0.3">
      <c r="A26" s="857"/>
      <c r="B26" s="858"/>
      <c r="C26" s="859"/>
      <c r="D26" s="860"/>
      <c r="E26" s="1015"/>
      <c r="F26" s="1015"/>
      <c r="G26" s="1015"/>
      <c r="H26" s="1015"/>
      <c r="I26" s="1015"/>
      <c r="J26" s="1015"/>
      <c r="K26" s="1015"/>
      <c r="L26" s="1015"/>
      <c r="M26" s="1015"/>
      <c r="N26" s="862"/>
      <c r="O26" s="862"/>
      <c r="P26" s="862"/>
      <c r="Q26" s="865"/>
      <c r="R26" s="862"/>
      <c r="S26" s="1007"/>
      <c r="T26" s="863"/>
    </row>
    <row r="27" spans="1:20" ht="24" customHeight="1" x14ac:dyDescent="0.25">
      <c r="A27" s="854"/>
      <c r="B27" s="855"/>
      <c r="C27" s="897" t="s">
        <v>552</v>
      </c>
      <c r="D27" s="1011"/>
      <c r="E27" s="1012"/>
      <c r="F27" s="1012"/>
      <c r="G27" s="1012"/>
      <c r="H27" s="1012"/>
      <c r="I27" s="1012"/>
      <c r="J27" s="1012"/>
      <c r="K27" s="1012"/>
      <c r="L27" s="1012"/>
      <c r="M27" s="1012"/>
      <c r="N27" s="1013"/>
      <c r="O27" s="1013"/>
      <c r="P27" s="1013"/>
      <c r="Q27" s="864"/>
      <c r="R27" s="846"/>
      <c r="S27" s="844"/>
      <c r="T27" s="1010"/>
    </row>
    <row r="28" spans="1:20" ht="24" customHeight="1" x14ac:dyDescent="0.25">
      <c r="A28" s="832"/>
      <c r="B28" s="833"/>
      <c r="C28" s="321"/>
      <c r="D28" s="833"/>
      <c r="E28" s="833"/>
      <c r="F28" s="833"/>
      <c r="G28" s="833"/>
      <c r="H28" s="833"/>
      <c r="I28" s="833"/>
      <c r="J28" s="833"/>
      <c r="K28" s="833"/>
      <c r="L28" s="833"/>
      <c r="M28" s="833"/>
      <c r="N28" s="833"/>
      <c r="O28" s="833"/>
      <c r="P28" s="833"/>
      <c r="Q28" s="1020"/>
      <c r="R28" s="833"/>
      <c r="S28" s="833"/>
      <c r="T28" s="867"/>
    </row>
    <row r="29" spans="1:20" ht="24" customHeight="1" x14ac:dyDescent="0.25">
      <c r="A29" s="832"/>
      <c r="B29" s="833"/>
      <c r="C29" s="897"/>
      <c r="D29" s="866"/>
      <c r="E29" s="2103" t="s">
        <v>570</v>
      </c>
      <c r="F29" s="2104"/>
      <c r="G29" s="2104"/>
      <c r="H29" s="2104"/>
      <c r="I29" s="2104"/>
      <c r="J29" s="2104"/>
      <c r="K29" s="2104"/>
      <c r="L29" s="2104"/>
      <c r="M29" s="2104"/>
      <c r="N29" s="2105"/>
      <c r="O29" s="2103" t="s">
        <v>568</v>
      </c>
      <c r="P29" s="2104"/>
      <c r="Q29" s="2105"/>
      <c r="R29" s="833"/>
      <c r="S29" s="833"/>
      <c r="T29" s="867"/>
    </row>
    <row r="30" spans="1:20" ht="60" customHeight="1" x14ac:dyDescent="0.25">
      <c r="A30" s="877" t="s">
        <v>549</v>
      </c>
      <c r="B30" s="878" t="s">
        <v>550</v>
      </c>
      <c r="C30" s="835"/>
      <c r="D30" s="887"/>
      <c r="E30" s="894" t="s">
        <v>573</v>
      </c>
      <c r="F30" s="895" t="s">
        <v>555</v>
      </c>
      <c r="G30" s="895" t="s">
        <v>556</v>
      </c>
      <c r="H30" s="895" t="s">
        <v>557</v>
      </c>
      <c r="I30" s="895" t="s">
        <v>558</v>
      </c>
      <c r="J30" s="895" t="s">
        <v>559</v>
      </c>
      <c r="K30" s="895" t="s">
        <v>560</v>
      </c>
      <c r="L30" s="895" t="s">
        <v>554</v>
      </c>
      <c r="M30" s="895" t="s">
        <v>553</v>
      </c>
      <c r="N30" s="913" t="s">
        <v>563</v>
      </c>
      <c r="O30" s="894" t="s">
        <v>565</v>
      </c>
      <c r="P30" s="895" t="s">
        <v>566</v>
      </c>
      <c r="Q30" s="913" t="s">
        <v>567</v>
      </c>
      <c r="R30" s="869"/>
      <c r="S30" s="870"/>
      <c r="T30" s="871"/>
    </row>
    <row r="31" spans="1:20" ht="24" customHeight="1" x14ac:dyDescent="0.25">
      <c r="A31" s="879"/>
      <c r="B31" s="880"/>
      <c r="C31" s="886" t="str">
        <f>C14</f>
        <v>Air Canada</v>
      </c>
      <c r="D31" s="889" t="str">
        <f>D14</f>
        <v>AC</v>
      </c>
      <c r="E31" s="896">
        <v>18</v>
      </c>
      <c r="F31" s="872">
        <v>10</v>
      </c>
      <c r="G31" s="872">
        <v>5</v>
      </c>
      <c r="H31" s="872">
        <v>1</v>
      </c>
      <c r="I31" s="872">
        <v>0</v>
      </c>
      <c r="J31" s="872"/>
      <c r="K31" s="872"/>
      <c r="L31" s="872"/>
      <c r="M31" s="872"/>
      <c r="N31" s="874"/>
      <c r="O31" s="872">
        <v>2</v>
      </c>
      <c r="P31" s="872">
        <v>3</v>
      </c>
      <c r="Q31" s="915">
        <v>4</v>
      </c>
      <c r="R31" s="916" t="str">
        <f>D31</f>
        <v>AC</v>
      </c>
      <c r="S31" s="870"/>
      <c r="T31" s="871"/>
    </row>
    <row r="32" spans="1:20" ht="24" customHeight="1" x14ac:dyDescent="0.25">
      <c r="A32" s="905" t="s">
        <v>551</v>
      </c>
      <c r="B32" s="906"/>
      <c r="C32" s="907" t="str">
        <f t="shared" ref="C32:D32" si="4">C15</f>
        <v>Alaska</v>
      </c>
      <c r="D32" s="922" t="str">
        <f t="shared" si="4"/>
        <v>AS</v>
      </c>
      <c r="E32" s="936">
        <v>18</v>
      </c>
      <c r="F32" s="937">
        <v>11</v>
      </c>
      <c r="G32" s="937">
        <v>6</v>
      </c>
      <c r="H32" s="937">
        <v>4</v>
      </c>
      <c r="I32" s="937">
        <v>0</v>
      </c>
      <c r="J32" s="937"/>
      <c r="K32" s="937"/>
      <c r="L32" s="937"/>
      <c r="M32" s="937"/>
      <c r="N32" s="938"/>
      <c r="O32" s="937">
        <v>3</v>
      </c>
      <c r="P32" s="937">
        <v>4</v>
      </c>
      <c r="Q32" s="939">
        <v>4</v>
      </c>
      <c r="R32" s="923" t="str">
        <f t="shared" ref="R32:R41" si="5">D32</f>
        <v>AS</v>
      </c>
      <c r="S32" s="844"/>
      <c r="T32" s="885"/>
    </row>
    <row r="33" spans="1:20" ht="24" customHeight="1" x14ac:dyDescent="0.25">
      <c r="A33" s="905" t="s">
        <v>551</v>
      </c>
      <c r="B33" s="906"/>
      <c r="C33" s="907" t="str">
        <f t="shared" ref="C33:D33" si="6">C16</f>
        <v>American Airlines</v>
      </c>
      <c r="D33" s="922" t="str">
        <f t="shared" si="6"/>
        <v>AA</v>
      </c>
      <c r="E33" s="936">
        <v>22</v>
      </c>
      <c r="F33" s="937">
        <v>21</v>
      </c>
      <c r="G33" s="937">
        <v>20</v>
      </c>
      <c r="H33" s="937">
        <v>20</v>
      </c>
      <c r="I33" s="937">
        <v>16</v>
      </c>
      <c r="J33" s="937">
        <v>14</v>
      </c>
      <c r="K33" s="937">
        <v>7</v>
      </c>
      <c r="L33" s="937">
        <v>5</v>
      </c>
      <c r="M33" s="937">
        <v>3</v>
      </c>
      <c r="N33" s="938">
        <v>0</v>
      </c>
      <c r="O33" s="937">
        <v>7</v>
      </c>
      <c r="P33" s="937">
        <v>9</v>
      </c>
      <c r="Q33" s="939">
        <v>9</v>
      </c>
      <c r="R33" s="923" t="str">
        <f t="shared" si="5"/>
        <v>AA</v>
      </c>
      <c r="S33" s="873"/>
      <c r="T33" s="875"/>
    </row>
    <row r="34" spans="1:20" ht="24" customHeight="1" x14ac:dyDescent="0.25">
      <c r="A34" s="909"/>
      <c r="B34" s="910" t="s">
        <v>551</v>
      </c>
      <c r="C34" s="911" t="str">
        <f t="shared" ref="C34:D34" si="7">C17</f>
        <v>Delta</v>
      </c>
      <c r="D34" s="920" t="str">
        <f t="shared" si="7"/>
        <v>DL</v>
      </c>
      <c r="E34" s="633">
        <v>21</v>
      </c>
      <c r="F34" s="632">
        <v>19</v>
      </c>
      <c r="G34" s="632">
        <v>19</v>
      </c>
      <c r="H34" s="632">
        <v>19</v>
      </c>
      <c r="I34" s="632">
        <v>16</v>
      </c>
      <c r="J34" s="632">
        <v>11</v>
      </c>
      <c r="K34" s="632">
        <v>6</v>
      </c>
      <c r="L34" s="632">
        <v>1</v>
      </c>
      <c r="M34" s="632">
        <v>0</v>
      </c>
      <c r="N34" s="636"/>
      <c r="O34" s="632">
        <v>6</v>
      </c>
      <c r="P34" s="632">
        <v>7</v>
      </c>
      <c r="Q34" s="636">
        <v>8</v>
      </c>
      <c r="R34" s="921" t="str">
        <f t="shared" si="5"/>
        <v>DL</v>
      </c>
      <c r="S34" s="873"/>
      <c r="T34" s="875"/>
    </row>
    <row r="35" spans="1:20" ht="24" customHeight="1" x14ac:dyDescent="0.25">
      <c r="A35" s="905" t="s">
        <v>551</v>
      </c>
      <c r="B35" s="906"/>
      <c r="C35" s="907" t="str">
        <f t="shared" ref="C35:D35" si="8">C18</f>
        <v>Frontier</v>
      </c>
      <c r="D35" s="922" t="str">
        <f t="shared" si="8"/>
        <v>F9</v>
      </c>
      <c r="E35" s="936">
        <v>6</v>
      </c>
      <c r="F35" s="937">
        <v>0</v>
      </c>
      <c r="G35" s="937"/>
      <c r="H35" s="937"/>
      <c r="I35" s="937"/>
      <c r="J35" s="937"/>
      <c r="K35" s="937"/>
      <c r="L35" s="937"/>
      <c r="M35" s="937"/>
      <c r="N35" s="938"/>
      <c r="O35" s="937">
        <v>1</v>
      </c>
      <c r="P35" s="940">
        <v>1</v>
      </c>
      <c r="Q35" s="939">
        <v>1</v>
      </c>
      <c r="R35" s="923" t="str">
        <f t="shared" si="5"/>
        <v>F9</v>
      </c>
      <c r="S35" s="873"/>
      <c r="T35" s="875"/>
    </row>
    <row r="36" spans="1:20" ht="24" customHeight="1" x14ac:dyDescent="0.25">
      <c r="A36" s="879"/>
      <c r="B36" s="880"/>
      <c r="C36" s="890" t="str">
        <f t="shared" ref="C36:D36" si="9">C19</f>
        <v>Hawaiian</v>
      </c>
      <c r="D36" s="891" t="str">
        <f t="shared" si="9"/>
        <v>HA</v>
      </c>
      <c r="E36" s="896">
        <v>4</v>
      </c>
      <c r="F36" s="872">
        <v>0</v>
      </c>
      <c r="G36" s="872"/>
      <c r="H36" s="872"/>
      <c r="I36" s="872"/>
      <c r="J36" s="872"/>
      <c r="K36" s="872"/>
      <c r="L36" s="872"/>
      <c r="M36" s="872"/>
      <c r="N36" s="874"/>
      <c r="O36" s="872">
        <v>0</v>
      </c>
      <c r="P36" s="872">
        <v>1</v>
      </c>
      <c r="Q36" s="941">
        <v>1</v>
      </c>
      <c r="R36" s="917" t="str">
        <f t="shared" si="5"/>
        <v>HA</v>
      </c>
      <c r="S36" s="873"/>
      <c r="T36" s="875"/>
    </row>
    <row r="37" spans="1:20" ht="24" customHeight="1" x14ac:dyDescent="0.25">
      <c r="A37" s="909"/>
      <c r="B37" s="910" t="s">
        <v>551</v>
      </c>
      <c r="C37" s="911" t="str">
        <f t="shared" ref="C37:D37" si="10">C20</f>
        <v>JetBlue</v>
      </c>
      <c r="D37" s="920" t="str">
        <f t="shared" si="10"/>
        <v>B6</v>
      </c>
      <c r="E37" s="633">
        <v>20</v>
      </c>
      <c r="F37" s="632">
        <v>5</v>
      </c>
      <c r="G37" s="632"/>
      <c r="H37" s="632"/>
      <c r="I37" s="632"/>
      <c r="J37" s="632"/>
      <c r="K37" s="632"/>
      <c r="L37" s="632"/>
      <c r="M37" s="632"/>
      <c r="N37" s="636"/>
      <c r="O37" s="632">
        <v>1</v>
      </c>
      <c r="P37" s="632">
        <v>2</v>
      </c>
      <c r="Q37" s="942">
        <v>2</v>
      </c>
      <c r="R37" s="921" t="str">
        <f t="shared" si="5"/>
        <v>B6</v>
      </c>
      <c r="S37" s="873"/>
      <c r="T37" s="875"/>
    </row>
    <row r="38" spans="1:20" ht="24" customHeight="1" x14ac:dyDescent="0.25">
      <c r="A38" s="905" t="s">
        <v>551</v>
      </c>
      <c r="B38" s="906"/>
      <c r="C38" s="907" t="str">
        <f>C21</f>
        <v>Southwest</v>
      </c>
      <c r="D38" s="922" t="str">
        <f>D21</f>
        <v>WN</v>
      </c>
      <c r="E38" s="936">
        <v>21</v>
      </c>
      <c r="F38" s="937">
        <v>20</v>
      </c>
      <c r="G38" s="937">
        <v>20</v>
      </c>
      <c r="H38" s="937">
        <v>14</v>
      </c>
      <c r="I38" s="937">
        <v>10</v>
      </c>
      <c r="J38" s="937">
        <v>6</v>
      </c>
      <c r="K38" s="937">
        <v>2</v>
      </c>
      <c r="L38" s="937">
        <v>2</v>
      </c>
      <c r="M38" s="937">
        <v>0</v>
      </c>
      <c r="N38" s="938"/>
      <c r="O38" s="937">
        <v>5</v>
      </c>
      <c r="P38" s="937">
        <v>8</v>
      </c>
      <c r="Q38" s="939">
        <v>8</v>
      </c>
      <c r="R38" s="923" t="str">
        <f t="shared" si="5"/>
        <v>WN</v>
      </c>
      <c r="S38" s="868"/>
      <c r="T38" s="463"/>
    </row>
    <row r="39" spans="1:20" ht="24" customHeight="1" x14ac:dyDescent="0.25">
      <c r="A39" s="879"/>
      <c r="B39" s="880"/>
      <c r="C39" s="890" t="str">
        <f>C22</f>
        <v>Sun Country</v>
      </c>
      <c r="D39" s="891" t="s">
        <v>562</v>
      </c>
      <c r="E39" s="896">
        <v>2</v>
      </c>
      <c r="F39" s="872">
        <v>0</v>
      </c>
      <c r="G39" s="872"/>
      <c r="H39" s="872"/>
      <c r="I39" s="872"/>
      <c r="J39" s="872"/>
      <c r="K39" s="872"/>
      <c r="L39" s="872"/>
      <c r="M39" s="872"/>
      <c r="N39" s="874"/>
      <c r="O39" s="872">
        <v>0</v>
      </c>
      <c r="P39" s="872">
        <v>1</v>
      </c>
      <c r="Q39" s="941">
        <v>1</v>
      </c>
      <c r="R39" s="917" t="str">
        <f t="shared" si="5"/>
        <v>SY</v>
      </c>
      <c r="S39" s="868"/>
      <c r="T39" s="463"/>
    </row>
    <row r="40" spans="1:20" ht="24" customHeight="1" x14ac:dyDescent="0.25">
      <c r="A40" s="879"/>
      <c r="B40" s="880"/>
      <c r="C40" s="890" t="str">
        <f t="shared" ref="C40:D40" si="11">C23</f>
        <v>WestJet</v>
      </c>
      <c r="D40" s="891" t="str">
        <f t="shared" si="11"/>
        <v>WS</v>
      </c>
      <c r="E40" s="896"/>
      <c r="F40" s="872"/>
      <c r="G40" s="872"/>
      <c r="H40" s="872"/>
      <c r="I40" s="872"/>
      <c r="J40" s="872"/>
      <c r="K40" s="872"/>
      <c r="L40" s="872"/>
      <c r="M40" s="872"/>
      <c r="N40" s="874"/>
      <c r="O40" s="872"/>
      <c r="P40" s="872"/>
      <c r="Q40" s="874"/>
      <c r="R40" s="917" t="str">
        <f t="shared" si="5"/>
        <v>WS</v>
      </c>
      <c r="S40" s="868"/>
      <c r="T40" s="463"/>
    </row>
    <row r="41" spans="1:20" ht="24" customHeight="1" x14ac:dyDescent="0.25">
      <c r="A41" s="881"/>
      <c r="B41" s="882"/>
      <c r="C41" s="876" t="s">
        <v>571</v>
      </c>
      <c r="D41" s="893">
        <f>D24</f>
        <v>0</v>
      </c>
      <c r="E41" s="902"/>
      <c r="F41" s="903"/>
      <c r="G41" s="903"/>
      <c r="H41" s="903"/>
      <c r="I41" s="903"/>
      <c r="J41" s="903"/>
      <c r="K41" s="903"/>
      <c r="L41" s="903"/>
      <c r="M41" s="903"/>
      <c r="N41" s="914"/>
      <c r="O41" s="902">
        <v>5</v>
      </c>
      <c r="P41" s="903">
        <v>5</v>
      </c>
      <c r="Q41" s="914">
        <v>5</v>
      </c>
      <c r="R41" s="918">
        <f t="shared" si="5"/>
        <v>0</v>
      </c>
      <c r="S41" s="919"/>
      <c r="T41" s="901"/>
    </row>
    <row r="42" spans="1:20" ht="24" customHeight="1" x14ac:dyDescent="0.25">
      <c r="A42" s="879"/>
      <c r="B42" s="880"/>
      <c r="C42" s="890"/>
      <c r="D42" s="888"/>
      <c r="E42" s="1008"/>
      <c r="F42" s="872"/>
      <c r="G42" s="872"/>
      <c r="H42" s="872"/>
      <c r="I42" s="872"/>
      <c r="J42" s="872"/>
      <c r="K42" s="872"/>
      <c r="L42" s="872"/>
      <c r="M42" s="872"/>
      <c r="N42" s="874"/>
      <c r="O42" s="943">
        <f>SUM(O31:O41)</f>
        <v>30</v>
      </c>
      <c r="P42" s="944">
        <f>SUM(P31:P41)</f>
        <v>41</v>
      </c>
      <c r="Q42" s="945">
        <f>SUM(Q31:Q41)</f>
        <v>43</v>
      </c>
      <c r="R42" s="898"/>
      <c r="S42" s="900"/>
      <c r="T42" s="901"/>
    </row>
    <row r="43" spans="1:20" ht="24" customHeight="1" x14ac:dyDescent="0.25">
      <c r="A43" s="879"/>
      <c r="B43" s="880"/>
      <c r="C43" s="890"/>
      <c r="D43" s="898"/>
      <c r="E43" s="872"/>
      <c r="F43" s="872"/>
      <c r="G43" s="872"/>
      <c r="H43" s="872"/>
      <c r="I43" s="872"/>
      <c r="J43" s="872"/>
      <c r="K43" s="872"/>
      <c r="L43" s="872"/>
      <c r="M43" s="872"/>
      <c r="N43" s="872"/>
      <c r="O43" s="946"/>
      <c r="P43" s="946"/>
      <c r="Q43" s="946"/>
      <c r="R43" s="898"/>
      <c r="S43" s="900"/>
      <c r="T43" s="901"/>
    </row>
    <row r="44" spans="1:20" ht="24" customHeight="1" x14ac:dyDescent="0.25">
      <c r="A44" s="879"/>
      <c r="B44" s="880"/>
      <c r="C44" s="890"/>
      <c r="D44" s="898"/>
      <c r="E44" s="2103" t="s">
        <v>569</v>
      </c>
      <c r="F44" s="2104"/>
      <c r="G44" s="2104"/>
      <c r="H44" s="2104"/>
      <c r="I44" s="2104"/>
      <c r="J44" s="2104"/>
      <c r="K44" s="2104"/>
      <c r="L44" s="2104"/>
      <c r="M44" s="2104"/>
      <c r="N44" s="2105"/>
      <c r="O44" s="2103" t="s">
        <v>564</v>
      </c>
      <c r="P44" s="2104"/>
      <c r="Q44" s="2105"/>
      <c r="R44" s="899"/>
      <c r="S44" s="900"/>
      <c r="T44" s="901"/>
    </row>
    <row r="45" spans="1:20" ht="60" customHeight="1" x14ac:dyDescent="0.25">
      <c r="A45" s="877" t="s">
        <v>549</v>
      </c>
      <c r="B45" s="878" t="s">
        <v>550</v>
      </c>
      <c r="C45" s="892"/>
      <c r="D45" s="893"/>
      <c r="E45" s="894" t="s">
        <v>573</v>
      </c>
      <c r="F45" s="895" t="s">
        <v>555</v>
      </c>
      <c r="G45" s="895" t="s">
        <v>556</v>
      </c>
      <c r="H45" s="895" t="s">
        <v>557</v>
      </c>
      <c r="I45" s="895" t="s">
        <v>558</v>
      </c>
      <c r="J45" s="895" t="s">
        <v>559</v>
      </c>
      <c r="K45" s="895" t="s">
        <v>560</v>
      </c>
      <c r="L45" s="895" t="s">
        <v>554</v>
      </c>
      <c r="M45" s="895" t="s">
        <v>553</v>
      </c>
      <c r="N45" s="913" t="s">
        <v>563</v>
      </c>
      <c r="O45" s="894" t="s">
        <v>565</v>
      </c>
      <c r="P45" s="895" t="s">
        <v>566</v>
      </c>
      <c r="Q45" s="913" t="s">
        <v>567</v>
      </c>
      <c r="R45" s="899"/>
      <c r="S45" s="900"/>
      <c r="T45" s="901"/>
    </row>
    <row r="46" spans="1:20" ht="24" customHeight="1" x14ac:dyDescent="0.25">
      <c r="A46" s="879"/>
      <c r="B46" s="880"/>
      <c r="C46" s="890" t="str">
        <f t="shared" ref="C46:D56" si="12">C31</f>
        <v>Air Canada</v>
      </c>
      <c r="D46" s="898" t="str">
        <f t="shared" si="12"/>
        <v>AC</v>
      </c>
      <c r="E46" s="872">
        <v>18</v>
      </c>
      <c r="F46" s="947">
        <v>9</v>
      </c>
      <c r="G46" s="947">
        <v>4</v>
      </c>
      <c r="H46" s="947">
        <v>0</v>
      </c>
      <c r="I46" s="872">
        <v>0</v>
      </c>
      <c r="J46" s="872"/>
      <c r="K46" s="872"/>
      <c r="L46" s="872"/>
      <c r="M46" s="872"/>
      <c r="N46" s="874"/>
      <c r="O46" s="872">
        <v>2</v>
      </c>
      <c r="P46" s="872">
        <v>3</v>
      </c>
      <c r="Q46" s="948">
        <v>3</v>
      </c>
      <c r="R46" s="916" t="str">
        <f>D46</f>
        <v>AC</v>
      </c>
      <c r="S46" s="900"/>
      <c r="T46" s="901"/>
    </row>
    <row r="47" spans="1:20" ht="24" customHeight="1" x14ac:dyDescent="0.25">
      <c r="A47" s="905" t="s">
        <v>551</v>
      </c>
      <c r="B47" s="906"/>
      <c r="C47" s="907" t="str">
        <f t="shared" si="12"/>
        <v>Alaska</v>
      </c>
      <c r="D47" s="908" t="str">
        <f t="shared" si="12"/>
        <v>AS</v>
      </c>
      <c r="E47" s="937">
        <v>18</v>
      </c>
      <c r="F47" s="947">
        <v>10</v>
      </c>
      <c r="G47" s="937">
        <v>6</v>
      </c>
      <c r="H47" s="947">
        <v>3</v>
      </c>
      <c r="I47" s="937">
        <v>0</v>
      </c>
      <c r="J47" s="937"/>
      <c r="K47" s="937"/>
      <c r="L47" s="937"/>
      <c r="M47" s="937"/>
      <c r="N47" s="938"/>
      <c r="O47" s="937">
        <v>3</v>
      </c>
      <c r="P47" s="937">
        <v>4</v>
      </c>
      <c r="Q47" s="939">
        <v>4</v>
      </c>
      <c r="R47" s="923" t="str">
        <f t="shared" ref="R47:R56" si="13">D47</f>
        <v>AS</v>
      </c>
      <c r="S47" s="900"/>
      <c r="T47" s="901"/>
    </row>
    <row r="48" spans="1:20" ht="24" customHeight="1" x14ac:dyDescent="0.25">
      <c r="A48" s="905" t="s">
        <v>551</v>
      </c>
      <c r="B48" s="906"/>
      <c r="C48" s="907" t="str">
        <f t="shared" si="12"/>
        <v>American Airlines</v>
      </c>
      <c r="D48" s="908" t="str">
        <f t="shared" si="12"/>
        <v>AA</v>
      </c>
      <c r="E48" s="937">
        <v>22</v>
      </c>
      <c r="F48" s="937">
        <v>21</v>
      </c>
      <c r="G48" s="937">
        <v>20</v>
      </c>
      <c r="H48" s="937">
        <v>20</v>
      </c>
      <c r="I48" s="937">
        <v>16</v>
      </c>
      <c r="J48" s="947">
        <v>13</v>
      </c>
      <c r="K48" s="947">
        <v>5</v>
      </c>
      <c r="L48" s="947">
        <v>4</v>
      </c>
      <c r="M48" s="947">
        <v>2</v>
      </c>
      <c r="N48" s="938">
        <v>0</v>
      </c>
      <c r="O48" s="947">
        <v>6</v>
      </c>
      <c r="P48" s="947">
        <v>8</v>
      </c>
      <c r="Q48" s="938">
        <v>9</v>
      </c>
      <c r="R48" s="923" t="str">
        <f t="shared" si="13"/>
        <v>AA</v>
      </c>
      <c r="S48" s="900"/>
      <c r="T48" s="901"/>
    </row>
    <row r="49" spans="1:20" ht="24" customHeight="1" x14ac:dyDescent="0.25">
      <c r="A49" s="909"/>
      <c r="B49" s="910" t="s">
        <v>551</v>
      </c>
      <c r="C49" s="911" t="str">
        <f t="shared" si="12"/>
        <v>Delta</v>
      </c>
      <c r="D49" s="912" t="str">
        <f t="shared" si="12"/>
        <v>DL</v>
      </c>
      <c r="E49" s="632">
        <v>21</v>
      </c>
      <c r="F49" s="632">
        <v>19</v>
      </c>
      <c r="G49" s="632">
        <v>19</v>
      </c>
      <c r="H49" s="947">
        <v>18</v>
      </c>
      <c r="I49" s="632">
        <v>16</v>
      </c>
      <c r="J49" s="632">
        <v>11</v>
      </c>
      <c r="K49" s="947">
        <v>4</v>
      </c>
      <c r="L49" s="947">
        <v>0</v>
      </c>
      <c r="M49" s="632">
        <v>0</v>
      </c>
      <c r="N49" s="636"/>
      <c r="O49" s="632">
        <v>6</v>
      </c>
      <c r="P49" s="632">
        <v>7</v>
      </c>
      <c r="Q49" s="949">
        <v>7</v>
      </c>
      <c r="R49" s="921" t="str">
        <f t="shared" si="13"/>
        <v>DL</v>
      </c>
      <c r="S49" s="900"/>
      <c r="T49" s="901"/>
    </row>
    <row r="50" spans="1:20" ht="24" customHeight="1" x14ac:dyDescent="0.25">
      <c r="A50" s="905" t="s">
        <v>551</v>
      </c>
      <c r="B50" s="906"/>
      <c r="C50" s="907" t="str">
        <f t="shared" si="12"/>
        <v>Frontier</v>
      </c>
      <c r="D50" s="908" t="str">
        <f t="shared" si="12"/>
        <v>F9</v>
      </c>
      <c r="E50" s="937">
        <v>6</v>
      </c>
      <c r="F50" s="937">
        <v>0</v>
      </c>
      <c r="G50" s="937"/>
      <c r="H50" s="937"/>
      <c r="I50" s="937"/>
      <c r="J50" s="937"/>
      <c r="K50" s="937"/>
      <c r="L50" s="937"/>
      <c r="M50" s="937"/>
      <c r="N50" s="938"/>
      <c r="O50" s="937">
        <v>1</v>
      </c>
      <c r="P50" s="940">
        <v>1</v>
      </c>
      <c r="Q50" s="939">
        <v>1</v>
      </c>
      <c r="R50" s="923" t="str">
        <f t="shared" si="13"/>
        <v>F9</v>
      </c>
      <c r="S50" s="900"/>
      <c r="T50" s="901"/>
    </row>
    <row r="51" spans="1:20" ht="24" customHeight="1" x14ac:dyDescent="0.25">
      <c r="A51" s="879"/>
      <c r="B51" s="880"/>
      <c r="C51" s="890" t="str">
        <f t="shared" si="12"/>
        <v>Hawaiian</v>
      </c>
      <c r="D51" s="898" t="str">
        <f t="shared" si="12"/>
        <v>HA</v>
      </c>
      <c r="E51" s="872">
        <v>4</v>
      </c>
      <c r="F51" s="872">
        <v>0</v>
      </c>
      <c r="G51" s="872"/>
      <c r="H51" s="872"/>
      <c r="I51" s="872"/>
      <c r="J51" s="872"/>
      <c r="K51" s="872"/>
      <c r="L51" s="872"/>
      <c r="M51" s="872"/>
      <c r="N51" s="874"/>
      <c r="O51" s="872">
        <v>0</v>
      </c>
      <c r="P51" s="872">
        <v>1</v>
      </c>
      <c r="Q51" s="941">
        <v>1</v>
      </c>
      <c r="R51" s="917" t="str">
        <f t="shared" si="13"/>
        <v>HA</v>
      </c>
      <c r="S51" s="900"/>
      <c r="T51" s="901"/>
    </row>
    <row r="52" spans="1:20" ht="24" customHeight="1" x14ac:dyDescent="0.25">
      <c r="A52" s="909"/>
      <c r="B52" s="910" t="s">
        <v>551</v>
      </c>
      <c r="C52" s="911" t="str">
        <f t="shared" si="12"/>
        <v>JetBlue</v>
      </c>
      <c r="D52" s="912" t="str">
        <f t="shared" si="12"/>
        <v>B6</v>
      </c>
      <c r="E52" s="632">
        <v>20</v>
      </c>
      <c r="F52" s="947">
        <v>4</v>
      </c>
      <c r="G52" s="632"/>
      <c r="H52" s="632"/>
      <c r="I52" s="632"/>
      <c r="J52" s="632"/>
      <c r="K52" s="632"/>
      <c r="L52" s="632"/>
      <c r="M52" s="632"/>
      <c r="N52" s="636"/>
      <c r="O52" s="632">
        <v>1</v>
      </c>
      <c r="P52" s="632">
        <v>2</v>
      </c>
      <c r="Q52" s="942">
        <v>2</v>
      </c>
      <c r="R52" s="921" t="str">
        <f t="shared" si="13"/>
        <v>B6</v>
      </c>
      <c r="S52" s="900"/>
      <c r="T52" s="901"/>
    </row>
    <row r="53" spans="1:20" ht="24" customHeight="1" x14ac:dyDescent="0.25">
      <c r="A53" s="905" t="s">
        <v>551</v>
      </c>
      <c r="B53" s="906"/>
      <c r="C53" s="907" t="str">
        <f t="shared" si="12"/>
        <v>Southwest</v>
      </c>
      <c r="D53" s="908" t="str">
        <f t="shared" si="12"/>
        <v>WN</v>
      </c>
      <c r="E53" s="937">
        <v>21</v>
      </c>
      <c r="F53" s="937">
        <v>20</v>
      </c>
      <c r="G53" s="937">
        <v>20</v>
      </c>
      <c r="H53" s="937">
        <v>14</v>
      </c>
      <c r="I53" s="937">
        <v>10</v>
      </c>
      <c r="J53" s="947">
        <v>5</v>
      </c>
      <c r="K53" s="947">
        <v>1</v>
      </c>
      <c r="L53" s="947">
        <v>0</v>
      </c>
      <c r="M53" s="937">
        <v>0</v>
      </c>
      <c r="N53" s="938"/>
      <c r="O53" s="937">
        <v>5</v>
      </c>
      <c r="P53" s="947">
        <v>6</v>
      </c>
      <c r="Q53" s="950">
        <v>7</v>
      </c>
      <c r="R53" s="923" t="str">
        <f t="shared" si="13"/>
        <v>WN</v>
      </c>
      <c r="S53" s="900"/>
      <c r="T53" s="901"/>
    </row>
    <row r="54" spans="1:20" ht="24" customHeight="1" x14ac:dyDescent="0.25">
      <c r="A54" s="879"/>
      <c r="B54" s="880"/>
      <c r="C54" s="890" t="str">
        <f t="shared" si="12"/>
        <v>Sun Country</v>
      </c>
      <c r="D54" s="898" t="str">
        <f t="shared" si="12"/>
        <v>SY</v>
      </c>
      <c r="E54" s="872">
        <v>2</v>
      </c>
      <c r="F54" s="872">
        <v>0</v>
      </c>
      <c r="G54" s="872"/>
      <c r="H54" s="872"/>
      <c r="I54" s="872"/>
      <c r="J54" s="872"/>
      <c r="K54" s="872"/>
      <c r="L54" s="872"/>
      <c r="M54" s="872"/>
      <c r="N54" s="874"/>
      <c r="O54" s="872">
        <v>0</v>
      </c>
      <c r="P54" s="872">
        <v>1</v>
      </c>
      <c r="Q54" s="941">
        <v>1</v>
      </c>
      <c r="R54" s="917" t="str">
        <f t="shared" si="13"/>
        <v>SY</v>
      </c>
      <c r="S54" s="900"/>
      <c r="T54" s="901"/>
    </row>
    <row r="55" spans="1:20" ht="24" customHeight="1" x14ac:dyDescent="0.25">
      <c r="A55" s="879"/>
      <c r="B55" s="880"/>
      <c r="C55" s="890" t="str">
        <f t="shared" si="12"/>
        <v>WestJet</v>
      </c>
      <c r="D55" s="898" t="str">
        <f t="shared" si="12"/>
        <v>WS</v>
      </c>
      <c r="E55" s="872"/>
      <c r="F55" s="872"/>
      <c r="G55" s="872"/>
      <c r="H55" s="872"/>
      <c r="I55" s="872"/>
      <c r="J55" s="872"/>
      <c r="K55" s="872"/>
      <c r="L55" s="872"/>
      <c r="M55" s="872"/>
      <c r="N55" s="874"/>
      <c r="O55" s="872"/>
      <c r="P55" s="872"/>
      <c r="Q55" s="874"/>
      <c r="R55" s="917" t="str">
        <f t="shared" si="13"/>
        <v>WS</v>
      </c>
      <c r="S55" s="900"/>
      <c r="T55" s="901"/>
    </row>
    <row r="56" spans="1:20" ht="24" customHeight="1" x14ac:dyDescent="0.25">
      <c r="A56" s="881"/>
      <c r="B56" s="882"/>
      <c r="C56" s="892" t="str">
        <f t="shared" si="12"/>
        <v>Common Use International Swing</v>
      </c>
      <c r="D56" s="904">
        <f t="shared" si="12"/>
        <v>0</v>
      </c>
      <c r="E56" s="903"/>
      <c r="F56" s="903"/>
      <c r="G56" s="903"/>
      <c r="H56" s="903"/>
      <c r="I56" s="903"/>
      <c r="J56" s="903"/>
      <c r="K56" s="903"/>
      <c r="L56" s="903"/>
      <c r="M56" s="903"/>
      <c r="N56" s="914"/>
      <c r="O56" s="902">
        <v>5</v>
      </c>
      <c r="P56" s="903">
        <v>5</v>
      </c>
      <c r="Q56" s="914">
        <v>5</v>
      </c>
      <c r="R56" s="918">
        <f t="shared" si="13"/>
        <v>0</v>
      </c>
      <c r="S56" s="900"/>
      <c r="T56" s="901"/>
    </row>
    <row r="57" spans="1:20" ht="24" customHeight="1" x14ac:dyDescent="0.3">
      <c r="A57" s="418"/>
      <c r="B57" s="323"/>
      <c r="C57" s="890"/>
      <c r="D57" s="323"/>
      <c r="E57"/>
      <c r="F57"/>
      <c r="G57"/>
      <c r="H57"/>
      <c r="I57"/>
      <c r="J57"/>
      <c r="K57"/>
      <c r="L57"/>
      <c r="M57"/>
      <c r="N57"/>
      <c r="O57" s="943">
        <f>SUM(O46:O56)</f>
        <v>29</v>
      </c>
      <c r="P57" s="944">
        <f>SUM(P46:P56)</f>
        <v>38</v>
      </c>
      <c r="Q57" s="945">
        <f>SUM(Q46:Q56)</f>
        <v>40</v>
      </c>
      <c r="R57" s="595"/>
      <c r="S57" s="595"/>
      <c r="T57" s="419"/>
    </row>
    <row r="58" spans="1:20" ht="24" customHeight="1" thickBot="1" x14ac:dyDescent="0.3">
      <c r="A58" s="420"/>
      <c r="B58" s="421"/>
      <c r="C58" s="421"/>
      <c r="D58" s="421"/>
      <c r="E58" s="421"/>
      <c r="F58" s="421"/>
      <c r="G58" s="421"/>
      <c r="H58" s="421"/>
      <c r="I58" s="421"/>
      <c r="J58" s="421"/>
      <c r="K58" s="421"/>
      <c r="L58" s="421"/>
      <c r="M58" s="421"/>
      <c r="N58" s="421"/>
      <c r="O58" s="421"/>
      <c r="P58" s="422"/>
      <c r="Q58" s="422"/>
      <c r="R58" s="422"/>
      <c r="S58" s="422"/>
      <c r="T58" s="423"/>
    </row>
    <row r="59" spans="1:20" ht="24" customHeight="1" x14ac:dyDescent="0.25">
      <c r="A59" s="323"/>
      <c r="B59" s="323"/>
      <c r="C59" s="323"/>
      <c r="D59" s="323"/>
      <c r="E59" s="323"/>
      <c r="F59" s="323"/>
      <c r="G59" s="323"/>
      <c r="H59" s="323"/>
      <c r="I59" s="323"/>
      <c r="J59" s="323"/>
      <c r="K59" s="323"/>
      <c r="L59" s="323"/>
      <c r="M59" s="323"/>
      <c r="N59" s="323"/>
      <c r="O59" s="323"/>
      <c r="P59" s="424"/>
      <c r="Q59" s="424"/>
      <c r="R59" s="424"/>
      <c r="S59" s="424"/>
      <c r="T59" s="323"/>
    </row>
    <row r="60" spans="1:20" ht="24" customHeight="1" x14ac:dyDescent="0.25"/>
    <row r="61" spans="1:20" ht="24" customHeight="1" x14ac:dyDescent="0.25"/>
    <row r="62" spans="1:20" ht="24" customHeight="1" x14ac:dyDescent="0.25"/>
    <row r="63" spans="1:20" ht="24" customHeight="1" x14ac:dyDescent="0.25"/>
    <row r="64" spans="1:20" ht="24" customHeight="1" x14ac:dyDescent="0.25"/>
    <row r="65" spans="3:3" ht="24" customHeight="1" x14ac:dyDescent="0.25"/>
    <row r="66" spans="3:3" ht="24" customHeight="1" x14ac:dyDescent="0.25"/>
    <row r="67" spans="3:3" ht="24" customHeight="1" x14ac:dyDescent="0.25"/>
    <row r="68" spans="3:3" ht="24" customHeight="1" x14ac:dyDescent="0.25"/>
    <row r="69" spans="3:3" ht="24" customHeight="1" x14ac:dyDescent="0.25">
      <c r="C69" s="321"/>
    </row>
    <row r="70" spans="3:3" ht="24" customHeight="1" x14ac:dyDescent="0.25">
      <c r="C70" s="321"/>
    </row>
    <row r="71" spans="3:3" ht="24" customHeight="1" x14ac:dyDescent="0.25">
      <c r="C71" s="321"/>
    </row>
    <row r="72" spans="3:3" ht="24" customHeight="1" x14ac:dyDescent="0.25">
      <c r="C72" s="321"/>
    </row>
    <row r="73" spans="3:3" ht="24" customHeight="1" x14ac:dyDescent="0.25">
      <c r="C73" s="321"/>
    </row>
    <row r="74" spans="3:3" ht="24" customHeight="1" x14ac:dyDescent="0.25">
      <c r="C74" s="321"/>
    </row>
  </sheetData>
  <mergeCells count="20">
    <mergeCell ref="T4:T6"/>
    <mergeCell ref="T7:T9"/>
    <mergeCell ref="O4:P4"/>
    <mergeCell ref="E3:F3"/>
    <mergeCell ref="G3:H3"/>
    <mergeCell ref="I3:J3"/>
    <mergeCell ref="K3:L3"/>
    <mergeCell ref="M3:N3"/>
    <mergeCell ref="O3:P3"/>
    <mergeCell ref="E4:F4"/>
    <mergeCell ref="G4:H4"/>
    <mergeCell ref="I4:J4"/>
    <mergeCell ref="K4:L4"/>
    <mergeCell ref="M4:N4"/>
    <mergeCell ref="A6:B9"/>
    <mergeCell ref="E12:L12"/>
    <mergeCell ref="E44:N44"/>
    <mergeCell ref="E29:N29"/>
    <mergeCell ref="O44:Q44"/>
    <mergeCell ref="O29:Q29"/>
  </mergeCells>
  <printOptions horizontalCentered="1"/>
  <pageMargins left="0.39370078740157483" right="0.39370078740157483" top="0.39370078740157483" bottom="0.59055118110236227" header="0.23622047244094491" footer="0.23622047244094491"/>
  <pageSetup paperSize="3" scale="49" orientation="landscape" r:id="rId1"/>
  <headerFooter>
    <oddFooter>&amp;L&amp;F&amp;C&amp;A&amp;RPrinted &amp;D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T145"/>
  <sheetViews>
    <sheetView tabSelected="1" zoomScaleNormal="100" workbookViewId="0">
      <pane xSplit="4" ySplit="71" topLeftCell="E72" activePane="bottomRight" state="frozen"/>
      <selection pane="topRight" activeCell="E1" sqref="E1"/>
      <selection pane="bottomLeft" activeCell="A72" sqref="A72"/>
      <selection pane="bottomRight" activeCell="E72" sqref="E72"/>
    </sheetView>
  </sheetViews>
  <sheetFormatPr defaultColWidth="9.109375" defaultRowHeight="13.8" x14ac:dyDescent="0.25"/>
  <cols>
    <col min="1" max="2" width="3.6640625" style="5" customWidth="1"/>
    <col min="3" max="3" width="42.6640625" style="5" customWidth="1"/>
    <col min="4" max="4" width="10.6640625" style="6" customWidth="1"/>
    <col min="5" max="5" width="12.6640625" style="6" customWidth="1"/>
    <col min="6" max="6" width="12.6640625" style="5" customWidth="1"/>
    <col min="7" max="14" width="9.6640625" style="5" customWidth="1"/>
    <col min="15" max="17" width="12.6640625" style="5" customWidth="1"/>
    <col min="18" max="18" width="32.6640625" style="5" customWidth="1"/>
    <col min="19" max="16384" width="9.109375" style="5"/>
  </cols>
  <sheetData>
    <row r="1" spans="1:19" ht="30" customHeight="1" x14ac:dyDescent="0.35">
      <c r="A1" s="339" t="s">
        <v>497</v>
      </c>
      <c r="B1" s="26"/>
      <c r="C1" s="27"/>
      <c r="D1" s="28"/>
      <c r="E1" s="29" t="s">
        <v>769</v>
      </c>
      <c r="F1" s="30"/>
      <c r="G1" s="27"/>
      <c r="H1" s="27"/>
      <c r="I1" s="27"/>
      <c r="J1" s="27"/>
      <c r="K1" s="27"/>
      <c r="L1" s="27"/>
      <c r="M1" s="27"/>
      <c r="N1" s="27"/>
      <c r="O1" s="27"/>
      <c r="P1" s="27"/>
      <c r="Q1" s="27"/>
      <c r="R1" s="31"/>
    </row>
    <row r="2" spans="1:19" s="19" customFormat="1" ht="21" customHeight="1" x14ac:dyDescent="0.25">
      <c r="A2" s="34"/>
      <c r="B2" s="12"/>
      <c r="C2" s="334"/>
      <c r="D2" s="335" t="s">
        <v>0</v>
      </c>
      <c r="E2" s="37" t="str">
        <f>'All Years'!E2</f>
        <v>SFO Terminal 1 Reconstruction; Scheme Design Phase</v>
      </c>
      <c r="F2" s="12"/>
      <c r="G2" s="12"/>
      <c r="H2" s="12"/>
      <c r="I2" s="12"/>
      <c r="J2" s="12"/>
      <c r="K2" s="12"/>
      <c r="L2" s="12"/>
      <c r="M2" s="12"/>
      <c r="N2" s="12"/>
      <c r="O2" s="12"/>
      <c r="P2" s="12"/>
      <c r="Q2" s="12"/>
      <c r="R2" s="729" t="s">
        <v>447</v>
      </c>
    </row>
    <row r="3" spans="1:19" s="19" customFormat="1" ht="21" customHeight="1" x14ac:dyDescent="0.25">
      <c r="A3" s="39" t="s">
        <v>10</v>
      </c>
      <c r="B3" s="40"/>
      <c r="C3" s="598">
        <f>'All Years'!C3</f>
        <v>42499</v>
      </c>
      <c r="D3" s="602">
        <f>'All Years'!D3</f>
        <v>17</v>
      </c>
      <c r="E3" s="1950">
        <v>2015</v>
      </c>
      <c r="F3" s="1951"/>
      <c r="G3" s="1946">
        <v>2018</v>
      </c>
      <c r="H3" s="1947"/>
      <c r="I3" s="1946">
        <v>2022</v>
      </c>
      <c r="J3" s="1947"/>
      <c r="K3" s="1946" t="s">
        <v>450</v>
      </c>
      <c r="L3" s="1947"/>
      <c r="M3" s="1946" t="s">
        <v>451</v>
      </c>
      <c r="N3" s="1947"/>
      <c r="O3" s="74" t="s">
        <v>1</v>
      </c>
      <c r="P3" s="75"/>
      <c r="Q3" s="75"/>
      <c r="R3" s="735" t="s">
        <v>446</v>
      </c>
    </row>
    <row r="4" spans="1:19" s="19" customFormat="1" ht="21" customHeight="1" thickBot="1" x14ac:dyDescent="0.3">
      <c r="A4" s="336" t="s">
        <v>191</v>
      </c>
      <c r="B4" s="44"/>
      <c r="C4" s="45"/>
      <c r="D4" s="46"/>
      <c r="E4" s="77" t="s">
        <v>8</v>
      </c>
      <c r="F4" s="78"/>
      <c r="G4" s="77" t="s">
        <v>8</v>
      </c>
      <c r="H4" s="78"/>
      <c r="I4" s="77" t="s">
        <v>8</v>
      </c>
      <c r="J4" s="78"/>
      <c r="K4" s="77" t="s">
        <v>8</v>
      </c>
      <c r="L4" s="78"/>
      <c r="M4" s="77" t="s">
        <v>8</v>
      </c>
      <c r="N4" s="78"/>
      <c r="O4" s="176"/>
      <c r="P4" s="12"/>
      <c r="Q4" s="213"/>
      <c r="R4" s="214"/>
      <c r="S4" s="80"/>
    </row>
    <row r="5" spans="1:19" s="19" customFormat="1" ht="24" customHeight="1" thickBot="1" x14ac:dyDescent="0.3">
      <c r="A5" s="34"/>
      <c r="B5" s="12"/>
      <c r="C5" s="1117" t="s">
        <v>609</v>
      </c>
      <c r="D5" s="1124" t="s">
        <v>4</v>
      </c>
      <c r="E5" s="1112"/>
      <c r="F5" s="1111"/>
      <c r="G5" s="1112">
        <v>15.13</v>
      </c>
      <c r="H5" s="1110"/>
      <c r="I5" s="1112">
        <v>16.77</v>
      </c>
      <c r="J5" s="1111"/>
      <c r="K5" s="1112">
        <v>17.32</v>
      </c>
      <c r="L5" s="1111"/>
      <c r="M5" s="1112">
        <v>19.82</v>
      </c>
      <c r="N5" s="15"/>
      <c r="O5" s="177" t="s">
        <v>187</v>
      </c>
      <c r="P5" s="57" t="s">
        <v>209</v>
      </c>
      <c r="Q5" s="17"/>
      <c r="R5" s="228"/>
    </row>
    <row r="6" spans="1:19" s="19" customFormat="1" ht="24" customHeight="1" x14ac:dyDescent="0.25">
      <c r="A6" s="34"/>
      <c r="B6" s="12"/>
      <c r="C6" s="1110" t="s">
        <v>610</v>
      </c>
      <c r="D6" s="1122" t="s">
        <v>5</v>
      </c>
      <c r="E6" s="1121"/>
      <c r="F6" s="1113"/>
      <c r="G6" s="1121">
        <v>3520</v>
      </c>
      <c r="H6" s="1113"/>
      <c r="I6" s="1121">
        <v>4258</v>
      </c>
      <c r="J6" s="1114"/>
      <c r="K6" s="1121">
        <v>4513</v>
      </c>
      <c r="L6" s="1114"/>
      <c r="M6" s="1121">
        <v>5090</v>
      </c>
      <c r="N6" s="20"/>
      <c r="O6" s="337" t="s">
        <v>187</v>
      </c>
      <c r="P6" s="57" t="s">
        <v>298</v>
      </c>
      <c r="Q6" s="12"/>
      <c r="R6" s="38"/>
    </row>
    <row r="7" spans="1:19" s="19" customFormat="1" ht="24" customHeight="1" x14ac:dyDescent="0.3">
      <c r="A7" s="34"/>
      <c r="B7" s="12"/>
      <c r="C7" s="1110" t="s">
        <v>611</v>
      </c>
      <c r="D7" s="1122" t="s">
        <v>5</v>
      </c>
      <c r="E7" s="1118"/>
      <c r="F7" s="1115"/>
      <c r="G7" s="1118">
        <v>2283</v>
      </c>
      <c r="H7" s="1116"/>
      <c r="I7" s="1118">
        <v>2497</v>
      </c>
      <c r="J7" s="1115"/>
      <c r="K7" s="1118">
        <v>2663</v>
      </c>
      <c r="L7" s="1115"/>
      <c r="M7" s="1118">
        <v>2912</v>
      </c>
      <c r="N7" s="15"/>
      <c r="O7" s="1939" t="e">
        <f>#REF!</f>
        <v>#REF!</v>
      </c>
      <c r="P7" s="1940"/>
      <c r="Q7" s="1940"/>
      <c r="R7" s="1941"/>
    </row>
    <row r="8" spans="1:19" s="19" customFormat="1" ht="24" customHeight="1" thickBot="1" x14ac:dyDescent="0.35">
      <c r="A8" s="67"/>
      <c r="B8" s="22"/>
      <c r="C8" s="1110" t="s">
        <v>612</v>
      </c>
      <c r="D8" s="1123" t="s">
        <v>5</v>
      </c>
      <c r="E8" s="1119"/>
      <c r="F8" s="1120"/>
      <c r="G8" s="1119">
        <v>2193</v>
      </c>
      <c r="H8" s="1120"/>
      <c r="I8" s="1119">
        <v>2358</v>
      </c>
      <c r="J8" s="1115"/>
      <c r="K8" s="1119">
        <v>2444</v>
      </c>
      <c r="L8" s="1115"/>
      <c r="M8" s="1119">
        <v>2914</v>
      </c>
      <c r="N8" s="23"/>
      <c r="O8" s="1942"/>
      <c r="P8" s="1943"/>
      <c r="Q8" s="1943"/>
      <c r="R8" s="1944"/>
    </row>
    <row r="9" spans="1:19" s="19" customFormat="1" ht="24" hidden="1" customHeight="1" x14ac:dyDescent="0.25">
      <c r="A9" s="336" t="s">
        <v>7</v>
      </c>
      <c r="B9" s="143"/>
      <c r="C9" s="44"/>
      <c r="D9" s="83"/>
      <c r="E9" s="144"/>
      <c r="F9" s="44"/>
      <c r="G9" s="145"/>
      <c r="H9" s="44"/>
      <c r="I9" s="44"/>
      <c r="J9" s="44"/>
      <c r="K9" s="145"/>
      <c r="L9" s="44"/>
      <c r="M9" s="146"/>
      <c r="N9" s="44"/>
      <c r="O9" s="343" t="s">
        <v>187</v>
      </c>
      <c r="P9" s="57" t="s">
        <v>188</v>
      </c>
      <c r="Q9" s="44"/>
      <c r="R9" s="56"/>
    </row>
    <row r="10" spans="1:19" s="19" customFormat="1" ht="24" hidden="1" customHeight="1" x14ac:dyDescent="0.25">
      <c r="A10" s="52"/>
      <c r="B10" s="147" t="s">
        <v>78</v>
      </c>
      <c r="C10" s="12"/>
      <c r="D10" s="13"/>
      <c r="E10" s="148"/>
      <c r="F10" s="12"/>
      <c r="G10" s="146"/>
      <c r="H10" s="12"/>
      <c r="I10" s="12"/>
      <c r="J10" s="12"/>
      <c r="K10" s="146"/>
      <c r="L10" s="12"/>
      <c r="M10" s="146"/>
      <c r="N10" s="12"/>
      <c r="O10" s="12"/>
      <c r="P10" s="57"/>
      <c r="Q10" s="12"/>
      <c r="R10" s="38"/>
    </row>
    <row r="11" spans="1:19" s="19" customFormat="1" ht="24" hidden="1" customHeight="1" x14ac:dyDescent="0.25">
      <c r="A11" s="52"/>
      <c r="B11" s="65"/>
      <c r="C11" s="12" t="s">
        <v>181</v>
      </c>
      <c r="D11" s="13" t="s">
        <v>22</v>
      </c>
      <c r="E11" s="333">
        <v>1200</v>
      </c>
      <c r="F11" s="57" t="s">
        <v>111</v>
      </c>
      <c r="G11" s="12"/>
      <c r="H11" s="12"/>
      <c r="I11" s="12"/>
      <c r="J11" s="12"/>
      <c r="K11" s="150">
        <v>1</v>
      </c>
      <c r="L11" s="57" t="s">
        <v>160</v>
      </c>
      <c r="M11" s="12"/>
      <c r="N11" s="57"/>
      <c r="O11" s="151">
        <f>3600/E11</f>
        <v>3</v>
      </c>
      <c r="P11" s="57" t="s">
        <v>257</v>
      </c>
      <c r="Q11" s="12"/>
      <c r="R11" s="38"/>
    </row>
    <row r="12" spans="1:19" s="19" customFormat="1" ht="24" hidden="1" customHeight="1" x14ac:dyDescent="0.25">
      <c r="A12" s="34"/>
      <c r="B12" s="147" t="s">
        <v>25</v>
      </c>
      <c r="C12" s="12"/>
      <c r="D12" s="12"/>
      <c r="E12" s="152"/>
      <c r="F12" s="153"/>
      <c r="G12" s="12"/>
      <c r="H12" s="12"/>
      <c r="I12" s="12"/>
      <c r="J12" s="12"/>
      <c r="K12" s="12"/>
      <c r="L12" s="12"/>
      <c r="M12" s="12"/>
      <c r="N12" s="12"/>
      <c r="O12" s="12"/>
      <c r="P12" s="12"/>
      <c r="Q12" s="12"/>
      <c r="R12" s="38"/>
    </row>
    <row r="13" spans="1:19" s="19" customFormat="1" ht="24" hidden="1" customHeight="1" x14ac:dyDescent="0.25">
      <c r="A13" s="34"/>
      <c r="B13" s="12"/>
      <c r="C13" s="12" t="s">
        <v>102</v>
      </c>
      <c r="D13" s="154" t="s">
        <v>19</v>
      </c>
      <c r="E13" s="82">
        <v>0.8</v>
      </c>
      <c r="F13" s="57" t="s">
        <v>254</v>
      </c>
      <c r="G13" s="12"/>
      <c r="H13" s="12"/>
      <c r="I13" s="12"/>
      <c r="J13" s="12"/>
      <c r="K13" s="141" t="s">
        <v>255</v>
      </c>
      <c r="L13" s="12"/>
      <c r="M13" s="12"/>
      <c r="N13" s="12"/>
      <c r="O13" s="155">
        <f>60/E13</f>
        <v>75</v>
      </c>
      <c r="P13" s="57" t="s">
        <v>256</v>
      </c>
      <c r="Q13" s="12"/>
      <c r="R13" s="38"/>
    </row>
    <row r="14" spans="1:19" s="19" customFormat="1" ht="24" hidden="1" customHeight="1" x14ac:dyDescent="0.25">
      <c r="A14" s="34"/>
      <c r="B14" s="12"/>
      <c r="C14" s="12" t="s">
        <v>182</v>
      </c>
      <c r="D14" s="154" t="s">
        <v>24</v>
      </c>
      <c r="E14" s="149">
        <v>180</v>
      </c>
      <c r="F14" s="57" t="s">
        <v>220</v>
      </c>
      <c r="G14" s="12"/>
      <c r="H14" s="12"/>
      <c r="I14" s="12"/>
      <c r="J14" s="182" t="s">
        <v>221</v>
      </c>
      <c r="K14" s="150">
        <v>45</v>
      </c>
      <c r="L14" s="12" t="s">
        <v>24</v>
      </c>
      <c r="M14" s="57" t="s">
        <v>183</v>
      </c>
      <c r="N14" s="12"/>
      <c r="O14" s="213"/>
      <c r="P14" s="12"/>
      <c r="Q14" s="12"/>
      <c r="R14" s="38"/>
    </row>
    <row r="15" spans="1:19" s="19" customFormat="1" ht="24" hidden="1" customHeight="1" x14ac:dyDescent="0.25">
      <c r="A15" s="34"/>
      <c r="B15" s="12"/>
      <c r="C15" s="12" t="s">
        <v>103</v>
      </c>
      <c r="D15" s="154" t="s">
        <v>29</v>
      </c>
      <c r="E15" s="149">
        <v>90</v>
      </c>
      <c r="F15" s="150">
        <v>3</v>
      </c>
      <c r="G15" s="57" t="s">
        <v>28</v>
      </c>
      <c r="H15" s="12"/>
      <c r="I15" s="12"/>
      <c r="J15" s="57" t="s">
        <v>184</v>
      </c>
      <c r="K15" s="12"/>
      <c r="L15" s="12"/>
      <c r="M15" s="12"/>
      <c r="N15" s="213"/>
      <c r="O15" s="57"/>
      <c r="P15" s="12"/>
      <c r="Q15" s="12"/>
      <c r="R15" s="38"/>
    </row>
    <row r="16" spans="1:19" s="19" customFormat="1" ht="24" hidden="1" customHeight="1" x14ac:dyDescent="0.25">
      <c r="A16" s="34"/>
      <c r="B16" s="12"/>
      <c r="C16" s="12" t="s">
        <v>249</v>
      </c>
      <c r="D16" s="154" t="s">
        <v>29</v>
      </c>
      <c r="E16" s="149">
        <v>90</v>
      </c>
      <c r="F16" s="150">
        <v>2</v>
      </c>
      <c r="G16" s="57" t="s">
        <v>28</v>
      </c>
      <c r="H16" s="12"/>
      <c r="I16" s="57" t="s">
        <v>250</v>
      </c>
      <c r="J16" s="57"/>
      <c r="K16" s="12"/>
      <c r="L16" s="12"/>
      <c r="M16" s="57" t="s">
        <v>251</v>
      </c>
      <c r="N16" s="213"/>
      <c r="O16" s="57"/>
      <c r="P16" s="12"/>
      <c r="Q16" s="12"/>
      <c r="R16" s="38"/>
    </row>
    <row r="17" spans="1:18" s="19" customFormat="1" ht="24" hidden="1" customHeight="1" x14ac:dyDescent="0.25">
      <c r="A17" s="34"/>
      <c r="B17" s="12"/>
      <c r="C17" s="12" t="s">
        <v>252</v>
      </c>
      <c r="D17" s="154" t="s">
        <v>29</v>
      </c>
      <c r="E17" s="149">
        <v>120</v>
      </c>
      <c r="F17" s="150">
        <v>2</v>
      </c>
      <c r="G17" s="57" t="s">
        <v>28</v>
      </c>
      <c r="H17" s="12"/>
      <c r="I17" s="12"/>
      <c r="J17" s="12"/>
      <c r="K17" s="12"/>
      <c r="L17" s="12"/>
      <c r="M17" s="12"/>
      <c r="N17" s="213"/>
      <c r="O17" s="193" t="s">
        <v>230</v>
      </c>
      <c r="P17" s="194"/>
      <c r="Q17" s="44"/>
      <c r="R17" s="340" t="s">
        <v>198</v>
      </c>
    </row>
    <row r="18" spans="1:18" s="19" customFormat="1" ht="24" hidden="1" customHeight="1" x14ac:dyDescent="0.25">
      <c r="A18" s="34"/>
      <c r="B18" s="12"/>
      <c r="C18" s="12" t="s">
        <v>253</v>
      </c>
      <c r="D18" s="154" t="s">
        <v>29</v>
      </c>
      <c r="E18" s="149">
        <v>120</v>
      </c>
      <c r="F18" s="150">
        <v>3</v>
      </c>
      <c r="G18" s="57" t="s">
        <v>28</v>
      </c>
      <c r="H18" s="12"/>
      <c r="I18" s="12"/>
      <c r="J18" s="12"/>
      <c r="K18" s="12"/>
      <c r="L18" s="12"/>
      <c r="M18" s="12"/>
      <c r="N18" s="213"/>
      <c r="O18" s="195">
        <v>0.2</v>
      </c>
      <c r="P18" s="87" t="s">
        <v>229</v>
      </c>
      <c r="Q18" s="12"/>
      <c r="R18" s="38"/>
    </row>
    <row r="19" spans="1:18" s="19" customFormat="1" ht="24" hidden="1" customHeight="1" x14ac:dyDescent="0.25">
      <c r="A19" s="34"/>
      <c r="B19" s="12"/>
      <c r="C19" s="12" t="s">
        <v>26</v>
      </c>
      <c r="D19" s="154" t="s">
        <v>29</v>
      </c>
      <c r="E19" s="149">
        <v>90</v>
      </c>
      <c r="F19" s="150">
        <v>10</v>
      </c>
      <c r="G19" s="57" t="s">
        <v>28</v>
      </c>
      <c r="H19" s="12"/>
      <c r="I19" s="57" t="s">
        <v>193</v>
      </c>
      <c r="J19" s="12"/>
      <c r="K19" s="12"/>
      <c r="L19" s="12"/>
      <c r="M19" s="12"/>
      <c r="N19" s="12"/>
      <c r="O19" s="149">
        <v>12</v>
      </c>
      <c r="P19" s="87" t="s">
        <v>224</v>
      </c>
      <c r="Q19" s="12"/>
      <c r="R19" s="38"/>
    </row>
    <row r="20" spans="1:18" s="19" customFormat="1" ht="24" hidden="1" customHeight="1" x14ac:dyDescent="0.25">
      <c r="A20" s="34"/>
      <c r="B20" s="12"/>
      <c r="C20" s="12" t="s">
        <v>27</v>
      </c>
      <c r="D20" s="154" t="s">
        <v>29</v>
      </c>
      <c r="E20" s="149">
        <v>180</v>
      </c>
      <c r="F20" s="150">
        <v>10</v>
      </c>
      <c r="G20" s="57" t="s">
        <v>28</v>
      </c>
      <c r="H20" s="12"/>
      <c r="I20" s="57" t="s">
        <v>193</v>
      </c>
      <c r="J20" s="12"/>
      <c r="K20" s="12"/>
      <c r="L20" s="57"/>
      <c r="M20" s="12"/>
      <c r="N20" s="12"/>
      <c r="O20" s="149">
        <v>10</v>
      </c>
      <c r="P20" s="87" t="s">
        <v>225</v>
      </c>
      <c r="Q20" s="12"/>
      <c r="R20" s="38"/>
    </row>
    <row r="21" spans="1:18" s="19" customFormat="1" ht="24" hidden="1" customHeight="1" x14ac:dyDescent="0.25">
      <c r="A21" s="34"/>
      <c r="B21" s="12"/>
      <c r="C21" s="12" t="s">
        <v>73</v>
      </c>
      <c r="D21" s="154" t="s">
        <v>29</v>
      </c>
      <c r="E21" s="149">
        <v>180</v>
      </c>
      <c r="F21" s="150">
        <v>3</v>
      </c>
      <c r="G21" s="57" t="s">
        <v>28</v>
      </c>
      <c r="H21" s="12"/>
      <c r="I21" s="57" t="s">
        <v>194</v>
      </c>
      <c r="J21" s="12"/>
      <c r="K21" s="12"/>
      <c r="L21" s="12"/>
      <c r="M21" s="12"/>
      <c r="N21" s="12"/>
      <c r="O21" s="149">
        <v>7</v>
      </c>
      <c r="P21" s="87" t="s">
        <v>226</v>
      </c>
      <c r="Q21" s="12"/>
      <c r="R21" s="38"/>
    </row>
    <row r="22" spans="1:18" s="19" customFormat="1" ht="24" hidden="1" customHeight="1" x14ac:dyDescent="0.25">
      <c r="A22" s="34"/>
      <c r="B22" s="147" t="s">
        <v>121</v>
      </c>
      <c r="C22" s="12"/>
      <c r="D22" s="154"/>
      <c r="E22" s="156"/>
      <c r="F22" s="157"/>
      <c r="G22" s="158"/>
      <c r="H22" s="12"/>
      <c r="I22" s="12"/>
      <c r="J22" s="12"/>
      <c r="K22" s="12"/>
      <c r="L22" s="12"/>
      <c r="M22" s="12"/>
      <c r="N22" s="12"/>
      <c r="O22" s="149">
        <v>5</v>
      </c>
      <c r="P22" s="87" t="s">
        <v>227</v>
      </c>
      <c r="Q22" s="12"/>
      <c r="R22" s="38"/>
    </row>
    <row r="23" spans="1:18" s="19" customFormat="1" ht="24" hidden="1" customHeight="1" x14ac:dyDescent="0.25">
      <c r="A23" s="34"/>
      <c r="B23" s="12"/>
      <c r="C23" s="12" t="s">
        <v>105</v>
      </c>
      <c r="D23" s="154" t="s">
        <v>22</v>
      </c>
      <c r="E23" s="149">
        <v>900</v>
      </c>
      <c r="F23" s="159"/>
      <c r="G23" s="12"/>
      <c r="H23" s="182" t="s">
        <v>36</v>
      </c>
      <c r="I23" s="151">
        <f>3600/E23</f>
        <v>4</v>
      </c>
      <c r="J23" s="36"/>
      <c r="K23" s="12"/>
      <c r="L23" s="12"/>
      <c r="M23" s="12"/>
      <c r="N23" s="12"/>
      <c r="O23" s="196">
        <v>4</v>
      </c>
      <c r="P23" s="197" t="s">
        <v>228</v>
      </c>
      <c r="Q23" s="22"/>
      <c r="R23" s="42"/>
    </row>
    <row r="24" spans="1:18" s="19" customFormat="1" ht="24" hidden="1" customHeight="1" x14ac:dyDescent="0.25">
      <c r="A24" s="34"/>
      <c r="B24" s="12"/>
      <c r="C24" s="12" t="s">
        <v>23</v>
      </c>
      <c r="D24" s="13" t="s">
        <v>24</v>
      </c>
      <c r="E24" s="149">
        <v>3</v>
      </c>
      <c r="F24" s="12"/>
      <c r="G24" s="12"/>
      <c r="H24" s="12"/>
      <c r="I24" s="12"/>
      <c r="J24" s="12"/>
      <c r="K24" s="160"/>
      <c r="L24" s="12"/>
      <c r="M24" s="12"/>
      <c r="N24" s="12"/>
      <c r="O24" s="12"/>
      <c r="P24" s="12"/>
      <c r="Q24" s="12"/>
      <c r="R24" s="38"/>
    </row>
    <row r="25" spans="1:18" s="19" customFormat="1" ht="24" hidden="1" customHeight="1" x14ac:dyDescent="0.25">
      <c r="A25" s="34"/>
      <c r="B25" s="147" t="s">
        <v>223</v>
      </c>
      <c r="C25" s="12"/>
      <c r="D25" s="12"/>
      <c r="E25" s="161"/>
      <c r="F25" s="159"/>
      <c r="G25" s="12"/>
      <c r="H25" s="12"/>
      <c r="I25" s="12"/>
      <c r="J25" s="12"/>
      <c r="K25" s="12"/>
      <c r="L25" s="12"/>
      <c r="M25" s="12"/>
      <c r="N25" s="12"/>
      <c r="O25" s="12"/>
      <c r="P25" s="12"/>
      <c r="Q25" s="12"/>
      <c r="R25" s="38"/>
    </row>
    <row r="26" spans="1:18" s="19" customFormat="1" ht="24" hidden="1" customHeight="1" x14ac:dyDescent="0.25">
      <c r="A26" s="34"/>
      <c r="B26" s="12"/>
      <c r="C26" s="12" t="s">
        <v>33</v>
      </c>
      <c r="D26" s="12"/>
      <c r="E26" s="189" t="s">
        <v>77</v>
      </c>
      <c r="F26" s="58" t="s">
        <v>197</v>
      </c>
      <c r="G26" s="22"/>
      <c r="H26" s="22"/>
      <c r="I26" s="22"/>
      <c r="J26" s="22"/>
      <c r="K26" s="22"/>
      <c r="L26" s="22"/>
      <c r="M26" s="22"/>
      <c r="N26" s="22"/>
      <c r="O26" s="12"/>
      <c r="P26" s="12"/>
      <c r="Q26" s="12"/>
      <c r="R26" s="38"/>
    </row>
    <row r="27" spans="1:18" s="19" customFormat="1" ht="24" hidden="1" customHeight="1" x14ac:dyDescent="0.25">
      <c r="A27" s="34"/>
      <c r="B27" s="12"/>
      <c r="C27" s="12"/>
      <c r="D27" s="12"/>
      <c r="E27" s="1948">
        <f>E$3</f>
        <v>2015</v>
      </c>
      <c r="F27" s="1949"/>
      <c r="G27" s="1948">
        <f>G$3</f>
        <v>2018</v>
      </c>
      <c r="H27" s="1949"/>
      <c r="I27" s="1948">
        <f>I$3</f>
        <v>2022</v>
      </c>
      <c r="J27" s="1949"/>
      <c r="K27" s="1948" t="str">
        <f>K$3</f>
        <v>Base</v>
      </c>
      <c r="L27" s="1949"/>
      <c r="M27" s="1948" t="str">
        <f>M$3</f>
        <v>High</v>
      </c>
      <c r="N27" s="1949"/>
      <c r="O27" s="12"/>
      <c r="P27" s="12"/>
      <c r="Q27" s="12"/>
      <c r="R27" s="38"/>
    </row>
    <row r="28" spans="1:18" s="19" customFormat="1" ht="24" hidden="1" customHeight="1" x14ac:dyDescent="0.25">
      <c r="A28" s="34"/>
      <c r="B28" s="12"/>
      <c r="C28" s="12" t="s">
        <v>100</v>
      </c>
      <c r="D28" s="13" t="s">
        <v>19</v>
      </c>
      <c r="E28" s="190">
        <v>0</v>
      </c>
      <c r="F28" s="191"/>
      <c r="G28" s="190">
        <v>0.5</v>
      </c>
      <c r="H28" s="44"/>
      <c r="I28" s="190">
        <v>0.8</v>
      </c>
      <c r="J28" s="44"/>
      <c r="K28" s="190">
        <v>0.8</v>
      </c>
      <c r="L28" s="44"/>
      <c r="M28" s="190">
        <v>0.8</v>
      </c>
      <c r="N28" s="84"/>
      <c r="O28" s="57" t="s">
        <v>195</v>
      </c>
      <c r="P28" s="12"/>
      <c r="Q28" s="12"/>
      <c r="R28" s="38"/>
    </row>
    <row r="29" spans="1:18" s="19" customFormat="1" ht="24" hidden="1" customHeight="1" x14ac:dyDescent="0.25">
      <c r="A29" s="34"/>
      <c r="B29" s="12"/>
      <c r="C29" s="12"/>
      <c r="D29" s="13"/>
      <c r="E29" s="100"/>
      <c r="F29" s="192"/>
      <c r="G29" s="100"/>
      <c r="H29" s="22"/>
      <c r="I29" s="100"/>
      <c r="J29" s="22"/>
      <c r="K29" s="100"/>
      <c r="L29" s="22"/>
      <c r="M29" s="100"/>
      <c r="N29" s="23"/>
      <c r="O29" s="57"/>
      <c r="P29" s="12"/>
      <c r="Q29" s="12"/>
      <c r="R29" s="38"/>
    </row>
    <row r="30" spans="1:18" s="19" customFormat="1" ht="24" hidden="1" customHeight="1" x14ac:dyDescent="0.25">
      <c r="A30" s="34"/>
      <c r="B30" s="12"/>
      <c r="C30" s="12" t="s">
        <v>99</v>
      </c>
      <c r="D30" s="13" t="s">
        <v>29</v>
      </c>
      <c r="E30" s="149">
        <v>35</v>
      </c>
      <c r="F30" s="150">
        <v>2</v>
      </c>
      <c r="G30" s="57" t="s">
        <v>74</v>
      </c>
      <c r="H30" s="57"/>
      <c r="I30" s="57" t="s">
        <v>201</v>
      </c>
      <c r="J30" s="53"/>
      <c r="K30" s="53"/>
      <c r="L30" s="53"/>
      <c r="M30" s="53"/>
      <c r="N30" s="12"/>
      <c r="O30" s="155">
        <f>3600/E30</f>
        <v>102.85714285714286</v>
      </c>
      <c r="P30" s="140" t="s">
        <v>101</v>
      </c>
      <c r="Q30" s="12"/>
      <c r="R30" s="38"/>
    </row>
    <row r="31" spans="1:18" s="19" customFormat="1" ht="24" hidden="1" customHeight="1" x14ac:dyDescent="0.25">
      <c r="A31" s="34"/>
      <c r="B31" s="12"/>
      <c r="C31" s="12" t="s">
        <v>98</v>
      </c>
      <c r="D31" s="154" t="s">
        <v>29</v>
      </c>
      <c r="E31" s="149">
        <v>50</v>
      </c>
      <c r="F31" s="150">
        <v>10</v>
      </c>
      <c r="G31" s="57" t="s">
        <v>74</v>
      </c>
      <c r="H31" s="57"/>
      <c r="I31" s="57" t="s">
        <v>210</v>
      </c>
      <c r="J31" s="53"/>
      <c r="K31" s="53"/>
      <c r="L31" s="53"/>
      <c r="M31" s="53"/>
      <c r="N31" s="12"/>
      <c r="O31" s="151">
        <f>3600/E31</f>
        <v>72</v>
      </c>
      <c r="P31" s="140" t="s">
        <v>75</v>
      </c>
      <c r="Q31" s="12"/>
      <c r="R31" s="38"/>
    </row>
    <row r="32" spans="1:18" s="19" customFormat="1" ht="24" hidden="1" customHeight="1" x14ac:dyDescent="0.25">
      <c r="A32" s="34"/>
      <c r="B32" s="12"/>
      <c r="C32" s="12" t="s">
        <v>107</v>
      </c>
      <c r="D32" s="154" t="s">
        <v>29</v>
      </c>
      <c r="E32" s="149">
        <v>50</v>
      </c>
      <c r="F32" s="150">
        <v>10</v>
      </c>
      <c r="G32" s="57" t="s">
        <v>74</v>
      </c>
      <c r="H32" s="57"/>
      <c r="I32" s="57" t="s">
        <v>210</v>
      </c>
      <c r="J32" s="53"/>
      <c r="K32" s="53"/>
      <c r="L32" s="53"/>
      <c r="M32" s="53"/>
      <c r="N32" s="12"/>
      <c r="O32" s="151">
        <f>3600/E32</f>
        <v>72</v>
      </c>
      <c r="P32" s="140" t="s">
        <v>75</v>
      </c>
      <c r="Q32" s="12"/>
      <c r="R32" s="38"/>
    </row>
    <row r="33" spans="1:18" s="19" customFormat="1" ht="24" hidden="1" customHeight="1" x14ac:dyDescent="0.25">
      <c r="A33" s="34"/>
      <c r="B33" s="147" t="s">
        <v>97</v>
      </c>
      <c r="C33" s="12"/>
      <c r="D33" s="12"/>
      <c r="E33" s="161"/>
      <c r="F33" s="12"/>
      <c r="G33" s="12"/>
      <c r="H33" s="12"/>
      <c r="I33" s="12"/>
      <c r="J33" s="12"/>
      <c r="K33" s="12"/>
      <c r="L33" s="12"/>
      <c r="M33" s="12"/>
      <c r="N33" s="36"/>
      <c r="O33" s="160"/>
      <c r="P33" s="140"/>
      <c r="Q33" s="12"/>
      <c r="R33" s="38"/>
    </row>
    <row r="34" spans="1:18" s="19" customFormat="1" ht="24" hidden="1" customHeight="1" x14ac:dyDescent="0.25">
      <c r="A34" s="34"/>
      <c r="B34" s="12"/>
      <c r="C34" s="12" t="s">
        <v>21</v>
      </c>
      <c r="D34" s="13" t="s">
        <v>22</v>
      </c>
      <c r="E34" s="149">
        <v>200</v>
      </c>
      <c r="F34" s="57" t="s">
        <v>159</v>
      </c>
      <c r="G34" s="12"/>
      <c r="H34" s="12"/>
      <c r="I34" s="12"/>
      <c r="J34" s="12"/>
      <c r="K34" s="12"/>
      <c r="L34" s="13"/>
      <c r="M34" s="12"/>
      <c r="N34" s="217" t="s">
        <v>185</v>
      </c>
      <c r="O34" s="155">
        <f>3600/E34</f>
        <v>18</v>
      </c>
      <c r="P34" s="140" t="s">
        <v>36</v>
      </c>
      <c r="Q34" s="12"/>
      <c r="R34" s="38"/>
    </row>
    <row r="35" spans="1:18" s="19" customFormat="1" ht="24" hidden="1" customHeight="1" x14ac:dyDescent="0.25">
      <c r="A35" s="34"/>
      <c r="B35" s="12"/>
      <c r="C35" s="12" t="s">
        <v>23</v>
      </c>
      <c r="D35" s="13" t="s">
        <v>24</v>
      </c>
      <c r="E35" s="149">
        <v>10</v>
      </c>
      <c r="F35" s="140" t="s">
        <v>192</v>
      </c>
      <c r="G35" s="12"/>
      <c r="H35" s="12"/>
      <c r="I35" s="12"/>
      <c r="J35" s="12"/>
      <c r="K35" s="13"/>
      <c r="L35" s="12"/>
      <c r="M35" s="13"/>
      <c r="N35" s="12"/>
      <c r="O35" s="160"/>
      <c r="P35" s="140"/>
      <c r="Q35" s="12"/>
      <c r="R35" s="38"/>
    </row>
    <row r="36" spans="1:18" s="19" customFormat="1" ht="24" hidden="1" customHeight="1" x14ac:dyDescent="0.25">
      <c r="A36" s="34"/>
      <c r="B36" s="147" t="s">
        <v>35</v>
      </c>
      <c r="C36" s="12"/>
      <c r="D36" s="13"/>
      <c r="E36" s="163"/>
      <c r="F36" s="159"/>
      <c r="G36" s="12"/>
      <c r="H36" s="12"/>
      <c r="I36" s="12"/>
      <c r="J36" s="12"/>
      <c r="K36" s="12"/>
      <c r="L36" s="12"/>
      <c r="M36" s="12"/>
      <c r="N36" s="164"/>
      <c r="O36" s="12"/>
      <c r="P36" s="12"/>
      <c r="Q36" s="12"/>
      <c r="R36" s="38"/>
    </row>
    <row r="37" spans="1:18" s="19" customFormat="1" ht="24" hidden="1" customHeight="1" x14ac:dyDescent="0.25">
      <c r="A37" s="34"/>
      <c r="B37" s="12"/>
      <c r="C37" s="12" t="s">
        <v>76</v>
      </c>
      <c r="D37" s="154" t="s">
        <v>22</v>
      </c>
      <c r="E37" s="149">
        <v>360</v>
      </c>
      <c r="F37" s="159"/>
      <c r="G37" s="47"/>
      <c r="H37" s="182" t="s">
        <v>36</v>
      </c>
      <c r="I37" s="151">
        <f>3600/E37</f>
        <v>10</v>
      </c>
      <c r="J37" s="36"/>
      <c r="K37" s="12"/>
      <c r="L37" s="158"/>
      <c r="M37" s="12"/>
      <c r="N37" s="165"/>
      <c r="O37" s="166"/>
      <c r="P37" s="167"/>
      <c r="Q37" s="166"/>
      <c r="R37" s="341"/>
    </row>
    <row r="38" spans="1:18" s="19" customFormat="1" ht="24" hidden="1" customHeight="1" x14ac:dyDescent="0.25">
      <c r="A38" s="34"/>
      <c r="B38" s="12"/>
      <c r="C38" s="12" t="s">
        <v>23</v>
      </c>
      <c r="D38" s="13" t="s">
        <v>24</v>
      </c>
      <c r="E38" s="149">
        <v>5</v>
      </c>
      <c r="F38" s="12"/>
      <c r="G38" s="12"/>
      <c r="H38" s="12"/>
      <c r="I38" s="12"/>
      <c r="J38" s="12"/>
      <c r="K38" s="160"/>
      <c r="L38" s="158"/>
      <c r="M38" s="12"/>
      <c r="N38" s="165"/>
      <c r="O38" s="166"/>
      <c r="P38" s="167"/>
      <c r="Q38" s="166"/>
      <c r="R38" s="341"/>
    </row>
    <row r="39" spans="1:18" s="19" customFormat="1" ht="24" hidden="1" customHeight="1" x14ac:dyDescent="0.25">
      <c r="A39" s="67"/>
      <c r="B39" s="22"/>
      <c r="C39" s="22"/>
      <c r="D39" s="22"/>
      <c r="E39" s="21"/>
      <c r="F39" s="22"/>
      <c r="G39" s="22"/>
      <c r="H39" s="22"/>
      <c r="I39" s="22"/>
      <c r="J39" s="22"/>
      <c r="K39" s="22"/>
      <c r="L39" s="22"/>
      <c r="M39" s="22"/>
      <c r="N39" s="22"/>
      <c r="O39" s="22"/>
      <c r="P39" s="22"/>
      <c r="Q39" s="22"/>
      <c r="R39" s="42"/>
    </row>
    <row r="40" spans="1:18" s="19" customFormat="1" ht="24" hidden="1" customHeight="1" x14ac:dyDescent="0.25">
      <c r="A40" s="336" t="s">
        <v>12</v>
      </c>
      <c r="B40" s="44"/>
      <c r="C40" s="44"/>
      <c r="D40" s="44"/>
      <c r="E40" s="76"/>
      <c r="F40" s="44"/>
      <c r="G40" s="44"/>
      <c r="H40" s="44"/>
      <c r="I40" s="44"/>
      <c r="J40" s="44"/>
      <c r="K40" s="44"/>
      <c r="L40" s="44"/>
      <c r="M40" s="44"/>
      <c r="N40" s="44"/>
      <c r="O40" s="44"/>
      <c r="P40" s="44"/>
      <c r="Q40" s="44"/>
      <c r="R40" s="56"/>
    </row>
    <row r="41" spans="1:18" s="19" customFormat="1" ht="24" hidden="1" customHeight="1" x14ac:dyDescent="0.25">
      <c r="A41" s="52"/>
      <c r="B41" s="12"/>
      <c r="C41" s="12" t="s">
        <v>106</v>
      </c>
      <c r="D41" s="168" t="s">
        <v>19</v>
      </c>
      <c r="E41" s="169">
        <v>0.04</v>
      </c>
      <c r="F41" s="57" t="s">
        <v>196</v>
      </c>
      <c r="G41" s="12"/>
      <c r="H41" s="12"/>
      <c r="I41" s="12"/>
      <c r="J41" s="12"/>
      <c r="K41" s="12"/>
      <c r="L41" s="12"/>
      <c r="M41" s="12"/>
      <c r="N41" s="12"/>
      <c r="O41" s="12"/>
      <c r="P41" s="12"/>
      <c r="Q41" s="12"/>
      <c r="R41" s="38"/>
    </row>
    <row r="42" spans="1:18" s="19" customFormat="1" ht="24" hidden="1" customHeight="1" x14ac:dyDescent="0.25">
      <c r="A42" s="34"/>
      <c r="B42" s="147" t="s">
        <v>240</v>
      </c>
      <c r="C42" s="12"/>
      <c r="D42" s="12"/>
      <c r="E42" s="11"/>
      <c r="F42" s="57"/>
      <c r="G42" s="12"/>
      <c r="H42" s="12"/>
      <c r="I42" s="12"/>
      <c r="J42" s="12"/>
      <c r="K42" s="12"/>
      <c r="L42" s="12"/>
      <c r="M42" s="12"/>
      <c r="N42" s="12"/>
      <c r="O42" s="12"/>
      <c r="P42" s="12"/>
      <c r="Q42" s="12"/>
      <c r="R42" s="38"/>
    </row>
    <row r="43" spans="1:18" s="19" customFormat="1" ht="24" hidden="1" customHeight="1" x14ac:dyDescent="0.25">
      <c r="A43" s="34"/>
      <c r="B43" s="12"/>
      <c r="C43" s="12" t="s">
        <v>37</v>
      </c>
      <c r="D43" s="12"/>
      <c r="E43" s="189" t="s">
        <v>77</v>
      </c>
      <c r="F43" s="124" t="s">
        <v>197</v>
      </c>
      <c r="G43" s="22"/>
      <c r="H43" s="22"/>
      <c r="I43" s="22"/>
      <c r="J43" s="22"/>
      <c r="K43" s="22"/>
      <c r="L43" s="22"/>
      <c r="M43" s="22"/>
      <c r="N43" s="22"/>
      <c r="O43" s="12"/>
      <c r="P43" s="12"/>
      <c r="Q43" s="12"/>
      <c r="R43" s="38"/>
    </row>
    <row r="44" spans="1:18" s="19" customFormat="1" ht="24" hidden="1" customHeight="1" x14ac:dyDescent="0.25">
      <c r="A44" s="34"/>
      <c r="B44" s="12"/>
      <c r="C44" s="12"/>
      <c r="D44" s="12"/>
      <c r="E44" s="1948">
        <f>E$3</f>
        <v>2015</v>
      </c>
      <c r="F44" s="1949"/>
      <c r="G44" s="1948">
        <f>G$3</f>
        <v>2018</v>
      </c>
      <c r="H44" s="1949"/>
      <c r="I44" s="1948">
        <f>I$3</f>
        <v>2022</v>
      </c>
      <c r="J44" s="1949"/>
      <c r="K44" s="1948" t="str">
        <f>K$3</f>
        <v>Base</v>
      </c>
      <c r="L44" s="1949"/>
      <c r="M44" s="1948" t="str">
        <f>M$3</f>
        <v>High</v>
      </c>
      <c r="N44" s="1949"/>
      <c r="O44" s="12"/>
      <c r="P44" s="12"/>
      <c r="Q44" s="12"/>
      <c r="R44" s="38"/>
    </row>
    <row r="45" spans="1:18" s="19" customFormat="1" ht="24" hidden="1" customHeight="1" x14ac:dyDescent="0.25">
      <c r="A45" s="34"/>
      <c r="B45" s="12"/>
      <c r="C45" s="12" t="s">
        <v>100</v>
      </c>
      <c r="D45" s="13" t="s">
        <v>19</v>
      </c>
      <c r="E45" s="82">
        <v>0.3</v>
      </c>
      <c r="F45" s="170"/>
      <c r="G45" s="82">
        <v>0.5</v>
      </c>
      <c r="H45" s="171"/>
      <c r="I45" s="82">
        <v>0.8</v>
      </c>
      <c r="J45" s="12"/>
      <c r="K45" s="82">
        <v>0.8</v>
      </c>
      <c r="L45" s="12"/>
      <c r="M45" s="82">
        <v>0.8</v>
      </c>
      <c r="N45" s="172"/>
      <c r="O45" s="57" t="s">
        <v>198</v>
      </c>
      <c r="P45" s="12"/>
      <c r="Q45" s="12"/>
      <c r="R45" s="38"/>
    </row>
    <row r="46" spans="1:18" s="19" customFormat="1" ht="24" hidden="1" customHeight="1" x14ac:dyDescent="0.25">
      <c r="A46" s="34"/>
      <c r="B46" s="12"/>
      <c r="C46" s="12" t="s">
        <v>202</v>
      </c>
      <c r="D46" s="13" t="s">
        <v>19</v>
      </c>
      <c r="E46" s="82">
        <v>0.15</v>
      </c>
      <c r="F46" s="170"/>
      <c r="G46" s="82">
        <v>0.1</v>
      </c>
      <c r="H46" s="171"/>
      <c r="I46" s="82">
        <v>0.05</v>
      </c>
      <c r="J46" s="12"/>
      <c r="K46" s="82">
        <v>0.05</v>
      </c>
      <c r="L46" s="12"/>
      <c r="M46" s="82">
        <v>0.05</v>
      </c>
      <c r="N46" s="172"/>
      <c r="O46" s="57" t="s">
        <v>198</v>
      </c>
      <c r="P46" s="12"/>
      <c r="Q46" s="12"/>
      <c r="R46" s="38"/>
    </row>
    <row r="47" spans="1:18" s="19" customFormat="1" ht="24" hidden="1" customHeight="1" x14ac:dyDescent="0.25">
      <c r="A47" s="34"/>
      <c r="B47" s="12"/>
      <c r="C47" s="12" t="s">
        <v>199</v>
      </c>
      <c r="D47" s="13" t="s">
        <v>19</v>
      </c>
      <c r="E47" s="185">
        <f>1-(E45+E46)</f>
        <v>0.55000000000000004</v>
      </c>
      <c r="F47" s="186"/>
      <c r="G47" s="185">
        <f>1-(G45+G46)</f>
        <v>0.4</v>
      </c>
      <c r="H47" s="187"/>
      <c r="I47" s="185">
        <f>1-(I45+I46)</f>
        <v>0.14999999999999991</v>
      </c>
      <c r="J47" s="22"/>
      <c r="K47" s="185">
        <f>1-(K45+K46)</f>
        <v>0.14999999999999991</v>
      </c>
      <c r="L47" s="22"/>
      <c r="M47" s="185">
        <f>1-(M45+M46)</f>
        <v>0.14999999999999991</v>
      </c>
      <c r="N47" s="188"/>
      <c r="O47" s="181" t="s">
        <v>200</v>
      </c>
      <c r="P47" s="12"/>
      <c r="Q47" s="12"/>
      <c r="R47" s="38"/>
    </row>
    <row r="48" spans="1:18" s="19" customFormat="1" ht="24" hidden="1" customHeight="1" x14ac:dyDescent="0.25">
      <c r="A48" s="34"/>
      <c r="B48" s="12"/>
      <c r="C48" s="12" t="s">
        <v>99</v>
      </c>
      <c r="D48" s="13" t="s">
        <v>29</v>
      </c>
      <c r="E48" s="149">
        <v>43</v>
      </c>
      <c r="F48" s="150">
        <v>10</v>
      </c>
      <c r="G48" s="57" t="s">
        <v>74</v>
      </c>
      <c r="H48" s="53"/>
      <c r="I48" s="57" t="s">
        <v>201</v>
      </c>
      <c r="J48" s="53"/>
      <c r="K48" s="53"/>
      <c r="L48" s="53"/>
      <c r="M48" s="53"/>
      <c r="N48" s="63"/>
      <c r="O48" s="12"/>
      <c r="P48" s="155">
        <f>3600/E48</f>
        <v>83.720930232558146</v>
      </c>
      <c r="Q48" s="140" t="s">
        <v>101</v>
      </c>
      <c r="R48" s="38"/>
    </row>
    <row r="49" spans="1:18" s="19" customFormat="1" ht="24" hidden="1" customHeight="1" x14ac:dyDescent="0.25">
      <c r="A49" s="34"/>
      <c r="B49" s="12"/>
      <c r="C49" s="12" t="s">
        <v>203</v>
      </c>
      <c r="D49" s="154" t="s">
        <v>29</v>
      </c>
      <c r="E49" s="149">
        <v>45</v>
      </c>
      <c r="F49" s="150">
        <v>10</v>
      </c>
      <c r="G49" s="57" t="s">
        <v>205</v>
      </c>
      <c r="H49" s="53"/>
      <c r="I49" s="53"/>
      <c r="J49" s="53"/>
      <c r="K49" s="53"/>
      <c r="L49" s="53"/>
      <c r="M49" s="53"/>
      <c r="N49" s="63"/>
      <c r="O49" s="12"/>
      <c r="P49" s="151">
        <f>3600/E49</f>
        <v>80</v>
      </c>
      <c r="Q49" s="140" t="s">
        <v>75</v>
      </c>
      <c r="R49" s="232"/>
    </row>
    <row r="50" spans="1:18" s="19" customFormat="1" ht="24" hidden="1" customHeight="1" x14ac:dyDescent="0.25">
      <c r="A50" s="34"/>
      <c r="B50" s="12"/>
      <c r="C50" s="12" t="s">
        <v>204</v>
      </c>
      <c r="D50" s="154" t="s">
        <v>29</v>
      </c>
      <c r="E50" s="149">
        <v>45</v>
      </c>
      <c r="F50" s="150">
        <v>10</v>
      </c>
      <c r="G50" s="57" t="s">
        <v>205</v>
      </c>
      <c r="H50" s="53"/>
      <c r="I50" s="53"/>
      <c r="J50" s="53"/>
      <c r="K50" s="53"/>
      <c r="L50" s="53"/>
      <c r="M50" s="53"/>
      <c r="N50" s="63"/>
      <c r="O50" s="12"/>
      <c r="P50" s="151">
        <f>3600/E50</f>
        <v>80</v>
      </c>
      <c r="Q50" s="140" t="s">
        <v>75</v>
      </c>
      <c r="R50" s="232"/>
    </row>
    <row r="51" spans="1:18" s="19" customFormat="1" ht="24" hidden="1" customHeight="1" x14ac:dyDescent="0.25">
      <c r="A51" s="34"/>
      <c r="B51" s="147" t="s">
        <v>13</v>
      </c>
      <c r="C51" s="12"/>
      <c r="D51" s="154"/>
      <c r="E51" s="156"/>
      <c r="F51" s="157"/>
      <c r="G51" s="53"/>
      <c r="H51" s="53"/>
      <c r="I51" s="53"/>
      <c r="J51" s="53"/>
      <c r="K51" s="53"/>
      <c r="L51" s="53"/>
      <c r="M51" s="53"/>
      <c r="N51" s="63"/>
      <c r="O51" s="160"/>
      <c r="P51" s="162"/>
      <c r="Q51" s="12"/>
      <c r="R51" s="38"/>
    </row>
    <row r="52" spans="1:18" s="19" customFormat="1" ht="24" hidden="1" customHeight="1" x14ac:dyDescent="0.25">
      <c r="A52" s="34"/>
      <c r="B52" s="12"/>
      <c r="C52" s="12" t="s">
        <v>206</v>
      </c>
      <c r="D52" s="154" t="s">
        <v>19</v>
      </c>
      <c r="E52" s="179" t="e">
        <f>1-#REF!</f>
        <v>#REF!</v>
      </c>
      <c r="F52" s="157"/>
      <c r="G52" s="180" t="e">
        <f>#REF!</f>
        <v>#REF!</v>
      </c>
      <c r="H52" s="57" t="s">
        <v>207</v>
      </c>
      <c r="I52" s="53"/>
      <c r="J52" s="53"/>
      <c r="K52" s="150">
        <v>12</v>
      </c>
      <c r="L52" s="57" t="s">
        <v>242</v>
      </c>
      <c r="M52" s="53"/>
      <c r="N52" s="63"/>
      <c r="O52" s="150">
        <v>18</v>
      </c>
      <c r="P52" s="57" t="s">
        <v>241</v>
      </c>
      <c r="Q52" s="12"/>
      <c r="R52" s="38"/>
    </row>
    <row r="53" spans="1:18" s="19" customFormat="1" ht="24" hidden="1" customHeight="1" x14ac:dyDescent="0.25">
      <c r="A53" s="34"/>
      <c r="B53" s="12"/>
      <c r="C53" s="12" t="s">
        <v>211</v>
      </c>
      <c r="D53" s="154" t="s">
        <v>24</v>
      </c>
      <c r="E53" s="149">
        <v>45</v>
      </c>
      <c r="F53" s="157"/>
      <c r="G53" s="53"/>
      <c r="H53" s="57"/>
      <c r="I53" s="53"/>
      <c r="J53" s="53"/>
      <c r="K53" s="53"/>
      <c r="L53" s="53"/>
      <c r="M53" s="53"/>
      <c r="N53" s="63"/>
      <c r="O53" s="160"/>
      <c r="P53" s="162"/>
      <c r="Q53" s="12"/>
      <c r="R53" s="38"/>
    </row>
    <row r="54" spans="1:18" s="19" customFormat="1" ht="24" hidden="1" customHeight="1" x14ac:dyDescent="0.25">
      <c r="A54" s="34"/>
      <c r="B54" s="12"/>
      <c r="C54" s="12" t="s">
        <v>212</v>
      </c>
      <c r="D54" s="154" t="s">
        <v>24</v>
      </c>
      <c r="E54" s="149">
        <v>40</v>
      </c>
      <c r="F54" s="157"/>
      <c r="G54" s="150">
        <v>15</v>
      </c>
      <c r="H54" s="57" t="s">
        <v>215</v>
      </c>
      <c r="I54" s="53"/>
      <c r="J54" s="53"/>
      <c r="K54" s="150">
        <v>35</v>
      </c>
      <c r="L54" s="57" t="s">
        <v>217</v>
      </c>
      <c r="M54" s="53"/>
      <c r="N54" s="63"/>
      <c r="O54" s="57" t="s">
        <v>219</v>
      </c>
      <c r="P54" s="162"/>
      <c r="Q54" s="12"/>
      <c r="R54" s="38"/>
    </row>
    <row r="55" spans="1:18" s="19" customFormat="1" ht="24" hidden="1" customHeight="1" x14ac:dyDescent="0.25">
      <c r="A55" s="34"/>
      <c r="B55" s="12"/>
      <c r="C55" s="12" t="s">
        <v>213</v>
      </c>
      <c r="D55" s="154" t="s">
        <v>24</v>
      </c>
      <c r="E55" s="149">
        <v>35</v>
      </c>
      <c r="F55" s="157"/>
      <c r="G55" s="53"/>
      <c r="H55" s="57"/>
      <c r="I55" s="53"/>
      <c r="J55" s="53"/>
      <c r="K55" s="53"/>
      <c r="L55" s="57"/>
      <c r="M55" s="53"/>
      <c r="N55" s="63"/>
      <c r="O55" s="160"/>
      <c r="P55" s="162"/>
      <c r="Q55" s="12"/>
      <c r="R55" s="38"/>
    </row>
    <row r="56" spans="1:18" s="19" customFormat="1" ht="24" hidden="1" customHeight="1" x14ac:dyDescent="0.25">
      <c r="A56" s="34"/>
      <c r="B56" s="12"/>
      <c r="C56" s="12" t="s">
        <v>214</v>
      </c>
      <c r="D56" s="154" t="s">
        <v>24</v>
      </c>
      <c r="E56" s="149">
        <v>25</v>
      </c>
      <c r="F56" s="157"/>
      <c r="G56" s="150">
        <v>10</v>
      </c>
      <c r="H56" s="57" t="s">
        <v>216</v>
      </c>
      <c r="I56" s="53"/>
      <c r="J56" s="53"/>
      <c r="K56" s="150">
        <v>25</v>
      </c>
      <c r="L56" s="57" t="s">
        <v>218</v>
      </c>
      <c r="M56" s="53"/>
      <c r="N56" s="63"/>
      <c r="O56" s="160"/>
      <c r="P56" s="162"/>
      <c r="Q56" s="12"/>
      <c r="R56" s="38"/>
    </row>
    <row r="57" spans="1:18" s="19" customFormat="1" ht="24" hidden="1" customHeight="1" x14ac:dyDescent="0.25">
      <c r="A57" s="34"/>
      <c r="B57" s="12"/>
      <c r="C57" s="61" t="s">
        <v>222</v>
      </c>
      <c r="D57" s="154"/>
      <c r="E57" s="156"/>
      <c r="F57" s="157"/>
      <c r="G57" s="53"/>
      <c r="H57" s="53"/>
      <c r="I57" s="53"/>
      <c r="J57" s="53"/>
      <c r="K57" s="53"/>
      <c r="L57" s="53"/>
      <c r="M57" s="53"/>
      <c r="N57" s="63"/>
      <c r="O57" s="160"/>
      <c r="P57" s="162"/>
      <c r="Q57" s="12"/>
      <c r="R57" s="38"/>
    </row>
    <row r="58" spans="1:18" s="19" customFormat="1" ht="24" hidden="1" customHeight="1" x14ac:dyDescent="0.25">
      <c r="A58" s="34"/>
      <c r="B58" s="147" t="s">
        <v>104</v>
      </c>
      <c r="C58" s="12"/>
      <c r="D58" s="12"/>
      <c r="E58" s="161"/>
      <c r="F58" s="159"/>
      <c r="G58" s="12"/>
      <c r="H58" s="12"/>
      <c r="I58" s="12"/>
      <c r="J58" s="12"/>
      <c r="K58" s="12"/>
      <c r="L58" s="12"/>
      <c r="M58" s="12"/>
      <c r="N58" s="12"/>
      <c r="O58" s="12"/>
      <c r="P58" s="12"/>
      <c r="Q58" s="12"/>
      <c r="R58" s="38"/>
    </row>
    <row r="59" spans="1:18" s="19" customFormat="1" ht="24" hidden="1" customHeight="1" x14ac:dyDescent="0.25">
      <c r="A59" s="34"/>
      <c r="B59" s="173"/>
      <c r="C59" s="12" t="s">
        <v>114</v>
      </c>
      <c r="D59" s="12" t="s">
        <v>22</v>
      </c>
      <c r="E59" s="149">
        <v>725</v>
      </c>
      <c r="F59" s="174">
        <f>3600/E59</f>
        <v>4.9655172413793105</v>
      </c>
      <c r="G59" s="140" t="s">
        <v>237</v>
      </c>
      <c r="H59" s="12"/>
      <c r="I59" s="12"/>
      <c r="J59" s="12"/>
      <c r="K59" s="12"/>
      <c r="L59" s="12"/>
      <c r="M59" s="12"/>
      <c r="N59" s="182" t="s">
        <v>239</v>
      </c>
      <c r="O59" s="150">
        <v>15</v>
      </c>
      <c r="P59" s="57" t="s">
        <v>258</v>
      </c>
      <c r="Q59" s="4"/>
      <c r="R59" s="38"/>
    </row>
    <row r="60" spans="1:18" s="19" customFormat="1" ht="24" hidden="1" customHeight="1" x14ac:dyDescent="0.25">
      <c r="A60" s="34"/>
      <c r="B60" s="173"/>
      <c r="C60" s="12" t="s">
        <v>115</v>
      </c>
      <c r="D60" s="154" t="s">
        <v>19</v>
      </c>
      <c r="E60" s="195">
        <v>0.03</v>
      </c>
      <c r="F60" s="150">
        <v>17</v>
      </c>
      <c r="G60" s="57" t="s">
        <v>231</v>
      </c>
      <c r="H60" s="12"/>
      <c r="I60" s="12"/>
      <c r="J60" s="12"/>
      <c r="K60" s="4"/>
      <c r="L60" s="4"/>
      <c r="M60" s="57" t="s">
        <v>259</v>
      </c>
      <c r="N60" s="4"/>
      <c r="O60" s="4"/>
      <c r="P60" s="4"/>
      <c r="Q60" s="4"/>
      <c r="R60" s="342"/>
    </row>
    <row r="61" spans="1:18" s="19" customFormat="1" ht="24" hidden="1" customHeight="1" x14ac:dyDescent="0.25">
      <c r="A61" s="34"/>
      <c r="B61" s="173"/>
      <c r="C61" s="12" t="s">
        <v>232</v>
      </c>
      <c r="D61" s="154" t="s">
        <v>19</v>
      </c>
      <c r="E61" s="195">
        <v>0.6</v>
      </c>
      <c r="F61" s="198">
        <f>F59</f>
        <v>4.9655172413793105</v>
      </c>
      <c r="G61" s="140" t="s">
        <v>237</v>
      </c>
      <c r="H61" s="12"/>
      <c r="I61" s="12"/>
      <c r="J61" s="12"/>
      <c r="K61" s="12"/>
      <c r="L61" s="47"/>
      <c r="M61" s="12"/>
      <c r="N61" s="55"/>
      <c r="O61" s="17"/>
      <c r="P61" s="166"/>
      <c r="Q61" s="53"/>
      <c r="R61" s="38"/>
    </row>
    <row r="62" spans="1:18" s="19" customFormat="1" ht="24" hidden="1" customHeight="1" x14ac:dyDescent="0.25">
      <c r="A62" s="34"/>
      <c r="B62" s="173"/>
      <c r="C62" s="12" t="s">
        <v>116</v>
      </c>
      <c r="D62" s="13" t="s">
        <v>19</v>
      </c>
      <c r="E62" s="178">
        <f>1-(E60+E61)</f>
        <v>0.37</v>
      </c>
      <c r="F62" s="159"/>
      <c r="G62" s="57" t="s">
        <v>117</v>
      </c>
      <c r="H62" s="12"/>
      <c r="I62" s="12"/>
      <c r="J62" s="12"/>
      <c r="K62" s="12"/>
      <c r="L62" s="47"/>
      <c r="M62" s="157"/>
      <c r="N62" s="55"/>
      <c r="O62" s="17"/>
      <c r="P62" s="166"/>
      <c r="Q62" s="53"/>
      <c r="R62" s="38"/>
    </row>
    <row r="63" spans="1:18" s="19" customFormat="1" ht="24" hidden="1" customHeight="1" x14ac:dyDescent="0.25">
      <c r="A63" s="34"/>
      <c r="B63" s="173"/>
      <c r="C63" s="12" t="s">
        <v>233</v>
      </c>
      <c r="D63" s="13" t="s">
        <v>19</v>
      </c>
      <c r="E63" s="195">
        <v>0.21</v>
      </c>
      <c r="F63" s="150">
        <v>19</v>
      </c>
      <c r="G63" s="140" t="s">
        <v>238</v>
      </c>
      <c r="H63" s="12"/>
      <c r="I63" s="12"/>
      <c r="J63" s="12"/>
      <c r="K63" s="12"/>
      <c r="L63" s="47"/>
      <c r="M63" s="157"/>
      <c r="N63" s="55"/>
      <c r="O63" s="17"/>
      <c r="P63" s="166"/>
      <c r="Q63" s="53"/>
      <c r="R63" s="38"/>
    </row>
    <row r="64" spans="1:18" s="19" customFormat="1" ht="24" hidden="1" customHeight="1" x14ac:dyDescent="0.25">
      <c r="A64" s="34"/>
      <c r="B64" s="173"/>
      <c r="C64" s="12" t="s">
        <v>234</v>
      </c>
      <c r="D64" s="154" t="s">
        <v>19</v>
      </c>
      <c r="E64" s="195">
        <v>0.18</v>
      </c>
      <c r="F64" s="150">
        <v>64</v>
      </c>
      <c r="G64" s="140" t="s">
        <v>238</v>
      </c>
      <c r="H64" s="12"/>
      <c r="I64" s="12"/>
      <c r="J64" s="12"/>
      <c r="K64" s="160"/>
      <c r="L64" s="47"/>
      <c r="M64" s="12"/>
      <c r="N64" s="12"/>
      <c r="O64" s="12"/>
      <c r="P64" s="12"/>
      <c r="Q64" s="12"/>
      <c r="R64" s="38"/>
    </row>
    <row r="65" spans="1:20" s="19" customFormat="1" ht="24" hidden="1" customHeight="1" x14ac:dyDescent="0.25">
      <c r="A65" s="34"/>
      <c r="B65" s="173"/>
      <c r="C65" s="12" t="s">
        <v>235</v>
      </c>
      <c r="D65" s="154" t="s">
        <v>19</v>
      </c>
      <c r="E65" s="195">
        <v>0.09</v>
      </c>
      <c r="F65" s="150">
        <v>144</v>
      </c>
      <c r="G65" s="140" t="s">
        <v>238</v>
      </c>
      <c r="H65" s="12"/>
      <c r="I65" s="12"/>
      <c r="J65" s="12"/>
      <c r="K65" s="12"/>
      <c r="L65" s="47"/>
      <c r="M65" s="12"/>
      <c r="N65" s="12"/>
      <c r="O65" s="12"/>
      <c r="P65" s="12"/>
      <c r="Q65" s="12"/>
      <c r="R65" s="38"/>
    </row>
    <row r="66" spans="1:20" s="19" customFormat="1" ht="24" hidden="1" customHeight="1" x14ac:dyDescent="0.25">
      <c r="A66" s="34"/>
      <c r="B66" s="173"/>
      <c r="C66" s="12" t="s">
        <v>236</v>
      </c>
      <c r="D66" s="154" t="s">
        <v>19</v>
      </c>
      <c r="E66" s="178">
        <f>E61-SUM(E63:E65)</f>
        <v>0.12</v>
      </c>
      <c r="F66" s="150">
        <v>204</v>
      </c>
      <c r="G66" s="140" t="s">
        <v>238</v>
      </c>
      <c r="H66" s="12"/>
      <c r="I66" s="12"/>
      <c r="J66" s="12"/>
      <c r="K66" s="12"/>
      <c r="L66" s="182"/>
      <c r="M66" s="166"/>
      <c r="N66" s="157"/>
      <c r="O66" s="55"/>
      <c r="P66" s="17"/>
      <c r="Q66" s="160"/>
      <c r="R66" s="342"/>
    </row>
    <row r="67" spans="1:20" s="19" customFormat="1" ht="24" hidden="1" customHeight="1" x14ac:dyDescent="0.25">
      <c r="A67" s="34"/>
      <c r="B67" s="147" t="s">
        <v>113</v>
      </c>
      <c r="C67" s="63"/>
      <c r="D67" s="12"/>
      <c r="E67" s="199"/>
      <c r="F67" s="12"/>
      <c r="G67" s="12"/>
      <c r="H67" s="12"/>
      <c r="I67" s="12"/>
      <c r="J67" s="12"/>
      <c r="K67" s="12"/>
      <c r="L67" s="12"/>
      <c r="M67" s="12"/>
      <c r="N67" s="12"/>
      <c r="O67" s="12"/>
      <c r="P67" s="12"/>
      <c r="Q67" s="12"/>
      <c r="R67" s="38"/>
      <c r="T67" s="86"/>
    </row>
    <row r="68" spans="1:20" s="19" customFormat="1" ht="24" hidden="1" customHeight="1" x14ac:dyDescent="0.25">
      <c r="A68" s="34"/>
      <c r="B68" s="12"/>
      <c r="C68" s="12" t="s">
        <v>243</v>
      </c>
      <c r="D68" s="154" t="s">
        <v>19</v>
      </c>
      <c r="E68" s="195">
        <v>0.45</v>
      </c>
      <c r="F68" s="140" t="s">
        <v>246</v>
      </c>
      <c r="G68" s="12"/>
      <c r="H68" s="12"/>
      <c r="I68" s="12"/>
      <c r="J68" s="12"/>
      <c r="K68" s="12"/>
      <c r="L68" s="150">
        <v>10</v>
      </c>
      <c r="M68" s="140" t="s">
        <v>247</v>
      </c>
      <c r="N68" s="12"/>
      <c r="O68" s="12"/>
      <c r="P68" s="12"/>
      <c r="Q68" s="12"/>
      <c r="R68" s="38"/>
      <c r="T68" s="86"/>
    </row>
    <row r="69" spans="1:20" s="19" customFormat="1" ht="24" hidden="1" customHeight="1" x14ac:dyDescent="0.25">
      <c r="A69" s="34"/>
      <c r="B69" s="12"/>
      <c r="C69" s="12" t="s">
        <v>244</v>
      </c>
      <c r="D69" s="154" t="s">
        <v>19</v>
      </c>
      <c r="E69" s="195">
        <v>0.25</v>
      </c>
      <c r="F69" s="140" t="s">
        <v>246</v>
      </c>
      <c r="G69" s="12"/>
      <c r="H69" s="12"/>
      <c r="I69" s="12"/>
      <c r="J69" s="12"/>
      <c r="K69" s="12"/>
      <c r="L69" s="150">
        <v>25</v>
      </c>
      <c r="M69" s="140" t="s">
        <v>248</v>
      </c>
      <c r="N69" s="12"/>
      <c r="O69" s="12"/>
      <c r="P69" s="12"/>
      <c r="Q69" s="12"/>
      <c r="R69" s="38"/>
      <c r="T69" s="86"/>
    </row>
    <row r="70" spans="1:20" s="19" customFormat="1" ht="24" hidden="1" customHeight="1" x14ac:dyDescent="0.25">
      <c r="A70" s="34"/>
      <c r="B70" s="12"/>
      <c r="C70" s="12" t="s">
        <v>245</v>
      </c>
      <c r="D70" s="154" t="s">
        <v>19</v>
      </c>
      <c r="E70" s="195">
        <v>0.3</v>
      </c>
      <c r="F70" s="140" t="s">
        <v>246</v>
      </c>
      <c r="G70" s="12"/>
      <c r="H70" s="12"/>
      <c r="I70" s="12"/>
      <c r="J70" s="12"/>
      <c r="K70" s="12"/>
      <c r="L70" s="12"/>
      <c r="M70" s="12"/>
      <c r="N70" s="12"/>
      <c r="O70" s="12"/>
      <c r="P70" s="12"/>
      <c r="Q70" s="12"/>
      <c r="R70" s="38"/>
      <c r="T70" s="86"/>
    </row>
    <row r="71" spans="1:20" s="19" customFormat="1" ht="24" hidden="1" customHeight="1" x14ac:dyDescent="0.25">
      <c r="A71" s="67"/>
      <c r="B71" s="12"/>
      <c r="C71" s="63"/>
      <c r="D71" s="12"/>
      <c r="E71" s="199"/>
      <c r="F71" s="12"/>
      <c r="G71" s="12"/>
      <c r="H71" s="12"/>
      <c r="I71" s="12"/>
      <c r="J71" s="12"/>
      <c r="K71" s="12"/>
      <c r="L71" s="12"/>
      <c r="M71" s="12"/>
      <c r="N71" s="12"/>
      <c r="O71" s="12"/>
      <c r="P71" s="12"/>
      <c r="Q71" s="12"/>
      <c r="R71" s="38"/>
      <c r="T71" s="86"/>
    </row>
    <row r="72" spans="1:20" s="19" customFormat="1" ht="24" customHeight="1" x14ac:dyDescent="0.25">
      <c r="A72" s="336" t="s">
        <v>615</v>
      </c>
      <c r="B72" s="44"/>
      <c r="C72" s="44"/>
      <c r="D72" s="44"/>
      <c r="E72" s="76"/>
      <c r="F72" s="44"/>
      <c r="G72" s="1945" t="s">
        <v>261</v>
      </c>
      <c r="H72" s="1945"/>
      <c r="I72" s="1945"/>
      <c r="J72" s="44"/>
      <c r="K72" s="44"/>
      <c r="L72" s="44"/>
      <c r="M72" s="44"/>
      <c r="O72" s="1935" t="s">
        <v>487</v>
      </c>
      <c r="P72" s="1935"/>
      <c r="Q72" s="1935"/>
      <c r="R72" s="1936"/>
      <c r="T72" s="86"/>
    </row>
    <row r="73" spans="1:20" s="19" customFormat="1" ht="24" customHeight="1" x14ac:dyDescent="0.3">
      <c r="A73" s="34"/>
      <c r="B73" s="338" t="s">
        <v>17</v>
      </c>
      <c r="C73" s="22"/>
      <c r="D73" s="22"/>
      <c r="E73" s="1952" t="s">
        <v>480</v>
      </c>
      <c r="F73" s="1953"/>
      <c r="G73" s="330" t="s">
        <v>260</v>
      </c>
      <c r="H73" s="330" t="s">
        <v>40</v>
      </c>
      <c r="I73" s="330" t="s">
        <v>39</v>
      </c>
      <c r="J73" s="740" t="s">
        <v>481</v>
      </c>
      <c r="K73" s="22" t="s">
        <v>108</v>
      </c>
      <c r="L73" s="22"/>
      <c r="M73" s="22" t="s">
        <v>161</v>
      </c>
      <c r="N73" s="22"/>
      <c r="O73" s="1937"/>
      <c r="P73" s="1937"/>
      <c r="Q73" s="1937"/>
      <c r="R73" s="1938"/>
    </row>
    <row r="74" spans="1:20" s="19" customFormat="1" ht="24" customHeight="1" x14ac:dyDescent="0.25">
      <c r="A74" s="34"/>
      <c r="B74" s="12"/>
      <c r="C74" s="12" t="s">
        <v>460</v>
      </c>
      <c r="D74" s="48" t="s">
        <v>506</v>
      </c>
      <c r="E74" s="1954" t="s">
        <v>619</v>
      </c>
      <c r="F74" s="1955"/>
      <c r="G74" s="150">
        <v>76</v>
      </c>
      <c r="H74" s="218">
        <f t="shared" ref="H74:H89" si="0">G74-I74</f>
        <v>64</v>
      </c>
      <c r="I74" s="150">
        <v>12</v>
      </c>
      <c r="J74" s="812" t="s">
        <v>483</v>
      </c>
      <c r="K74" s="57" t="s">
        <v>620</v>
      </c>
      <c r="L74" s="12"/>
      <c r="N74" s="12"/>
      <c r="O74" s="57"/>
      <c r="P74" s="12"/>
      <c r="Q74" s="12"/>
      <c r="R74" s="38"/>
    </row>
    <row r="75" spans="1:20" s="19" customFormat="1" ht="24" customHeight="1" x14ac:dyDescent="0.25">
      <c r="A75" s="34"/>
      <c r="B75" s="1110"/>
      <c r="C75" s="1110" t="s">
        <v>461</v>
      </c>
      <c r="D75" s="48" t="s">
        <v>506</v>
      </c>
      <c r="E75" s="1933" t="s">
        <v>625</v>
      </c>
      <c r="F75" s="1934"/>
      <c r="G75" s="150">
        <v>99</v>
      </c>
      <c r="H75" s="218">
        <f t="shared" si="0"/>
        <v>88</v>
      </c>
      <c r="I75" s="150">
        <v>11</v>
      </c>
      <c r="J75" s="812" t="s">
        <v>483</v>
      </c>
      <c r="K75" s="57" t="s">
        <v>626</v>
      </c>
      <c r="L75" s="1110"/>
      <c r="N75" s="1110"/>
      <c r="O75" s="57"/>
      <c r="P75" s="1110"/>
      <c r="Q75" s="1110"/>
      <c r="R75" s="38"/>
    </row>
    <row r="76" spans="1:20" s="19" customFormat="1" ht="24" customHeight="1" x14ac:dyDescent="0.25">
      <c r="A76" s="34"/>
      <c r="B76" s="12"/>
      <c r="C76" s="12" t="s">
        <v>461</v>
      </c>
      <c r="D76" s="48" t="s">
        <v>506</v>
      </c>
      <c r="E76" s="1933" t="s">
        <v>392</v>
      </c>
      <c r="F76" s="1934"/>
      <c r="G76" s="150">
        <v>128</v>
      </c>
      <c r="H76" s="218">
        <f t="shared" si="0"/>
        <v>120</v>
      </c>
      <c r="I76" s="150">
        <v>8</v>
      </c>
      <c r="J76" s="812" t="s">
        <v>483</v>
      </c>
      <c r="K76" s="57" t="s">
        <v>395</v>
      </c>
      <c r="L76" s="12"/>
      <c r="N76" s="12"/>
      <c r="O76" s="57"/>
      <c r="P76" s="12"/>
      <c r="Q76" s="12"/>
      <c r="R76" s="38"/>
    </row>
    <row r="77" spans="1:20" s="19" customFormat="1" ht="24" customHeight="1" x14ac:dyDescent="0.25">
      <c r="A77" s="34"/>
      <c r="B77" s="12"/>
      <c r="C77" s="12" t="s">
        <v>462</v>
      </c>
      <c r="D77" s="48" t="s">
        <v>506</v>
      </c>
      <c r="E77" s="1933" t="s">
        <v>621</v>
      </c>
      <c r="F77" s="1934"/>
      <c r="G77" s="150">
        <v>150</v>
      </c>
      <c r="H77" s="218">
        <f t="shared" si="0"/>
        <v>138</v>
      </c>
      <c r="I77" s="150">
        <v>12</v>
      </c>
      <c r="J77" s="812" t="s">
        <v>483</v>
      </c>
      <c r="K77" s="57" t="s">
        <v>395</v>
      </c>
      <c r="L77" s="12"/>
      <c r="M77" s="57"/>
      <c r="N77" s="12"/>
      <c r="O77" s="57"/>
      <c r="P77" s="12"/>
      <c r="Q77" s="12"/>
      <c r="R77" s="38"/>
    </row>
    <row r="78" spans="1:20" s="19" customFormat="1" ht="24" customHeight="1" x14ac:dyDescent="0.25">
      <c r="A78" s="34"/>
      <c r="B78" s="1110"/>
      <c r="C78" s="1110" t="s">
        <v>462</v>
      </c>
      <c r="D78" s="48" t="s">
        <v>506</v>
      </c>
      <c r="E78" s="1933" t="s">
        <v>393</v>
      </c>
      <c r="F78" s="1934"/>
      <c r="G78" s="150">
        <v>181</v>
      </c>
      <c r="H78" s="218">
        <f t="shared" ref="H78:H79" si="1">G78-I78</f>
        <v>165</v>
      </c>
      <c r="I78" s="150">
        <v>16</v>
      </c>
      <c r="J78" s="812" t="s">
        <v>483</v>
      </c>
      <c r="K78" s="57" t="s">
        <v>395</v>
      </c>
      <c r="L78" s="1110"/>
      <c r="M78" s="57"/>
      <c r="N78" s="1110"/>
      <c r="O78" s="57"/>
      <c r="P78" s="1110"/>
      <c r="Q78" s="1110"/>
      <c r="R78" s="38"/>
    </row>
    <row r="79" spans="1:20" s="19" customFormat="1" ht="24" customHeight="1" x14ac:dyDescent="0.25">
      <c r="A79" s="34"/>
      <c r="B79" s="1110"/>
      <c r="C79" s="1110" t="s">
        <v>462</v>
      </c>
      <c r="D79" s="48" t="s">
        <v>506</v>
      </c>
      <c r="E79" s="1933" t="s">
        <v>622</v>
      </c>
      <c r="F79" s="1934"/>
      <c r="G79" s="150">
        <v>102</v>
      </c>
      <c r="H79" s="218">
        <f t="shared" si="1"/>
        <v>72</v>
      </c>
      <c r="I79" s="150">
        <v>30</v>
      </c>
      <c r="J79" s="812" t="s">
        <v>483</v>
      </c>
      <c r="K79" s="57" t="s">
        <v>395</v>
      </c>
      <c r="L79" s="1110"/>
      <c r="M79" s="57" t="s">
        <v>623</v>
      </c>
      <c r="N79" s="1110"/>
      <c r="O79" s="57"/>
      <c r="P79" s="1110"/>
      <c r="Q79" s="1110"/>
      <c r="R79" s="38"/>
    </row>
    <row r="80" spans="1:20" s="19" customFormat="1" ht="24" customHeight="1" x14ac:dyDescent="0.25">
      <c r="A80" s="34"/>
      <c r="B80" s="12"/>
      <c r="C80" s="12" t="s">
        <v>462</v>
      </c>
      <c r="D80" s="48" t="s">
        <v>506</v>
      </c>
      <c r="E80" s="1933" t="s">
        <v>411</v>
      </c>
      <c r="F80" s="1934"/>
      <c r="G80" s="150">
        <v>190</v>
      </c>
      <c r="H80" s="218">
        <f t="shared" si="0"/>
        <v>190</v>
      </c>
      <c r="I80" s="150">
        <v>0</v>
      </c>
      <c r="J80" s="812" t="s">
        <v>484</v>
      </c>
      <c r="K80" s="57" t="s">
        <v>395</v>
      </c>
      <c r="L80" s="4"/>
      <c r="M80" s="183" t="s">
        <v>624</v>
      </c>
      <c r="N80" s="12"/>
      <c r="O80" s="57"/>
      <c r="P80" s="12"/>
      <c r="Q80" s="12"/>
      <c r="R80" s="38"/>
    </row>
    <row r="81" spans="1:19" s="19" customFormat="1" ht="24" customHeight="1" x14ac:dyDescent="0.25">
      <c r="A81" s="34"/>
      <c r="B81" s="12"/>
      <c r="C81" s="12" t="s">
        <v>463</v>
      </c>
      <c r="D81" s="48" t="s">
        <v>506</v>
      </c>
      <c r="E81" s="1933" t="s">
        <v>627</v>
      </c>
      <c r="F81" s="1934"/>
      <c r="G81" s="150">
        <v>218</v>
      </c>
      <c r="H81" s="218">
        <f t="shared" ref="H81:H82" si="2">G81-I81</f>
        <v>188</v>
      </c>
      <c r="I81" s="150">
        <v>30</v>
      </c>
      <c r="J81" s="812" t="s">
        <v>483</v>
      </c>
      <c r="K81" s="57" t="s">
        <v>395</v>
      </c>
      <c r="L81" s="12"/>
      <c r="M81" s="57" t="s">
        <v>423</v>
      </c>
      <c r="N81" s="12"/>
      <c r="O81" s="57"/>
      <c r="P81" s="12"/>
      <c r="Q81" s="12"/>
      <c r="R81" s="38"/>
    </row>
    <row r="82" spans="1:19" s="19" customFormat="1" ht="24" customHeight="1" x14ac:dyDescent="0.25">
      <c r="A82" s="34"/>
      <c r="B82" s="12"/>
      <c r="C82" s="12" t="s">
        <v>476</v>
      </c>
      <c r="D82" s="48" t="s">
        <v>506</v>
      </c>
      <c r="E82" s="1933" t="s">
        <v>408</v>
      </c>
      <c r="F82" s="1934"/>
      <c r="G82" s="150">
        <v>252</v>
      </c>
      <c r="H82" s="218">
        <f t="shared" si="2"/>
        <v>232</v>
      </c>
      <c r="I82" s="150">
        <v>20</v>
      </c>
      <c r="J82" s="812" t="s">
        <v>483</v>
      </c>
      <c r="K82" s="57" t="s">
        <v>395</v>
      </c>
      <c r="L82" s="12"/>
      <c r="M82" s="57"/>
      <c r="N82" s="12"/>
      <c r="O82" s="57"/>
      <c r="P82" s="12"/>
      <c r="Q82" s="12"/>
      <c r="R82" s="38"/>
    </row>
    <row r="83" spans="1:19" s="19" customFormat="1" ht="24" customHeight="1" x14ac:dyDescent="0.25">
      <c r="A83" s="34"/>
      <c r="B83" s="12"/>
      <c r="C83" s="12" t="s">
        <v>477</v>
      </c>
      <c r="D83" s="48" t="s">
        <v>506</v>
      </c>
      <c r="E83" s="1933" t="s">
        <v>629</v>
      </c>
      <c r="F83" s="1934"/>
      <c r="G83" s="150">
        <v>260</v>
      </c>
      <c r="H83" s="218">
        <f t="shared" si="0"/>
        <v>215</v>
      </c>
      <c r="I83" s="150">
        <v>45</v>
      </c>
      <c r="J83" s="812" t="s">
        <v>483</v>
      </c>
      <c r="K83" s="57" t="s">
        <v>395</v>
      </c>
      <c r="L83" s="12"/>
      <c r="M83" s="57" t="s">
        <v>628</v>
      </c>
      <c r="N83" s="12"/>
      <c r="O83" s="57"/>
      <c r="P83" s="12"/>
      <c r="Q83" s="12"/>
      <c r="R83" s="38"/>
    </row>
    <row r="84" spans="1:19" s="19" customFormat="1" ht="24" customHeight="1" x14ac:dyDescent="0.25">
      <c r="A84" s="34"/>
      <c r="B84" s="12"/>
      <c r="C84" s="12" t="s">
        <v>479</v>
      </c>
      <c r="D84" s="48" t="s">
        <v>505</v>
      </c>
      <c r="E84" s="1933" t="s">
        <v>421</v>
      </c>
      <c r="F84" s="1934"/>
      <c r="G84" s="150">
        <v>275</v>
      </c>
      <c r="H84" s="218">
        <f t="shared" ref="H84" si="3">G84-I84</f>
        <v>216</v>
      </c>
      <c r="I84" s="150">
        <v>59</v>
      </c>
      <c r="J84" s="812" t="s">
        <v>483</v>
      </c>
      <c r="K84" s="57" t="s">
        <v>395</v>
      </c>
      <c r="L84" s="12"/>
      <c r="M84" s="57" t="s">
        <v>425</v>
      </c>
      <c r="N84" s="12"/>
      <c r="O84" s="57"/>
      <c r="P84" s="12"/>
      <c r="Q84" s="12"/>
      <c r="R84" s="38"/>
    </row>
    <row r="85" spans="1:19" s="19" customFormat="1" ht="24" customHeight="1" x14ac:dyDescent="0.25">
      <c r="A85" s="34"/>
      <c r="B85" s="12"/>
      <c r="C85" s="12" t="s">
        <v>478</v>
      </c>
      <c r="D85" s="48" t="s">
        <v>505</v>
      </c>
      <c r="E85" s="1933" t="s">
        <v>419</v>
      </c>
      <c r="F85" s="1934"/>
      <c r="G85" s="150">
        <v>330</v>
      </c>
      <c r="H85" s="218">
        <f>G85-I85</f>
        <v>282</v>
      </c>
      <c r="I85" s="150">
        <v>48</v>
      </c>
      <c r="J85" s="812" t="s">
        <v>483</v>
      </c>
      <c r="K85" s="57" t="s">
        <v>395</v>
      </c>
      <c r="L85" s="12"/>
      <c r="M85" s="57" t="s">
        <v>426</v>
      </c>
      <c r="N85" s="12"/>
      <c r="O85" s="57"/>
      <c r="P85" s="12"/>
      <c r="Q85" s="12"/>
      <c r="R85" s="38"/>
    </row>
    <row r="86" spans="1:19" s="19" customFormat="1" ht="24" customHeight="1" x14ac:dyDescent="0.25">
      <c r="A86" s="34"/>
      <c r="B86" s="12"/>
      <c r="C86" s="12" t="s">
        <v>478</v>
      </c>
      <c r="D86" s="48" t="s">
        <v>505</v>
      </c>
      <c r="E86" s="1933" t="s">
        <v>428</v>
      </c>
      <c r="F86" s="1934"/>
      <c r="G86" s="150">
        <v>345</v>
      </c>
      <c r="H86" s="218">
        <f t="shared" si="0"/>
        <v>279</v>
      </c>
      <c r="I86" s="150">
        <v>66</v>
      </c>
      <c r="J86" s="812" t="s">
        <v>483</v>
      </c>
      <c r="K86" s="57" t="s">
        <v>395</v>
      </c>
      <c r="L86" s="12"/>
      <c r="M86" s="57" t="s">
        <v>424</v>
      </c>
      <c r="N86" s="12"/>
      <c r="O86" s="57"/>
      <c r="P86" s="12"/>
      <c r="Q86" s="12"/>
      <c r="R86" s="38"/>
    </row>
    <row r="87" spans="1:19" s="19" customFormat="1" ht="24" customHeight="1" x14ac:dyDescent="0.25">
      <c r="A87" s="34"/>
      <c r="B87" s="12"/>
      <c r="C87" s="12" t="s">
        <v>474</v>
      </c>
      <c r="D87" s="48" t="s">
        <v>505</v>
      </c>
      <c r="E87" s="1933" t="s">
        <v>429</v>
      </c>
      <c r="F87" s="1934"/>
      <c r="G87" s="150">
        <v>469</v>
      </c>
      <c r="H87" s="218">
        <f t="shared" si="0"/>
        <v>358</v>
      </c>
      <c r="I87" s="150">
        <v>111</v>
      </c>
      <c r="J87" s="812" t="s">
        <v>483</v>
      </c>
      <c r="K87" s="57" t="s">
        <v>395</v>
      </c>
      <c r="L87" s="12"/>
      <c r="M87" s="57"/>
      <c r="N87" s="12"/>
      <c r="O87" s="12"/>
      <c r="P87" s="12"/>
      <c r="Q87" s="12"/>
      <c r="R87" s="38"/>
    </row>
    <row r="88" spans="1:19" s="19" customFormat="1" ht="24" customHeight="1" x14ac:dyDescent="0.25">
      <c r="A88" s="34"/>
      <c r="B88" s="12"/>
      <c r="C88" s="12" t="s">
        <v>474</v>
      </c>
      <c r="D88" s="48" t="s">
        <v>505</v>
      </c>
      <c r="E88" s="1933" t="s">
        <v>485</v>
      </c>
      <c r="F88" s="1934"/>
      <c r="G88" s="150">
        <v>516</v>
      </c>
      <c r="H88" s="218">
        <f t="shared" si="0"/>
        <v>427</v>
      </c>
      <c r="I88" s="150">
        <v>89</v>
      </c>
      <c r="J88" s="812" t="s">
        <v>483</v>
      </c>
      <c r="K88" s="57" t="s">
        <v>486</v>
      </c>
      <c r="L88" s="12"/>
      <c r="M88" s="57"/>
      <c r="N88" s="12"/>
      <c r="O88" s="12"/>
      <c r="P88" s="12"/>
      <c r="Q88" s="12"/>
      <c r="R88" s="38"/>
    </row>
    <row r="89" spans="1:19" s="19" customFormat="1" ht="24" customHeight="1" x14ac:dyDescent="0.25">
      <c r="A89" s="34"/>
      <c r="B89" s="12"/>
      <c r="C89" s="12" t="s">
        <v>474</v>
      </c>
      <c r="D89" s="48" t="s">
        <v>505</v>
      </c>
      <c r="E89" s="1933" t="s">
        <v>420</v>
      </c>
      <c r="F89" s="1934"/>
      <c r="G89" s="150">
        <v>517</v>
      </c>
      <c r="H89" s="218">
        <f t="shared" si="0"/>
        <v>427</v>
      </c>
      <c r="I89" s="150">
        <v>90</v>
      </c>
      <c r="J89" s="812" t="s">
        <v>483</v>
      </c>
      <c r="K89" s="57" t="s">
        <v>395</v>
      </c>
      <c r="L89" s="12"/>
      <c r="M89" s="57" t="s">
        <v>427</v>
      </c>
      <c r="N89" s="12"/>
      <c r="O89" s="12"/>
      <c r="P89" s="12"/>
      <c r="Q89" s="12"/>
      <c r="R89" s="38"/>
    </row>
    <row r="90" spans="1:19" ht="21" customHeight="1" x14ac:dyDescent="0.25">
      <c r="A90" s="736"/>
      <c r="B90" s="338" t="s">
        <v>452</v>
      </c>
      <c r="C90" s="1"/>
      <c r="D90" s="1"/>
      <c r="E90" s="1"/>
      <c r="F90" s="1"/>
      <c r="G90" s="1"/>
      <c r="H90" s="1"/>
      <c r="I90" s="1"/>
      <c r="J90" s="813"/>
      <c r="K90" s="1"/>
      <c r="L90" s="1"/>
      <c r="M90" s="1"/>
      <c r="N90" s="1"/>
      <c r="O90" s="1"/>
      <c r="P90" s="1"/>
      <c r="Q90" s="1"/>
      <c r="R90" s="32"/>
      <c r="S90"/>
    </row>
    <row r="91" spans="1:19" ht="21" customHeight="1" x14ac:dyDescent="0.25">
      <c r="A91" s="736"/>
      <c r="B91" s="147"/>
      <c r="C91" s="12" t="s">
        <v>462</v>
      </c>
      <c r="D91" s="48" t="s">
        <v>505</v>
      </c>
      <c r="E91" s="1933" t="s">
        <v>414</v>
      </c>
      <c r="F91" s="1934"/>
      <c r="G91" s="150">
        <v>183</v>
      </c>
      <c r="H91" s="218">
        <f>G91-I91</f>
        <v>169</v>
      </c>
      <c r="I91" s="150">
        <v>14</v>
      </c>
      <c r="J91" s="812" t="s">
        <v>483</v>
      </c>
      <c r="K91" s="57" t="s">
        <v>395</v>
      </c>
      <c r="L91" s="4"/>
      <c r="M91" s="57" t="s">
        <v>417</v>
      </c>
      <c r="N91" s="4"/>
      <c r="O91" s="4"/>
      <c r="P91" s="4"/>
      <c r="Q91" s="4"/>
      <c r="R91" s="32"/>
      <c r="S91"/>
    </row>
    <row r="92" spans="1:19" ht="21" customHeight="1" x14ac:dyDescent="0.25">
      <c r="A92" s="736"/>
      <c r="B92" s="147"/>
      <c r="C92" s="12" t="s">
        <v>461</v>
      </c>
      <c r="D92" s="48" t="s">
        <v>505</v>
      </c>
      <c r="E92" s="1933" t="s">
        <v>415</v>
      </c>
      <c r="F92" s="1934"/>
      <c r="G92" s="150">
        <v>120</v>
      </c>
      <c r="H92" s="218">
        <f>G92-I92</f>
        <v>106</v>
      </c>
      <c r="I92" s="150">
        <v>14</v>
      </c>
      <c r="J92" s="812" t="s">
        <v>483</v>
      </c>
      <c r="K92" s="57" t="s">
        <v>395</v>
      </c>
      <c r="L92" s="4"/>
      <c r="M92" s="57"/>
      <c r="N92" s="4"/>
      <c r="O92" s="4"/>
      <c r="P92" s="4"/>
      <c r="Q92" s="4"/>
      <c r="R92" s="32"/>
      <c r="S92"/>
    </row>
    <row r="93" spans="1:19" ht="21" customHeight="1" x14ac:dyDescent="0.25">
      <c r="A93" s="736"/>
      <c r="B93" s="147"/>
      <c r="C93" s="12" t="s">
        <v>460</v>
      </c>
      <c r="D93" s="48" t="s">
        <v>505</v>
      </c>
      <c r="E93" s="1933" t="s">
        <v>416</v>
      </c>
      <c r="F93" s="1934"/>
      <c r="G93" s="150">
        <v>97</v>
      </c>
      <c r="H93" s="218">
        <f>G93-I93</f>
        <v>88</v>
      </c>
      <c r="I93" s="150">
        <v>9</v>
      </c>
      <c r="J93" s="812" t="s">
        <v>483</v>
      </c>
      <c r="K93" s="57" t="s">
        <v>395</v>
      </c>
      <c r="L93" s="4"/>
      <c r="M93" s="57"/>
      <c r="N93" s="4"/>
      <c r="O93" s="4"/>
      <c r="P93" s="4"/>
      <c r="Q93" s="4"/>
      <c r="R93" s="32"/>
      <c r="S93"/>
    </row>
    <row r="94" spans="1:19" ht="21" customHeight="1" x14ac:dyDescent="0.25">
      <c r="A94" s="34"/>
      <c r="B94" s="12"/>
      <c r="C94" s="12" t="s">
        <v>462</v>
      </c>
      <c r="D94" s="48" t="s">
        <v>506</v>
      </c>
      <c r="E94" s="1933" t="s">
        <v>396</v>
      </c>
      <c r="F94" s="1934"/>
      <c r="G94" s="150">
        <v>181</v>
      </c>
      <c r="H94" s="218">
        <f t="shared" ref="H94:H114" si="4">G94-I94</f>
        <v>165</v>
      </c>
      <c r="I94" s="150">
        <v>16</v>
      </c>
      <c r="J94" s="812" t="s">
        <v>483</v>
      </c>
      <c r="K94" s="57" t="s">
        <v>395</v>
      </c>
      <c r="L94" s="4"/>
      <c r="M94" s="57"/>
      <c r="N94" s="4"/>
      <c r="O94" s="4"/>
      <c r="P94" s="4"/>
      <c r="Q94" s="4"/>
      <c r="R94" s="32"/>
      <c r="S94"/>
    </row>
    <row r="95" spans="1:19" ht="21" customHeight="1" x14ac:dyDescent="0.25">
      <c r="A95" s="34"/>
      <c r="B95" s="12"/>
      <c r="C95" s="12" t="s">
        <v>462</v>
      </c>
      <c r="D95" s="48" t="s">
        <v>506</v>
      </c>
      <c r="E95" s="1933" t="s">
        <v>397</v>
      </c>
      <c r="F95" s="1934"/>
      <c r="G95" s="150">
        <v>160</v>
      </c>
      <c r="H95" s="218">
        <f t="shared" si="4"/>
        <v>144</v>
      </c>
      <c r="I95" s="150">
        <v>16</v>
      </c>
      <c r="J95" s="812" t="s">
        <v>483</v>
      </c>
      <c r="K95" s="57" t="s">
        <v>395</v>
      </c>
      <c r="L95" s="4"/>
      <c r="M95" s="57"/>
      <c r="N95" s="4"/>
      <c r="O95" s="4"/>
      <c r="P95" s="4"/>
      <c r="Q95" s="4"/>
      <c r="R95" s="32"/>
      <c r="S95"/>
    </row>
    <row r="96" spans="1:19" ht="21" customHeight="1" x14ac:dyDescent="0.3">
      <c r="A96" s="34"/>
      <c r="B96" s="12"/>
      <c r="C96" s="12" t="s">
        <v>461</v>
      </c>
      <c r="D96" s="48" t="s">
        <v>506</v>
      </c>
      <c r="E96" s="1933" t="s">
        <v>398</v>
      </c>
      <c r="F96" s="1934"/>
      <c r="G96" s="150">
        <v>124</v>
      </c>
      <c r="H96" s="218">
        <f t="shared" si="4"/>
        <v>112</v>
      </c>
      <c r="I96" s="150">
        <v>12</v>
      </c>
      <c r="J96" s="812" t="s">
        <v>483</v>
      </c>
      <c r="K96" s="57" t="s">
        <v>395</v>
      </c>
      <c r="L96" s="4"/>
      <c r="M96" s="57"/>
      <c r="N96" s="4"/>
      <c r="O96" s="4"/>
      <c r="P96" s="4"/>
      <c r="Q96" s="4"/>
      <c r="R96" s="32"/>
      <c r="S96"/>
    </row>
    <row r="97" spans="1:19" ht="21" customHeight="1" x14ac:dyDescent="0.3">
      <c r="A97" s="34"/>
      <c r="B97" s="12"/>
      <c r="C97" s="12" t="s">
        <v>460</v>
      </c>
      <c r="D97" s="48" t="s">
        <v>506</v>
      </c>
      <c r="E97" s="1933" t="s">
        <v>399</v>
      </c>
      <c r="F97" s="1934"/>
      <c r="G97" s="150">
        <v>70</v>
      </c>
      <c r="H97" s="218">
        <f t="shared" si="4"/>
        <v>70</v>
      </c>
      <c r="I97" s="150">
        <v>0</v>
      </c>
      <c r="J97" s="812" t="s">
        <v>483</v>
      </c>
      <c r="K97" s="57" t="s">
        <v>395</v>
      </c>
      <c r="L97" s="4"/>
      <c r="M97" s="57"/>
      <c r="N97" s="4"/>
      <c r="O97" s="4"/>
      <c r="P97" s="4"/>
      <c r="Q97" s="4"/>
      <c r="R97" s="32"/>
      <c r="S97"/>
    </row>
    <row r="98" spans="1:19" ht="21" customHeight="1" x14ac:dyDescent="0.3">
      <c r="A98" s="34"/>
      <c r="B98" s="1110"/>
      <c r="C98" s="1110" t="s">
        <v>462</v>
      </c>
      <c r="D98" s="48" t="s">
        <v>506</v>
      </c>
      <c r="E98" s="1933" t="s">
        <v>400</v>
      </c>
      <c r="F98" s="1934"/>
      <c r="G98" s="150">
        <v>144</v>
      </c>
      <c r="H98" s="218">
        <f t="shared" si="4"/>
        <v>144</v>
      </c>
      <c r="I98" s="150">
        <v>0</v>
      </c>
      <c r="J98" s="812" t="s">
        <v>484</v>
      </c>
      <c r="K98" s="57" t="s">
        <v>616</v>
      </c>
      <c r="L98" s="4"/>
      <c r="M98" s="57" t="s">
        <v>618</v>
      </c>
      <c r="N98" s="4"/>
      <c r="O98" s="4"/>
      <c r="P98" s="4"/>
      <c r="Q98" s="4"/>
      <c r="R98" s="32"/>
      <c r="S98"/>
    </row>
    <row r="99" spans="1:19" ht="21" customHeight="1" x14ac:dyDescent="0.3">
      <c r="A99" s="34"/>
      <c r="B99" s="1110"/>
      <c r="C99" s="1110" t="s">
        <v>461</v>
      </c>
      <c r="D99" s="48" t="s">
        <v>506</v>
      </c>
      <c r="E99" s="1933" t="s">
        <v>401</v>
      </c>
      <c r="F99" s="1934"/>
      <c r="G99" s="150">
        <v>180</v>
      </c>
      <c r="H99" s="218">
        <f t="shared" ref="H99:H100" si="5">G99-I99</f>
        <v>180</v>
      </c>
      <c r="I99" s="150">
        <v>0</v>
      </c>
      <c r="J99" s="812" t="s">
        <v>484</v>
      </c>
      <c r="K99" s="57" t="s">
        <v>616</v>
      </c>
      <c r="L99" s="4"/>
      <c r="M99" s="57" t="s">
        <v>617</v>
      </c>
      <c r="N99" s="4"/>
      <c r="O99" s="4"/>
      <c r="P99" s="4"/>
      <c r="Q99" s="4"/>
      <c r="R99" s="32"/>
      <c r="S99"/>
    </row>
    <row r="100" spans="1:19" ht="21" customHeight="1" x14ac:dyDescent="0.3">
      <c r="A100" s="34"/>
      <c r="B100" s="12"/>
      <c r="C100" s="12" t="s">
        <v>463</v>
      </c>
      <c r="D100" s="48" t="s">
        <v>506</v>
      </c>
      <c r="E100" s="1933" t="s">
        <v>394</v>
      </c>
      <c r="F100" s="1934"/>
      <c r="G100" s="150">
        <v>188</v>
      </c>
      <c r="H100" s="218">
        <f t="shared" si="5"/>
        <v>166</v>
      </c>
      <c r="I100" s="150">
        <v>22</v>
      </c>
      <c r="J100" s="812" t="s">
        <v>483</v>
      </c>
      <c r="K100" s="57" t="s">
        <v>395</v>
      </c>
      <c r="L100" s="12"/>
      <c r="M100" s="57" t="s">
        <v>422</v>
      </c>
      <c r="N100" s="4"/>
      <c r="O100" s="4"/>
      <c r="P100" s="4"/>
      <c r="Q100" s="4"/>
      <c r="R100" s="32"/>
      <c r="S100"/>
    </row>
    <row r="101" spans="1:19" ht="21" customHeight="1" x14ac:dyDescent="0.3">
      <c r="A101" s="34"/>
      <c r="B101" s="12"/>
      <c r="C101" s="12" t="s">
        <v>474</v>
      </c>
      <c r="D101" s="48" t="s">
        <v>505</v>
      </c>
      <c r="E101" s="1933" t="s">
        <v>418</v>
      </c>
      <c r="F101" s="1934"/>
      <c r="G101" s="150">
        <v>494</v>
      </c>
      <c r="H101" s="218">
        <f>G101-I101</f>
        <v>415</v>
      </c>
      <c r="I101" s="150">
        <v>79</v>
      </c>
      <c r="J101" s="812" t="s">
        <v>483</v>
      </c>
      <c r="K101" s="57" t="s">
        <v>395</v>
      </c>
      <c r="L101" s="12"/>
      <c r="M101" s="57"/>
      <c r="N101" s="4"/>
      <c r="O101" s="4"/>
      <c r="P101" s="4"/>
      <c r="Q101" s="4"/>
      <c r="R101" s="32"/>
      <c r="S101"/>
    </row>
    <row r="102" spans="1:19" ht="21" customHeight="1" x14ac:dyDescent="0.3">
      <c r="A102" s="34"/>
      <c r="B102" s="12"/>
      <c r="C102" s="12" t="s">
        <v>461</v>
      </c>
      <c r="D102" s="48" t="s">
        <v>506</v>
      </c>
      <c r="E102" s="1933" t="s">
        <v>400</v>
      </c>
      <c r="F102" s="1934"/>
      <c r="G102" s="150">
        <v>138</v>
      </c>
      <c r="H102" s="218">
        <f t="shared" si="4"/>
        <v>138</v>
      </c>
      <c r="I102" s="150">
        <v>0</v>
      </c>
      <c r="J102" s="812" t="s">
        <v>484</v>
      </c>
      <c r="K102" s="57" t="s">
        <v>395</v>
      </c>
      <c r="L102" s="4"/>
      <c r="M102" s="57"/>
      <c r="N102" s="4"/>
      <c r="O102" s="4"/>
      <c r="P102" s="4"/>
      <c r="Q102" s="4"/>
      <c r="R102" s="32"/>
      <c r="S102"/>
    </row>
    <row r="103" spans="1:19" ht="21" customHeight="1" x14ac:dyDescent="0.3">
      <c r="A103" s="34"/>
      <c r="B103" s="12"/>
      <c r="C103" s="12" t="s">
        <v>462</v>
      </c>
      <c r="D103" s="48" t="s">
        <v>506</v>
      </c>
      <c r="E103" s="1933" t="s">
        <v>401</v>
      </c>
      <c r="F103" s="1934"/>
      <c r="G103" s="150">
        <v>168</v>
      </c>
      <c r="H103" s="218">
        <f t="shared" si="4"/>
        <v>168</v>
      </c>
      <c r="I103" s="150">
        <v>0</v>
      </c>
      <c r="J103" s="812" t="s">
        <v>484</v>
      </c>
      <c r="K103" s="57" t="s">
        <v>395</v>
      </c>
      <c r="L103" s="4"/>
      <c r="M103" s="57"/>
      <c r="N103" s="4"/>
      <c r="O103" s="4"/>
      <c r="P103" s="4"/>
      <c r="Q103" s="4"/>
      <c r="R103" s="32"/>
      <c r="S103"/>
    </row>
    <row r="104" spans="1:19" ht="21" customHeight="1" x14ac:dyDescent="0.3">
      <c r="A104" s="34"/>
      <c r="B104" s="12"/>
      <c r="C104" s="12" t="s">
        <v>477</v>
      </c>
      <c r="D104" s="48" t="s">
        <v>506</v>
      </c>
      <c r="E104" s="1933" t="s">
        <v>402</v>
      </c>
      <c r="F104" s="1934"/>
      <c r="G104" s="150">
        <v>276</v>
      </c>
      <c r="H104" s="218">
        <f t="shared" si="4"/>
        <v>258</v>
      </c>
      <c r="I104" s="150">
        <v>18</v>
      </c>
      <c r="J104" s="812" t="s">
        <v>483</v>
      </c>
      <c r="K104" s="57" t="s">
        <v>395</v>
      </c>
      <c r="L104" s="4"/>
      <c r="M104" s="57"/>
      <c r="N104" s="4"/>
      <c r="O104" s="4"/>
      <c r="P104" s="4"/>
      <c r="Q104" s="4"/>
      <c r="R104" s="32"/>
      <c r="S104"/>
    </row>
    <row r="105" spans="1:19" ht="21" customHeight="1" x14ac:dyDescent="0.3">
      <c r="A105" s="34"/>
      <c r="B105" s="12"/>
      <c r="C105" s="12" t="s">
        <v>476</v>
      </c>
      <c r="D105" s="48" t="s">
        <v>506</v>
      </c>
      <c r="E105" s="1933" t="s">
        <v>403</v>
      </c>
      <c r="F105" s="1934"/>
      <c r="G105" s="150">
        <v>259</v>
      </c>
      <c r="H105" s="218">
        <f t="shared" si="4"/>
        <v>241</v>
      </c>
      <c r="I105" s="150">
        <v>18</v>
      </c>
      <c r="J105" s="812" t="s">
        <v>483</v>
      </c>
      <c r="K105" s="57" t="s">
        <v>395</v>
      </c>
      <c r="L105" s="4"/>
      <c r="M105" s="57" t="s">
        <v>404</v>
      </c>
      <c r="N105" s="4"/>
      <c r="O105" s="4"/>
      <c r="P105" s="4"/>
      <c r="Q105" s="4"/>
      <c r="R105" s="32"/>
      <c r="S105"/>
    </row>
    <row r="106" spans="1:19" ht="21" customHeight="1" x14ac:dyDescent="0.3">
      <c r="A106" s="34"/>
      <c r="B106" s="12"/>
      <c r="C106" s="12" t="s">
        <v>462</v>
      </c>
      <c r="D106" s="48" t="s">
        <v>506</v>
      </c>
      <c r="E106" s="1933" t="s">
        <v>410</v>
      </c>
      <c r="F106" s="1934"/>
      <c r="G106" s="150">
        <v>150</v>
      </c>
      <c r="H106" s="218">
        <f>G106-I106</f>
        <v>150</v>
      </c>
      <c r="I106" s="150">
        <v>0</v>
      </c>
      <c r="J106" s="812" t="s">
        <v>484</v>
      </c>
      <c r="K106" s="57" t="s">
        <v>395</v>
      </c>
      <c r="L106" s="4"/>
      <c r="M106" s="57"/>
      <c r="N106" s="4"/>
      <c r="O106" s="4"/>
      <c r="P106" s="4"/>
      <c r="Q106" s="4"/>
      <c r="R106" s="32"/>
      <c r="S106"/>
    </row>
    <row r="107" spans="1:19" ht="21" customHeight="1" x14ac:dyDescent="0.3">
      <c r="A107" s="34"/>
      <c r="B107" s="12"/>
      <c r="C107" s="12" t="s">
        <v>462</v>
      </c>
      <c r="D107" s="48" t="s">
        <v>506</v>
      </c>
      <c r="E107" s="1933" t="s">
        <v>411</v>
      </c>
      <c r="F107" s="1934"/>
      <c r="G107" s="150">
        <v>190</v>
      </c>
      <c r="H107" s="218">
        <f>G107-I107</f>
        <v>190</v>
      </c>
      <c r="I107" s="150">
        <v>0</v>
      </c>
      <c r="J107" s="812" t="s">
        <v>484</v>
      </c>
      <c r="K107" s="57" t="s">
        <v>395</v>
      </c>
      <c r="L107" s="4"/>
      <c r="M107" s="183" t="s">
        <v>413</v>
      </c>
      <c r="N107" s="4"/>
      <c r="O107" s="4"/>
      <c r="P107" s="4"/>
      <c r="Q107" s="4"/>
      <c r="R107" s="32"/>
      <c r="S107"/>
    </row>
    <row r="108" spans="1:19" ht="21" customHeight="1" x14ac:dyDescent="0.3">
      <c r="A108" s="34"/>
      <c r="B108" s="12"/>
      <c r="C108" s="12" t="s">
        <v>460</v>
      </c>
      <c r="D108" s="48" t="s">
        <v>506</v>
      </c>
      <c r="E108" s="1933" t="s">
        <v>412</v>
      </c>
      <c r="F108" s="1934"/>
      <c r="G108" s="150">
        <v>100</v>
      </c>
      <c r="H108" s="218">
        <f>G108-I108</f>
        <v>100</v>
      </c>
      <c r="I108" s="150">
        <v>0</v>
      </c>
      <c r="J108" s="812" t="s">
        <v>484</v>
      </c>
      <c r="K108" s="57" t="s">
        <v>395</v>
      </c>
      <c r="L108" s="4"/>
      <c r="M108" s="57"/>
      <c r="N108" s="4"/>
      <c r="O108" s="4"/>
      <c r="P108" s="4"/>
      <c r="Q108" s="4"/>
      <c r="R108" s="32"/>
      <c r="S108"/>
    </row>
    <row r="109" spans="1:19" ht="21" customHeight="1" x14ac:dyDescent="0.3">
      <c r="A109" s="34"/>
      <c r="B109" s="12"/>
      <c r="C109" s="12" t="s">
        <v>462</v>
      </c>
      <c r="D109" s="48" t="s">
        <v>506</v>
      </c>
      <c r="E109" s="1933" t="s">
        <v>431</v>
      </c>
      <c r="F109" s="1934"/>
      <c r="G109" s="150">
        <v>175</v>
      </c>
      <c r="H109" s="218">
        <f t="shared" si="4"/>
        <v>175</v>
      </c>
      <c r="I109" s="150">
        <v>0</v>
      </c>
      <c r="J109" s="812" t="s">
        <v>484</v>
      </c>
      <c r="K109" s="57" t="s">
        <v>395</v>
      </c>
      <c r="L109" s="12"/>
      <c r="M109" s="57"/>
      <c r="N109" s="4"/>
      <c r="O109" s="4"/>
      <c r="P109" s="4"/>
      <c r="Q109" s="4"/>
      <c r="R109" s="32"/>
      <c r="S109"/>
    </row>
    <row r="110" spans="1:19" ht="21" customHeight="1" x14ac:dyDescent="0.3">
      <c r="A110" s="34"/>
      <c r="B110" s="12"/>
      <c r="C110" s="12" t="s">
        <v>460</v>
      </c>
      <c r="D110" s="48" t="s">
        <v>506</v>
      </c>
      <c r="E110" s="1933" t="s">
        <v>405</v>
      </c>
      <c r="F110" s="1934"/>
      <c r="G110" s="150">
        <v>99</v>
      </c>
      <c r="H110" s="218">
        <f t="shared" si="4"/>
        <v>88</v>
      </c>
      <c r="I110" s="150">
        <v>11</v>
      </c>
      <c r="J110" s="812" t="s">
        <v>483</v>
      </c>
      <c r="K110" s="57" t="s">
        <v>395</v>
      </c>
      <c r="L110" s="4"/>
      <c r="M110" s="57"/>
      <c r="N110" s="4"/>
      <c r="O110" s="4"/>
      <c r="P110" s="4"/>
      <c r="Q110" s="4"/>
      <c r="R110" s="32"/>
      <c r="S110"/>
    </row>
    <row r="111" spans="1:19" ht="21" customHeight="1" x14ac:dyDescent="0.3">
      <c r="A111" s="34"/>
      <c r="B111" s="12"/>
      <c r="C111" s="12" t="s">
        <v>462</v>
      </c>
      <c r="D111" s="48" t="s">
        <v>506</v>
      </c>
      <c r="E111" s="1933" t="s">
        <v>406</v>
      </c>
      <c r="F111" s="1934"/>
      <c r="G111" s="150">
        <v>187</v>
      </c>
      <c r="H111" s="218">
        <f t="shared" si="4"/>
        <v>171</v>
      </c>
      <c r="I111" s="150">
        <v>16</v>
      </c>
      <c r="J111" s="812" t="s">
        <v>483</v>
      </c>
      <c r="K111" s="57" t="s">
        <v>395</v>
      </c>
      <c r="L111" s="4"/>
      <c r="M111" s="57"/>
      <c r="N111" s="4"/>
      <c r="O111" s="4"/>
      <c r="P111" s="4"/>
      <c r="Q111" s="4"/>
      <c r="R111" s="32"/>
      <c r="S111"/>
    </row>
    <row r="112" spans="1:19" ht="21" customHeight="1" x14ac:dyDescent="0.3">
      <c r="A112" s="736"/>
      <c r="B112" s="4"/>
      <c r="C112" s="12" t="s">
        <v>463</v>
      </c>
      <c r="D112" s="48" t="s">
        <v>506</v>
      </c>
      <c r="E112" s="1933" t="s">
        <v>407</v>
      </c>
      <c r="F112" s="1934"/>
      <c r="G112" s="150">
        <v>190</v>
      </c>
      <c r="H112" s="218">
        <f t="shared" si="4"/>
        <v>176</v>
      </c>
      <c r="I112" s="150">
        <v>14</v>
      </c>
      <c r="J112" s="812" t="s">
        <v>483</v>
      </c>
      <c r="K112" s="57" t="s">
        <v>395</v>
      </c>
      <c r="L112" s="4"/>
      <c r="M112" s="57" t="s">
        <v>409</v>
      </c>
      <c r="N112" s="4"/>
      <c r="O112" s="4"/>
      <c r="P112" s="4"/>
      <c r="Q112" s="4"/>
      <c r="R112" s="32"/>
      <c r="S112"/>
    </row>
    <row r="113" spans="1:19" ht="21" customHeight="1" x14ac:dyDescent="0.3">
      <c r="A113" s="736"/>
      <c r="B113" s="4"/>
      <c r="C113" s="12" t="s">
        <v>474</v>
      </c>
      <c r="D113" s="48" t="s">
        <v>505</v>
      </c>
      <c r="E113" s="1933" t="s">
        <v>576</v>
      </c>
      <c r="F113" s="1934"/>
      <c r="G113" s="150">
        <v>365</v>
      </c>
      <c r="H113" s="218">
        <f t="shared" si="4"/>
        <v>299</v>
      </c>
      <c r="I113" s="150">
        <v>66</v>
      </c>
      <c r="J113" s="812" t="s">
        <v>483</v>
      </c>
      <c r="K113" s="57" t="s">
        <v>605</v>
      </c>
      <c r="L113" s="4"/>
      <c r="M113" s="1022"/>
      <c r="N113" s="4"/>
      <c r="O113" s="4"/>
      <c r="P113" s="4"/>
      <c r="Q113" s="4"/>
      <c r="R113" s="32"/>
      <c r="S113"/>
    </row>
    <row r="114" spans="1:19" ht="21" customHeight="1" x14ac:dyDescent="0.3">
      <c r="A114" s="736"/>
      <c r="B114" s="4"/>
      <c r="C114" s="12" t="s">
        <v>476</v>
      </c>
      <c r="D114" s="48" t="s">
        <v>506</v>
      </c>
      <c r="E114" s="1933" t="s">
        <v>408</v>
      </c>
      <c r="F114" s="1934"/>
      <c r="G114" s="150">
        <v>252</v>
      </c>
      <c r="H114" s="218">
        <f t="shared" si="4"/>
        <v>232</v>
      </c>
      <c r="I114" s="150">
        <v>20</v>
      </c>
      <c r="J114" s="812" t="s">
        <v>483</v>
      </c>
      <c r="K114" s="57" t="s">
        <v>395</v>
      </c>
      <c r="L114" s="4"/>
      <c r="M114" s="57"/>
      <c r="N114" s="4"/>
      <c r="O114" s="4"/>
      <c r="P114" s="4"/>
      <c r="Q114" s="4"/>
      <c r="R114" s="32"/>
      <c r="S114"/>
    </row>
    <row r="115" spans="1:19" ht="21" customHeight="1" thickBot="1" x14ac:dyDescent="0.35">
      <c r="A115" s="737"/>
      <c r="B115" s="738"/>
      <c r="C115" s="738"/>
      <c r="D115" s="738"/>
      <c r="E115" s="738"/>
      <c r="F115" s="738"/>
      <c r="G115" s="738"/>
      <c r="H115" s="738"/>
      <c r="I115" s="738"/>
      <c r="J115" s="757"/>
      <c r="K115" s="738"/>
      <c r="L115" s="738"/>
      <c r="M115" s="738"/>
      <c r="N115" s="738"/>
      <c r="O115" s="738"/>
      <c r="P115" s="738"/>
      <c r="Q115" s="738"/>
      <c r="R115" s="739"/>
      <c r="S115"/>
    </row>
    <row r="116" spans="1:19" ht="21" customHeight="1" x14ac:dyDescent="0.3">
      <c r="A116"/>
      <c r="B116"/>
      <c r="C116"/>
      <c r="D116"/>
      <c r="E116"/>
      <c r="F116"/>
      <c r="G116"/>
      <c r="H116"/>
      <c r="I116"/>
      <c r="J116"/>
      <c r="K116"/>
      <c r="L116"/>
      <c r="M116"/>
      <c r="N116"/>
      <c r="O116"/>
      <c r="P116"/>
      <c r="Q116"/>
      <c r="R116"/>
      <c r="S116"/>
    </row>
    <row r="117" spans="1:19" ht="21" customHeight="1" x14ac:dyDescent="0.3">
      <c r="A117"/>
      <c r="B117"/>
      <c r="C117"/>
      <c r="D117"/>
      <c r="E117"/>
      <c r="F117"/>
      <c r="G117"/>
      <c r="H117"/>
      <c r="I117"/>
      <c r="J117"/>
      <c r="K117"/>
      <c r="L117"/>
      <c r="M117"/>
      <c r="N117"/>
      <c r="O117"/>
      <c r="P117"/>
      <c r="Q117"/>
      <c r="R117"/>
      <c r="S117"/>
    </row>
    <row r="118" spans="1:19" ht="21" customHeight="1" x14ac:dyDescent="0.3">
      <c r="A118"/>
      <c r="B118"/>
      <c r="C118"/>
      <c r="D118"/>
      <c r="E118"/>
      <c r="F118"/>
      <c r="G118"/>
      <c r="H118"/>
      <c r="I118"/>
      <c r="J118"/>
      <c r="K118"/>
      <c r="L118"/>
      <c r="M118"/>
      <c r="N118"/>
      <c r="O118"/>
      <c r="P118"/>
      <c r="Q118"/>
      <c r="R118"/>
      <c r="S118"/>
    </row>
    <row r="119" spans="1:19" ht="21" customHeight="1" x14ac:dyDescent="0.3">
      <c r="A119"/>
      <c r="B119"/>
      <c r="C119"/>
      <c r="D119"/>
      <c r="E119"/>
      <c r="F119"/>
      <c r="G119"/>
      <c r="H119"/>
      <c r="I119"/>
      <c r="J119"/>
      <c r="K119"/>
      <c r="L119"/>
      <c r="M119"/>
      <c r="N119"/>
      <c r="O119"/>
      <c r="P119"/>
      <c r="Q119"/>
      <c r="R119"/>
      <c r="S119"/>
    </row>
    <row r="120" spans="1:19" ht="21" customHeight="1" x14ac:dyDescent="0.3">
      <c r="A120"/>
      <c r="B120"/>
      <c r="C120"/>
      <c r="D120"/>
      <c r="E120"/>
      <c r="F120"/>
      <c r="G120"/>
      <c r="H120"/>
      <c r="I120"/>
      <c r="J120"/>
      <c r="K120"/>
      <c r="L120"/>
      <c r="M120"/>
      <c r="N120"/>
      <c r="O120"/>
      <c r="P120"/>
      <c r="Q120"/>
      <c r="R120"/>
      <c r="S120"/>
    </row>
    <row r="121" spans="1:19" ht="21" customHeight="1" x14ac:dyDescent="0.3">
      <c r="A121"/>
      <c r="B121"/>
      <c r="C121"/>
      <c r="D121"/>
      <c r="E121"/>
      <c r="F121"/>
      <c r="G121"/>
      <c r="H121"/>
      <c r="I121"/>
      <c r="J121"/>
      <c r="K121"/>
      <c r="L121"/>
      <c r="M121"/>
      <c r="N121"/>
      <c r="O121"/>
      <c r="P121"/>
      <c r="Q121"/>
      <c r="R121"/>
      <c r="S121"/>
    </row>
    <row r="122" spans="1:19" ht="21" customHeight="1" x14ac:dyDescent="0.3">
      <c r="A122"/>
      <c r="B122"/>
      <c r="C122"/>
      <c r="D122"/>
      <c r="E122"/>
      <c r="F122"/>
      <c r="G122"/>
      <c r="H122"/>
      <c r="I122"/>
      <c r="J122"/>
      <c r="K122"/>
      <c r="L122"/>
      <c r="M122"/>
      <c r="N122"/>
      <c r="O122"/>
      <c r="P122"/>
      <c r="Q122"/>
      <c r="R122"/>
      <c r="S122"/>
    </row>
    <row r="123" spans="1:19" ht="21" customHeight="1" x14ac:dyDescent="0.3">
      <c r="A123"/>
      <c r="B123"/>
      <c r="C123"/>
      <c r="D123"/>
      <c r="E123"/>
      <c r="F123"/>
      <c r="G123"/>
      <c r="H123"/>
      <c r="I123"/>
      <c r="J123"/>
      <c r="K123"/>
      <c r="L123"/>
      <c r="M123"/>
      <c r="N123"/>
      <c r="O123"/>
      <c r="P123"/>
      <c r="Q123"/>
      <c r="R123"/>
      <c r="S123"/>
    </row>
    <row r="124" spans="1:19" ht="21" customHeight="1" x14ac:dyDescent="0.3">
      <c r="A124"/>
      <c r="B124"/>
      <c r="C124"/>
      <c r="D124"/>
      <c r="E124"/>
      <c r="F124"/>
      <c r="G124"/>
      <c r="H124"/>
      <c r="I124"/>
      <c r="J124"/>
      <c r="K124"/>
      <c r="L124"/>
      <c r="M124"/>
      <c r="N124"/>
      <c r="O124"/>
      <c r="P124"/>
      <c r="Q124"/>
      <c r="R124"/>
      <c r="S124"/>
    </row>
    <row r="125" spans="1:19" ht="21" customHeight="1" x14ac:dyDescent="0.3">
      <c r="A125"/>
      <c r="B125"/>
      <c r="C125"/>
      <c r="D125"/>
      <c r="E125"/>
      <c r="F125"/>
      <c r="G125"/>
      <c r="H125"/>
      <c r="I125"/>
      <c r="J125"/>
      <c r="K125"/>
      <c r="L125"/>
      <c r="M125"/>
      <c r="N125"/>
      <c r="O125"/>
      <c r="P125"/>
      <c r="Q125"/>
      <c r="R125"/>
      <c r="S125"/>
    </row>
    <row r="126" spans="1:19" ht="21" customHeight="1" x14ac:dyDescent="0.3">
      <c r="A126"/>
      <c r="B126"/>
      <c r="C126"/>
      <c r="D126"/>
      <c r="E126"/>
      <c r="F126"/>
      <c r="G126"/>
      <c r="H126"/>
      <c r="I126"/>
      <c r="J126"/>
      <c r="K126"/>
      <c r="L126"/>
      <c r="M126"/>
      <c r="N126"/>
      <c r="O126"/>
      <c r="P126"/>
      <c r="Q126"/>
      <c r="R126"/>
      <c r="S126"/>
    </row>
    <row r="127" spans="1:19" ht="21" customHeight="1" x14ac:dyDescent="0.3">
      <c r="A127"/>
      <c r="B127"/>
      <c r="C127"/>
      <c r="D127"/>
      <c r="E127"/>
      <c r="F127"/>
      <c r="G127"/>
      <c r="H127"/>
      <c r="I127"/>
      <c r="J127"/>
      <c r="K127"/>
      <c r="L127"/>
      <c r="M127"/>
      <c r="N127"/>
      <c r="O127"/>
      <c r="P127"/>
      <c r="Q127"/>
      <c r="R127"/>
      <c r="S127"/>
    </row>
    <row r="128" spans="1:19" ht="21" customHeight="1" x14ac:dyDescent="0.3">
      <c r="A128"/>
      <c r="B128"/>
      <c r="C128"/>
      <c r="D128"/>
      <c r="E128"/>
      <c r="F128"/>
      <c r="G128"/>
      <c r="H128"/>
      <c r="I128"/>
      <c r="J128"/>
      <c r="K128"/>
      <c r="L128"/>
      <c r="M128"/>
      <c r="N128"/>
      <c r="O128"/>
      <c r="P128"/>
      <c r="Q128"/>
      <c r="R128"/>
      <c r="S128"/>
    </row>
    <row r="129" spans="1:19" ht="21" customHeight="1" x14ac:dyDescent="0.3">
      <c r="A129"/>
      <c r="B129"/>
      <c r="C129"/>
      <c r="D129"/>
      <c r="E129"/>
      <c r="F129"/>
      <c r="G129"/>
      <c r="H129"/>
      <c r="I129"/>
      <c r="J129"/>
      <c r="K129"/>
      <c r="L129"/>
      <c r="M129"/>
      <c r="N129"/>
      <c r="O129"/>
      <c r="P129"/>
      <c r="Q129"/>
      <c r="R129"/>
      <c r="S129"/>
    </row>
    <row r="130" spans="1:19" ht="21" customHeight="1" x14ac:dyDescent="0.3">
      <c r="A130"/>
      <c r="B130"/>
      <c r="C130"/>
      <c r="D130"/>
      <c r="E130"/>
      <c r="F130"/>
      <c r="G130"/>
      <c r="H130"/>
      <c r="I130"/>
      <c r="J130"/>
      <c r="K130"/>
      <c r="L130"/>
      <c r="M130"/>
      <c r="N130"/>
      <c r="O130"/>
      <c r="P130"/>
      <c r="Q130"/>
      <c r="R130"/>
      <c r="S130"/>
    </row>
    <row r="131" spans="1:19" ht="21" customHeight="1" x14ac:dyDescent="0.3">
      <c r="A131"/>
      <c r="B131"/>
      <c r="C131"/>
      <c r="D131"/>
      <c r="E131"/>
      <c r="F131"/>
      <c r="G131"/>
      <c r="H131"/>
      <c r="I131"/>
      <c r="J131"/>
      <c r="K131"/>
      <c r="L131"/>
      <c r="M131"/>
      <c r="N131"/>
      <c r="O131"/>
      <c r="P131"/>
      <c r="Q131"/>
      <c r="R131"/>
      <c r="S131"/>
    </row>
    <row r="132" spans="1:19" ht="21" customHeight="1" x14ac:dyDescent="0.3">
      <c r="A132"/>
      <c r="B132"/>
      <c r="C132"/>
      <c r="D132"/>
      <c r="E132"/>
      <c r="F132"/>
      <c r="G132"/>
      <c r="H132"/>
      <c r="I132"/>
      <c r="J132"/>
      <c r="K132"/>
      <c r="L132"/>
      <c r="M132"/>
      <c r="N132"/>
      <c r="O132"/>
      <c r="P132"/>
      <c r="Q132"/>
      <c r="R132"/>
      <c r="S132"/>
    </row>
    <row r="133" spans="1:19" ht="21" customHeight="1" x14ac:dyDescent="0.3">
      <c r="A133"/>
      <c r="B133"/>
      <c r="C133"/>
      <c r="D133"/>
      <c r="E133"/>
      <c r="F133"/>
      <c r="G133"/>
      <c r="H133"/>
      <c r="I133"/>
      <c r="J133"/>
      <c r="K133"/>
      <c r="L133"/>
      <c r="M133"/>
      <c r="N133"/>
      <c r="O133"/>
      <c r="P133"/>
      <c r="Q133"/>
      <c r="R133"/>
      <c r="S133"/>
    </row>
    <row r="134" spans="1:19" ht="21" customHeight="1" x14ac:dyDescent="0.3">
      <c r="A134"/>
      <c r="B134"/>
      <c r="C134"/>
      <c r="D134"/>
      <c r="E134"/>
      <c r="F134"/>
      <c r="G134"/>
      <c r="H134"/>
      <c r="I134"/>
      <c r="J134"/>
      <c r="K134"/>
      <c r="L134"/>
      <c r="M134"/>
      <c r="N134"/>
      <c r="O134"/>
      <c r="P134"/>
      <c r="Q134"/>
      <c r="R134"/>
      <c r="S134"/>
    </row>
    <row r="135" spans="1:19" ht="21" customHeight="1" x14ac:dyDescent="0.3">
      <c r="A135"/>
      <c r="B135"/>
      <c r="C135"/>
      <c r="D135"/>
      <c r="E135"/>
      <c r="F135"/>
      <c r="G135"/>
      <c r="H135"/>
      <c r="I135"/>
      <c r="J135"/>
      <c r="K135"/>
      <c r="L135"/>
      <c r="M135"/>
      <c r="N135"/>
      <c r="O135"/>
      <c r="P135"/>
      <c r="Q135"/>
      <c r="R135"/>
      <c r="S135"/>
    </row>
    <row r="136" spans="1:19" ht="21" customHeight="1" x14ac:dyDescent="0.3">
      <c r="A136"/>
      <c r="B136"/>
      <c r="C136"/>
      <c r="D136"/>
      <c r="E136"/>
      <c r="F136"/>
      <c r="G136"/>
      <c r="H136"/>
      <c r="I136"/>
      <c r="J136"/>
      <c r="K136"/>
      <c r="L136"/>
      <c r="M136"/>
      <c r="N136"/>
      <c r="O136"/>
      <c r="P136"/>
      <c r="Q136"/>
      <c r="R136"/>
      <c r="S136"/>
    </row>
    <row r="137" spans="1:19" ht="21" customHeight="1" x14ac:dyDescent="0.3">
      <c r="A137"/>
      <c r="B137"/>
      <c r="C137"/>
      <c r="D137"/>
      <c r="E137"/>
      <c r="F137"/>
      <c r="G137"/>
      <c r="H137"/>
      <c r="I137"/>
      <c r="J137"/>
      <c r="K137"/>
      <c r="L137"/>
      <c r="M137"/>
      <c r="N137"/>
      <c r="O137"/>
      <c r="P137"/>
      <c r="Q137"/>
      <c r="R137"/>
      <c r="S137"/>
    </row>
    <row r="138" spans="1:19" ht="21" customHeight="1" x14ac:dyDescent="0.3">
      <c r="A138"/>
      <c r="B138"/>
      <c r="C138"/>
      <c r="D138"/>
      <c r="E138"/>
      <c r="F138"/>
      <c r="G138"/>
      <c r="H138"/>
      <c r="I138"/>
      <c r="J138"/>
      <c r="K138"/>
      <c r="L138"/>
      <c r="M138"/>
      <c r="N138"/>
      <c r="O138"/>
      <c r="P138"/>
      <c r="Q138"/>
      <c r="R138"/>
      <c r="S138"/>
    </row>
    <row r="139" spans="1:19" ht="21" customHeight="1" x14ac:dyDescent="0.3">
      <c r="A139"/>
      <c r="B139"/>
      <c r="C139"/>
      <c r="D139"/>
      <c r="E139"/>
      <c r="F139"/>
      <c r="G139"/>
      <c r="H139"/>
      <c r="I139"/>
      <c r="J139"/>
      <c r="K139"/>
      <c r="L139"/>
      <c r="M139"/>
      <c r="N139"/>
      <c r="O139"/>
      <c r="P139"/>
      <c r="Q139"/>
      <c r="R139"/>
      <c r="S139"/>
    </row>
    <row r="140" spans="1:19" ht="21" customHeight="1" x14ac:dyDescent="0.3">
      <c r="A140"/>
      <c r="B140"/>
      <c r="C140"/>
      <c r="D140"/>
      <c r="E140"/>
      <c r="F140"/>
      <c r="G140"/>
      <c r="H140"/>
      <c r="I140"/>
      <c r="J140"/>
      <c r="K140"/>
      <c r="L140"/>
      <c r="M140"/>
      <c r="N140"/>
      <c r="O140"/>
      <c r="P140"/>
      <c r="Q140"/>
      <c r="R140"/>
      <c r="S140"/>
    </row>
    <row r="141" spans="1:19" ht="21" customHeight="1" x14ac:dyDescent="0.3">
      <c r="A141"/>
      <c r="B141"/>
      <c r="C141"/>
      <c r="D141"/>
      <c r="E141"/>
      <c r="F141"/>
      <c r="G141"/>
      <c r="H141"/>
      <c r="I141"/>
      <c r="J141"/>
      <c r="K141"/>
      <c r="L141"/>
      <c r="M141"/>
      <c r="N141"/>
      <c r="O141"/>
      <c r="P141"/>
      <c r="Q141"/>
      <c r="R141"/>
      <c r="S141"/>
    </row>
    <row r="142" spans="1:19" ht="21" customHeight="1" x14ac:dyDescent="0.3">
      <c r="A142"/>
      <c r="B142"/>
      <c r="C142"/>
      <c r="D142"/>
      <c r="E142"/>
      <c r="F142"/>
      <c r="G142"/>
      <c r="H142"/>
      <c r="I142"/>
      <c r="J142"/>
      <c r="K142"/>
      <c r="L142"/>
      <c r="M142"/>
      <c r="N142"/>
      <c r="O142"/>
      <c r="P142"/>
      <c r="Q142"/>
      <c r="R142"/>
      <c r="S142"/>
    </row>
    <row r="143" spans="1:19" ht="21" customHeight="1" x14ac:dyDescent="0.3">
      <c r="A143"/>
      <c r="B143"/>
      <c r="C143"/>
      <c r="D143"/>
      <c r="E143"/>
      <c r="F143"/>
      <c r="G143"/>
      <c r="H143"/>
      <c r="I143"/>
      <c r="J143"/>
      <c r="K143"/>
      <c r="L143"/>
      <c r="M143"/>
      <c r="N143"/>
      <c r="O143"/>
      <c r="P143"/>
      <c r="Q143"/>
      <c r="R143"/>
      <c r="S143"/>
    </row>
    <row r="144" spans="1:19" ht="21" customHeight="1" x14ac:dyDescent="0.3">
      <c r="A144"/>
      <c r="B144"/>
      <c r="C144"/>
      <c r="D144"/>
      <c r="E144"/>
      <c r="F144"/>
      <c r="G144"/>
      <c r="H144"/>
      <c r="I144"/>
      <c r="J144"/>
      <c r="K144"/>
      <c r="L144"/>
      <c r="M144"/>
      <c r="N144"/>
      <c r="O144"/>
      <c r="P144"/>
      <c r="Q144"/>
      <c r="R144"/>
      <c r="S144"/>
    </row>
    <row r="145" spans="1:19" ht="14.4" x14ac:dyDescent="0.3">
      <c r="A145"/>
      <c r="B145"/>
      <c r="C145"/>
      <c r="D145"/>
      <c r="E145"/>
      <c r="F145"/>
      <c r="G145"/>
      <c r="H145"/>
      <c r="I145"/>
      <c r="J145"/>
      <c r="K145"/>
      <c r="L145"/>
      <c r="M145"/>
      <c r="N145"/>
      <c r="O145"/>
      <c r="P145"/>
      <c r="Q145"/>
      <c r="R145"/>
      <c r="S145"/>
    </row>
  </sheetData>
  <mergeCells count="59">
    <mergeCell ref="E87:F87"/>
    <mergeCell ref="E112:F112"/>
    <mergeCell ref="E114:F114"/>
    <mergeCell ref="E106:F106"/>
    <mergeCell ref="E107:F107"/>
    <mergeCell ref="E108:F108"/>
    <mergeCell ref="E110:F110"/>
    <mergeCell ref="E111:F111"/>
    <mergeCell ref="E113:F113"/>
    <mergeCell ref="E98:F98"/>
    <mergeCell ref="E99:F99"/>
    <mergeCell ref="E102:F102"/>
    <mergeCell ref="E100:F100"/>
    <mergeCell ref="E109:F109"/>
    <mergeCell ref="E91:F91"/>
    <mergeCell ref="E92:F92"/>
    <mergeCell ref="E93:F93"/>
    <mergeCell ref="E103:F103"/>
    <mergeCell ref="E104:F104"/>
    <mergeCell ref="E105:F105"/>
    <mergeCell ref="E101:F101"/>
    <mergeCell ref="E94:F94"/>
    <mergeCell ref="E95:F95"/>
    <mergeCell ref="E96:F96"/>
    <mergeCell ref="E97:F97"/>
    <mergeCell ref="E89:F89"/>
    <mergeCell ref="E3:F3"/>
    <mergeCell ref="E73:F73"/>
    <mergeCell ref="E81:F81"/>
    <mergeCell ref="E82:F82"/>
    <mergeCell ref="E27:F27"/>
    <mergeCell ref="E44:F44"/>
    <mergeCell ref="E80:F80"/>
    <mergeCell ref="E88:F88"/>
    <mergeCell ref="E74:F74"/>
    <mergeCell ref="E77:F77"/>
    <mergeCell ref="E76:F76"/>
    <mergeCell ref="E86:F86"/>
    <mergeCell ref="E85:F85"/>
    <mergeCell ref="E84:F84"/>
    <mergeCell ref="E83:F83"/>
    <mergeCell ref="G3:H3"/>
    <mergeCell ref="K3:L3"/>
    <mergeCell ref="M3:N3"/>
    <mergeCell ref="G44:H44"/>
    <mergeCell ref="K44:L44"/>
    <mergeCell ref="M44:N44"/>
    <mergeCell ref="G27:H27"/>
    <mergeCell ref="K27:L27"/>
    <mergeCell ref="M27:N27"/>
    <mergeCell ref="I3:J3"/>
    <mergeCell ref="I27:J27"/>
    <mergeCell ref="I44:J44"/>
    <mergeCell ref="E78:F78"/>
    <mergeCell ref="E79:F79"/>
    <mergeCell ref="E75:F75"/>
    <mergeCell ref="O72:R73"/>
    <mergeCell ref="O7:R8"/>
    <mergeCell ref="G72:I72"/>
  </mergeCells>
  <printOptions horizontalCentered="1"/>
  <pageMargins left="0.31496062992125984" right="0.31496062992125984" top="0.39370078740157483" bottom="0.55118110236220474" header="0.23622047244094491" footer="0.23622047244094491"/>
  <pageSetup paperSize="119" scale="64" orientation="landscape" r:id="rId1"/>
  <headerFooter>
    <oddFooter>&amp;L&amp;F&amp;C&amp;A&amp;RPrinted &amp;D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S70"/>
  <sheetViews>
    <sheetView zoomScaleNormal="100" workbookViewId="0">
      <pane xSplit="4" ySplit="3" topLeftCell="E4" activePane="bottomRight" state="frozen"/>
      <selection activeCell="E6" sqref="E6"/>
      <selection pane="topRight" activeCell="E6" sqref="E6"/>
      <selection pane="bottomLeft" activeCell="E6" sqref="E6"/>
      <selection pane="bottomRight" activeCell="E4" sqref="E4:F4"/>
    </sheetView>
  </sheetViews>
  <sheetFormatPr defaultColWidth="9.109375" defaultRowHeight="13.8" x14ac:dyDescent="0.3"/>
  <cols>
    <col min="1" max="2" width="3.6640625" style="19" customWidth="1"/>
    <col min="3" max="3" width="36.6640625" style="19" customWidth="1"/>
    <col min="4" max="4" width="9.6640625" style="72" customWidth="1"/>
    <col min="5" max="5" width="10.6640625" style="72" customWidth="1"/>
    <col min="6" max="14" width="10.6640625" style="19" customWidth="1"/>
    <col min="15" max="15" width="9.6640625" style="19" customWidth="1"/>
    <col min="16" max="16" width="30.6640625" style="19" customWidth="1"/>
    <col min="17" max="17" width="9.6640625" style="19" customWidth="1"/>
    <col min="18" max="18" width="20.6640625" style="19" customWidth="1"/>
    <col min="19" max="19" width="9.6640625" style="19" customWidth="1"/>
    <col min="20" max="16384" width="9.109375" style="19"/>
  </cols>
  <sheetData>
    <row r="1" spans="1:19" ht="24" customHeight="1" x14ac:dyDescent="0.3">
      <c r="A1" s="726" t="s">
        <v>497</v>
      </c>
      <c r="B1" s="222"/>
      <c r="C1" s="137"/>
      <c r="D1" s="28"/>
      <c r="E1" s="29" t="s">
        <v>780</v>
      </c>
      <c r="F1" s="137"/>
      <c r="G1" s="138"/>
      <c r="H1" s="137"/>
      <c r="I1" s="137"/>
      <c r="J1" s="137"/>
      <c r="K1" s="137"/>
      <c r="L1" s="137"/>
      <c r="M1" s="137"/>
      <c r="N1" s="137"/>
      <c r="O1" s="607"/>
      <c r="P1" s="607"/>
      <c r="Q1" s="607"/>
      <c r="R1" s="607"/>
      <c r="S1" s="692"/>
    </row>
    <row r="2" spans="1:19" ht="18" customHeight="1" x14ac:dyDescent="0.25">
      <c r="A2" s="34"/>
      <c r="B2" s="12"/>
      <c r="C2" s="259"/>
      <c r="D2" s="36" t="s">
        <v>0</v>
      </c>
      <c r="E2" s="37" t="str">
        <f>'All Years'!E2</f>
        <v>SFO Terminal 1 Reconstruction; Scheme Design Phase</v>
      </c>
      <c r="F2" s="12"/>
      <c r="G2" s="12"/>
      <c r="H2" s="12"/>
      <c r="I2" s="12"/>
      <c r="J2" s="12"/>
      <c r="K2" s="12"/>
      <c r="L2" s="12"/>
      <c r="M2" s="12"/>
      <c r="N2" s="12"/>
      <c r="O2" s="12"/>
      <c r="P2" s="12"/>
      <c r="Q2" s="729"/>
      <c r="R2" s="729" t="s">
        <v>447</v>
      </c>
      <c r="S2" s="38"/>
    </row>
    <row r="3" spans="1:19" ht="18" customHeight="1" thickBot="1" x14ac:dyDescent="0.3">
      <c r="A3" s="224" t="s">
        <v>10</v>
      </c>
      <c r="B3" s="40"/>
      <c r="C3" s="598">
        <f>'All Years'!C3</f>
        <v>42499</v>
      </c>
      <c r="D3" s="602">
        <f>'All Years'!D3</f>
        <v>17</v>
      </c>
      <c r="E3" s="1956" t="s">
        <v>602</v>
      </c>
      <c r="F3" s="1957"/>
      <c r="G3" s="1957"/>
      <c r="H3" s="1957"/>
      <c r="I3" s="1957"/>
      <c r="J3" s="1957"/>
      <c r="K3" s="1957"/>
      <c r="L3" s="1957"/>
      <c r="M3" s="1957"/>
      <c r="N3" s="1958"/>
      <c r="O3" s="219" t="s">
        <v>1</v>
      </c>
      <c r="P3" s="212"/>
      <c r="Q3" s="730"/>
      <c r="R3" s="734" t="s">
        <v>446</v>
      </c>
      <c r="S3" s="42"/>
    </row>
    <row r="4" spans="1:19" ht="18" customHeight="1" thickTop="1" x14ac:dyDescent="0.25">
      <c r="A4" s="693" t="s">
        <v>79</v>
      </c>
      <c r="B4" s="694"/>
      <c r="C4" s="44"/>
      <c r="D4" s="44"/>
      <c r="E4" s="1961" t="s">
        <v>460</v>
      </c>
      <c r="F4" s="1962"/>
      <c r="G4" s="1961" t="s">
        <v>461</v>
      </c>
      <c r="H4" s="1965"/>
      <c r="I4" s="1963" t="s">
        <v>462</v>
      </c>
      <c r="J4" s="1964"/>
      <c r="K4" s="1965" t="s">
        <v>463</v>
      </c>
      <c r="L4" s="1962"/>
      <c r="M4" s="1961" t="s">
        <v>464</v>
      </c>
      <c r="N4" s="1962"/>
      <c r="O4" s="695" t="s">
        <v>489</v>
      </c>
      <c r="P4" s="44"/>
      <c r="Q4" s="743">
        <f>0.3048*0.3048</f>
        <v>9.2903040000000006E-2</v>
      </c>
      <c r="R4" s="696"/>
      <c r="S4" s="697"/>
    </row>
    <row r="5" spans="1:19" ht="18" customHeight="1" x14ac:dyDescent="0.25">
      <c r="A5" s="759"/>
      <c r="B5" s="269"/>
      <c r="C5" s="12"/>
      <c r="D5" s="12"/>
      <c r="E5" s="1966" t="s">
        <v>495</v>
      </c>
      <c r="F5" s="1967"/>
      <c r="G5" s="1966" t="s">
        <v>495</v>
      </c>
      <c r="H5" s="1968"/>
      <c r="I5" s="1969" t="s">
        <v>495</v>
      </c>
      <c r="J5" s="1970"/>
      <c r="K5" s="1968" t="s">
        <v>495</v>
      </c>
      <c r="L5" s="1967"/>
      <c r="M5" s="1966" t="s">
        <v>495</v>
      </c>
      <c r="N5" s="1967"/>
      <c r="O5" s="760"/>
      <c r="P5" s="12"/>
      <c r="Q5" s="1021"/>
      <c r="R5" s="55"/>
      <c r="S5" s="228"/>
    </row>
    <row r="6" spans="1:19" ht="18" customHeight="1" x14ac:dyDescent="0.25">
      <c r="A6" s="698"/>
      <c r="B6" s="269"/>
      <c r="C6" s="328" t="s">
        <v>17</v>
      </c>
      <c r="D6" s="22"/>
      <c r="E6" s="1959" t="str">
        <f>'Reference Aircraft'!E74:F74</f>
        <v>American Eagle ERJ-175</v>
      </c>
      <c r="F6" s="1960"/>
      <c r="G6" s="1959" t="str">
        <f>'Reference Aircraft'!E77</f>
        <v>American A320</v>
      </c>
      <c r="H6" s="1971"/>
      <c r="I6" s="1972" t="str">
        <f>'Reference Aircraft'!E80</f>
        <v>JetBlue A321</v>
      </c>
      <c r="J6" s="1973"/>
      <c r="K6" s="1971" t="str">
        <f>'Reference Aircraft'!E81</f>
        <v>American B767-300ER</v>
      </c>
      <c r="L6" s="1960"/>
      <c r="M6" s="1959" t="str">
        <f>'Reference Aircraft'!E82</f>
        <v>US Airways A330-200</v>
      </c>
      <c r="N6" s="1960"/>
      <c r="O6" s="715">
        <v>1.6</v>
      </c>
      <c r="P6" s="55" t="s">
        <v>507</v>
      </c>
      <c r="Q6" s="741">
        <f>O6/Q4</f>
        <v>17.222256666735557</v>
      </c>
      <c r="R6" s="55" t="s">
        <v>466</v>
      </c>
      <c r="S6" s="228"/>
    </row>
    <row r="7" spans="1:19" ht="18" customHeight="1" x14ac:dyDescent="0.25">
      <c r="A7" s="698"/>
      <c r="B7" s="269"/>
      <c r="C7" s="53" t="s">
        <v>15</v>
      </c>
      <c r="D7" s="66" t="s">
        <v>14</v>
      </c>
      <c r="E7" s="699">
        <f>'Reference Aircraft'!G74</f>
        <v>76</v>
      </c>
      <c r="F7" s="700"/>
      <c r="G7" s="699">
        <f>'Reference Aircraft'!G77</f>
        <v>150</v>
      </c>
      <c r="H7" s="1024"/>
      <c r="I7" s="1079">
        <f>'Reference Aircraft'!G80</f>
        <v>190</v>
      </c>
      <c r="J7" s="1080"/>
      <c r="K7" s="1029">
        <f>'Reference Aircraft'!G81</f>
        <v>218</v>
      </c>
      <c r="L7" s="700"/>
      <c r="M7" s="699">
        <f>'Reference Aircraft'!G82</f>
        <v>252</v>
      </c>
      <c r="N7" s="700"/>
      <c r="O7" s="728">
        <v>1.1000000000000001</v>
      </c>
      <c r="P7" s="60" t="s">
        <v>508</v>
      </c>
      <c r="Q7" s="742">
        <f>O7/Q4</f>
        <v>11.840301458380695</v>
      </c>
      <c r="R7" s="60" t="s">
        <v>467</v>
      </c>
      <c r="S7" s="702"/>
    </row>
    <row r="8" spans="1:19" ht="18" customHeight="1" x14ac:dyDescent="0.25">
      <c r="A8" s="698"/>
      <c r="B8" s="269"/>
      <c r="C8" s="58" t="s">
        <v>16</v>
      </c>
      <c r="D8" s="68" t="s">
        <v>5</v>
      </c>
      <c r="E8" s="703">
        <f>E7*$O8</f>
        <v>66.88</v>
      </c>
      <c r="F8" s="704"/>
      <c r="G8" s="703">
        <f>G7*$O8</f>
        <v>132</v>
      </c>
      <c r="H8" s="58"/>
      <c r="I8" s="1081">
        <f>I7*$O8</f>
        <v>167.2</v>
      </c>
      <c r="J8" s="1082"/>
      <c r="K8" s="1030">
        <f>K7*$O8</f>
        <v>191.84</v>
      </c>
      <c r="L8" s="704"/>
      <c r="M8" s="703">
        <f>M7*$O8</f>
        <v>221.76</v>
      </c>
      <c r="N8" s="704"/>
      <c r="O8" s="1023">
        <v>0.88</v>
      </c>
      <c r="P8" s="124" t="s">
        <v>488</v>
      </c>
      <c r="Q8" s="22"/>
      <c r="R8" s="22"/>
      <c r="S8" s="38"/>
    </row>
    <row r="9" spans="1:19" ht="18" customHeight="1" x14ac:dyDescent="0.25">
      <c r="A9" s="698"/>
      <c r="B9" s="61" t="s">
        <v>469</v>
      </c>
      <c r="C9" s="12"/>
      <c r="D9" s="12"/>
      <c r="E9" s="206"/>
      <c r="F9" s="15"/>
      <c r="G9" s="206"/>
      <c r="H9" s="12"/>
      <c r="I9" s="1083"/>
      <c r="J9" s="1084"/>
      <c r="K9" s="17"/>
      <c r="L9" s="15"/>
      <c r="M9" s="206"/>
      <c r="N9" s="15"/>
      <c r="O9" s="705"/>
      <c r="P9" s="47"/>
      <c r="Q9" s="12"/>
      <c r="R9" s="12"/>
      <c r="S9" s="38"/>
    </row>
    <row r="10" spans="1:19" ht="18" customHeight="1" x14ac:dyDescent="0.25">
      <c r="A10" s="34"/>
      <c r="B10" s="12"/>
      <c r="C10" s="53" t="s">
        <v>454</v>
      </c>
      <c r="D10" s="66" t="s">
        <v>5</v>
      </c>
      <c r="E10" s="706">
        <f>E8*$Q10</f>
        <v>60.192</v>
      </c>
      <c r="F10" s="175"/>
      <c r="G10" s="706">
        <f>G8*$Q10</f>
        <v>118.8</v>
      </c>
      <c r="H10" s="53"/>
      <c r="I10" s="1085">
        <f>I8*$O10</f>
        <v>167.2</v>
      </c>
      <c r="J10" s="1086"/>
      <c r="K10" s="1026">
        <f>K8*$Q10</f>
        <v>172.65600000000001</v>
      </c>
      <c r="L10" s="175"/>
      <c r="M10" s="706">
        <f>M8*$Q10</f>
        <v>199.584</v>
      </c>
      <c r="N10" s="175"/>
      <c r="O10" s="707">
        <v>1</v>
      </c>
      <c r="P10" s="751" t="s">
        <v>453</v>
      </c>
      <c r="Q10" s="717">
        <v>0.9</v>
      </c>
      <c r="R10" s="752" t="s">
        <v>455</v>
      </c>
      <c r="S10" s="753"/>
    </row>
    <row r="11" spans="1:19" ht="18" customHeight="1" x14ac:dyDescent="0.25">
      <c r="A11" s="34"/>
      <c r="B11" s="1110"/>
      <c r="C11" s="53" t="s">
        <v>493</v>
      </c>
      <c r="D11" s="66" t="s">
        <v>5</v>
      </c>
      <c r="E11" s="203">
        <f>E10*(1-$O11)</f>
        <v>60.192</v>
      </c>
      <c r="F11" s="175"/>
      <c r="G11" s="203">
        <f>G10*(1-$O11)</f>
        <v>118.8</v>
      </c>
      <c r="H11" s="53"/>
      <c r="I11" s="1089">
        <f>I10*(1-$O11)</f>
        <v>167.2</v>
      </c>
      <c r="J11" s="1086"/>
      <c r="K11" s="209">
        <f>K10*(1-$O11)</f>
        <v>172.65600000000001</v>
      </c>
      <c r="L11" s="175"/>
      <c r="M11" s="203">
        <f>M10*(1-$O11)</f>
        <v>199.584</v>
      </c>
      <c r="N11" s="175"/>
      <c r="O11" s="707">
        <v>0</v>
      </c>
      <c r="P11" s="57" t="s">
        <v>510</v>
      </c>
      <c r="Q11" s="53"/>
      <c r="R11" s="53"/>
      <c r="S11" s="753"/>
    </row>
    <row r="12" spans="1:19" ht="18" customHeight="1" x14ac:dyDescent="0.25">
      <c r="A12" s="34"/>
      <c r="B12" s="12"/>
      <c r="C12" s="53" t="s">
        <v>577</v>
      </c>
      <c r="D12" s="66" t="s">
        <v>5</v>
      </c>
      <c r="E12" s="708">
        <f>E11*$O12</f>
        <v>42.134399999999999</v>
      </c>
      <c r="F12" s="709"/>
      <c r="G12" s="708">
        <f>G11*$O12</f>
        <v>83.16</v>
      </c>
      <c r="H12" s="1117"/>
      <c r="I12" s="1087">
        <f>I11*$O12</f>
        <v>117.03999999999998</v>
      </c>
      <c r="J12" s="1088"/>
      <c r="K12" s="1025">
        <f>K11*$O12</f>
        <v>120.8592</v>
      </c>
      <c r="L12" s="709"/>
      <c r="M12" s="708">
        <f>M11*$O12</f>
        <v>139.7088</v>
      </c>
      <c r="N12" s="709"/>
      <c r="O12" s="707">
        <v>0.7</v>
      </c>
      <c r="P12" s="183" t="s">
        <v>509</v>
      </c>
      <c r="Q12" s="53"/>
      <c r="R12" s="53"/>
      <c r="S12" s="38"/>
    </row>
    <row r="13" spans="1:19" ht="18" customHeight="1" x14ac:dyDescent="0.25">
      <c r="A13" s="34"/>
      <c r="B13" s="12"/>
      <c r="C13" s="53" t="s">
        <v>578</v>
      </c>
      <c r="D13" s="66" t="s">
        <v>14</v>
      </c>
      <c r="E13" s="203">
        <f>ROUNDUP(E12*(1+$O13),0)</f>
        <v>47</v>
      </c>
      <c r="F13" s="15"/>
      <c r="G13" s="203">
        <f>ROUNDUP(G12*(1+$O13),0)</f>
        <v>92</v>
      </c>
      <c r="H13" s="1110"/>
      <c r="I13" s="1089">
        <f>ROUNDUP(I12*(1+$O13),0)</f>
        <v>129</v>
      </c>
      <c r="J13" s="1084"/>
      <c r="K13" s="203">
        <f>ROUNDUP(K12*(1+$O13),0)</f>
        <v>133</v>
      </c>
      <c r="L13" s="1111"/>
      <c r="M13" s="203">
        <f>ROUNDUP(M12*(1+$O13),0)</f>
        <v>154</v>
      </c>
      <c r="N13" s="1111"/>
      <c r="O13" s="707">
        <v>0.1</v>
      </c>
      <c r="P13" s="57" t="s">
        <v>494</v>
      </c>
      <c r="Q13" s="53"/>
      <c r="R13" s="53"/>
      <c r="S13" s="38"/>
    </row>
    <row r="14" spans="1:19" ht="18" customHeight="1" x14ac:dyDescent="0.25">
      <c r="A14" s="34"/>
      <c r="B14" s="12"/>
      <c r="C14" s="58" t="s">
        <v>762</v>
      </c>
      <c r="D14" s="68" t="s">
        <v>5</v>
      </c>
      <c r="E14" s="710">
        <f>E11-E12</f>
        <v>18.057600000000001</v>
      </c>
      <c r="F14" s="23"/>
      <c r="G14" s="710">
        <f>G11-G12</f>
        <v>35.64</v>
      </c>
      <c r="H14" s="22"/>
      <c r="I14" s="1090">
        <f>I11-I12</f>
        <v>50.160000000000011</v>
      </c>
      <c r="J14" s="1091"/>
      <c r="K14" s="1031">
        <f>K11-K12</f>
        <v>51.796800000000005</v>
      </c>
      <c r="L14" s="23"/>
      <c r="M14" s="710">
        <f>M11-M12</f>
        <v>59.875200000000007</v>
      </c>
      <c r="N14" s="23"/>
      <c r="O14" s="1626">
        <f>1-O12</f>
        <v>0.30000000000000004</v>
      </c>
      <c r="P14" s="124" t="s">
        <v>764</v>
      </c>
      <c r="Q14" s="58"/>
      <c r="R14" s="58"/>
      <c r="S14" s="38"/>
    </row>
    <row r="15" spans="1:19" ht="18" customHeight="1" x14ac:dyDescent="0.25">
      <c r="A15" s="34"/>
      <c r="B15" s="12"/>
      <c r="C15" s="53" t="s">
        <v>457</v>
      </c>
      <c r="D15" s="66" t="s">
        <v>373</v>
      </c>
      <c r="E15" s="712"/>
      <c r="F15" s="1437">
        <f>E13*$Q$6</f>
        <v>809.44606333657123</v>
      </c>
      <c r="G15" s="1650"/>
      <c r="H15" s="836">
        <f>G13*$Q$6</f>
        <v>1584.4476133396713</v>
      </c>
      <c r="I15" s="1651"/>
      <c r="J15" s="1652">
        <f>I13*$Q$6</f>
        <v>2221.6711100088869</v>
      </c>
      <c r="K15" s="1653"/>
      <c r="L15" s="1437">
        <f>K13*$Q$6</f>
        <v>2290.5601366758292</v>
      </c>
      <c r="M15" s="1650"/>
      <c r="N15" s="1437">
        <f>M13*$Q$6</f>
        <v>2652.2275266772758</v>
      </c>
      <c r="O15" s="744"/>
      <c r="P15" s="727"/>
      <c r="Q15" s="53"/>
      <c r="R15" s="53"/>
      <c r="S15" s="38"/>
    </row>
    <row r="16" spans="1:19" ht="18" customHeight="1" x14ac:dyDescent="0.25">
      <c r="A16" s="34"/>
      <c r="B16" s="12"/>
      <c r="C16" s="58" t="s">
        <v>456</v>
      </c>
      <c r="D16" s="68" t="s">
        <v>373</v>
      </c>
      <c r="E16" s="714"/>
      <c r="F16" s="1041">
        <f>E14*$Q$7</f>
        <v>213.80742761485524</v>
      </c>
      <c r="G16" s="714"/>
      <c r="H16" s="1031">
        <f>G14*$Q$7</f>
        <v>421.98834397668799</v>
      </c>
      <c r="I16" s="1627"/>
      <c r="J16" s="1095">
        <f>I14*$Q$7</f>
        <v>593.90952115237576</v>
      </c>
      <c r="K16" s="59"/>
      <c r="L16" s="1041">
        <f>K14*$Q$7</f>
        <v>613.28972657945326</v>
      </c>
      <c r="M16" s="714"/>
      <c r="N16" s="1041">
        <f>M14*$Q$7</f>
        <v>708.94041788083587</v>
      </c>
      <c r="O16" s="745"/>
      <c r="P16" s="57"/>
      <c r="Q16" s="53"/>
      <c r="R16" s="63"/>
      <c r="S16" s="38"/>
    </row>
    <row r="17" spans="1:19" ht="18" customHeight="1" x14ac:dyDescent="0.25">
      <c r="A17" s="34"/>
      <c r="B17" s="12"/>
      <c r="C17" s="69" t="s">
        <v>763</v>
      </c>
      <c r="D17" s="1631" t="s">
        <v>388</v>
      </c>
      <c r="E17" s="1639"/>
      <c r="F17" s="1640">
        <f>F15+F16</f>
        <v>1023.2534909514264</v>
      </c>
      <c r="G17" s="1641"/>
      <c r="H17" s="1624">
        <f>H15+H16</f>
        <v>2006.4359573163592</v>
      </c>
      <c r="I17" s="1642"/>
      <c r="J17" s="1643">
        <f>J15+J16</f>
        <v>2815.5806311612628</v>
      </c>
      <c r="K17" s="1641"/>
      <c r="L17" s="1640">
        <f>L15+L16</f>
        <v>2903.8498632552823</v>
      </c>
      <c r="M17" s="1641"/>
      <c r="N17" s="1640">
        <f>N15+N16</f>
        <v>3361.1679445581117</v>
      </c>
      <c r="O17" s="745"/>
      <c r="P17" s="57"/>
      <c r="Q17" s="53"/>
      <c r="R17" s="63"/>
      <c r="S17" s="38"/>
    </row>
    <row r="18" spans="1:19" ht="18" customHeight="1" x14ac:dyDescent="0.25">
      <c r="A18" s="34"/>
      <c r="B18" s="12"/>
      <c r="C18" s="53" t="s">
        <v>81</v>
      </c>
      <c r="D18" s="66" t="s">
        <v>373</v>
      </c>
      <c r="E18" s="9">
        <v>1</v>
      </c>
      <c r="F18" s="8">
        <f>E18*$O18*$Q18</f>
        <v>120</v>
      </c>
      <c r="G18" s="9">
        <v>2</v>
      </c>
      <c r="H18" s="1026">
        <f>G18*$O18*$Q18</f>
        <v>240</v>
      </c>
      <c r="I18" s="1097">
        <v>3</v>
      </c>
      <c r="J18" s="1098">
        <f>I18*$O18*$Q18</f>
        <v>360</v>
      </c>
      <c r="K18" s="1032">
        <v>3</v>
      </c>
      <c r="L18" s="8">
        <f>K18*$O18*$Q18</f>
        <v>360</v>
      </c>
      <c r="M18" s="9">
        <v>3</v>
      </c>
      <c r="N18" s="8">
        <f>M18*$O18*$Q18</f>
        <v>360</v>
      </c>
      <c r="O18" s="715">
        <v>4</v>
      </c>
      <c r="P18" s="57" t="s">
        <v>458</v>
      </c>
      <c r="Q18" s="716">
        <v>30</v>
      </c>
      <c r="R18" s="57" t="s">
        <v>511</v>
      </c>
      <c r="S18" s="38"/>
    </row>
    <row r="19" spans="1:19" ht="18" customHeight="1" x14ac:dyDescent="0.25">
      <c r="A19" s="34"/>
      <c r="B19" s="12"/>
      <c r="C19" s="53" t="s">
        <v>80</v>
      </c>
      <c r="D19" s="66" t="s">
        <v>373</v>
      </c>
      <c r="E19" s="9">
        <v>1</v>
      </c>
      <c r="F19" s="8">
        <f>E19*$O19*$Q19</f>
        <v>75</v>
      </c>
      <c r="G19" s="9">
        <v>2</v>
      </c>
      <c r="H19" s="1026">
        <f>G19*$O19*$Q19</f>
        <v>150</v>
      </c>
      <c r="I19" s="1097">
        <v>2</v>
      </c>
      <c r="J19" s="1098">
        <f>I19*$O19*$Q19</f>
        <v>150</v>
      </c>
      <c r="K19" s="1032">
        <v>2</v>
      </c>
      <c r="L19" s="8">
        <f>K19*$O19*$Q19</f>
        <v>150</v>
      </c>
      <c r="M19" s="9">
        <v>3</v>
      </c>
      <c r="N19" s="8">
        <f>M19*$O19*$Q19</f>
        <v>225</v>
      </c>
      <c r="O19" s="715">
        <v>5</v>
      </c>
      <c r="P19" s="57" t="s">
        <v>82</v>
      </c>
      <c r="Q19" s="716">
        <v>15</v>
      </c>
      <c r="R19" s="57" t="s">
        <v>459</v>
      </c>
      <c r="S19" s="38"/>
    </row>
    <row r="20" spans="1:19" ht="18" customHeight="1" x14ac:dyDescent="0.25">
      <c r="A20" s="34"/>
      <c r="B20" s="12"/>
      <c r="C20" s="53" t="s">
        <v>84</v>
      </c>
      <c r="D20" s="66" t="s">
        <v>373</v>
      </c>
      <c r="E20" s="10">
        <f>E$8*$Q20</f>
        <v>3.3439999999999999</v>
      </c>
      <c r="F20" s="8">
        <f>E20*$O20</f>
        <v>33.44</v>
      </c>
      <c r="G20" s="10">
        <f>G8*$Q20</f>
        <v>6.6000000000000005</v>
      </c>
      <c r="H20" s="1026">
        <f>G20*$O20</f>
        <v>66</v>
      </c>
      <c r="I20" s="1099">
        <f>I8*$Q20</f>
        <v>8.36</v>
      </c>
      <c r="J20" s="1098">
        <f>I20*$O20</f>
        <v>83.6</v>
      </c>
      <c r="K20" s="1033">
        <f>K8*$Q20</f>
        <v>9.5920000000000005</v>
      </c>
      <c r="L20" s="8">
        <f>K20*$O20</f>
        <v>95.92</v>
      </c>
      <c r="M20" s="10">
        <f>M8*$Q20</f>
        <v>11.088000000000001</v>
      </c>
      <c r="N20" s="8">
        <f>M20*$O20</f>
        <v>110.88000000000001</v>
      </c>
      <c r="O20" s="715">
        <v>10</v>
      </c>
      <c r="P20" s="57" t="s">
        <v>83</v>
      </c>
      <c r="Q20" s="717">
        <v>0.05</v>
      </c>
      <c r="R20" s="57" t="s">
        <v>468</v>
      </c>
      <c r="S20" s="38"/>
    </row>
    <row r="21" spans="1:19" ht="18" customHeight="1" x14ac:dyDescent="0.25">
      <c r="A21" s="34"/>
      <c r="B21" s="12"/>
      <c r="C21" s="58" t="s">
        <v>162</v>
      </c>
      <c r="D21" s="66" t="s">
        <v>373</v>
      </c>
      <c r="E21" s="714"/>
      <c r="F21" s="718">
        <v>0</v>
      </c>
      <c r="G21" s="719"/>
      <c r="H21" s="1027">
        <v>0</v>
      </c>
      <c r="I21" s="1100"/>
      <c r="J21" s="1101">
        <v>0</v>
      </c>
      <c r="K21" s="719"/>
      <c r="L21" s="718">
        <v>0</v>
      </c>
      <c r="M21" s="719"/>
      <c r="N21" s="718">
        <v>0</v>
      </c>
      <c r="O21" s="720"/>
      <c r="P21" s="57" t="s">
        <v>85</v>
      </c>
      <c r="Q21" s="53"/>
      <c r="R21" s="53"/>
      <c r="S21" s="38"/>
    </row>
    <row r="22" spans="1:19" ht="18" customHeight="1" thickBot="1" x14ac:dyDescent="0.3">
      <c r="A22" s="34"/>
      <c r="B22" s="12"/>
      <c r="C22" s="746" t="s">
        <v>512</v>
      </c>
      <c r="D22" s="1235" t="s">
        <v>465</v>
      </c>
      <c r="E22" s="1644"/>
      <c r="F22" s="1645">
        <f>SUM(F17:F21)</f>
        <v>1251.6934909514266</v>
      </c>
      <c r="G22" s="1646"/>
      <c r="H22" s="1647">
        <f>SUM(H17:H21)</f>
        <v>2462.4359573163592</v>
      </c>
      <c r="I22" s="1648"/>
      <c r="J22" s="1649">
        <f>SUM(J17:J21)</f>
        <v>3409.1806311612627</v>
      </c>
      <c r="K22" s="1646"/>
      <c r="L22" s="1645">
        <f>SUM(L17:L21)</f>
        <v>3509.7698632552824</v>
      </c>
      <c r="M22" s="1646"/>
      <c r="N22" s="1645">
        <f>SUM(N17:N21)</f>
        <v>4057.0479445581118</v>
      </c>
      <c r="O22" s="720"/>
      <c r="P22" s="57"/>
      <c r="Q22" s="53"/>
      <c r="R22" s="53"/>
      <c r="S22" s="38"/>
    </row>
    <row r="23" spans="1:19" ht="18" customHeight="1" thickTop="1" thickBot="1" x14ac:dyDescent="0.3">
      <c r="A23" s="34"/>
      <c r="B23" s="12"/>
      <c r="C23" s="12"/>
      <c r="D23" s="12"/>
      <c r="E23" s="12"/>
      <c r="F23" s="12"/>
      <c r="G23" s="12"/>
      <c r="H23" s="12"/>
      <c r="I23" s="12"/>
      <c r="J23" s="12"/>
      <c r="K23" s="12"/>
      <c r="L23" s="12"/>
      <c r="M23" s="12"/>
      <c r="N23" s="721"/>
      <c r="O23" s="12"/>
      <c r="P23" s="274" t="s">
        <v>490</v>
      </c>
      <c r="Q23" s="12"/>
      <c r="R23" s="12"/>
      <c r="S23" s="42"/>
    </row>
    <row r="24" spans="1:19" ht="18" customHeight="1" thickTop="1" x14ac:dyDescent="0.25">
      <c r="A24" s="693" t="s">
        <v>86</v>
      </c>
      <c r="B24" s="44"/>
      <c r="C24" s="44"/>
      <c r="D24" s="44"/>
      <c r="E24" s="1961" t="s">
        <v>472</v>
      </c>
      <c r="F24" s="1962"/>
      <c r="G24" s="1961" t="s">
        <v>472</v>
      </c>
      <c r="H24" s="1962"/>
      <c r="I24" s="1961" t="s">
        <v>473</v>
      </c>
      <c r="J24" s="1965"/>
      <c r="K24" s="1963" t="s">
        <v>474</v>
      </c>
      <c r="L24" s="1964"/>
      <c r="M24" s="1963" t="s">
        <v>475</v>
      </c>
      <c r="N24" s="1964"/>
      <c r="O24" s="44"/>
      <c r="P24" s="70"/>
      <c r="Q24" s="44"/>
      <c r="R24" s="44"/>
      <c r="S24" s="38"/>
    </row>
    <row r="25" spans="1:19" ht="18" customHeight="1" x14ac:dyDescent="0.25">
      <c r="A25" s="759"/>
      <c r="B25" s="12"/>
      <c r="C25" s="12"/>
      <c r="D25" s="12"/>
      <c r="E25" s="1966" t="s">
        <v>495</v>
      </c>
      <c r="F25" s="1967"/>
      <c r="G25" s="1966" t="s">
        <v>496</v>
      </c>
      <c r="H25" s="1967"/>
      <c r="I25" s="1966" t="s">
        <v>496</v>
      </c>
      <c r="J25" s="1968"/>
      <c r="K25" s="1969" t="s">
        <v>496</v>
      </c>
      <c r="L25" s="1970"/>
      <c r="M25" s="1969" t="s">
        <v>495</v>
      </c>
      <c r="N25" s="1970"/>
      <c r="O25" s="12"/>
      <c r="P25" s="16"/>
      <c r="Q25" s="12"/>
      <c r="R25" s="12"/>
      <c r="S25" s="38"/>
    </row>
    <row r="26" spans="1:19" ht="18" customHeight="1" x14ac:dyDescent="0.25">
      <c r="A26" s="34"/>
      <c r="B26" s="12"/>
      <c r="C26" s="328" t="s">
        <v>17</v>
      </c>
      <c r="D26" s="22"/>
      <c r="E26" s="1959" t="str">
        <f>'Reference Aircraft'!E83</f>
        <v>American B777-200LR</v>
      </c>
      <c r="F26" s="1960"/>
      <c r="G26" s="1959" t="str">
        <f>'Reference Aircraft'!E84</f>
        <v>Cathay B777-300ER</v>
      </c>
      <c r="H26" s="1960"/>
      <c r="I26" s="1959" t="str">
        <f>'Reference Aircraft'!E86</f>
        <v>British B747-400</v>
      </c>
      <c r="J26" s="1971"/>
      <c r="K26" s="1974" t="str">
        <f>'Reference Aircraft'!E88</f>
        <v>Air France A380</v>
      </c>
      <c r="L26" s="1975"/>
      <c r="M26" s="1972" t="str">
        <f>'Reference Aircraft'!E80</f>
        <v>JetBlue A321</v>
      </c>
      <c r="N26" s="1973"/>
      <c r="O26" s="12"/>
      <c r="P26" s="47"/>
      <c r="Q26" s="12"/>
      <c r="R26" s="12"/>
      <c r="S26" s="38"/>
    </row>
    <row r="27" spans="1:19" ht="18" customHeight="1" x14ac:dyDescent="0.25">
      <c r="A27" s="34"/>
      <c r="B27" s="12"/>
      <c r="C27" s="53" t="s">
        <v>15</v>
      </c>
      <c r="D27" s="66" t="s">
        <v>14</v>
      </c>
      <c r="E27" s="699">
        <f>'Reference Aircraft'!G83</f>
        <v>260</v>
      </c>
      <c r="F27" s="700"/>
      <c r="G27" s="699">
        <f>'Reference Aircraft'!G84</f>
        <v>275</v>
      </c>
      <c r="H27" s="700"/>
      <c r="I27" s="699">
        <f>'Reference Aircraft'!G86</f>
        <v>345</v>
      </c>
      <c r="J27" s="1024"/>
      <c r="K27" s="1079">
        <f>'Reference Aircraft'!G88</f>
        <v>516</v>
      </c>
      <c r="L27" s="1080"/>
      <c r="M27" s="1079">
        <f>'Reference Aircraft'!G80*2</f>
        <v>380</v>
      </c>
      <c r="N27" s="1104" t="s">
        <v>163</v>
      </c>
      <c r="O27" s="53"/>
      <c r="P27" s="57"/>
      <c r="Q27" s="12"/>
      <c r="R27" s="12"/>
      <c r="S27" s="38"/>
    </row>
    <row r="28" spans="1:19" ht="18" customHeight="1" x14ac:dyDescent="0.25">
      <c r="A28" s="34"/>
      <c r="B28" s="12"/>
      <c r="C28" s="58" t="s">
        <v>16</v>
      </c>
      <c r="D28" s="68" t="s">
        <v>5</v>
      </c>
      <c r="E28" s="703">
        <f>E27*$O28</f>
        <v>228.8</v>
      </c>
      <c r="F28" s="704"/>
      <c r="G28" s="703">
        <f>G27*$O28</f>
        <v>242</v>
      </c>
      <c r="H28" s="704"/>
      <c r="I28" s="703">
        <f>I27*$O28</f>
        <v>303.60000000000002</v>
      </c>
      <c r="J28" s="58"/>
      <c r="K28" s="1081">
        <f>K27*$O28</f>
        <v>454.08</v>
      </c>
      <c r="L28" s="1082"/>
      <c r="M28" s="1081">
        <f>M27*$O28</f>
        <v>334.4</v>
      </c>
      <c r="N28" s="1082"/>
      <c r="O28" s="1034">
        <f>O8</f>
        <v>0.88</v>
      </c>
      <c r="P28" s="124" t="s">
        <v>488</v>
      </c>
      <c r="Q28" s="22"/>
      <c r="R28" s="22"/>
      <c r="S28" s="38"/>
    </row>
    <row r="29" spans="1:19" ht="18" customHeight="1" x14ac:dyDescent="0.25">
      <c r="A29" s="34"/>
      <c r="B29" s="61" t="s">
        <v>469</v>
      </c>
      <c r="C29" s="12"/>
      <c r="D29" s="12"/>
      <c r="E29" s="206"/>
      <c r="F29" s="15"/>
      <c r="G29" s="206"/>
      <c r="H29" s="15"/>
      <c r="I29" s="206"/>
      <c r="J29" s="12"/>
      <c r="K29" s="1083"/>
      <c r="L29" s="1084"/>
      <c r="M29" s="1083"/>
      <c r="N29" s="1084"/>
      <c r="O29" s="202"/>
      <c r="P29" s="47"/>
      <c r="Q29" s="12"/>
      <c r="R29" s="12"/>
      <c r="S29" s="38"/>
    </row>
    <row r="30" spans="1:19" ht="18" customHeight="1" x14ac:dyDescent="0.25">
      <c r="A30" s="34"/>
      <c r="B30" s="12"/>
      <c r="C30" s="53" t="s">
        <v>454</v>
      </c>
      <c r="D30" s="66" t="s">
        <v>5</v>
      </c>
      <c r="E30" s="706">
        <f>E28*$Q30</f>
        <v>205.92000000000002</v>
      </c>
      <c r="F30" s="175"/>
      <c r="G30" s="706">
        <f>G28*$Q30</f>
        <v>217.8</v>
      </c>
      <c r="H30" s="175"/>
      <c r="I30" s="706">
        <f>I28*$Q30</f>
        <v>273.24</v>
      </c>
      <c r="J30" s="53"/>
      <c r="K30" s="1085">
        <f>K28*$Q30</f>
        <v>408.67199999999997</v>
      </c>
      <c r="L30" s="1086"/>
      <c r="M30" s="1085">
        <f>M28*$O30</f>
        <v>334.4</v>
      </c>
      <c r="N30" s="1086"/>
      <c r="O30" s="1035">
        <f>O10</f>
        <v>1</v>
      </c>
      <c r="P30" s="751" t="s">
        <v>453</v>
      </c>
      <c r="Q30" s="755">
        <f>Q10</f>
        <v>0.9</v>
      </c>
      <c r="R30" s="752" t="s">
        <v>455</v>
      </c>
      <c r="S30" s="753"/>
    </row>
    <row r="31" spans="1:19" ht="18" customHeight="1" x14ac:dyDescent="0.25">
      <c r="A31" s="34"/>
      <c r="B31" s="1110"/>
      <c r="C31" s="53" t="s">
        <v>493</v>
      </c>
      <c r="D31" s="66" t="s">
        <v>5</v>
      </c>
      <c r="E31" s="203">
        <f>E30*(1-$O31)</f>
        <v>205.92000000000002</v>
      </c>
      <c r="F31" s="175"/>
      <c r="G31" s="203">
        <f>G30*(1-$O31)</f>
        <v>217.8</v>
      </c>
      <c r="H31" s="175"/>
      <c r="I31" s="203">
        <f>I30*(1-$O31)</f>
        <v>273.24</v>
      </c>
      <c r="J31" s="53"/>
      <c r="K31" s="1089">
        <f>K30*(1-$O31)</f>
        <v>408.67199999999997</v>
      </c>
      <c r="L31" s="1086"/>
      <c r="M31" s="1089">
        <f>M30*(1-$O31)</f>
        <v>334.4</v>
      </c>
      <c r="N31" s="1086"/>
      <c r="O31" s="1035">
        <f>O11</f>
        <v>0</v>
      </c>
      <c r="P31" s="57" t="s">
        <v>510</v>
      </c>
      <c r="Q31" s="1628"/>
      <c r="R31" s="1127"/>
      <c r="S31" s="228"/>
    </row>
    <row r="32" spans="1:19" ht="18" customHeight="1" x14ac:dyDescent="0.25">
      <c r="A32" s="34"/>
      <c r="B32" s="12"/>
      <c r="C32" s="53" t="s">
        <v>577</v>
      </c>
      <c r="D32" s="66" t="s">
        <v>5</v>
      </c>
      <c r="E32" s="708">
        <f>E31*$O32</f>
        <v>144.14400000000001</v>
      </c>
      <c r="F32" s="709"/>
      <c r="G32" s="708">
        <f>G31*$O32</f>
        <v>152.46</v>
      </c>
      <c r="H32" s="709"/>
      <c r="I32" s="708">
        <f>I31*$O32</f>
        <v>191.268</v>
      </c>
      <c r="J32" s="1117"/>
      <c r="K32" s="1087">
        <f>K31*$O32</f>
        <v>286.07039999999995</v>
      </c>
      <c r="L32" s="1088"/>
      <c r="M32" s="1087">
        <f>M31*$O32</f>
        <v>234.07999999999996</v>
      </c>
      <c r="N32" s="1088"/>
      <c r="O32" s="1035">
        <f>O12</f>
        <v>0.7</v>
      </c>
      <c r="P32" s="183" t="s">
        <v>509</v>
      </c>
      <c r="Q32" s="53"/>
      <c r="R32" s="53"/>
      <c r="S32" s="38"/>
    </row>
    <row r="33" spans="1:19" ht="18" customHeight="1" x14ac:dyDescent="0.25">
      <c r="A33" s="34"/>
      <c r="B33" s="12"/>
      <c r="C33" s="53" t="s">
        <v>578</v>
      </c>
      <c r="D33" s="66" t="s">
        <v>14</v>
      </c>
      <c r="E33" s="203">
        <f>ROUNDUP(E32*(1+$O33),0)</f>
        <v>159</v>
      </c>
      <c r="F33" s="1111"/>
      <c r="G33" s="203">
        <f>ROUNDUP(G32*(1+$O33),0)</f>
        <v>168</v>
      </c>
      <c r="H33" s="1111"/>
      <c r="I33" s="203">
        <f>ROUNDUP(I32*(1+$O33),0)</f>
        <v>211</v>
      </c>
      <c r="J33" s="1110"/>
      <c r="K33" s="1089">
        <f>ROUNDUP(K32*(1+$O33),0)</f>
        <v>315</v>
      </c>
      <c r="L33" s="1084"/>
      <c r="M33" s="1089">
        <f>ROUNDUP(M32*(1+$O33),0)</f>
        <v>258</v>
      </c>
      <c r="N33" s="1084"/>
      <c r="O33" s="1035">
        <f>O13</f>
        <v>0.1</v>
      </c>
      <c r="P33" s="57" t="s">
        <v>494</v>
      </c>
      <c r="Q33" s="53"/>
      <c r="R33" s="53"/>
      <c r="S33" s="38"/>
    </row>
    <row r="34" spans="1:19" ht="18" customHeight="1" x14ac:dyDescent="0.3">
      <c r="A34" s="34"/>
      <c r="B34" s="12"/>
      <c r="C34" s="58" t="s">
        <v>762</v>
      </c>
      <c r="D34" s="68" t="s">
        <v>5</v>
      </c>
      <c r="E34" s="710">
        <f>E31-E32</f>
        <v>61.77600000000001</v>
      </c>
      <c r="F34" s="23"/>
      <c r="G34" s="710">
        <f>G31-G32</f>
        <v>65.34</v>
      </c>
      <c r="H34" s="23"/>
      <c r="I34" s="710">
        <f>I31-I32</f>
        <v>81.972000000000008</v>
      </c>
      <c r="J34" s="22"/>
      <c r="K34" s="1090">
        <f>K31-K32</f>
        <v>122.60160000000002</v>
      </c>
      <c r="L34" s="1091"/>
      <c r="M34" s="1090">
        <f>M31-M32</f>
        <v>100.32000000000002</v>
      </c>
      <c r="N34" s="1091"/>
      <c r="O34" s="1036">
        <f>O14</f>
        <v>0.30000000000000004</v>
      </c>
      <c r="P34" s="124" t="s">
        <v>764</v>
      </c>
      <c r="Q34" s="58"/>
      <c r="R34" s="58"/>
      <c r="S34" s="38"/>
    </row>
    <row r="35" spans="1:19" ht="18" customHeight="1" x14ac:dyDescent="0.3">
      <c r="A35" s="34"/>
      <c r="B35" s="12"/>
      <c r="C35" s="53" t="s">
        <v>457</v>
      </c>
      <c r="D35" s="66" t="s">
        <v>373</v>
      </c>
      <c r="E35" s="712"/>
      <c r="F35" s="1437">
        <f>E33*$Q$6</f>
        <v>2738.3388100109537</v>
      </c>
      <c r="G35" s="1650"/>
      <c r="H35" s="1437">
        <f>G33*$Q$6</f>
        <v>2893.3391200115734</v>
      </c>
      <c r="I35" s="1650"/>
      <c r="J35" s="836">
        <f>I33*$Q$6</f>
        <v>3633.8961566812027</v>
      </c>
      <c r="K35" s="1651"/>
      <c r="L35" s="1652">
        <f>K33*$Q$6</f>
        <v>5425.0108500217002</v>
      </c>
      <c r="M35" s="1651"/>
      <c r="N35" s="1652">
        <f>M33*$Q$6</f>
        <v>4443.3422200177738</v>
      </c>
      <c r="O35" s="1037"/>
      <c r="P35" s="727"/>
      <c r="Q35" s="53"/>
      <c r="R35" s="53"/>
      <c r="S35" s="38"/>
    </row>
    <row r="36" spans="1:19" ht="18" customHeight="1" x14ac:dyDescent="0.3">
      <c r="A36" s="34"/>
      <c r="B36" s="12"/>
      <c r="C36" s="58" t="s">
        <v>456</v>
      </c>
      <c r="D36" s="68" t="s">
        <v>373</v>
      </c>
      <c r="E36" s="714"/>
      <c r="F36" s="1349">
        <f>E34*$Q$7</f>
        <v>731.44646289292598</v>
      </c>
      <c r="G36" s="1654"/>
      <c r="H36" s="1349">
        <f>G34*$Q$7</f>
        <v>773.64529729059473</v>
      </c>
      <c r="I36" s="1654"/>
      <c r="J36" s="133">
        <f>I34*$Q$7</f>
        <v>970.57319114638244</v>
      </c>
      <c r="K36" s="1655"/>
      <c r="L36" s="1656">
        <f>K34*$Q$7</f>
        <v>1451.639903279807</v>
      </c>
      <c r="M36" s="1655"/>
      <c r="N36" s="1656">
        <f>M34*$Q$7</f>
        <v>1187.8190423047515</v>
      </c>
      <c r="O36" s="1038"/>
      <c r="P36" s="57"/>
      <c r="Q36" s="53"/>
      <c r="R36" s="63"/>
      <c r="S36" s="38"/>
    </row>
    <row r="37" spans="1:19" ht="18" customHeight="1" x14ac:dyDescent="0.3">
      <c r="A37" s="34"/>
      <c r="B37" s="12"/>
      <c r="C37" s="69" t="s">
        <v>763</v>
      </c>
      <c r="D37" s="1631" t="s">
        <v>388</v>
      </c>
      <c r="E37" s="1630"/>
      <c r="F37" s="1640">
        <f>F35+F36</f>
        <v>3469.7852729038796</v>
      </c>
      <c r="G37" s="1641"/>
      <c r="H37" s="1640">
        <f>H35+H36</f>
        <v>3666.9844173021684</v>
      </c>
      <c r="I37" s="1641"/>
      <c r="J37" s="1624">
        <f>J35+J36</f>
        <v>4604.4693478275849</v>
      </c>
      <c r="K37" s="1642"/>
      <c r="L37" s="1643">
        <f>L35+L36</f>
        <v>6876.6507533015074</v>
      </c>
      <c r="M37" s="1642"/>
      <c r="N37" s="1643">
        <f>N35+N36</f>
        <v>5631.1612623225255</v>
      </c>
      <c r="O37" s="1038"/>
      <c r="P37" s="57"/>
      <c r="Q37" s="53"/>
      <c r="R37" s="63"/>
      <c r="S37" s="38"/>
    </row>
    <row r="38" spans="1:19" ht="18" customHeight="1" x14ac:dyDescent="0.3">
      <c r="A38" s="34"/>
      <c r="B38" s="12"/>
      <c r="C38" s="53" t="s">
        <v>81</v>
      </c>
      <c r="D38" s="66" t="s">
        <v>373</v>
      </c>
      <c r="E38" s="9">
        <v>4</v>
      </c>
      <c r="F38" s="8">
        <f>E38*$O38*$Q38</f>
        <v>480</v>
      </c>
      <c r="G38" s="9">
        <v>4</v>
      </c>
      <c r="H38" s="8">
        <f>G38*$O38*$Q38</f>
        <v>480</v>
      </c>
      <c r="I38" s="9">
        <v>4</v>
      </c>
      <c r="J38" s="1026">
        <f>I38*$O38*$Q38</f>
        <v>480</v>
      </c>
      <c r="K38" s="1097">
        <v>5</v>
      </c>
      <c r="L38" s="1098">
        <f>K38*$O38*$Q38</f>
        <v>600</v>
      </c>
      <c r="M38" s="1105">
        <f>K38</f>
        <v>5</v>
      </c>
      <c r="N38" s="1098">
        <f>M38*$O38*$Q38</f>
        <v>600</v>
      </c>
      <c r="O38" s="754">
        <f>O18</f>
        <v>4</v>
      </c>
      <c r="P38" s="57" t="s">
        <v>458</v>
      </c>
      <c r="Q38" s="754">
        <f>Q18</f>
        <v>30</v>
      </c>
      <c r="R38" s="57" t="s">
        <v>511</v>
      </c>
      <c r="S38" s="38"/>
    </row>
    <row r="39" spans="1:19" ht="18" customHeight="1" x14ac:dyDescent="0.3">
      <c r="A39" s="34"/>
      <c r="B39" s="12"/>
      <c r="C39" s="53" t="s">
        <v>80</v>
      </c>
      <c r="D39" s="66" t="s">
        <v>373</v>
      </c>
      <c r="E39" s="9">
        <v>3</v>
      </c>
      <c r="F39" s="8">
        <f>E39*$O39*$Q39</f>
        <v>225</v>
      </c>
      <c r="G39" s="9">
        <v>3</v>
      </c>
      <c r="H39" s="8">
        <f>G39*$O39*$Q39</f>
        <v>225</v>
      </c>
      <c r="I39" s="9">
        <v>3</v>
      </c>
      <c r="J39" s="1026">
        <f>I39*$O39*$Q39</f>
        <v>225</v>
      </c>
      <c r="K39" s="1097">
        <v>3</v>
      </c>
      <c r="L39" s="1098">
        <f>K39*$O39*$Q39</f>
        <v>225</v>
      </c>
      <c r="M39" s="1105">
        <f>K39</f>
        <v>3</v>
      </c>
      <c r="N39" s="1098">
        <f>M39*$O39*$Q39</f>
        <v>225</v>
      </c>
      <c r="O39" s="754">
        <f t="shared" ref="O39:O40" si="0">O19</f>
        <v>5</v>
      </c>
      <c r="P39" s="57" t="s">
        <v>82</v>
      </c>
      <c r="Q39" s="754">
        <f t="shared" ref="Q39:Q40" si="1">Q19</f>
        <v>15</v>
      </c>
      <c r="R39" s="57" t="s">
        <v>459</v>
      </c>
      <c r="S39" s="38"/>
    </row>
    <row r="40" spans="1:19" ht="18" customHeight="1" x14ac:dyDescent="0.3">
      <c r="A40" s="34"/>
      <c r="B40" s="12"/>
      <c r="C40" s="53" t="s">
        <v>84</v>
      </c>
      <c r="D40" s="66" t="s">
        <v>373</v>
      </c>
      <c r="E40" s="10">
        <f>E$28*$Q40</f>
        <v>11.440000000000001</v>
      </c>
      <c r="F40" s="8">
        <f>E40*$O40</f>
        <v>114.4</v>
      </c>
      <c r="G40" s="10">
        <f>G28*$Q40</f>
        <v>12.100000000000001</v>
      </c>
      <c r="H40" s="8">
        <f>G40*$O40</f>
        <v>121.00000000000001</v>
      </c>
      <c r="I40" s="10">
        <f>I28*$Q40</f>
        <v>15.180000000000001</v>
      </c>
      <c r="J40" s="1026">
        <f>I40*$O40</f>
        <v>151.80000000000001</v>
      </c>
      <c r="K40" s="1099">
        <f>K28*$Q40</f>
        <v>22.704000000000001</v>
      </c>
      <c r="L40" s="1098">
        <f>K40*$O40</f>
        <v>227.04000000000002</v>
      </c>
      <c r="M40" s="1099">
        <f>M28*$Q40</f>
        <v>16.72</v>
      </c>
      <c r="N40" s="1098">
        <f>M40*$O40</f>
        <v>167.2</v>
      </c>
      <c r="O40" s="754">
        <f t="shared" si="0"/>
        <v>10</v>
      </c>
      <c r="P40" s="57" t="s">
        <v>83</v>
      </c>
      <c r="Q40" s="755">
        <f t="shared" si="1"/>
        <v>0.05</v>
      </c>
      <c r="R40" s="57" t="s">
        <v>468</v>
      </c>
      <c r="S40" s="38"/>
    </row>
    <row r="41" spans="1:19" ht="18" customHeight="1" x14ac:dyDescent="0.3">
      <c r="A41" s="34"/>
      <c r="B41" s="12"/>
      <c r="C41" s="58" t="s">
        <v>162</v>
      </c>
      <c r="D41" s="66" t="s">
        <v>373</v>
      </c>
      <c r="E41" s="714"/>
      <c r="F41" s="718">
        <v>0</v>
      </c>
      <c r="G41" s="719"/>
      <c r="H41" s="718">
        <v>0</v>
      </c>
      <c r="I41" s="719"/>
      <c r="J41" s="1027">
        <v>0</v>
      </c>
      <c r="K41" s="1100"/>
      <c r="L41" s="1101">
        <v>0</v>
      </c>
      <c r="M41" s="1100"/>
      <c r="N41" s="1101">
        <v>0</v>
      </c>
      <c r="O41" s="1039"/>
      <c r="P41" s="57" t="s">
        <v>85</v>
      </c>
      <c r="Q41" s="53"/>
      <c r="R41" s="53"/>
      <c r="S41" s="38"/>
    </row>
    <row r="42" spans="1:19" ht="18" customHeight="1" thickBot="1" x14ac:dyDescent="0.35">
      <c r="A42" s="34"/>
      <c r="B42" s="12"/>
      <c r="C42" s="746" t="s">
        <v>512</v>
      </c>
      <c r="D42" s="1235" t="s">
        <v>465</v>
      </c>
      <c r="E42" s="1629"/>
      <c r="F42" s="1645">
        <f>SUM(F37:F41)</f>
        <v>4289.1852729038792</v>
      </c>
      <c r="G42" s="1646"/>
      <c r="H42" s="1645">
        <f>SUM(H37:H41)</f>
        <v>4492.9844173021684</v>
      </c>
      <c r="I42" s="1646"/>
      <c r="J42" s="1647">
        <f>SUM(J37:J41)</f>
        <v>5461.2693478275851</v>
      </c>
      <c r="K42" s="1648"/>
      <c r="L42" s="1649">
        <f>SUM(L37:L41)</f>
        <v>7928.6907533015074</v>
      </c>
      <c r="M42" s="1648"/>
      <c r="N42" s="1649">
        <f>SUM(N37:N41)</f>
        <v>6623.3612623225254</v>
      </c>
      <c r="O42" s="1039"/>
      <c r="P42" s="57"/>
      <c r="Q42" s="53"/>
      <c r="R42" s="53"/>
      <c r="S42" s="38"/>
    </row>
    <row r="43" spans="1:19" ht="18" customHeight="1" thickTop="1" thickBot="1" x14ac:dyDescent="0.35">
      <c r="A43" s="215"/>
      <c r="B43" s="216"/>
      <c r="C43" s="358"/>
      <c r="D43" s="359"/>
      <c r="E43" s="722"/>
      <c r="F43" s="723"/>
      <c r="G43" s="724"/>
      <c r="H43" s="723"/>
      <c r="I43" s="358"/>
      <c r="J43" s="723"/>
      <c r="K43" s="358"/>
      <c r="L43" s="723"/>
      <c r="M43" s="358"/>
      <c r="N43" s="723"/>
      <c r="O43" s="725"/>
      <c r="P43" s="758"/>
      <c r="Q43" s="134"/>
      <c r="R43" s="134"/>
      <c r="S43" s="71"/>
    </row>
    <row r="44" spans="1:19" ht="14.4" x14ac:dyDescent="0.3">
      <c r="A44" s="62"/>
      <c r="B44" s="62"/>
      <c r="C44" s="62"/>
      <c r="D44" s="62"/>
      <c r="E44" s="62"/>
      <c r="F44" s="62"/>
      <c r="G44" s="62"/>
      <c r="H44" s="62"/>
      <c r="I44" s="62"/>
      <c r="J44" s="62"/>
    </row>
    <row r="45" spans="1:19" ht="14.4" x14ac:dyDescent="0.3">
      <c r="A45" s="62"/>
      <c r="B45" s="62"/>
      <c r="C45" s="62"/>
      <c r="D45" s="62"/>
      <c r="E45" s="62"/>
      <c r="F45" s="62"/>
      <c r="G45" s="62"/>
      <c r="H45" s="62"/>
      <c r="I45" s="62"/>
      <c r="J45" s="62"/>
    </row>
    <row r="46" spans="1:19" ht="14.4" x14ac:dyDescent="0.3">
      <c r="A46" s="62"/>
      <c r="B46" s="62"/>
      <c r="C46" s="62"/>
      <c r="D46" s="62"/>
      <c r="E46" s="62"/>
      <c r="F46" s="62"/>
      <c r="G46" s="62"/>
      <c r="H46" s="62"/>
      <c r="I46" s="62"/>
      <c r="J46" s="62"/>
    </row>
    <row r="47" spans="1:19" ht="14.4" x14ac:dyDescent="0.3">
      <c r="A47" s="62"/>
      <c r="B47" s="62"/>
      <c r="C47" s="62"/>
      <c r="D47" s="62"/>
      <c r="E47" s="62"/>
      <c r="F47" s="62"/>
      <c r="G47" s="62"/>
      <c r="H47" s="62"/>
      <c r="I47" s="62"/>
      <c r="J47" s="62"/>
    </row>
    <row r="48" spans="1:19" ht="14.4" x14ac:dyDescent="0.3">
      <c r="A48" s="62"/>
      <c r="B48" s="62"/>
      <c r="C48" s="62"/>
      <c r="D48" s="62"/>
      <c r="E48" s="62"/>
      <c r="F48" s="62"/>
      <c r="G48" s="62"/>
      <c r="H48" s="62"/>
      <c r="I48" s="62"/>
      <c r="J48" s="62"/>
    </row>
    <row r="49" spans="1:10" ht="14.4" x14ac:dyDescent="0.3">
      <c r="A49" s="62"/>
      <c r="B49" s="62"/>
      <c r="C49" s="62"/>
      <c r="D49" s="62"/>
      <c r="E49" s="62"/>
      <c r="F49" s="62"/>
      <c r="G49" s="62"/>
      <c r="H49" s="62"/>
      <c r="I49" s="62"/>
      <c r="J49" s="62"/>
    </row>
    <row r="50" spans="1:10" ht="14.4" x14ac:dyDescent="0.3">
      <c r="A50" s="62"/>
      <c r="B50" s="62"/>
      <c r="C50" s="62"/>
      <c r="D50" s="62"/>
      <c r="E50" s="62"/>
      <c r="F50" s="62"/>
      <c r="G50" s="62"/>
      <c r="H50" s="62"/>
      <c r="I50" s="62"/>
      <c r="J50" s="62"/>
    </row>
    <row r="51" spans="1:10" ht="14.4" x14ac:dyDescent="0.3">
      <c r="A51" s="62"/>
      <c r="B51" s="62"/>
      <c r="C51" s="62"/>
      <c r="D51" s="62"/>
      <c r="E51" s="62"/>
      <c r="F51" s="62"/>
      <c r="G51" s="62"/>
      <c r="H51" s="62"/>
      <c r="I51" s="62"/>
      <c r="J51" s="62"/>
    </row>
    <row r="52" spans="1:10" ht="14.4" x14ac:dyDescent="0.3">
      <c r="A52" s="62"/>
      <c r="B52" s="62"/>
      <c r="C52" s="62"/>
      <c r="D52" s="62"/>
      <c r="E52" s="62"/>
      <c r="F52" s="62"/>
      <c r="G52" s="62"/>
      <c r="H52" s="62"/>
      <c r="I52" s="62"/>
      <c r="J52" s="62"/>
    </row>
    <row r="53" spans="1:10" ht="14.4" x14ac:dyDescent="0.3">
      <c r="A53" s="62"/>
      <c r="B53" s="62"/>
      <c r="C53" s="62"/>
      <c r="D53" s="62"/>
      <c r="E53" s="62"/>
      <c r="F53" s="62"/>
      <c r="G53" s="62"/>
      <c r="H53" s="62"/>
      <c r="I53" s="62"/>
      <c r="J53" s="62"/>
    </row>
    <row r="54" spans="1:10" ht="14.4" x14ac:dyDescent="0.3">
      <c r="A54" s="62"/>
      <c r="B54" s="62"/>
      <c r="C54" s="62"/>
      <c r="D54" s="62"/>
      <c r="E54" s="62"/>
      <c r="F54" s="62"/>
      <c r="G54" s="62"/>
      <c r="H54" s="62"/>
      <c r="I54" s="62"/>
      <c r="J54" s="62"/>
    </row>
    <row r="55" spans="1:10" ht="14.4" x14ac:dyDescent="0.3">
      <c r="A55" s="62"/>
      <c r="B55" s="62"/>
      <c r="C55" s="62"/>
      <c r="D55" s="62"/>
      <c r="E55" s="62"/>
      <c r="F55" s="62"/>
      <c r="G55" s="62"/>
      <c r="H55" s="62"/>
      <c r="I55" s="62"/>
      <c r="J55" s="62"/>
    </row>
    <row r="56" spans="1:10" ht="14.4" x14ac:dyDescent="0.3">
      <c r="A56" s="62"/>
      <c r="B56" s="62"/>
      <c r="C56" s="62"/>
      <c r="D56" s="62"/>
      <c r="E56" s="62"/>
      <c r="F56" s="62"/>
      <c r="G56" s="62"/>
      <c r="H56" s="62"/>
      <c r="I56" s="62"/>
      <c r="J56" s="62"/>
    </row>
    <row r="57" spans="1:10" ht="14.4" x14ac:dyDescent="0.3">
      <c r="A57" s="62"/>
      <c r="B57" s="62"/>
      <c r="C57" s="62"/>
      <c r="D57" s="62"/>
      <c r="E57" s="62"/>
      <c r="F57" s="62"/>
      <c r="G57" s="62"/>
      <c r="H57" s="62"/>
      <c r="I57" s="62"/>
      <c r="J57" s="62"/>
    </row>
    <row r="58" spans="1:10" ht="14.4" x14ac:dyDescent="0.3">
      <c r="A58" s="62"/>
      <c r="B58" s="62"/>
      <c r="C58" s="62"/>
      <c r="D58" s="62"/>
      <c r="E58" s="62"/>
      <c r="F58" s="62"/>
      <c r="G58" s="62"/>
      <c r="H58" s="62"/>
      <c r="I58" s="62"/>
      <c r="J58" s="62"/>
    </row>
    <row r="59" spans="1:10" ht="14.4" x14ac:dyDescent="0.3">
      <c r="A59" s="62"/>
      <c r="B59" s="62"/>
      <c r="C59" s="62"/>
      <c r="D59" s="62"/>
      <c r="E59" s="62"/>
      <c r="F59" s="62"/>
      <c r="G59" s="62"/>
      <c r="H59" s="62"/>
      <c r="I59" s="62"/>
      <c r="J59" s="62"/>
    </row>
    <row r="60" spans="1:10" ht="14.4" x14ac:dyDescent="0.3">
      <c r="A60" s="62"/>
      <c r="B60" s="62"/>
      <c r="C60" s="62"/>
      <c r="D60" s="62"/>
      <c r="E60" s="62"/>
      <c r="F60" s="62"/>
      <c r="G60" s="62"/>
      <c r="H60" s="62"/>
      <c r="I60" s="62"/>
      <c r="J60" s="62"/>
    </row>
    <row r="61" spans="1:10" ht="14.4" x14ac:dyDescent="0.3">
      <c r="A61" s="62"/>
      <c r="B61" s="62"/>
      <c r="C61" s="62"/>
      <c r="D61" s="62"/>
      <c r="E61" s="62"/>
      <c r="F61" s="62"/>
      <c r="G61" s="62"/>
      <c r="H61" s="62"/>
      <c r="I61" s="62"/>
      <c r="J61" s="62"/>
    </row>
    <row r="62" spans="1:10" ht="14.4" x14ac:dyDescent="0.3">
      <c r="A62" s="62"/>
      <c r="B62" s="62"/>
      <c r="C62" s="62"/>
      <c r="D62" s="62"/>
      <c r="E62" s="62"/>
      <c r="F62" s="62"/>
      <c r="G62" s="62"/>
      <c r="H62" s="62"/>
      <c r="I62" s="62"/>
      <c r="J62" s="62"/>
    </row>
    <row r="63" spans="1:10" ht="14.4" x14ac:dyDescent="0.3">
      <c r="A63" s="62"/>
      <c r="B63" s="62"/>
      <c r="C63" s="62"/>
      <c r="D63" s="62"/>
      <c r="E63" s="62"/>
      <c r="F63" s="62"/>
      <c r="G63" s="62"/>
      <c r="H63" s="62"/>
      <c r="I63" s="62"/>
      <c r="J63" s="62"/>
    </row>
    <row r="68" spans="4:5" x14ac:dyDescent="0.3">
      <c r="D68" s="19"/>
      <c r="E68" s="19"/>
    </row>
    <row r="69" spans="4:5" x14ac:dyDescent="0.3">
      <c r="D69" s="19"/>
      <c r="E69" s="19"/>
    </row>
    <row r="70" spans="4:5" x14ac:dyDescent="0.3">
      <c r="D70" s="19"/>
      <c r="E70" s="19"/>
    </row>
  </sheetData>
  <mergeCells count="31">
    <mergeCell ref="E25:F25"/>
    <mergeCell ref="G25:H25"/>
    <mergeCell ref="I25:J25"/>
    <mergeCell ref="K25:L25"/>
    <mergeCell ref="M25:N25"/>
    <mergeCell ref="G26:H26"/>
    <mergeCell ref="K26:L26"/>
    <mergeCell ref="M26:N26"/>
    <mergeCell ref="I24:J24"/>
    <mergeCell ref="I26:J26"/>
    <mergeCell ref="I4:J4"/>
    <mergeCell ref="M24:N24"/>
    <mergeCell ref="M6:N6"/>
    <mergeCell ref="M4:N4"/>
    <mergeCell ref="M5:N5"/>
    <mergeCell ref="E3:N3"/>
    <mergeCell ref="E26:F26"/>
    <mergeCell ref="E24:F24"/>
    <mergeCell ref="G24:H24"/>
    <mergeCell ref="K24:L24"/>
    <mergeCell ref="E4:F4"/>
    <mergeCell ref="G4:H4"/>
    <mergeCell ref="K4:L4"/>
    <mergeCell ref="E6:F6"/>
    <mergeCell ref="E5:F5"/>
    <mergeCell ref="G5:H5"/>
    <mergeCell ref="I5:J5"/>
    <mergeCell ref="K5:L5"/>
    <mergeCell ref="G6:H6"/>
    <mergeCell ref="K6:L6"/>
    <mergeCell ref="I6:J6"/>
  </mergeCells>
  <printOptions horizontalCentered="1"/>
  <pageMargins left="0.39370078740157483" right="0.39370078740157483" top="0.39370078740157483" bottom="0.59055118110236227" header="0.23622047244094491" footer="0.23622047244094491"/>
  <pageSetup paperSize="3" scale="86" orientation="landscape" horizontalDpi="1200" verticalDpi="1200" r:id="rId1"/>
  <headerFooter>
    <oddFooter>&amp;L&amp;F&amp;C&amp;A&amp;RPrinted &amp;D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82F"/>
    <pageSetUpPr fitToPage="1"/>
  </sheetPr>
  <dimension ref="A1:S68"/>
  <sheetViews>
    <sheetView workbookViewId="0">
      <pane xSplit="4" ySplit="3" topLeftCell="E4" activePane="bottomRight" state="frozen"/>
      <selection activeCell="E2" sqref="E2"/>
      <selection pane="topRight" activeCell="E2" sqref="E2"/>
      <selection pane="bottomLeft" activeCell="E2" sqref="E2"/>
      <selection pane="bottomRight" activeCell="E4" sqref="E4:F4"/>
    </sheetView>
  </sheetViews>
  <sheetFormatPr defaultColWidth="9.109375" defaultRowHeight="13.8" x14ac:dyDescent="0.3"/>
  <cols>
    <col min="1" max="2" width="3.6640625" style="19" customWidth="1"/>
    <col min="3" max="3" width="36.6640625" style="19" customWidth="1"/>
    <col min="4" max="5" width="9.6640625" style="72" customWidth="1"/>
    <col min="6" max="15" width="9.6640625" style="19" customWidth="1"/>
    <col min="16" max="16" width="30.6640625" style="19" customWidth="1"/>
    <col min="17" max="17" width="9.6640625" style="19" customWidth="1"/>
    <col min="18" max="18" width="20.6640625" style="19" customWidth="1"/>
    <col min="19" max="19" width="9.6640625" style="19" customWidth="1"/>
    <col min="20" max="16384" width="9.109375" style="19"/>
  </cols>
  <sheetData>
    <row r="1" spans="1:19" ht="24" customHeight="1" x14ac:dyDescent="0.3">
      <c r="A1" s="726" t="s">
        <v>497</v>
      </c>
      <c r="B1" s="222"/>
      <c r="C1" s="137"/>
      <c r="D1" s="28"/>
      <c r="E1" s="29" t="s">
        <v>781</v>
      </c>
      <c r="F1" s="137"/>
      <c r="G1" s="138"/>
      <c r="H1" s="137"/>
      <c r="I1" s="137"/>
      <c r="J1" s="137"/>
      <c r="K1" s="137"/>
      <c r="L1" s="137"/>
      <c r="M1" s="137"/>
      <c r="N1" s="137"/>
      <c r="O1" s="607"/>
      <c r="P1" s="607"/>
      <c r="Q1" s="607"/>
      <c r="R1" s="607"/>
      <c r="S1" s="692"/>
    </row>
    <row r="2" spans="1:19" ht="18" customHeight="1" x14ac:dyDescent="0.25">
      <c r="A2" s="34"/>
      <c r="B2" s="12"/>
      <c r="C2" s="259"/>
      <c r="D2" s="36" t="s">
        <v>0</v>
      </c>
      <c r="E2" s="37" t="str">
        <f>'All Years'!E2</f>
        <v>SFO Terminal 1 Reconstruction; Scheme Design Phase</v>
      </c>
      <c r="F2" s="12"/>
      <c r="G2" s="12"/>
      <c r="H2" s="12"/>
      <c r="I2" s="12"/>
      <c r="J2" s="12"/>
      <c r="K2" s="12"/>
      <c r="L2" s="12"/>
      <c r="M2" s="12"/>
      <c r="N2" s="12"/>
      <c r="O2" s="12"/>
      <c r="P2" s="12"/>
      <c r="Q2" s="729"/>
      <c r="R2" s="729" t="s">
        <v>447</v>
      </c>
      <c r="S2" s="38"/>
    </row>
    <row r="3" spans="1:19" ht="18" customHeight="1" thickBot="1" x14ac:dyDescent="0.3">
      <c r="A3" s="224" t="s">
        <v>10</v>
      </c>
      <c r="B3" s="40"/>
      <c r="C3" s="598">
        <f>'All Years'!C3</f>
        <v>42499</v>
      </c>
      <c r="D3" s="602">
        <f>'All Years'!D3</f>
        <v>17</v>
      </c>
      <c r="E3" s="1956" t="s">
        <v>602</v>
      </c>
      <c r="F3" s="1957"/>
      <c r="G3" s="1957"/>
      <c r="H3" s="1957"/>
      <c r="I3" s="1957"/>
      <c r="J3" s="1957"/>
      <c r="K3" s="1957"/>
      <c r="L3" s="1957"/>
      <c r="M3" s="1957"/>
      <c r="N3" s="1958"/>
      <c r="O3" s="219" t="s">
        <v>1</v>
      </c>
      <c r="P3" s="212"/>
      <c r="Q3" s="730"/>
      <c r="R3" s="734" t="s">
        <v>446</v>
      </c>
      <c r="S3" s="42"/>
    </row>
    <row r="4" spans="1:19" ht="18" customHeight="1" thickTop="1" x14ac:dyDescent="0.25">
      <c r="A4" s="693" t="s">
        <v>79</v>
      </c>
      <c r="B4" s="694"/>
      <c r="C4" s="44"/>
      <c r="D4" s="44"/>
      <c r="E4" s="1961" t="s">
        <v>460</v>
      </c>
      <c r="F4" s="1962"/>
      <c r="G4" s="1961" t="s">
        <v>461</v>
      </c>
      <c r="H4" s="1965"/>
      <c r="I4" s="1963" t="s">
        <v>462</v>
      </c>
      <c r="J4" s="1964"/>
      <c r="K4" s="1965" t="s">
        <v>463</v>
      </c>
      <c r="L4" s="1962"/>
      <c r="M4" s="1961" t="s">
        <v>464</v>
      </c>
      <c r="N4" s="1962"/>
      <c r="O4" s="695" t="s">
        <v>489</v>
      </c>
      <c r="P4" s="44"/>
      <c r="Q4" s="743">
        <f>0.3048*0.3048</f>
        <v>9.2903040000000006E-2</v>
      </c>
      <c r="R4" s="696"/>
      <c r="S4" s="697"/>
    </row>
    <row r="5" spans="1:19" ht="18" customHeight="1" x14ac:dyDescent="0.25">
      <c r="A5" s="759"/>
      <c r="B5" s="269"/>
      <c r="C5" s="12"/>
      <c r="D5" s="12"/>
      <c r="E5" s="1966" t="s">
        <v>495</v>
      </c>
      <c r="F5" s="1967"/>
      <c r="G5" s="1966" t="s">
        <v>495</v>
      </c>
      <c r="H5" s="1968"/>
      <c r="I5" s="1969" t="s">
        <v>495</v>
      </c>
      <c r="J5" s="1970"/>
      <c r="K5" s="1968" t="s">
        <v>495</v>
      </c>
      <c r="L5" s="1967"/>
      <c r="M5" s="1966" t="s">
        <v>495</v>
      </c>
      <c r="N5" s="1967"/>
      <c r="O5" s="760"/>
      <c r="P5" s="12"/>
      <c r="Q5" s="1021"/>
      <c r="R5" s="55"/>
      <c r="S5" s="228"/>
    </row>
    <row r="6" spans="1:19" ht="18" customHeight="1" x14ac:dyDescent="0.25">
      <c r="A6" s="698"/>
      <c r="B6" s="269"/>
      <c r="C6" s="328" t="s">
        <v>17</v>
      </c>
      <c r="D6" s="22"/>
      <c r="E6" s="1959" t="str">
        <f>'Reference Aircraft'!E74:F74</f>
        <v>American Eagle ERJ-175</v>
      </c>
      <c r="F6" s="1960"/>
      <c r="G6" s="1959" t="str">
        <f>'Reference Aircraft'!E76</f>
        <v>American A319</v>
      </c>
      <c r="H6" s="1971"/>
      <c r="I6" s="1972" t="str">
        <f>'Reference Aircraft'!E80</f>
        <v>JetBlue A321</v>
      </c>
      <c r="J6" s="1973"/>
      <c r="K6" s="1971" t="str">
        <f>'Reference Aircraft'!E81</f>
        <v>American B767-300ER</v>
      </c>
      <c r="L6" s="1960"/>
      <c r="M6" s="1959" t="str">
        <f>'Reference Aircraft'!E82</f>
        <v>US Airways A330-200</v>
      </c>
      <c r="N6" s="1960"/>
      <c r="O6" s="715">
        <v>1.6</v>
      </c>
      <c r="P6" s="55" t="s">
        <v>507</v>
      </c>
      <c r="Q6" s="741">
        <f>O6/Q4</f>
        <v>17.222256666735557</v>
      </c>
      <c r="R6" s="55" t="s">
        <v>466</v>
      </c>
      <c r="S6" s="228"/>
    </row>
    <row r="7" spans="1:19" ht="18" customHeight="1" x14ac:dyDescent="0.25">
      <c r="A7" s="698"/>
      <c r="B7" s="269"/>
      <c r="C7" s="53" t="s">
        <v>15</v>
      </c>
      <c r="D7" s="66" t="s">
        <v>14</v>
      </c>
      <c r="E7" s="699">
        <f>'Reference Aircraft'!G74</f>
        <v>76</v>
      </c>
      <c r="F7" s="700"/>
      <c r="G7" s="699">
        <f>'Reference Aircraft'!G76</f>
        <v>128</v>
      </c>
      <c r="H7" s="1024"/>
      <c r="I7" s="1079">
        <f>'Reference Aircraft'!G80</f>
        <v>190</v>
      </c>
      <c r="J7" s="1080"/>
      <c r="K7" s="1029">
        <f>'Reference Aircraft'!G81</f>
        <v>218</v>
      </c>
      <c r="L7" s="700"/>
      <c r="M7" s="699">
        <f>'Reference Aircraft'!G82</f>
        <v>252</v>
      </c>
      <c r="N7" s="700"/>
      <c r="O7" s="728">
        <v>1.1000000000000001</v>
      </c>
      <c r="P7" s="60" t="s">
        <v>508</v>
      </c>
      <c r="Q7" s="742">
        <f>O7/Q4</f>
        <v>11.840301458380695</v>
      </c>
      <c r="R7" s="60" t="s">
        <v>467</v>
      </c>
      <c r="S7" s="702"/>
    </row>
    <row r="8" spans="1:19" ht="18" customHeight="1" x14ac:dyDescent="0.25">
      <c r="A8" s="698"/>
      <c r="B8" s="269"/>
      <c r="C8" s="58" t="s">
        <v>16</v>
      </c>
      <c r="D8" s="68" t="s">
        <v>5</v>
      </c>
      <c r="E8" s="703">
        <f>E7*$O8</f>
        <v>72.2</v>
      </c>
      <c r="F8" s="704"/>
      <c r="G8" s="703">
        <f>G7*$O8</f>
        <v>121.6</v>
      </c>
      <c r="H8" s="58"/>
      <c r="I8" s="1081">
        <f>I7*$O8</f>
        <v>180.5</v>
      </c>
      <c r="J8" s="1082"/>
      <c r="K8" s="1030">
        <f>K7*$O8</f>
        <v>207.1</v>
      </c>
      <c r="L8" s="704"/>
      <c r="M8" s="703">
        <f>M7*$O8</f>
        <v>239.39999999999998</v>
      </c>
      <c r="N8" s="704"/>
      <c r="O8" s="1023">
        <v>0.95</v>
      </c>
      <c r="P8" s="124" t="s">
        <v>488</v>
      </c>
      <c r="Q8" s="22"/>
      <c r="R8" s="22"/>
      <c r="S8" s="38"/>
    </row>
    <row r="9" spans="1:19" ht="18" customHeight="1" x14ac:dyDescent="0.25">
      <c r="A9" s="698"/>
      <c r="B9" s="61" t="s">
        <v>469</v>
      </c>
      <c r="C9" s="12"/>
      <c r="D9" s="12"/>
      <c r="E9" s="206"/>
      <c r="F9" s="15"/>
      <c r="G9" s="206"/>
      <c r="H9" s="12"/>
      <c r="I9" s="1083"/>
      <c r="J9" s="1084"/>
      <c r="K9" s="17"/>
      <c r="L9" s="15"/>
      <c r="M9" s="206"/>
      <c r="N9" s="15"/>
      <c r="O9" s="705"/>
      <c r="P9" s="47"/>
      <c r="Q9" s="12"/>
      <c r="R9" s="12"/>
      <c r="S9" s="38"/>
    </row>
    <row r="10" spans="1:19" ht="18" customHeight="1" x14ac:dyDescent="0.25">
      <c r="A10" s="34"/>
      <c r="B10" s="12"/>
      <c r="C10" s="53" t="s">
        <v>454</v>
      </c>
      <c r="D10" s="66" t="s">
        <v>5</v>
      </c>
      <c r="E10" s="706">
        <f>E8*$Q10</f>
        <v>64.98</v>
      </c>
      <c r="F10" s="175"/>
      <c r="G10" s="706">
        <f>G8*$Q10</f>
        <v>109.44</v>
      </c>
      <c r="H10" s="53"/>
      <c r="I10" s="1085">
        <f>I8*$O10</f>
        <v>180.5</v>
      </c>
      <c r="J10" s="1086"/>
      <c r="K10" s="1026">
        <f>K8*$Q10</f>
        <v>186.39</v>
      </c>
      <c r="L10" s="175"/>
      <c r="M10" s="706">
        <f>M8*$Q10</f>
        <v>215.45999999999998</v>
      </c>
      <c r="N10" s="175"/>
      <c r="O10" s="707">
        <v>1</v>
      </c>
      <c r="P10" s="751" t="s">
        <v>453</v>
      </c>
      <c r="Q10" s="1040">
        <v>0.9</v>
      </c>
      <c r="R10" s="752" t="s">
        <v>455</v>
      </c>
      <c r="S10" s="753"/>
    </row>
    <row r="11" spans="1:19" ht="18" customHeight="1" x14ac:dyDescent="0.25">
      <c r="A11" s="34"/>
      <c r="B11" s="12"/>
      <c r="C11" s="53" t="s">
        <v>577</v>
      </c>
      <c r="D11" s="66" t="s">
        <v>5</v>
      </c>
      <c r="E11" s="708">
        <f>E10*$O11</f>
        <v>45.485999999999997</v>
      </c>
      <c r="F11" s="709"/>
      <c r="G11" s="708">
        <f>G10*$O11</f>
        <v>76.60799999999999</v>
      </c>
      <c r="H11" s="200"/>
      <c r="I11" s="1087">
        <f>I10*$O11</f>
        <v>126.35</v>
      </c>
      <c r="J11" s="1088"/>
      <c r="K11" s="1025">
        <f>K10*$O11</f>
        <v>130.47299999999998</v>
      </c>
      <c r="L11" s="175"/>
      <c r="M11" s="708">
        <f>M10*$O11</f>
        <v>150.82199999999997</v>
      </c>
      <c r="N11" s="175"/>
      <c r="O11" s="707">
        <v>0.7</v>
      </c>
      <c r="P11" s="183" t="s">
        <v>509</v>
      </c>
      <c r="Q11" s="53"/>
      <c r="R11" s="53"/>
      <c r="S11" s="38"/>
    </row>
    <row r="12" spans="1:19" ht="18" customHeight="1" x14ac:dyDescent="0.25">
      <c r="A12" s="34"/>
      <c r="B12" s="12"/>
      <c r="C12" s="53" t="s">
        <v>578</v>
      </c>
      <c r="D12" s="66" t="s">
        <v>14</v>
      </c>
      <c r="E12" s="203">
        <f>E11*(1+$O12)</f>
        <v>50.034599999999998</v>
      </c>
      <c r="F12" s="15"/>
      <c r="G12" s="203">
        <f>G11*(1+$O12)</f>
        <v>84.268799999999999</v>
      </c>
      <c r="H12" s="12"/>
      <c r="I12" s="1089">
        <f>I11*(1+$O12)</f>
        <v>138.98500000000001</v>
      </c>
      <c r="J12" s="1084"/>
      <c r="K12" s="209">
        <f>K11*(1+$O12)</f>
        <v>143.52029999999999</v>
      </c>
      <c r="L12" s="175"/>
      <c r="M12" s="203">
        <f>M11*(1+$O12)</f>
        <v>165.90419999999997</v>
      </c>
      <c r="N12" s="175"/>
      <c r="O12" s="707">
        <v>0.1</v>
      </c>
      <c r="P12" s="57" t="s">
        <v>494</v>
      </c>
      <c r="Q12" s="53"/>
      <c r="R12" s="53"/>
      <c r="S12" s="38"/>
    </row>
    <row r="13" spans="1:19" ht="18" customHeight="1" x14ac:dyDescent="0.25">
      <c r="A13" s="34"/>
      <c r="B13" s="12"/>
      <c r="C13" s="58" t="s">
        <v>493</v>
      </c>
      <c r="D13" s="68" t="s">
        <v>14</v>
      </c>
      <c r="E13" s="710">
        <f>E12*(1-$O13)</f>
        <v>50.034599999999998</v>
      </c>
      <c r="F13" s="23"/>
      <c r="G13" s="710">
        <f>G12*(1-$O13)</f>
        <v>84.268799999999999</v>
      </c>
      <c r="H13" s="22"/>
      <c r="I13" s="1090">
        <f>I12*(1-$O13)</f>
        <v>138.98500000000001</v>
      </c>
      <c r="J13" s="1091"/>
      <c r="K13" s="1031">
        <f>K12*(1-$O13)</f>
        <v>143.52029999999999</v>
      </c>
      <c r="L13" s="704"/>
      <c r="M13" s="710">
        <f>M12*(1-$O13)</f>
        <v>165.90419999999997</v>
      </c>
      <c r="N13" s="704"/>
      <c r="O13" s="711">
        <v>0</v>
      </c>
      <c r="P13" s="124" t="s">
        <v>510</v>
      </c>
      <c r="Q13" s="58"/>
      <c r="R13" s="58"/>
      <c r="S13" s="38"/>
    </row>
    <row r="14" spans="1:19" ht="18" customHeight="1" x14ac:dyDescent="0.25">
      <c r="A14" s="34"/>
      <c r="B14" s="12"/>
      <c r="C14" s="53" t="s">
        <v>457</v>
      </c>
      <c r="D14" s="66" t="s">
        <v>373</v>
      </c>
      <c r="E14" s="712"/>
      <c r="F14" s="210">
        <f>E13*$Q$6</f>
        <v>861.70872341744689</v>
      </c>
      <c r="G14" s="53"/>
      <c r="H14" s="209">
        <f>G13*$Q$6</f>
        <v>1451.2989025978054</v>
      </c>
      <c r="I14" s="1092"/>
      <c r="J14" s="1093">
        <f>I13*$Q$6</f>
        <v>2393.6353428262419</v>
      </c>
      <c r="K14" s="53"/>
      <c r="L14" s="210">
        <f>K13*$Q$6</f>
        <v>2471.7434434868869</v>
      </c>
      <c r="M14" s="53"/>
      <c r="N14" s="210">
        <f>M13*$Q$6</f>
        <v>2857.2447144894286</v>
      </c>
      <c r="O14" s="744"/>
      <c r="P14" s="727"/>
      <c r="Q14" s="53"/>
      <c r="R14" s="53"/>
      <c r="S14" s="38"/>
    </row>
    <row r="15" spans="1:19" ht="18" customHeight="1" x14ac:dyDescent="0.25">
      <c r="A15" s="34"/>
      <c r="B15" s="12"/>
      <c r="C15" s="58" t="s">
        <v>456</v>
      </c>
      <c r="D15" s="68" t="s">
        <v>373</v>
      </c>
      <c r="E15" s="714"/>
      <c r="F15" s="1041">
        <f>(E10-E11)*$Q$7</f>
        <v>230.81483662967335</v>
      </c>
      <c r="G15" s="58"/>
      <c r="H15" s="1031">
        <f>(G10-G11)*$Q$7</f>
        <v>388.74077748155509</v>
      </c>
      <c r="I15" s="1094"/>
      <c r="J15" s="1095">
        <f>(I10-I11)*$Q$7</f>
        <v>641.15232397131467</v>
      </c>
      <c r="K15" s="58"/>
      <c r="L15" s="1041">
        <f>(K10-K11)*$Q$7</f>
        <v>662.07413664827334</v>
      </c>
      <c r="M15" s="58"/>
      <c r="N15" s="1041">
        <f>(M10-M11)*$Q$7</f>
        <v>765.33340566681147</v>
      </c>
      <c r="O15" s="1042"/>
      <c r="P15" s="124"/>
      <c r="Q15" s="58"/>
      <c r="R15" s="1043"/>
      <c r="S15" s="38"/>
    </row>
    <row r="16" spans="1:19" ht="18" customHeight="1" x14ac:dyDescent="0.25">
      <c r="A16" s="34"/>
      <c r="B16" s="12"/>
      <c r="C16" s="69" t="s">
        <v>581</v>
      </c>
      <c r="D16" s="66" t="s">
        <v>373</v>
      </c>
      <c r="E16" s="712"/>
      <c r="F16" s="713">
        <f>F14+F15</f>
        <v>1092.5235600471203</v>
      </c>
      <c r="G16" s="53"/>
      <c r="H16" s="1025">
        <f>H14+H15</f>
        <v>1840.0396800793606</v>
      </c>
      <c r="I16" s="1092"/>
      <c r="J16" s="1096">
        <f>J14+J15</f>
        <v>3034.7876667975565</v>
      </c>
      <c r="K16" s="53"/>
      <c r="L16" s="713">
        <f>L14+L15</f>
        <v>3133.8175801351604</v>
      </c>
      <c r="M16" s="53"/>
      <c r="N16" s="713">
        <f>N14+N15</f>
        <v>3622.5781201562399</v>
      </c>
      <c r="O16" s="745"/>
      <c r="P16" s="57"/>
      <c r="Q16" s="53"/>
      <c r="R16" s="63"/>
      <c r="S16" s="38"/>
    </row>
    <row r="17" spans="1:19" ht="18" customHeight="1" x14ac:dyDescent="0.25">
      <c r="A17" s="34"/>
      <c r="B17" s="12"/>
      <c r="C17" s="53" t="s">
        <v>81</v>
      </c>
      <c r="D17" s="66" t="s">
        <v>373</v>
      </c>
      <c r="E17" s="9">
        <v>1</v>
      </c>
      <c r="F17" s="8">
        <f>E17*$O17*$Q17</f>
        <v>120</v>
      </c>
      <c r="G17" s="9">
        <v>2</v>
      </c>
      <c r="H17" s="1026">
        <f>G17*$O17*$Q17</f>
        <v>240</v>
      </c>
      <c r="I17" s="1097">
        <v>3</v>
      </c>
      <c r="J17" s="1098">
        <f>I17*$O17*$Q17</f>
        <v>360</v>
      </c>
      <c r="K17" s="1032">
        <v>3</v>
      </c>
      <c r="L17" s="8">
        <f>K17*$O17*$Q17</f>
        <v>360</v>
      </c>
      <c r="M17" s="9">
        <v>3</v>
      </c>
      <c r="N17" s="8">
        <f>M17*$O17*$Q17</f>
        <v>360</v>
      </c>
      <c r="O17" s="715">
        <v>4</v>
      </c>
      <c r="P17" s="57" t="s">
        <v>458</v>
      </c>
      <c r="Q17" s="716">
        <v>30</v>
      </c>
      <c r="R17" s="57" t="s">
        <v>511</v>
      </c>
      <c r="S17" s="38"/>
    </row>
    <row r="18" spans="1:19" ht="18" customHeight="1" x14ac:dyDescent="0.25">
      <c r="A18" s="34"/>
      <c r="B18" s="12"/>
      <c r="C18" s="53" t="s">
        <v>80</v>
      </c>
      <c r="D18" s="66" t="s">
        <v>373</v>
      </c>
      <c r="E18" s="9">
        <v>1</v>
      </c>
      <c r="F18" s="8">
        <f>E18*$O18*$Q18</f>
        <v>75</v>
      </c>
      <c r="G18" s="9">
        <v>2</v>
      </c>
      <c r="H18" s="1026">
        <f>G18*$O18*$Q18</f>
        <v>150</v>
      </c>
      <c r="I18" s="1097">
        <v>2</v>
      </c>
      <c r="J18" s="1098">
        <f>I18*$O18*$Q18</f>
        <v>150</v>
      </c>
      <c r="K18" s="1032">
        <v>2</v>
      </c>
      <c r="L18" s="8">
        <f>K18*$O18*$Q18</f>
        <v>150</v>
      </c>
      <c r="M18" s="9">
        <v>3</v>
      </c>
      <c r="N18" s="8">
        <f>M18*$O18*$Q18</f>
        <v>225</v>
      </c>
      <c r="O18" s="715">
        <v>5</v>
      </c>
      <c r="P18" s="57" t="s">
        <v>82</v>
      </c>
      <c r="Q18" s="716">
        <v>15</v>
      </c>
      <c r="R18" s="57" t="s">
        <v>459</v>
      </c>
      <c r="S18" s="38"/>
    </row>
    <row r="19" spans="1:19" ht="18" customHeight="1" x14ac:dyDescent="0.25">
      <c r="A19" s="34"/>
      <c r="B19" s="12"/>
      <c r="C19" s="53" t="s">
        <v>84</v>
      </c>
      <c r="D19" s="66" t="s">
        <v>373</v>
      </c>
      <c r="E19" s="10">
        <f>E$8*$Q19</f>
        <v>3.6100000000000003</v>
      </c>
      <c r="F19" s="8">
        <f>E19*$O19</f>
        <v>36.1</v>
      </c>
      <c r="G19" s="10">
        <f>G8*$Q19</f>
        <v>6.08</v>
      </c>
      <c r="H19" s="1026">
        <f>G19*$O19</f>
        <v>60.8</v>
      </c>
      <c r="I19" s="1099">
        <f>I8*$Q19</f>
        <v>9.0250000000000004</v>
      </c>
      <c r="J19" s="1098">
        <f>I19*$O19</f>
        <v>90.25</v>
      </c>
      <c r="K19" s="1033">
        <f>K8*$Q19</f>
        <v>10.355</v>
      </c>
      <c r="L19" s="8">
        <f>K19*$O19</f>
        <v>103.55000000000001</v>
      </c>
      <c r="M19" s="10">
        <f>M8*$Q19</f>
        <v>11.969999999999999</v>
      </c>
      <c r="N19" s="8">
        <f>M19*$O19</f>
        <v>119.69999999999999</v>
      </c>
      <c r="O19" s="715">
        <v>10</v>
      </c>
      <c r="P19" s="57" t="s">
        <v>83</v>
      </c>
      <c r="Q19" s="717">
        <v>0.05</v>
      </c>
      <c r="R19" s="57" t="s">
        <v>468</v>
      </c>
      <c r="S19" s="38"/>
    </row>
    <row r="20" spans="1:19" ht="18" customHeight="1" x14ac:dyDescent="0.25">
      <c r="A20" s="34"/>
      <c r="B20" s="12"/>
      <c r="C20" s="58" t="s">
        <v>582</v>
      </c>
      <c r="D20" s="66" t="s">
        <v>373</v>
      </c>
      <c r="E20" s="714"/>
      <c r="F20" s="718">
        <v>0</v>
      </c>
      <c r="G20" s="719"/>
      <c r="H20" s="1027">
        <v>0</v>
      </c>
      <c r="I20" s="1100"/>
      <c r="J20" s="1101">
        <v>0</v>
      </c>
      <c r="K20" s="719"/>
      <c r="L20" s="718">
        <v>0</v>
      </c>
      <c r="M20" s="719"/>
      <c r="N20" s="718">
        <v>0</v>
      </c>
      <c r="O20" s="720"/>
      <c r="P20" s="57" t="s">
        <v>85</v>
      </c>
      <c r="Q20" s="53"/>
      <c r="R20" s="53"/>
      <c r="S20" s="38"/>
    </row>
    <row r="21" spans="1:19" ht="18" customHeight="1" thickBot="1" x14ac:dyDescent="0.3">
      <c r="A21" s="34"/>
      <c r="B21" s="12"/>
      <c r="C21" s="746" t="s">
        <v>512</v>
      </c>
      <c r="D21" s="747" t="s">
        <v>465</v>
      </c>
      <c r="E21" s="748"/>
      <c r="F21" s="749">
        <f>SUM(F16:F20)</f>
        <v>1323.6235600471202</v>
      </c>
      <c r="G21" s="750"/>
      <c r="H21" s="1028">
        <f>SUM(H16:H20)</f>
        <v>2290.8396800793607</v>
      </c>
      <c r="I21" s="1102"/>
      <c r="J21" s="1103">
        <f>SUM(J16:J20)</f>
        <v>3635.0376667975565</v>
      </c>
      <c r="K21" s="750"/>
      <c r="L21" s="749">
        <f>SUM(L16:L20)</f>
        <v>3747.3675801351606</v>
      </c>
      <c r="M21" s="750"/>
      <c r="N21" s="749">
        <f>SUM(N16:N20)</f>
        <v>4327.2781201562402</v>
      </c>
      <c r="O21" s="720"/>
      <c r="P21" s="57"/>
      <c r="Q21" s="53"/>
      <c r="R21" s="53"/>
      <c r="S21" s="38"/>
    </row>
    <row r="22" spans="1:19" ht="18" customHeight="1" thickTop="1" thickBot="1" x14ac:dyDescent="0.3">
      <c r="A22" s="34"/>
      <c r="B22" s="12"/>
      <c r="C22" s="12"/>
      <c r="D22" s="12"/>
      <c r="E22" s="12"/>
      <c r="F22" s="12"/>
      <c r="G22" s="12"/>
      <c r="H22" s="12"/>
      <c r="I22" s="12"/>
      <c r="J22" s="12"/>
      <c r="K22" s="12"/>
      <c r="L22" s="12"/>
      <c r="M22" s="12"/>
      <c r="N22" s="721"/>
      <c r="O22" s="12"/>
      <c r="P22" s="274" t="s">
        <v>490</v>
      </c>
      <c r="Q22" s="12"/>
      <c r="R22" s="12"/>
      <c r="S22" s="42"/>
    </row>
    <row r="23" spans="1:19" ht="18" customHeight="1" thickTop="1" x14ac:dyDescent="0.25">
      <c r="A23" s="693" t="s">
        <v>86</v>
      </c>
      <c r="B23" s="44"/>
      <c r="C23" s="44"/>
      <c r="D23" s="44"/>
      <c r="E23" s="1961" t="s">
        <v>472</v>
      </c>
      <c r="F23" s="1962"/>
      <c r="G23" s="1961" t="s">
        <v>472</v>
      </c>
      <c r="H23" s="1962"/>
      <c r="I23" s="1961" t="s">
        <v>473</v>
      </c>
      <c r="J23" s="1965"/>
      <c r="K23" s="1963" t="s">
        <v>474</v>
      </c>
      <c r="L23" s="1964"/>
      <c r="M23" s="1963" t="s">
        <v>475</v>
      </c>
      <c r="N23" s="1964"/>
      <c r="O23" s="44"/>
      <c r="P23" s="70"/>
      <c r="Q23" s="44"/>
      <c r="R23" s="44"/>
      <c r="S23" s="38"/>
    </row>
    <row r="24" spans="1:19" ht="18" customHeight="1" x14ac:dyDescent="0.25">
      <c r="A24" s="759"/>
      <c r="B24" s="12"/>
      <c r="C24" s="12"/>
      <c r="D24" s="12"/>
      <c r="E24" s="1966" t="s">
        <v>495</v>
      </c>
      <c r="F24" s="1967"/>
      <c r="G24" s="1966" t="s">
        <v>496</v>
      </c>
      <c r="H24" s="1967"/>
      <c r="I24" s="1966" t="s">
        <v>496</v>
      </c>
      <c r="J24" s="1968"/>
      <c r="K24" s="1969" t="s">
        <v>496</v>
      </c>
      <c r="L24" s="1970"/>
      <c r="M24" s="1969" t="s">
        <v>495</v>
      </c>
      <c r="N24" s="1970"/>
      <c r="O24" s="12"/>
      <c r="P24" s="16"/>
      <c r="Q24" s="12"/>
      <c r="R24" s="12"/>
      <c r="S24" s="38"/>
    </row>
    <row r="25" spans="1:19" ht="18" customHeight="1" x14ac:dyDescent="0.25">
      <c r="A25" s="34"/>
      <c r="B25" s="12"/>
      <c r="C25" s="328" t="s">
        <v>17</v>
      </c>
      <c r="D25" s="22"/>
      <c r="E25" s="1959" t="str">
        <f>'Reference Aircraft'!E83</f>
        <v>American B777-200LR</v>
      </c>
      <c r="F25" s="1960"/>
      <c r="G25" s="1959" t="str">
        <f>'Reference Aircraft'!E84</f>
        <v>Cathay B777-300ER</v>
      </c>
      <c r="H25" s="1960"/>
      <c r="I25" s="1959" t="str">
        <f>'Reference Aircraft'!E86</f>
        <v>British B747-400</v>
      </c>
      <c r="J25" s="1971"/>
      <c r="K25" s="1974" t="str">
        <f>'Reference Aircraft'!E88</f>
        <v>Air France A380</v>
      </c>
      <c r="L25" s="1975"/>
      <c r="M25" s="1972" t="str">
        <f>'Reference Aircraft'!E80</f>
        <v>JetBlue A321</v>
      </c>
      <c r="N25" s="1973"/>
      <c r="O25" s="12"/>
      <c r="P25" s="47"/>
      <c r="Q25" s="12"/>
      <c r="R25" s="12"/>
      <c r="S25" s="38"/>
    </row>
    <row r="26" spans="1:19" ht="18" customHeight="1" x14ac:dyDescent="0.25">
      <c r="A26" s="34"/>
      <c r="B26" s="12"/>
      <c r="C26" s="53" t="s">
        <v>15</v>
      </c>
      <c r="D26" s="66" t="s">
        <v>14</v>
      </c>
      <c r="E26" s="699">
        <f>'Reference Aircraft'!G83</f>
        <v>260</v>
      </c>
      <c r="F26" s="700"/>
      <c r="G26" s="699">
        <f>'Reference Aircraft'!G84</f>
        <v>275</v>
      </c>
      <c r="H26" s="700"/>
      <c r="I26" s="699">
        <f>'Reference Aircraft'!G86</f>
        <v>345</v>
      </c>
      <c r="J26" s="1024"/>
      <c r="K26" s="1079">
        <f>'Reference Aircraft'!G88</f>
        <v>516</v>
      </c>
      <c r="L26" s="1080"/>
      <c r="M26" s="1079">
        <f>'Reference Aircraft'!G80*2</f>
        <v>380</v>
      </c>
      <c r="N26" s="1104" t="s">
        <v>163</v>
      </c>
      <c r="O26" s="53"/>
      <c r="P26" s="57"/>
      <c r="Q26" s="12"/>
      <c r="R26" s="12"/>
      <c r="S26" s="38"/>
    </row>
    <row r="27" spans="1:19" ht="18" customHeight="1" x14ac:dyDescent="0.25">
      <c r="A27" s="34"/>
      <c r="B27" s="12"/>
      <c r="C27" s="58" t="s">
        <v>16</v>
      </c>
      <c r="D27" s="68" t="s">
        <v>5</v>
      </c>
      <c r="E27" s="703">
        <f>E26*$O27</f>
        <v>247</v>
      </c>
      <c r="F27" s="704"/>
      <c r="G27" s="703">
        <f>G26*$O27</f>
        <v>261.25</v>
      </c>
      <c r="H27" s="704"/>
      <c r="I27" s="703">
        <f>I26*$O27</f>
        <v>327.75</v>
      </c>
      <c r="J27" s="58"/>
      <c r="K27" s="1081">
        <f>K26*$O27</f>
        <v>490.2</v>
      </c>
      <c r="L27" s="1082"/>
      <c r="M27" s="1081">
        <f>M26*$O27</f>
        <v>361</v>
      </c>
      <c r="N27" s="1082"/>
      <c r="O27" s="1034">
        <f>O8</f>
        <v>0.95</v>
      </c>
      <c r="P27" s="124" t="s">
        <v>488</v>
      </c>
      <c r="Q27" s="22"/>
      <c r="R27" s="22"/>
      <c r="S27" s="38"/>
    </row>
    <row r="28" spans="1:19" ht="18" customHeight="1" x14ac:dyDescent="0.25">
      <c r="A28" s="34"/>
      <c r="B28" s="61" t="s">
        <v>469</v>
      </c>
      <c r="C28" s="12"/>
      <c r="D28" s="12"/>
      <c r="E28" s="206"/>
      <c r="F28" s="15"/>
      <c r="G28" s="206"/>
      <c r="H28" s="15"/>
      <c r="I28" s="206"/>
      <c r="J28" s="12"/>
      <c r="K28" s="1083"/>
      <c r="L28" s="1084"/>
      <c r="M28" s="1083"/>
      <c r="N28" s="1084"/>
      <c r="O28" s="202"/>
      <c r="P28" s="47"/>
      <c r="Q28" s="12"/>
      <c r="R28" s="12"/>
      <c r="S28" s="38"/>
    </row>
    <row r="29" spans="1:19" ht="18" customHeight="1" x14ac:dyDescent="0.25">
      <c r="A29" s="34"/>
      <c r="B29" s="12"/>
      <c r="C29" s="53" t="s">
        <v>454</v>
      </c>
      <c r="D29" s="66" t="s">
        <v>5</v>
      </c>
      <c r="E29" s="706">
        <f>E27*$Q29</f>
        <v>222.3</v>
      </c>
      <c r="F29" s="175"/>
      <c r="G29" s="706">
        <f>G27*$Q29</f>
        <v>235.125</v>
      </c>
      <c r="H29" s="175"/>
      <c r="I29" s="706">
        <f>I27*$Q29</f>
        <v>294.97500000000002</v>
      </c>
      <c r="J29" s="53"/>
      <c r="K29" s="1085">
        <f>K27*$Q29</f>
        <v>441.18</v>
      </c>
      <c r="L29" s="1086"/>
      <c r="M29" s="1085">
        <f>M27*$O29</f>
        <v>361</v>
      </c>
      <c r="N29" s="1086"/>
      <c r="O29" s="1035">
        <f>O10</f>
        <v>1</v>
      </c>
      <c r="P29" s="751" t="s">
        <v>453</v>
      </c>
      <c r="Q29" s="755">
        <f>Q10</f>
        <v>0.9</v>
      </c>
      <c r="R29" s="752" t="s">
        <v>455</v>
      </c>
      <c r="S29" s="753"/>
    </row>
    <row r="30" spans="1:19" ht="18" customHeight="1" x14ac:dyDescent="0.25">
      <c r="A30" s="34"/>
      <c r="B30" s="12"/>
      <c r="C30" s="53" t="s">
        <v>577</v>
      </c>
      <c r="D30" s="66" t="s">
        <v>5</v>
      </c>
      <c r="E30" s="708">
        <f>E29*$O30</f>
        <v>155.60999999999999</v>
      </c>
      <c r="F30" s="709"/>
      <c r="G30" s="708">
        <f>G29*$O30</f>
        <v>164.58749999999998</v>
      </c>
      <c r="H30" s="709"/>
      <c r="I30" s="708">
        <f>I29*$O30</f>
        <v>206.48250000000002</v>
      </c>
      <c r="J30" s="200"/>
      <c r="K30" s="1087">
        <f>K29*$O30</f>
        <v>308.82599999999996</v>
      </c>
      <c r="L30" s="1086"/>
      <c r="M30" s="1087">
        <f>M29*$O30</f>
        <v>252.7</v>
      </c>
      <c r="N30" s="1086"/>
      <c r="O30" s="1035">
        <f>O11</f>
        <v>0.7</v>
      </c>
      <c r="P30" s="183" t="s">
        <v>509</v>
      </c>
      <c r="Q30" s="53"/>
      <c r="R30" s="53"/>
      <c r="S30" s="38"/>
    </row>
    <row r="31" spans="1:19" ht="18" customHeight="1" x14ac:dyDescent="0.25">
      <c r="A31" s="34"/>
      <c r="B31" s="12"/>
      <c r="C31" s="53" t="s">
        <v>578</v>
      </c>
      <c r="D31" s="66" t="s">
        <v>14</v>
      </c>
      <c r="E31" s="203">
        <f>E30*(1+$O31)</f>
        <v>171.17099999999999</v>
      </c>
      <c r="F31" s="15"/>
      <c r="G31" s="203">
        <f>G30*(1+$O31)</f>
        <v>181.04624999999999</v>
      </c>
      <c r="H31" s="15"/>
      <c r="I31" s="203">
        <f>I30*(1+$O31)</f>
        <v>227.13075000000003</v>
      </c>
      <c r="J31" s="12"/>
      <c r="K31" s="1089">
        <f>K30*(1+$O31)</f>
        <v>339.70859999999999</v>
      </c>
      <c r="L31" s="1086"/>
      <c r="M31" s="1089">
        <f>M30*(1+$O31)</f>
        <v>277.97000000000003</v>
      </c>
      <c r="N31" s="1086"/>
      <c r="O31" s="1035">
        <f>O12</f>
        <v>0.1</v>
      </c>
      <c r="P31" s="57" t="s">
        <v>494</v>
      </c>
      <c r="Q31" s="53"/>
      <c r="R31" s="53"/>
      <c r="S31" s="38"/>
    </row>
    <row r="32" spans="1:19" ht="18" customHeight="1" x14ac:dyDescent="0.25">
      <c r="A32" s="34"/>
      <c r="B32" s="12"/>
      <c r="C32" s="58" t="s">
        <v>493</v>
      </c>
      <c r="D32" s="68" t="s">
        <v>14</v>
      </c>
      <c r="E32" s="710">
        <f>E31*(1-$O32)</f>
        <v>171.17099999999999</v>
      </c>
      <c r="F32" s="23"/>
      <c r="G32" s="710">
        <f>G31*(1-$O32)</f>
        <v>181.04624999999999</v>
      </c>
      <c r="H32" s="23"/>
      <c r="I32" s="710">
        <f>I31*(1-$O32)</f>
        <v>227.13075000000003</v>
      </c>
      <c r="J32" s="22"/>
      <c r="K32" s="1090">
        <f>K31*(1-$O32)</f>
        <v>339.70859999999999</v>
      </c>
      <c r="L32" s="1082"/>
      <c r="M32" s="1090">
        <f>M31*(1-$O32)</f>
        <v>277.97000000000003</v>
      </c>
      <c r="N32" s="1082"/>
      <c r="O32" s="1036">
        <f>O13</f>
        <v>0</v>
      </c>
      <c r="P32" s="124" t="s">
        <v>510</v>
      </c>
      <c r="Q32" s="58"/>
      <c r="R32" s="58"/>
      <c r="S32" s="38"/>
    </row>
    <row r="33" spans="1:19" ht="18" customHeight="1" x14ac:dyDescent="0.25">
      <c r="A33" s="34"/>
      <c r="B33" s="12"/>
      <c r="C33" s="53" t="s">
        <v>457</v>
      </c>
      <c r="D33" s="66" t="s">
        <v>373</v>
      </c>
      <c r="E33" s="712"/>
      <c r="F33" s="210">
        <f>E32*$Q$6</f>
        <v>2947.9508959017921</v>
      </c>
      <c r="G33" s="53"/>
      <c r="H33" s="210">
        <f>G32*$Q$6</f>
        <v>3118.0249860499721</v>
      </c>
      <c r="I33" s="53"/>
      <c r="J33" s="209">
        <f>I32*$Q$6</f>
        <v>3911.7040734081479</v>
      </c>
      <c r="K33" s="1092"/>
      <c r="L33" s="1093">
        <f>K32*$Q$6</f>
        <v>5850.548701097403</v>
      </c>
      <c r="M33" s="1092"/>
      <c r="N33" s="1093">
        <f>M32*$Q$6</f>
        <v>4787.2706856524837</v>
      </c>
      <c r="O33" s="1037"/>
      <c r="P33" s="727"/>
      <c r="Q33" s="53"/>
      <c r="R33" s="53"/>
      <c r="S33" s="38"/>
    </row>
    <row r="34" spans="1:19" ht="18" customHeight="1" x14ac:dyDescent="0.3">
      <c r="A34" s="34"/>
      <c r="B34" s="12"/>
      <c r="C34" s="58" t="s">
        <v>456</v>
      </c>
      <c r="D34" s="68" t="s">
        <v>373</v>
      </c>
      <c r="E34" s="714"/>
      <c r="F34" s="1041">
        <f>(E29-E30)*$Q$7</f>
        <v>789.62970425940887</v>
      </c>
      <c r="G34" s="58"/>
      <c r="H34" s="1041">
        <f>(G29-G30)*$Q$7</f>
        <v>835.18526412052859</v>
      </c>
      <c r="I34" s="58"/>
      <c r="J34" s="1031">
        <f>(I29-I30)*$Q$7</f>
        <v>1047.7778768057537</v>
      </c>
      <c r="K34" s="1094"/>
      <c r="L34" s="1095">
        <f>(K29-K30)*$Q$7</f>
        <v>1567.111259222519</v>
      </c>
      <c r="M34" s="1094"/>
      <c r="N34" s="1095">
        <f>(M29-M30)*$Q$7</f>
        <v>1282.3046479426293</v>
      </c>
      <c r="O34" s="1044"/>
      <c r="P34" s="124"/>
      <c r="Q34" s="58"/>
      <c r="R34" s="1043"/>
      <c r="S34" s="38"/>
    </row>
    <row r="35" spans="1:19" ht="18" customHeight="1" x14ac:dyDescent="0.3">
      <c r="A35" s="34"/>
      <c r="B35" s="12"/>
      <c r="C35" s="69" t="s">
        <v>581</v>
      </c>
      <c r="D35" s="66" t="s">
        <v>373</v>
      </c>
      <c r="E35" s="712"/>
      <c r="F35" s="713">
        <f>F33+F34</f>
        <v>3737.5806001612009</v>
      </c>
      <c r="G35" s="53"/>
      <c r="H35" s="713">
        <f>H33+H34</f>
        <v>3953.2102501705008</v>
      </c>
      <c r="I35" s="701"/>
      <c r="J35" s="1025">
        <f>J33+J34</f>
        <v>4959.4819502139017</v>
      </c>
      <c r="K35" s="1092"/>
      <c r="L35" s="1096">
        <f>L33+L34</f>
        <v>7417.659960319922</v>
      </c>
      <c r="M35" s="1092"/>
      <c r="N35" s="1096">
        <f>N33+N34</f>
        <v>6069.5753335951131</v>
      </c>
      <c r="O35" s="1038"/>
      <c r="P35" s="57"/>
      <c r="Q35" s="53"/>
      <c r="R35" s="63"/>
      <c r="S35" s="38"/>
    </row>
    <row r="36" spans="1:19" ht="18" customHeight="1" x14ac:dyDescent="0.3">
      <c r="A36" s="34"/>
      <c r="B36" s="12"/>
      <c r="C36" s="53" t="s">
        <v>81</v>
      </c>
      <c r="D36" s="66" t="s">
        <v>373</v>
      </c>
      <c r="E36" s="9">
        <v>4</v>
      </c>
      <c r="F36" s="8">
        <f>E36*$O36*$Q36</f>
        <v>480</v>
      </c>
      <c r="G36" s="9">
        <v>4</v>
      </c>
      <c r="H36" s="8">
        <f>G36*$O36*$Q36</f>
        <v>480</v>
      </c>
      <c r="I36" s="9">
        <v>4</v>
      </c>
      <c r="J36" s="1026">
        <f>I36*$O36*$Q36</f>
        <v>480</v>
      </c>
      <c r="K36" s="1097">
        <v>5</v>
      </c>
      <c r="L36" s="1098">
        <f>K36*$O36*$Q36</f>
        <v>600</v>
      </c>
      <c r="M36" s="1105">
        <f>K36</f>
        <v>5</v>
      </c>
      <c r="N36" s="1098">
        <f>M36*$O36*$Q36</f>
        <v>600</v>
      </c>
      <c r="O36" s="754">
        <f>O17</f>
        <v>4</v>
      </c>
      <c r="P36" s="57" t="s">
        <v>458</v>
      </c>
      <c r="Q36" s="754">
        <f>Q17</f>
        <v>30</v>
      </c>
      <c r="R36" s="57" t="s">
        <v>511</v>
      </c>
      <c r="S36" s="38"/>
    </row>
    <row r="37" spans="1:19" ht="18" customHeight="1" x14ac:dyDescent="0.3">
      <c r="A37" s="34"/>
      <c r="B37" s="12"/>
      <c r="C37" s="53" t="s">
        <v>80</v>
      </c>
      <c r="D37" s="66" t="s">
        <v>373</v>
      </c>
      <c r="E37" s="9">
        <v>3</v>
      </c>
      <c r="F37" s="8">
        <f>E37*$O37*$Q37</f>
        <v>225</v>
      </c>
      <c r="G37" s="9">
        <v>3</v>
      </c>
      <c r="H37" s="8">
        <f>G37*$O37*$Q37</f>
        <v>225</v>
      </c>
      <c r="I37" s="9">
        <v>3</v>
      </c>
      <c r="J37" s="1026">
        <f>I37*$O37*$Q37</f>
        <v>225</v>
      </c>
      <c r="K37" s="1097">
        <v>3</v>
      </c>
      <c r="L37" s="1098">
        <f>K37*$O37*$Q37</f>
        <v>225</v>
      </c>
      <c r="M37" s="1105">
        <f>K37</f>
        <v>3</v>
      </c>
      <c r="N37" s="1098">
        <f>M37*$O37*$Q37</f>
        <v>225</v>
      </c>
      <c r="O37" s="754">
        <f t="shared" ref="O37:O38" si="0">O18</f>
        <v>5</v>
      </c>
      <c r="P37" s="57" t="s">
        <v>82</v>
      </c>
      <c r="Q37" s="754">
        <f t="shared" ref="Q37:Q38" si="1">Q18</f>
        <v>15</v>
      </c>
      <c r="R37" s="57" t="s">
        <v>459</v>
      </c>
      <c r="S37" s="38"/>
    </row>
    <row r="38" spans="1:19" ht="18" customHeight="1" x14ac:dyDescent="0.3">
      <c r="A38" s="34"/>
      <c r="B38" s="12"/>
      <c r="C38" s="53" t="s">
        <v>84</v>
      </c>
      <c r="D38" s="66" t="s">
        <v>373</v>
      </c>
      <c r="E38" s="10">
        <f>E$27*$Q38</f>
        <v>12.350000000000001</v>
      </c>
      <c r="F38" s="8">
        <f>E38*$O38</f>
        <v>123.50000000000001</v>
      </c>
      <c r="G38" s="10">
        <f>G27*$Q38</f>
        <v>13.0625</v>
      </c>
      <c r="H38" s="8">
        <f>G38*$O38</f>
        <v>130.625</v>
      </c>
      <c r="I38" s="10">
        <f>I27*$Q38</f>
        <v>16.387499999999999</v>
      </c>
      <c r="J38" s="1026">
        <f>I38*$O38</f>
        <v>163.875</v>
      </c>
      <c r="K38" s="1099">
        <f>K27*$Q38</f>
        <v>24.51</v>
      </c>
      <c r="L38" s="1098">
        <f>K38*$O38</f>
        <v>245.10000000000002</v>
      </c>
      <c r="M38" s="1099">
        <f>M27*$Q38</f>
        <v>18.05</v>
      </c>
      <c r="N38" s="1098">
        <f>M38*$O38</f>
        <v>180.5</v>
      </c>
      <c r="O38" s="754">
        <f t="shared" si="0"/>
        <v>10</v>
      </c>
      <c r="P38" s="57" t="s">
        <v>83</v>
      </c>
      <c r="Q38" s="755">
        <f t="shared" si="1"/>
        <v>0.05</v>
      </c>
      <c r="R38" s="57" t="s">
        <v>468</v>
      </c>
      <c r="S38" s="38"/>
    </row>
    <row r="39" spans="1:19" ht="18" customHeight="1" x14ac:dyDescent="0.3">
      <c r="A39" s="34"/>
      <c r="B39" s="12"/>
      <c r="C39" s="58" t="s">
        <v>582</v>
      </c>
      <c r="D39" s="66" t="s">
        <v>373</v>
      </c>
      <c r="E39" s="714"/>
      <c r="F39" s="718">
        <v>0</v>
      </c>
      <c r="G39" s="719"/>
      <c r="H39" s="718">
        <v>0</v>
      </c>
      <c r="I39" s="719"/>
      <c r="J39" s="1027">
        <v>0</v>
      </c>
      <c r="K39" s="1100"/>
      <c r="L39" s="1101">
        <v>0</v>
      </c>
      <c r="M39" s="1100"/>
      <c r="N39" s="1101">
        <v>0</v>
      </c>
      <c r="O39" s="1039"/>
      <c r="P39" s="57" t="s">
        <v>85</v>
      </c>
      <c r="Q39" s="53"/>
      <c r="R39" s="53"/>
      <c r="S39" s="38"/>
    </row>
    <row r="40" spans="1:19" ht="18" customHeight="1" thickBot="1" x14ac:dyDescent="0.35">
      <c r="A40" s="34"/>
      <c r="B40" s="12"/>
      <c r="C40" s="746" t="s">
        <v>512</v>
      </c>
      <c r="D40" s="747" t="s">
        <v>465</v>
      </c>
      <c r="E40" s="748"/>
      <c r="F40" s="749">
        <f>SUM(F35:F39)</f>
        <v>4566.0806001612009</v>
      </c>
      <c r="G40" s="750"/>
      <c r="H40" s="749">
        <f>SUM(H35:H39)</f>
        <v>4788.8352501705012</v>
      </c>
      <c r="I40" s="750"/>
      <c r="J40" s="1028">
        <f>SUM(J35:J39)</f>
        <v>5828.3569502139017</v>
      </c>
      <c r="K40" s="1102"/>
      <c r="L40" s="1103">
        <f>SUM(L35:L39)</f>
        <v>8487.7599603199214</v>
      </c>
      <c r="M40" s="1102"/>
      <c r="N40" s="1103">
        <f>SUM(N35:N39)</f>
        <v>7075.0753335951131</v>
      </c>
      <c r="O40" s="1039"/>
      <c r="P40" s="57"/>
      <c r="Q40" s="53"/>
      <c r="R40" s="53"/>
      <c r="S40" s="38"/>
    </row>
    <row r="41" spans="1:19" ht="18" customHeight="1" thickTop="1" thickBot="1" x14ac:dyDescent="0.35">
      <c r="A41" s="215"/>
      <c r="B41" s="216"/>
      <c r="C41" s="358"/>
      <c r="D41" s="359"/>
      <c r="E41" s="722"/>
      <c r="F41" s="723"/>
      <c r="G41" s="724"/>
      <c r="H41" s="723"/>
      <c r="I41" s="358"/>
      <c r="J41" s="723"/>
      <c r="K41" s="358"/>
      <c r="L41" s="723"/>
      <c r="M41" s="358"/>
      <c r="N41" s="723"/>
      <c r="O41" s="725"/>
      <c r="P41" s="758"/>
      <c r="Q41" s="134"/>
      <c r="R41" s="134"/>
      <c r="S41" s="71"/>
    </row>
    <row r="42" spans="1:19" ht="14.4" x14ac:dyDescent="0.3">
      <c r="A42" s="62"/>
      <c r="B42" s="62"/>
      <c r="C42" s="62"/>
      <c r="D42" s="62"/>
      <c r="E42" s="62"/>
      <c r="F42" s="62"/>
      <c r="G42" s="62"/>
      <c r="H42" s="62"/>
      <c r="I42" s="62"/>
      <c r="J42" s="62"/>
    </row>
    <row r="43" spans="1:19" ht="14.4" x14ac:dyDescent="0.3">
      <c r="A43" s="62"/>
      <c r="B43" s="62"/>
      <c r="C43" s="62"/>
      <c r="D43" s="62"/>
      <c r="E43" s="62"/>
      <c r="F43" s="62"/>
      <c r="G43" s="62"/>
      <c r="H43" s="62"/>
      <c r="I43" s="62"/>
      <c r="J43" s="62"/>
    </row>
    <row r="44" spans="1:19" ht="14.4" x14ac:dyDescent="0.3">
      <c r="A44" s="62"/>
      <c r="B44" s="62"/>
      <c r="C44" s="62"/>
      <c r="D44" s="62"/>
      <c r="E44" s="62"/>
      <c r="F44" s="62"/>
      <c r="G44" s="62"/>
      <c r="H44" s="62"/>
      <c r="I44" s="62"/>
      <c r="J44" s="62"/>
    </row>
    <row r="45" spans="1:19" ht="14.4" x14ac:dyDescent="0.3">
      <c r="A45" s="62"/>
      <c r="B45" s="62"/>
      <c r="C45" s="62"/>
      <c r="D45" s="62"/>
      <c r="E45" s="62"/>
      <c r="F45" s="62"/>
      <c r="G45" s="62"/>
      <c r="H45" s="62"/>
      <c r="I45" s="62"/>
      <c r="J45" s="62"/>
    </row>
    <row r="46" spans="1:19" ht="14.4" x14ac:dyDescent="0.3">
      <c r="A46" s="62"/>
      <c r="B46" s="62"/>
      <c r="C46" s="62"/>
      <c r="D46" s="62"/>
      <c r="E46" s="62"/>
      <c r="F46" s="62"/>
      <c r="G46" s="62"/>
      <c r="H46" s="62"/>
      <c r="I46" s="62"/>
      <c r="J46" s="62"/>
    </row>
    <row r="47" spans="1:19" ht="14.4" x14ac:dyDescent="0.3">
      <c r="A47" s="62"/>
      <c r="B47" s="62"/>
      <c r="C47" s="62"/>
      <c r="D47" s="62"/>
      <c r="E47" s="62"/>
      <c r="F47" s="62"/>
      <c r="G47" s="62"/>
      <c r="H47" s="62"/>
      <c r="I47" s="62"/>
      <c r="J47" s="62"/>
    </row>
    <row r="48" spans="1:19" ht="14.4" x14ac:dyDescent="0.3">
      <c r="A48" s="62"/>
      <c r="B48" s="62"/>
      <c r="C48" s="62"/>
      <c r="D48" s="62"/>
      <c r="E48" s="62"/>
      <c r="F48" s="62"/>
      <c r="G48" s="62"/>
      <c r="H48" s="62"/>
      <c r="I48" s="62"/>
      <c r="J48" s="62"/>
    </row>
    <row r="49" spans="1:10" ht="14.4" x14ac:dyDescent="0.3">
      <c r="A49" s="62"/>
      <c r="B49" s="62"/>
      <c r="C49" s="62"/>
      <c r="D49" s="62"/>
      <c r="E49" s="62"/>
      <c r="F49" s="62"/>
      <c r="G49" s="62"/>
      <c r="H49" s="62"/>
      <c r="I49" s="62"/>
      <c r="J49" s="62"/>
    </row>
    <row r="50" spans="1:10" ht="14.4" x14ac:dyDescent="0.3">
      <c r="A50" s="62"/>
      <c r="B50" s="62"/>
      <c r="C50" s="62"/>
      <c r="D50" s="62"/>
      <c r="E50" s="62"/>
      <c r="F50" s="62"/>
      <c r="G50" s="62"/>
      <c r="H50" s="62"/>
      <c r="I50" s="62"/>
      <c r="J50" s="62"/>
    </row>
    <row r="51" spans="1:10" ht="14.4" x14ac:dyDescent="0.3">
      <c r="A51" s="62"/>
      <c r="B51" s="62"/>
      <c r="C51" s="62"/>
      <c r="D51" s="62"/>
      <c r="E51" s="62"/>
      <c r="F51" s="62"/>
      <c r="G51" s="62"/>
      <c r="H51" s="62"/>
      <c r="I51" s="62"/>
      <c r="J51" s="62"/>
    </row>
    <row r="52" spans="1:10" ht="14.4" x14ac:dyDescent="0.3">
      <c r="A52" s="62"/>
      <c r="B52" s="62"/>
      <c r="C52" s="62"/>
      <c r="D52" s="62"/>
      <c r="E52" s="62"/>
      <c r="F52" s="62"/>
      <c r="G52" s="62"/>
      <c r="H52" s="62"/>
      <c r="I52" s="62"/>
      <c r="J52" s="62"/>
    </row>
    <row r="53" spans="1:10" ht="14.4" x14ac:dyDescent="0.3">
      <c r="A53" s="62"/>
      <c r="B53" s="62"/>
      <c r="C53" s="62"/>
      <c r="D53" s="62"/>
      <c r="E53" s="62"/>
      <c r="F53" s="62"/>
      <c r="G53" s="62"/>
      <c r="H53" s="62"/>
      <c r="I53" s="62"/>
      <c r="J53" s="62"/>
    </row>
    <row r="54" spans="1:10" ht="14.4" x14ac:dyDescent="0.3">
      <c r="A54" s="62"/>
      <c r="B54" s="62"/>
      <c r="C54" s="62"/>
      <c r="D54" s="62"/>
      <c r="E54" s="62"/>
      <c r="F54" s="62"/>
      <c r="G54" s="62"/>
      <c r="H54" s="62"/>
      <c r="I54" s="62"/>
      <c r="J54" s="62"/>
    </row>
    <row r="55" spans="1:10" ht="14.4" x14ac:dyDescent="0.3">
      <c r="A55" s="62"/>
      <c r="B55" s="62"/>
      <c r="C55" s="62"/>
      <c r="D55" s="62"/>
      <c r="E55" s="62"/>
      <c r="F55" s="62"/>
      <c r="G55" s="62"/>
      <c r="H55" s="62"/>
      <c r="I55" s="62"/>
      <c r="J55" s="62"/>
    </row>
    <row r="56" spans="1:10" ht="14.4" x14ac:dyDescent="0.3">
      <c r="A56" s="62"/>
      <c r="B56" s="62"/>
      <c r="C56" s="62"/>
      <c r="D56" s="62"/>
      <c r="E56" s="62"/>
      <c r="F56" s="62"/>
      <c r="G56" s="62"/>
      <c r="H56" s="62"/>
      <c r="I56" s="62"/>
      <c r="J56" s="62"/>
    </row>
    <row r="57" spans="1:10" ht="14.4" x14ac:dyDescent="0.3">
      <c r="A57" s="62"/>
      <c r="B57" s="62"/>
      <c r="C57" s="62"/>
      <c r="D57" s="62"/>
      <c r="E57" s="62"/>
      <c r="F57" s="62"/>
      <c r="G57" s="62"/>
      <c r="H57" s="62"/>
      <c r="I57" s="62"/>
      <c r="J57" s="62"/>
    </row>
    <row r="58" spans="1:10" ht="14.4" x14ac:dyDescent="0.3">
      <c r="A58" s="62"/>
      <c r="B58" s="62"/>
      <c r="C58" s="62"/>
      <c r="D58" s="62"/>
      <c r="E58" s="62"/>
      <c r="F58" s="62"/>
      <c r="G58" s="62"/>
      <c r="H58" s="62"/>
      <c r="I58" s="62"/>
      <c r="J58" s="62"/>
    </row>
    <row r="59" spans="1:10" ht="14.4" x14ac:dyDescent="0.3">
      <c r="A59" s="62"/>
      <c r="B59" s="62"/>
      <c r="C59" s="62"/>
      <c r="D59" s="62"/>
      <c r="E59" s="62"/>
      <c r="F59" s="62"/>
      <c r="G59" s="62"/>
      <c r="H59" s="62"/>
      <c r="I59" s="62"/>
      <c r="J59" s="62"/>
    </row>
    <row r="60" spans="1:10" ht="14.4" x14ac:dyDescent="0.3">
      <c r="A60" s="62"/>
      <c r="B60" s="62"/>
      <c r="C60" s="62"/>
      <c r="D60" s="62"/>
      <c r="E60" s="62"/>
      <c r="F60" s="62"/>
      <c r="G60" s="62"/>
      <c r="H60" s="62"/>
      <c r="I60" s="62"/>
      <c r="J60" s="62"/>
    </row>
    <row r="61" spans="1:10" ht="14.4" x14ac:dyDescent="0.3">
      <c r="A61" s="62"/>
      <c r="B61" s="62"/>
      <c r="C61" s="62"/>
      <c r="D61" s="62"/>
      <c r="E61" s="62"/>
      <c r="F61" s="62"/>
      <c r="G61" s="62"/>
      <c r="H61" s="62"/>
      <c r="I61" s="62"/>
      <c r="J61" s="62"/>
    </row>
    <row r="66" spans="4:5" x14ac:dyDescent="0.3">
      <c r="D66" s="19"/>
      <c r="E66" s="19"/>
    </row>
    <row r="67" spans="4:5" x14ac:dyDescent="0.3">
      <c r="D67" s="19"/>
      <c r="E67" s="19"/>
    </row>
    <row r="68" spans="4:5" x14ac:dyDescent="0.3">
      <c r="D68" s="19"/>
      <c r="E68" s="19"/>
    </row>
  </sheetData>
  <mergeCells count="31">
    <mergeCell ref="E25:F25"/>
    <mergeCell ref="G25:H25"/>
    <mergeCell ref="I25:J25"/>
    <mergeCell ref="K25:L25"/>
    <mergeCell ref="M25:N25"/>
    <mergeCell ref="E23:F23"/>
    <mergeCell ref="G23:H23"/>
    <mergeCell ref="I23:J23"/>
    <mergeCell ref="K23:L23"/>
    <mergeCell ref="M23:N23"/>
    <mergeCell ref="E24:F24"/>
    <mergeCell ref="G24:H24"/>
    <mergeCell ref="I24:J24"/>
    <mergeCell ref="K24:L24"/>
    <mergeCell ref="M24:N24"/>
    <mergeCell ref="E5:F5"/>
    <mergeCell ref="G5:H5"/>
    <mergeCell ref="I5:J5"/>
    <mergeCell ref="K5:L5"/>
    <mergeCell ref="M5:N5"/>
    <mergeCell ref="E6:F6"/>
    <mergeCell ref="G6:H6"/>
    <mergeCell ref="I6:J6"/>
    <mergeCell ref="K6:L6"/>
    <mergeCell ref="M6:N6"/>
    <mergeCell ref="E3:N3"/>
    <mergeCell ref="E4:F4"/>
    <mergeCell ref="G4:H4"/>
    <mergeCell ref="I4:J4"/>
    <mergeCell ref="K4:L4"/>
    <mergeCell ref="M4:N4"/>
  </mergeCells>
  <printOptions horizontalCentered="1"/>
  <pageMargins left="0.39370078740157483" right="0.39370078740157483" top="0.39370078740157483" bottom="0.59055118110236227" header="0.23622047244094491" footer="0.23622047244094491"/>
  <pageSetup paperSize="3" scale="88" orientation="landscape" r:id="rId1"/>
  <headerFooter>
    <oddFooter>&amp;L&amp;F&amp;C&amp;A&amp;RPrinted &amp;D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K251"/>
  <sheetViews>
    <sheetView zoomScaleNormal="100" workbookViewId="0">
      <pane xSplit="4" ySplit="4" topLeftCell="E5" activePane="bottomRight" state="frozen"/>
      <selection activeCell="E5" sqref="E5"/>
      <selection pane="topRight" activeCell="E5" sqref="E5"/>
      <selection pane="bottomLeft" activeCell="E5" sqref="E5"/>
      <selection pane="bottomRight" activeCell="E5" sqref="E5"/>
    </sheetView>
  </sheetViews>
  <sheetFormatPr defaultColWidth="9.109375" defaultRowHeight="13.8" x14ac:dyDescent="0.3"/>
  <cols>
    <col min="1" max="2" width="4.6640625" style="19" customWidth="1"/>
    <col min="3" max="3" width="36.6640625" style="19" customWidth="1"/>
    <col min="4" max="6" width="12.6640625" style="72" customWidth="1"/>
    <col min="7" max="8" width="12.6640625" style="19" customWidth="1"/>
    <col min="9" max="9" width="30.6640625" style="19" customWidth="1"/>
    <col min="10" max="10" width="9.109375" style="19"/>
    <col min="11" max="11" width="30.6640625" style="19" customWidth="1"/>
    <col min="12" max="16384" width="9.109375" style="19"/>
  </cols>
  <sheetData>
    <row r="1" spans="1:11" s="125" customFormat="1" ht="24" customHeight="1" thickTop="1" x14ac:dyDescent="0.3">
      <c r="A1" s="1213" t="s">
        <v>89</v>
      </c>
      <c r="B1" s="1214"/>
      <c r="C1" s="1215"/>
      <c r="D1" s="1216"/>
      <c r="E1" s="1217" t="s">
        <v>782</v>
      </c>
      <c r="F1" s="1214"/>
      <c r="G1" s="1214"/>
      <c r="H1" s="1215"/>
      <c r="I1" s="1215"/>
      <c r="J1" s="1215"/>
      <c r="K1" s="1602"/>
    </row>
    <row r="2" spans="1:11" ht="18" customHeight="1" x14ac:dyDescent="0.25">
      <c r="A2" s="1221"/>
      <c r="B2" s="1110"/>
      <c r="C2" s="1110"/>
      <c r="D2" s="36" t="s">
        <v>0</v>
      </c>
      <c r="E2" s="37" t="str">
        <f>'All Years'!E2</f>
        <v>SFO Terminal 1 Reconstruction; Scheme Design Phase</v>
      </c>
      <c r="F2" s="1603"/>
      <c r="G2" s="1110"/>
      <c r="H2" s="1110"/>
      <c r="I2" s="1110"/>
      <c r="J2" s="1110"/>
      <c r="K2" s="1604"/>
    </row>
    <row r="3" spans="1:11" ht="18" customHeight="1" thickBot="1" x14ac:dyDescent="0.3">
      <c r="A3" s="1605" t="s">
        <v>10</v>
      </c>
      <c r="B3" s="1598"/>
      <c r="C3" s="1573">
        <f>'All Years'!C3</f>
        <v>42499</v>
      </c>
      <c r="D3" s="1599">
        <f>'All Years'!D3</f>
        <v>17</v>
      </c>
      <c r="E3" s="1976"/>
      <c r="F3" s="1977"/>
      <c r="G3" s="1978"/>
      <c r="H3" s="1601"/>
      <c r="I3" s="1600"/>
      <c r="J3" s="1600"/>
      <c r="K3" s="1606" t="s">
        <v>446</v>
      </c>
    </row>
    <row r="4" spans="1:11" ht="18" customHeight="1" x14ac:dyDescent="0.25">
      <c r="A4" s="1221"/>
      <c r="B4" s="1110"/>
      <c r="C4" s="47"/>
      <c r="D4" s="48"/>
      <c r="E4" s="1595" t="s">
        <v>8</v>
      </c>
      <c r="F4" s="1596" t="s">
        <v>88</v>
      </c>
      <c r="G4" s="1596" t="s">
        <v>753</v>
      </c>
      <c r="H4" s="1597" t="s">
        <v>745</v>
      </c>
      <c r="I4" s="212"/>
      <c r="J4" s="730"/>
      <c r="K4" s="1607"/>
    </row>
    <row r="5" spans="1:11" ht="18" customHeight="1" x14ac:dyDescent="0.25">
      <c r="A5" s="1221" t="s">
        <v>747</v>
      </c>
      <c r="B5" s="1110"/>
      <c r="C5" s="1110"/>
      <c r="D5" s="1110"/>
      <c r="E5" s="1110"/>
      <c r="F5" s="1110"/>
      <c r="G5" s="1110"/>
      <c r="H5" s="1581" t="s">
        <v>742</v>
      </c>
      <c r="I5" s="44"/>
      <c r="J5" s="1582">
        <f>0.3048*0.3048</f>
        <v>9.2903040000000006E-2</v>
      </c>
      <c r="K5" s="1608" t="s">
        <v>744</v>
      </c>
    </row>
    <row r="6" spans="1:11" ht="18" customHeight="1" x14ac:dyDescent="0.25">
      <c r="A6" s="1221"/>
      <c r="B6" s="204" t="s">
        <v>761</v>
      </c>
      <c r="C6" s="1110"/>
      <c r="D6" s="1110"/>
      <c r="E6" s="1110"/>
      <c r="F6" s="1110"/>
      <c r="G6" s="1110"/>
      <c r="H6" s="1583" t="s">
        <v>746</v>
      </c>
      <c r="I6" s="1576"/>
      <c r="J6" s="1584"/>
      <c r="K6" s="1609"/>
    </row>
    <row r="7" spans="1:11" ht="18" customHeight="1" x14ac:dyDescent="0.25">
      <c r="A7" s="1221"/>
      <c r="B7" s="1110"/>
      <c r="C7" s="204" t="s">
        <v>759</v>
      </c>
      <c r="D7" s="1110"/>
      <c r="E7" s="1610">
        <v>380</v>
      </c>
      <c r="F7" s="1110"/>
      <c r="G7" s="1110"/>
      <c r="H7" s="1589">
        <v>1.6</v>
      </c>
      <c r="I7" s="55" t="s">
        <v>507</v>
      </c>
      <c r="J7" s="1574">
        <f>H7/J$5</f>
        <v>17.222256666735557</v>
      </c>
      <c r="K7" s="1611" t="s">
        <v>466</v>
      </c>
    </row>
    <row r="8" spans="1:11" ht="18" customHeight="1" x14ac:dyDescent="0.25">
      <c r="A8" s="1221"/>
      <c r="B8" s="1110"/>
      <c r="C8" s="36" t="s">
        <v>748</v>
      </c>
      <c r="D8" s="1612">
        <v>0.88</v>
      </c>
      <c r="E8" s="1613">
        <f>E7*D8</f>
        <v>334.4</v>
      </c>
      <c r="F8" s="1110"/>
      <c r="G8" s="1110"/>
      <c r="H8" s="1590">
        <v>1.1000000000000001</v>
      </c>
      <c r="I8" s="60" t="s">
        <v>508</v>
      </c>
      <c r="J8" s="1575">
        <f>H8/J$5</f>
        <v>11.840301458380695</v>
      </c>
      <c r="K8" s="1614" t="s">
        <v>467</v>
      </c>
    </row>
    <row r="9" spans="1:11" ht="18" customHeight="1" x14ac:dyDescent="0.25">
      <c r="A9" s="1221"/>
      <c r="B9" s="1110"/>
      <c r="C9" s="36" t="s">
        <v>751</v>
      </c>
      <c r="D9" s="1612">
        <v>0.1</v>
      </c>
      <c r="E9" s="1613">
        <f>E8*(1-D9)</f>
        <v>300.95999999999998</v>
      </c>
      <c r="F9" s="1110"/>
      <c r="G9" s="1110"/>
      <c r="H9" s="1589"/>
      <c r="I9" s="55"/>
      <c r="J9" s="1574"/>
      <c r="K9" s="1611"/>
    </row>
    <row r="10" spans="1:11" ht="18" customHeight="1" x14ac:dyDescent="0.25">
      <c r="A10" s="1221"/>
      <c r="B10" s="1110"/>
      <c r="C10" s="36" t="s">
        <v>749</v>
      </c>
      <c r="D10" s="1612">
        <v>0.7</v>
      </c>
      <c r="E10" s="1613">
        <f>E9*D10</f>
        <v>210.67199999999997</v>
      </c>
      <c r="F10" s="1110"/>
      <c r="G10" s="1110"/>
      <c r="H10" s="1585" t="s">
        <v>741</v>
      </c>
      <c r="I10" s="1110"/>
      <c r="J10" s="1579"/>
      <c r="K10" s="1611"/>
    </row>
    <row r="11" spans="1:11" ht="18" customHeight="1" x14ac:dyDescent="0.25">
      <c r="A11" s="1221"/>
      <c r="B11" s="1110"/>
      <c r="C11" s="36" t="s">
        <v>750</v>
      </c>
      <c r="D11" s="1612">
        <v>0.1</v>
      </c>
      <c r="E11" s="1613">
        <f>ROUNDUP(E10*(1+D11),0)</f>
        <v>232</v>
      </c>
      <c r="F11" s="1615">
        <f>J7</f>
        <v>17.222256666735557</v>
      </c>
      <c r="G11" s="537">
        <f>E11*F11</f>
        <v>3995.5635466826493</v>
      </c>
      <c r="H11" s="1586">
        <v>1.5</v>
      </c>
      <c r="I11" s="55" t="s">
        <v>507</v>
      </c>
      <c r="J11" s="1577">
        <f>H11/J$5</f>
        <v>16.145865625064584</v>
      </c>
      <c r="K11" s="1611" t="s">
        <v>466</v>
      </c>
    </row>
    <row r="12" spans="1:11" ht="18" customHeight="1" x14ac:dyDescent="0.25">
      <c r="A12" s="1221"/>
      <c r="B12" s="1110"/>
      <c r="C12" s="1592" t="s">
        <v>752</v>
      </c>
      <c r="D12" s="22"/>
      <c r="E12" s="399">
        <f>E9-E10</f>
        <v>90.288000000000011</v>
      </c>
      <c r="F12" s="1593">
        <f>J8</f>
        <v>11.840301458380695</v>
      </c>
      <c r="G12" s="1594">
        <f>E12*F12</f>
        <v>1069.0371380742763</v>
      </c>
      <c r="H12" s="1588">
        <v>1</v>
      </c>
      <c r="I12" s="60" t="s">
        <v>508</v>
      </c>
      <c r="J12" s="1578">
        <f>H12/J$5</f>
        <v>10.763910416709722</v>
      </c>
      <c r="K12" s="1614" t="s">
        <v>467</v>
      </c>
    </row>
    <row r="13" spans="1:11" ht="18" customHeight="1" x14ac:dyDescent="0.25">
      <c r="A13" s="1221"/>
      <c r="B13" s="1110"/>
      <c r="C13" s="1657"/>
      <c r="D13" s="1658"/>
      <c r="E13" s="1659"/>
      <c r="F13" s="19"/>
      <c r="G13" s="1625">
        <f>G11+G12</f>
        <v>5064.6006847569261</v>
      </c>
      <c r="H13" s="34"/>
      <c r="I13" s="1110"/>
      <c r="J13" s="1110"/>
      <c r="K13" s="1604"/>
    </row>
    <row r="14" spans="1:11" ht="18" customHeight="1" x14ac:dyDescent="0.25">
      <c r="A14" s="1221"/>
      <c r="B14" s="1110"/>
      <c r="C14" s="1110"/>
      <c r="D14" s="1110"/>
      <c r="E14" s="1110"/>
      <c r="F14" s="1110"/>
      <c r="H14" s="1585" t="s">
        <v>743</v>
      </c>
      <c r="I14" s="1110"/>
      <c r="J14" s="1579"/>
      <c r="K14" s="1611"/>
    </row>
    <row r="15" spans="1:11" ht="18" customHeight="1" x14ac:dyDescent="0.25">
      <c r="A15" s="1221"/>
      <c r="B15" s="1110"/>
      <c r="C15" s="1110"/>
      <c r="D15" s="1110"/>
      <c r="E15" s="1110"/>
      <c r="F15" s="1110"/>
      <c r="G15" s="1110"/>
      <c r="H15" s="1586">
        <v>1.7</v>
      </c>
      <c r="I15" s="55" t="s">
        <v>507</v>
      </c>
      <c r="J15" s="1577">
        <f>H15/J$5</f>
        <v>18.298647708406527</v>
      </c>
      <c r="K15" s="1611" t="s">
        <v>466</v>
      </c>
    </row>
    <row r="16" spans="1:11" ht="18" customHeight="1" thickBot="1" x14ac:dyDescent="0.3">
      <c r="A16" s="1221"/>
      <c r="B16" s="204" t="s">
        <v>754</v>
      </c>
      <c r="C16" s="1110"/>
      <c r="D16" s="1110"/>
      <c r="E16" s="1110"/>
      <c r="F16" s="1110"/>
      <c r="G16" s="1110"/>
      <c r="H16" s="1587">
        <v>1.2</v>
      </c>
      <c r="I16" s="1572" t="s">
        <v>508</v>
      </c>
      <c r="J16" s="1580">
        <f>H16/J$5</f>
        <v>12.916692500051665</v>
      </c>
      <c r="K16" s="1616" t="s">
        <v>467</v>
      </c>
    </row>
    <row r="17" spans="1:11" ht="18" customHeight="1" x14ac:dyDescent="0.25">
      <c r="A17" s="1221"/>
      <c r="B17" s="1110"/>
      <c r="C17" s="36" t="s">
        <v>756</v>
      </c>
      <c r="D17" s="1110"/>
      <c r="E17" s="146">
        <f>E$11</f>
        <v>232</v>
      </c>
      <c r="F17" s="1615">
        <f>J11</f>
        <v>16.145865625064584</v>
      </c>
      <c r="G17" s="537">
        <f t="shared" ref="G17:G18" si="0">E17*F17</f>
        <v>3745.8408250149832</v>
      </c>
      <c r="H17" s="1110"/>
      <c r="I17" s="1110"/>
      <c r="J17" s="1110"/>
      <c r="K17" s="1604"/>
    </row>
    <row r="18" spans="1:11" ht="18" customHeight="1" x14ac:dyDescent="0.25">
      <c r="A18" s="1221"/>
      <c r="B18" s="1110"/>
      <c r="C18" s="1592" t="s">
        <v>755</v>
      </c>
      <c r="D18" s="22"/>
      <c r="E18" s="1660">
        <f>E$12</f>
        <v>90.288000000000011</v>
      </c>
      <c r="F18" s="1593">
        <f>J12</f>
        <v>10.763910416709722</v>
      </c>
      <c r="G18" s="1591">
        <f t="shared" si="0"/>
        <v>971.85194370388751</v>
      </c>
      <c r="H18" s="1621"/>
      <c r="I18" s="1622"/>
      <c r="J18" s="1110"/>
      <c r="K18" s="1604"/>
    </row>
    <row r="19" spans="1:11" ht="18" customHeight="1" x14ac:dyDescent="0.25">
      <c r="A19" s="1221"/>
      <c r="B19" s="1110"/>
      <c r="C19" s="1110"/>
      <c r="D19" s="1110"/>
      <c r="E19" s="1110"/>
      <c r="F19" s="1110"/>
      <c r="G19" s="1411">
        <f>G17+G18</f>
        <v>4717.6927687188709</v>
      </c>
      <c r="H19" s="1623">
        <f>G19/G$13</f>
        <v>0.93150340221645633</v>
      </c>
      <c r="I19" s="1622"/>
      <c r="J19" s="1110"/>
      <c r="K19" s="1604"/>
    </row>
    <row r="20" spans="1:11" ht="18" customHeight="1" x14ac:dyDescent="0.25">
      <c r="A20" s="1221"/>
      <c r="B20" s="1110"/>
      <c r="C20" s="1110"/>
      <c r="D20" s="1110"/>
      <c r="E20" s="1110"/>
      <c r="F20" s="1110"/>
      <c r="G20" s="1110"/>
      <c r="H20" s="1622"/>
      <c r="I20" s="1622"/>
      <c r="J20" s="1110"/>
      <c r="K20" s="1604"/>
    </row>
    <row r="21" spans="1:11" ht="18" customHeight="1" x14ac:dyDescent="0.3">
      <c r="A21" s="1221"/>
      <c r="B21" s="204" t="s">
        <v>757</v>
      </c>
      <c r="C21" s="1110"/>
      <c r="D21" s="1110"/>
      <c r="E21" s="1110"/>
      <c r="F21" s="1110"/>
      <c r="G21" s="1110"/>
      <c r="H21" s="1622"/>
      <c r="I21" s="1979" t="s">
        <v>760</v>
      </c>
      <c r="J21" s="1110"/>
      <c r="K21" s="1604"/>
    </row>
    <row r="22" spans="1:11" ht="18" customHeight="1" x14ac:dyDescent="0.3">
      <c r="A22" s="1221"/>
      <c r="B22" s="1110"/>
      <c r="C22" s="36" t="s">
        <v>756</v>
      </c>
      <c r="D22" s="1110"/>
      <c r="E22" s="146">
        <f>E$11</f>
        <v>232</v>
      </c>
      <c r="F22" s="1615">
        <f>J15</f>
        <v>18.298647708406527</v>
      </c>
      <c r="G22" s="537">
        <f t="shared" ref="G22:G23" si="1">E22*F22</f>
        <v>4245.2862683503145</v>
      </c>
      <c r="H22" s="1622"/>
      <c r="I22" s="1980"/>
      <c r="J22" s="1110"/>
      <c r="K22" s="1604"/>
    </row>
    <row r="23" spans="1:11" ht="18" customHeight="1" x14ac:dyDescent="0.25">
      <c r="A23" s="1221"/>
      <c r="B23" s="1110"/>
      <c r="C23" s="1592" t="s">
        <v>755</v>
      </c>
      <c r="D23" s="22"/>
      <c r="E23" s="1660">
        <f>E$12</f>
        <v>90.288000000000011</v>
      </c>
      <c r="F23" s="1593">
        <f>J16</f>
        <v>12.916692500051665</v>
      </c>
      <c r="G23" s="1591">
        <f t="shared" si="1"/>
        <v>1166.222332444665</v>
      </c>
      <c r="H23" s="1621"/>
      <c r="I23" s="1622"/>
      <c r="J23" s="1110"/>
      <c r="K23" s="1604"/>
    </row>
    <row r="24" spans="1:11" ht="18" customHeight="1" x14ac:dyDescent="0.25">
      <c r="A24" s="1221"/>
      <c r="B24" s="1110"/>
      <c r="C24" s="1110"/>
      <c r="D24" s="1110"/>
      <c r="E24" s="1110"/>
      <c r="F24" s="1110"/>
      <c r="G24" s="1411">
        <f>G22+G23</f>
        <v>5411.5086007949794</v>
      </c>
      <c r="H24" s="1623">
        <f>G24/G$13</f>
        <v>1.0684965977835434</v>
      </c>
      <c r="I24" s="1622"/>
      <c r="J24" s="1110"/>
      <c r="K24" s="1604"/>
    </row>
    <row r="25" spans="1:11" ht="18" customHeight="1" x14ac:dyDescent="0.25">
      <c r="A25" s="1221"/>
      <c r="B25" s="1110"/>
      <c r="C25" s="1110"/>
      <c r="D25" s="1110"/>
      <c r="E25" s="1110"/>
      <c r="F25" s="1110"/>
      <c r="G25" s="1110"/>
      <c r="H25" s="1110"/>
      <c r="I25" s="1110"/>
      <c r="J25" s="1110"/>
      <c r="K25" s="1604"/>
    </row>
    <row r="26" spans="1:11" ht="18" customHeight="1" x14ac:dyDescent="0.25">
      <c r="A26" s="1221"/>
      <c r="B26" s="204" t="s">
        <v>758</v>
      </c>
      <c r="C26" s="1110"/>
      <c r="D26" s="1110"/>
      <c r="E26" s="1110"/>
      <c r="F26" s="1110"/>
      <c r="G26" s="1110"/>
      <c r="H26" s="1110"/>
      <c r="I26" s="1110"/>
      <c r="J26" s="1110"/>
      <c r="K26" s="1604"/>
    </row>
    <row r="27" spans="1:11" ht="18" customHeight="1" x14ac:dyDescent="0.25">
      <c r="A27" s="1221"/>
      <c r="B27" s="1110"/>
      <c r="C27" s="36" t="s">
        <v>766</v>
      </c>
      <c r="D27" s="1612">
        <v>0.5</v>
      </c>
      <c r="E27" s="1613">
        <f>E9*D27</f>
        <v>150.47999999999999</v>
      </c>
      <c r="F27" s="1110"/>
      <c r="G27" s="1110"/>
      <c r="H27" s="1110"/>
      <c r="I27" s="1110"/>
      <c r="J27" s="1110"/>
      <c r="K27" s="1604"/>
    </row>
    <row r="28" spans="1:11" ht="18" customHeight="1" x14ac:dyDescent="0.25">
      <c r="A28" s="1221"/>
      <c r="B28" s="1110"/>
      <c r="C28" s="36" t="s">
        <v>750</v>
      </c>
      <c r="D28" s="1612">
        <v>0.1</v>
      </c>
      <c r="E28" s="1613">
        <f>E27*(1+D28)</f>
        <v>165.52799999999999</v>
      </c>
      <c r="F28" s="1615">
        <f>J11</f>
        <v>16.145865625064584</v>
      </c>
      <c r="G28" s="537">
        <f>E28*F28</f>
        <v>2672.5928451856903</v>
      </c>
      <c r="H28" s="1110"/>
      <c r="I28" s="1110"/>
      <c r="J28" s="1110"/>
      <c r="K28" s="1604"/>
    </row>
    <row r="29" spans="1:11" ht="18" customHeight="1" x14ac:dyDescent="0.25">
      <c r="A29" s="1221"/>
      <c r="B29" s="1110"/>
      <c r="C29" s="1592" t="s">
        <v>752</v>
      </c>
      <c r="D29" s="22"/>
      <c r="E29" s="399">
        <f>E12</f>
        <v>90.288000000000011</v>
      </c>
      <c r="F29" s="1593">
        <f>J12</f>
        <v>10.763910416709722</v>
      </c>
      <c r="G29" s="1591">
        <f>E29*F29</f>
        <v>971.85194370388751</v>
      </c>
      <c r="H29" s="22"/>
      <c r="I29" s="1110"/>
      <c r="J29" s="1110"/>
      <c r="K29" s="1604"/>
    </row>
    <row r="30" spans="1:11" ht="18" customHeight="1" x14ac:dyDescent="0.25">
      <c r="A30" s="1221"/>
      <c r="B30" s="1110"/>
      <c r="C30" s="1110"/>
      <c r="D30" s="1110"/>
      <c r="E30" s="1110"/>
      <c r="F30" s="1110"/>
      <c r="G30" s="1411">
        <f>G28+G29</f>
        <v>3644.4447888895779</v>
      </c>
      <c r="H30" s="1617">
        <f>G30/G$13</f>
        <v>0.71959173402522492</v>
      </c>
      <c r="I30" s="1110"/>
      <c r="J30" s="1110"/>
      <c r="K30" s="1604"/>
    </row>
    <row r="31" spans="1:11" ht="18" customHeight="1" thickBot="1" x14ac:dyDescent="0.3">
      <c r="A31" s="1618"/>
      <c r="B31" s="1260"/>
      <c r="C31" s="1260"/>
      <c r="D31" s="1260"/>
      <c r="E31" s="1260"/>
      <c r="F31" s="1260"/>
      <c r="G31" s="1260"/>
      <c r="H31" s="1260"/>
      <c r="I31" s="1260"/>
      <c r="J31" s="1260"/>
      <c r="K31" s="1619"/>
    </row>
    <row r="32" spans="1:11" ht="15.75" thickTop="1" x14ac:dyDescent="0.25">
      <c r="D32" s="19"/>
      <c r="E32" s="19"/>
      <c r="F32" s="19"/>
    </row>
    <row r="33" spans="4:6" ht="15" x14ac:dyDescent="0.25">
      <c r="D33" s="19"/>
      <c r="E33" s="19"/>
      <c r="F33" s="19"/>
    </row>
    <row r="34" spans="4:6" ht="15" x14ac:dyDescent="0.25">
      <c r="D34" s="19"/>
      <c r="E34" s="19"/>
      <c r="F34" s="19"/>
    </row>
    <row r="35" spans="4:6" ht="15" x14ac:dyDescent="0.25">
      <c r="D35" s="19"/>
      <c r="E35" s="19"/>
      <c r="F35" s="19"/>
    </row>
    <row r="36" spans="4:6" x14ac:dyDescent="0.3">
      <c r="D36" s="19"/>
      <c r="E36" s="19"/>
      <c r="F36" s="19"/>
    </row>
    <row r="37" spans="4:6" x14ac:dyDescent="0.3">
      <c r="D37" s="19"/>
      <c r="E37" s="19"/>
      <c r="F37" s="19"/>
    </row>
    <row r="38" spans="4:6" x14ac:dyDescent="0.3">
      <c r="D38" s="19"/>
      <c r="E38" s="19"/>
      <c r="F38" s="19"/>
    </row>
    <row r="39" spans="4:6" x14ac:dyDescent="0.3">
      <c r="D39" s="19"/>
      <c r="E39" s="19"/>
      <c r="F39" s="19"/>
    </row>
    <row r="40" spans="4:6" ht="12.75" customHeight="1" x14ac:dyDescent="0.3">
      <c r="D40" s="19"/>
      <c r="E40" s="19"/>
      <c r="F40" s="19"/>
    </row>
    <row r="41" spans="4:6" x14ac:dyDescent="0.3">
      <c r="D41" s="19"/>
      <c r="E41" s="19"/>
      <c r="F41" s="19"/>
    </row>
    <row r="42" spans="4:6" x14ac:dyDescent="0.3">
      <c r="D42" s="19"/>
      <c r="E42" s="19"/>
      <c r="F42" s="19"/>
    </row>
    <row r="43" spans="4:6" x14ac:dyDescent="0.3">
      <c r="D43" s="19"/>
      <c r="E43" s="19"/>
      <c r="F43" s="19"/>
    </row>
    <row r="44" spans="4:6" x14ac:dyDescent="0.3">
      <c r="D44" s="19"/>
      <c r="E44" s="19"/>
      <c r="F44" s="19"/>
    </row>
    <row r="45" spans="4:6" x14ac:dyDescent="0.3">
      <c r="D45" s="19"/>
      <c r="E45" s="19"/>
      <c r="F45" s="19"/>
    </row>
    <row r="46" spans="4:6" x14ac:dyDescent="0.3">
      <c r="D46" s="19"/>
      <c r="E46" s="19"/>
      <c r="F46" s="19"/>
    </row>
    <row r="47" spans="4:6" x14ac:dyDescent="0.3">
      <c r="D47" s="19"/>
      <c r="E47" s="19"/>
      <c r="F47" s="19"/>
    </row>
    <row r="48" spans="4:6" x14ac:dyDescent="0.3">
      <c r="D48" s="19"/>
      <c r="E48" s="19"/>
      <c r="F48" s="19"/>
    </row>
    <row r="49" spans="4:6" x14ac:dyDescent="0.3">
      <c r="D49" s="19"/>
      <c r="E49" s="19"/>
      <c r="F49" s="19"/>
    </row>
    <row r="50" spans="4:6" x14ac:dyDescent="0.3">
      <c r="D50" s="19"/>
      <c r="E50" s="19"/>
      <c r="F50" s="19"/>
    </row>
    <row r="51" spans="4:6" x14ac:dyDescent="0.3">
      <c r="D51" s="19"/>
      <c r="E51" s="19"/>
      <c r="F51" s="19"/>
    </row>
    <row r="52" spans="4:6" x14ac:dyDescent="0.3">
      <c r="D52" s="19"/>
      <c r="E52" s="19"/>
      <c r="F52" s="19"/>
    </row>
    <row r="53" spans="4:6" x14ac:dyDescent="0.3">
      <c r="D53" s="19"/>
      <c r="E53" s="19"/>
      <c r="F53" s="19"/>
    </row>
    <row r="54" spans="4:6" x14ac:dyDescent="0.3">
      <c r="D54" s="19"/>
      <c r="E54" s="19"/>
      <c r="F54" s="19"/>
    </row>
    <row r="55" spans="4:6" x14ac:dyDescent="0.3">
      <c r="D55" s="19"/>
      <c r="E55" s="19"/>
      <c r="F55" s="19"/>
    </row>
    <row r="56" spans="4:6" x14ac:dyDescent="0.3">
      <c r="D56" s="19"/>
      <c r="E56" s="19"/>
      <c r="F56" s="19"/>
    </row>
    <row r="57" spans="4:6" x14ac:dyDescent="0.3">
      <c r="D57" s="19"/>
      <c r="E57" s="19"/>
      <c r="F57" s="19"/>
    </row>
    <row r="58" spans="4:6" x14ac:dyDescent="0.3">
      <c r="D58" s="19"/>
      <c r="E58" s="19"/>
      <c r="F58" s="19"/>
    </row>
    <row r="59" spans="4:6" x14ac:dyDescent="0.3">
      <c r="D59" s="19"/>
      <c r="E59" s="19"/>
      <c r="F59" s="19"/>
    </row>
    <row r="60" spans="4:6" x14ac:dyDescent="0.3">
      <c r="D60" s="19"/>
      <c r="E60" s="19"/>
      <c r="F60" s="19"/>
    </row>
    <row r="61" spans="4:6" x14ac:dyDescent="0.3">
      <c r="D61" s="19"/>
      <c r="E61" s="19"/>
      <c r="F61" s="19"/>
    </row>
    <row r="62" spans="4:6" x14ac:dyDescent="0.3">
      <c r="D62" s="19"/>
      <c r="E62" s="19"/>
      <c r="F62" s="19"/>
    </row>
    <row r="63" spans="4:6" x14ac:dyDescent="0.3">
      <c r="D63" s="19"/>
      <c r="E63" s="19"/>
      <c r="F63" s="19"/>
    </row>
    <row r="64" spans="4:6" x14ac:dyDescent="0.3">
      <c r="D64" s="19"/>
      <c r="E64" s="19"/>
      <c r="F64" s="19"/>
    </row>
    <row r="65" spans="4:6" x14ac:dyDescent="0.3">
      <c r="D65" s="19"/>
      <c r="E65" s="19"/>
      <c r="F65" s="19"/>
    </row>
    <row r="66" spans="4:6" x14ac:dyDescent="0.3">
      <c r="D66" s="19"/>
      <c r="E66" s="19"/>
      <c r="F66" s="19"/>
    </row>
    <row r="67" spans="4:6" x14ac:dyDescent="0.3">
      <c r="D67" s="19"/>
      <c r="E67" s="19"/>
      <c r="F67" s="19"/>
    </row>
    <row r="68" spans="4:6" x14ac:dyDescent="0.3">
      <c r="D68" s="19"/>
      <c r="E68" s="19"/>
      <c r="F68" s="19"/>
    </row>
    <row r="69" spans="4:6" x14ac:dyDescent="0.3">
      <c r="D69" s="19"/>
      <c r="E69" s="19"/>
      <c r="F69" s="19"/>
    </row>
    <row r="70" spans="4:6" x14ac:dyDescent="0.3">
      <c r="D70" s="19"/>
      <c r="E70" s="19"/>
      <c r="F70" s="19"/>
    </row>
    <row r="71" spans="4:6" x14ac:dyDescent="0.3">
      <c r="D71" s="19"/>
      <c r="E71" s="19"/>
      <c r="F71" s="19"/>
    </row>
    <row r="72" spans="4:6" x14ac:dyDescent="0.3">
      <c r="D72" s="19"/>
      <c r="E72" s="19"/>
      <c r="F72" s="19"/>
    </row>
    <row r="73" spans="4:6" x14ac:dyDescent="0.3">
      <c r="D73" s="19"/>
      <c r="E73" s="19"/>
      <c r="F73" s="19"/>
    </row>
    <row r="74" spans="4:6" x14ac:dyDescent="0.3">
      <c r="D74" s="19"/>
      <c r="E74" s="19"/>
      <c r="F74" s="19"/>
    </row>
    <row r="75" spans="4:6" x14ac:dyDescent="0.3">
      <c r="D75" s="19"/>
      <c r="E75" s="19"/>
      <c r="F75" s="19"/>
    </row>
    <row r="76" spans="4:6" x14ac:dyDescent="0.3">
      <c r="D76" s="19"/>
      <c r="E76" s="19"/>
      <c r="F76" s="19"/>
    </row>
    <row r="77" spans="4:6" x14ac:dyDescent="0.3">
      <c r="D77" s="19"/>
      <c r="E77" s="19"/>
      <c r="F77" s="19"/>
    </row>
    <row r="78" spans="4:6" x14ac:dyDescent="0.3">
      <c r="D78" s="19"/>
      <c r="E78" s="19"/>
      <c r="F78" s="19"/>
    </row>
    <row r="79" spans="4:6" x14ac:dyDescent="0.3">
      <c r="D79" s="19"/>
      <c r="E79" s="19"/>
      <c r="F79" s="19"/>
    </row>
    <row r="80" spans="4:6" x14ac:dyDescent="0.3">
      <c r="D80" s="19"/>
      <c r="E80" s="19"/>
      <c r="F80" s="19"/>
    </row>
    <row r="81" spans="4:6" x14ac:dyDescent="0.3">
      <c r="D81" s="19"/>
      <c r="E81" s="19"/>
      <c r="F81" s="19"/>
    </row>
    <row r="82" spans="4:6" x14ac:dyDescent="0.3">
      <c r="D82" s="19"/>
      <c r="E82" s="19"/>
      <c r="F82" s="19"/>
    </row>
    <row r="83" spans="4:6" x14ac:dyDescent="0.3">
      <c r="D83" s="19"/>
      <c r="E83" s="19"/>
      <c r="F83" s="19"/>
    </row>
    <row r="84" spans="4:6" x14ac:dyDescent="0.3">
      <c r="D84" s="19"/>
      <c r="E84" s="19"/>
      <c r="F84" s="19"/>
    </row>
    <row r="85" spans="4:6" x14ac:dyDescent="0.3">
      <c r="D85" s="19"/>
      <c r="E85" s="19"/>
      <c r="F85" s="19"/>
    </row>
    <row r="86" spans="4:6" x14ac:dyDescent="0.3">
      <c r="D86" s="19"/>
      <c r="E86" s="19"/>
      <c r="F86" s="19"/>
    </row>
    <row r="87" spans="4:6" x14ac:dyDescent="0.3">
      <c r="D87" s="19"/>
      <c r="E87" s="19"/>
      <c r="F87" s="19"/>
    </row>
    <row r="88" spans="4:6" x14ac:dyDescent="0.3">
      <c r="D88" s="19"/>
      <c r="E88" s="19"/>
      <c r="F88" s="19"/>
    </row>
    <row r="89" spans="4:6" x14ac:dyDescent="0.3">
      <c r="D89" s="19"/>
      <c r="E89" s="19"/>
      <c r="F89" s="19"/>
    </row>
    <row r="90" spans="4:6" x14ac:dyDescent="0.3">
      <c r="D90" s="19"/>
      <c r="E90" s="19"/>
      <c r="F90" s="19"/>
    </row>
    <row r="91" spans="4:6" x14ac:dyDescent="0.3">
      <c r="D91" s="19"/>
      <c r="E91" s="19"/>
      <c r="F91" s="19"/>
    </row>
    <row r="92" spans="4:6" x14ac:dyDescent="0.3">
      <c r="D92" s="19"/>
      <c r="E92" s="19"/>
      <c r="F92" s="19"/>
    </row>
    <row r="93" spans="4:6" x14ac:dyDescent="0.3">
      <c r="D93" s="19"/>
      <c r="E93" s="19"/>
      <c r="F93" s="19"/>
    </row>
    <row r="94" spans="4:6" x14ac:dyDescent="0.3">
      <c r="D94" s="19"/>
      <c r="E94" s="19"/>
      <c r="F94" s="19"/>
    </row>
    <row r="95" spans="4:6" x14ac:dyDescent="0.3">
      <c r="D95" s="19"/>
      <c r="E95" s="19"/>
      <c r="F95" s="19"/>
    </row>
    <row r="96" spans="4:6" x14ac:dyDescent="0.3">
      <c r="D96" s="19"/>
      <c r="E96" s="19"/>
      <c r="F96" s="19"/>
    </row>
    <row r="97" spans="2:6" x14ac:dyDescent="0.3">
      <c r="D97" s="19"/>
      <c r="E97" s="19"/>
      <c r="F97" s="19"/>
    </row>
    <row r="98" spans="2:6" x14ac:dyDescent="0.3">
      <c r="D98" s="19"/>
      <c r="E98" s="19"/>
      <c r="F98" s="19"/>
    </row>
    <row r="99" spans="2:6" x14ac:dyDescent="0.3">
      <c r="D99" s="19"/>
      <c r="E99" s="19"/>
      <c r="F99" s="19"/>
    </row>
    <row r="100" spans="2:6" x14ac:dyDescent="0.3">
      <c r="D100" s="19"/>
      <c r="E100" s="19"/>
      <c r="F100" s="19"/>
    </row>
    <row r="101" spans="2:6" x14ac:dyDescent="0.3">
      <c r="B101" s="1110"/>
      <c r="D101" s="19"/>
      <c r="E101" s="19"/>
      <c r="F101" s="19"/>
    </row>
    <row r="102" spans="2:6" x14ac:dyDescent="0.3">
      <c r="B102" s="1110"/>
      <c r="D102" s="19"/>
      <c r="E102" s="19"/>
      <c r="F102" s="19"/>
    </row>
    <row r="103" spans="2:6" x14ac:dyDescent="0.3">
      <c r="B103" s="1110"/>
      <c r="D103" s="19"/>
      <c r="E103" s="19"/>
      <c r="F103" s="19"/>
    </row>
    <row r="104" spans="2:6" x14ac:dyDescent="0.3">
      <c r="B104" s="1110"/>
      <c r="D104" s="19"/>
      <c r="E104" s="19"/>
      <c r="F104" s="19"/>
    </row>
    <row r="105" spans="2:6" x14ac:dyDescent="0.3">
      <c r="B105" s="1110"/>
      <c r="D105" s="19"/>
      <c r="E105" s="19"/>
      <c r="F105" s="19"/>
    </row>
    <row r="106" spans="2:6" x14ac:dyDescent="0.3">
      <c r="B106" s="1110"/>
      <c r="D106" s="19"/>
      <c r="E106" s="19"/>
      <c r="F106" s="19"/>
    </row>
    <row r="107" spans="2:6" x14ac:dyDescent="0.3">
      <c r="B107" s="1110"/>
      <c r="D107" s="19"/>
      <c r="E107" s="19"/>
      <c r="F107" s="19"/>
    </row>
    <row r="108" spans="2:6" x14ac:dyDescent="0.3">
      <c r="B108" s="1110"/>
      <c r="D108" s="19"/>
      <c r="E108" s="19"/>
      <c r="F108" s="19"/>
    </row>
    <row r="109" spans="2:6" x14ac:dyDescent="0.3">
      <c r="D109" s="19"/>
      <c r="E109" s="19"/>
      <c r="F109" s="19"/>
    </row>
    <row r="110" spans="2:6" x14ac:dyDescent="0.3">
      <c r="D110" s="19"/>
      <c r="E110" s="19"/>
      <c r="F110" s="19"/>
    </row>
    <row r="111" spans="2:6" x14ac:dyDescent="0.3">
      <c r="D111" s="19"/>
      <c r="E111" s="19"/>
      <c r="F111" s="19"/>
    </row>
    <row r="112" spans="2:6" x14ac:dyDescent="0.3">
      <c r="D112" s="19"/>
      <c r="E112" s="19"/>
      <c r="F112" s="19"/>
    </row>
    <row r="113" spans="4:6" x14ac:dyDescent="0.3">
      <c r="D113" s="19"/>
      <c r="E113" s="19"/>
      <c r="F113" s="19"/>
    </row>
    <row r="114" spans="4:6" x14ac:dyDescent="0.3">
      <c r="D114" s="19"/>
      <c r="E114" s="19"/>
      <c r="F114" s="19"/>
    </row>
    <row r="115" spans="4:6" x14ac:dyDescent="0.3">
      <c r="D115" s="19"/>
      <c r="E115" s="19"/>
      <c r="F115" s="19"/>
    </row>
    <row r="116" spans="4:6" x14ac:dyDescent="0.3">
      <c r="D116" s="19"/>
      <c r="E116" s="19"/>
      <c r="F116" s="19"/>
    </row>
    <row r="117" spans="4:6" x14ac:dyDescent="0.3">
      <c r="D117" s="19"/>
      <c r="E117" s="19"/>
      <c r="F117" s="19"/>
    </row>
    <row r="118" spans="4:6" x14ac:dyDescent="0.3">
      <c r="D118" s="19"/>
      <c r="E118" s="19"/>
      <c r="F118" s="19"/>
    </row>
    <row r="119" spans="4:6" x14ac:dyDescent="0.3">
      <c r="D119" s="19"/>
      <c r="E119" s="19"/>
      <c r="F119" s="19"/>
    </row>
    <row r="120" spans="4:6" x14ac:dyDescent="0.3">
      <c r="D120" s="19"/>
      <c r="E120" s="19"/>
      <c r="F120" s="19"/>
    </row>
    <row r="121" spans="4:6" x14ac:dyDescent="0.3">
      <c r="D121" s="19"/>
      <c r="E121" s="19"/>
      <c r="F121" s="19"/>
    </row>
    <row r="122" spans="4:6" x14ac:dyDescent="0.3">
      <c r="D122" s="19"/>
      <c r="E122" s="19"/>
      <c r="F122" s="19"/>
    </row>
    <row r="123" spans="4:6" x14ac:dyDescent="0.3">
      <c r="D123" s="19"/>
      <c r="E123" s="19"/>
      <c r="F123" s="19"/>
    </row>
    <row r="124" spans="4:6" x14ac:dyDescent="0.3">
      <c r="D124" s="19"/>
      <c r="E124" s="19"/>
      <c r="F124" s="19"/>
    </row>
    <row r="125" spans="4:6" x14ac:dyDescent="0.3">
      <c r="D125" s="19"/>
      <c r="E125" s="19"/>
      <c r="F125" s="19"/>
    </row>
    <row r="126" spans="4:6" x14ac:dyDescent="0.3">
      <c r="D126" s="19"/>
      <c r="E126" s="19"/>
      <c r="F126" s="19"/>
    </row>
    <row r="127" spans="4:6" x14ac:dyDescent="0.3">
      <c r="D127" s="19"/>
      <c r="E127" s="19"/>
      <c r="F127" s="19"/>
    </row>
    <row r="128" spans="4:6" x14ac:dyDescent="0.3">
      <c r="D128" s="19"/>
      <c r="E128" s="19"/>
      <c r="F128" s="19"/>
    </row>
    <row r="129" spans="1:11" x14ac:dyDescent="0.3">
      <c r="D129" s="19"/>
      <c r="E129" s="19"/>
      <c r="F129" s="19"/>
    </row>
    <row r="130" spans="1:11" x14ac:dyDescent="0.3">
      <c r="D130" s="19"/>
      <c r="E130" s="19"/>
      <c r="F130" s="19"/>
    </row>
    <row r="131" spans="1:11" x14ac:dyDescent="0.3">
      <c r="D131" s="19"/>
      <c r="E131" s="19"/>
      <c r="F131" s="19"/>
    </row>
    <row r="132" spans="1:11" x14ac:dyDescent="0.3">
      <c r="D132" s="19"/>
      <c r="E132" s="19"/>
      <c r="F132" s="19"/>
    </row>
    <row r="133" spans="1:11" x14ac:dyDescent="0.3">
      <c r="D133" s="19"/>
      <c r="E133" s="19"/>
      <c r="F133" s="19"/>
    </row>
    <row r="134" spans="1:11" x14ac:dyDescent="0.3">
      <c r="D134" s="19"/>
      <c r="E134" s="19"/>
      <c r="F134" s="19"/>
    </row>
    <row r="135" spans="1:11" x14ac:dyDescent="0.3">
      <c r="D135" s="19"/>
      <c r="E135" s="19"/>
      <c r="F135" s="19"/>
    </row>
    <row r="136" spans="1:11" x14ac:dyDescent="0.3">
      <c r="D136" s="19"/>
      <c r="E136" s="19"/>
      <c r="F136" s="19"/>
    </row>
    <row r="137" spans="1:11" x14ac:dyDescent="0.3">
      <c r="D137" s="19"/>
      <c r="E137" s="19"/>
      <c r="F137" s="19"/>
    </row>
    <row r="138" spans="1:11" x14ac:dyDescent="0.3">
      <c r="D138" s="19"/>
      <c r="E138" s="19"/>
      <c r="F138" s="19"/>
    </row>
    <row r="139" spans="1:11" x14ac:dyDescent="0.3">
      <c r="D139" s="19"/>
      <c r="E139" s="19"/>
      <c r="F139" s="19"/>
    </row>
    <row r="140" spans="1:11" x14ac:dyDescent="0.3">
      <c r="D140" s="19"/>
      <c r="E140" s="19"/>
      <c r="F140" s="19"/>
    </row>
    <row r="141" spans="1:11" x14ac:dyDescent="0.3">
      <c r="D141" s="19"/>
      <c r="E141" s="19"/>
      <c r="F141" s="19"/>
    </row>
    <row r="142" spans="1:11" x14ac:dyDescent="0.3">
      <c r="D142" s="19"/>
      <c r="E142" s="19"/>
      <c r="F142" s="19"/>
    </row>
    <row r="143" spans="1:11" x14ac:dyDescent="0.3">
      <c r="D143" s="19"/>
      <c r="E143" s="19"/>
      <c r="F143" s="19"/>
    </row>
    <row r="144" spans="1:11" s="65" customFormat="1" ht="15.6" x14ac:dyDescent="0.3">
      <c r="A144" s="19"/>
      <c r="B144" s="19"/>
      <c r="C144" s="19"/>
      <c r="D144" s="19"/>
      <c r="E144" s="19"/>
      <c r="F144" s="19"/>
      <c r="G144" s="19"/>
      <c r="H144" s="19"/>
      <c r="I144" s="19"/>
      <c r="J144" s="19"/>
      <c r="K144" s="19"/>
    </row>
    <row r="145" spans="4:6" x14ac:dyDescent="0.3">
      <c r="D145" s="19"/>
      <c r="E145" s="19"/>
      <c r="F145" s="19"/>
    </row>
    <row r="146" spans="4:6" x14ac:dyDescent="0.3">
      <c r="D146" s="19"/>
      <c r="E146" s="19"/>
      <c r="F146" s="19"/>
    </row>
    <row r="147" spans="4:6" x14ac:dyDescent="0.3">
      <c r="D147" s="19"/>
      <c r="E147" s="19"/>
      <c r="F147" s="19"/>
    </row>
    <row r="148" spans="4:6" x14ac:dyDescent="0.3">
      <c r="D148" s="19"/>
      <c r="E148" s="19"/>
      <c r="F148" s="19"/>
    </row>
    <row r="149" spans="4:6" x14ac:dyDescent="0.3">
      <c r="D149" s="19"/>
      <c r="E149" s="19"/>
      <c r="F149" s="19"/>
    </row>
    <row r="150" spans="4:6" x14ac:dyDescent="0.3">
      <c r="D150" s="19"/>
      <c r="E150" s="19"/>
      <c r="F150" s="19"/>
    </row>
    <row r="151" spans="4:6" x14ac:dyDescent="0.3">
      <c r="D151" s="19"/>
      <c r="E151" s="19"/>
      <c r="F151" s="19"/>
    </row>
    <row r="152" spans="4:6" x14ac:dyDescent="0.3">
      <c r="D152" s="19"/>
      <c r="E152" s="19"/>
      <c r="F152" s="19"/>
    </row>
    <row r="153" spans="4:6" x14ac:dyDescent="0.3">
      <c r="D153" s="19"/>
      <c r="E153" s="19"/>
      <c r="F153" s="19"/>
    </row>
    <row r="154" spans="4:6" x14ac:dyDescent="0.3">
      <c r="D154" s="19"/>
      <c r="E154" s="19"/>
      <c r="F154" s="19"/>
    </row>
    <row r="155" spans="4:6" x14ac:dyDescent="0.3">
      <c r="D155" s="19"/>
      <c r="E155" s="19"/>
      <c r="F155" s="19"/>
    </row>
    <row r="156" spans="4:6" x14ac:dyDescent="0.3">
      <c r="D156" s="19"/>
      <c r="E156" s="19"/>
      <c r="F156" s="19"/>
    </row>
    <row r="157" spans="4:6" x14ac:dyDescent="0.3">
      <c r="D157" s="19"/>
      <c r="E157" s="19"/>
      <c r="F157" s="19"/>
    </row>
    <row r="158" spans="4:6" x14ac:dyDescent="0.3">
      <c r="D158" s="19"/>
      <c r="E158" s="19"/>
      <c r="F158" s="19"/>
    </row>
    <row r="159" spans="4:6" x14ac:dyDescent="0.3">
      <c r="D159" s="19"/>
      <c r="E159" s="19"/>
      <c r="F159" s="19"/>
    </row>
    <row r="160" spans="4:6" x14ac:dyDescent="0.3">
      <c r="D160" s="19"/>
      <c r="E160" s="19"/>
      <c r="F160" s="19"/>
    </row>
    <row r="161" spans="4:6" x14ac:dyDescent="0.3">
      <c r="D161" s="19"/>
      <c r="E161" s="19"/>
      <c r="F161" s="19"/>
    </row>
    <row r="162" spans="4:6" x14ac:dyDescent="0.3">
      <c r="D162" s="19"/>
      <c r="E162" s="19"/>
      <c r="F162" s="19"/>
    </row>
    <row r="163" spans="4:6" x14ac:dyDescent="0.3">
      <c r="D163" s="19"/>
      <c r="E163" s="19"/>
      <c r="F163" s="19"/>
    </row>
    <row r="196" spans="4:6" ht="18" customHeight="1" x14ac:dyDescent="0.3">
      <c r="D196" s="19"/>
      <c r="E196" s="19"/>
      <c r="F196" s="19"/>
    </row>
    <row r="197" spans="4:6" ht="18" customHeight="1" x14ac:dyDescent="0.3">
      <c r="D197" s="19"/>
      <c r="E197" s="19"/>
      <c r="F197" s="19"/>
    </row>
    <row r="198" spans="4:6" ht="18" customHeight="1" x14ac:dyDescent="0.3">
      <c r="D198" s="19"/>
      <c r="E198" s="19"/>
      <c r="F198" s="19"/>
    </row>
    <row r="199" spans="4:6" ht="18" customHeight="1" x14ac:dyDescent="0.3">
      <c r="D199" s="19"/>
      <c r="E199" s="19"/>
      <c r="F199" s="19"/>
    </row>
    <row r="200" spans="4:6" ht="18" customHeight="1" x14ac:dyDescent="0.3">
      <c r="D200" s="19"/>
      <c r="E200" s="19"/>
      <c r="F200" s="19"/>
    </row>
    <row r="201" spans="4:6" ht="18" customHeight="1" x14ac:dyDescent="0.3">
      <c r="D201" s="19"/>
      <c r="E201" s="19"/>
      <c r="F201" s="19"/>
    </row>
    <row r="202" spans="4:6" ht="18" customHeight="1" x14ac:dyDescent="0.3">
      <c r="D202" s="19"/>
      <c r="E202" s="19"/>
      <c r="F202" s="19"/>
    </row>
    <row r="203" spans="4:6" ht="18" customHeight="1" x14ac:dyDescent="0.3">
      <c r="D203" s="19"/>
      <c r="E203" s="19"/>
      <c r="F203" s="19"/>
    </row>
    <row r="204" spans="4:6" ht="18" customHeight="1" x14ac:dyDescent="0.3">
      <c r="D204" s="19"/>
      <c r="E204" s="19"/>
      <c r="F204" s="19"/>
    </row>
    <row r="205" spans="4:6" ht="18" customHeight="1" x14ac:dyDescent="0.3">
      <c r="D205" s="19"/>
      <c r="E205" s="19"/>
      <c r="F205" s="19"/>
    </row>
    <row r="206" spans="4:6" ht="18" customHeight="1" x14ac:dyDescent="0.3">
      <c r="D206" s="19"/>
      <c r="E206" s="19"/>
      <c r="F206" s="19"/>
    </row>
    <row r="207" spans="4:6" ht="18" customHeight="1" x14ac:dyDescent="0.3">
      <c r="D207" s="19"/>
      <c r="E207" s="19"/>
      <c r="F207" s="19"/>
    </row>
    <row r="208" spans="4:6" ht="18" customHeight="1" x14ac:dyDescent="0.3">
      <c r="D208" s="19"/>
      <c r="E208" s="19"/>
      <c r="F208" s="19"/>
    </row>
    <row r="209" spans="4:6" ht="18" customHeight="1" x14ac:dyDescent="0.3">
      <c r="D209" s="19"/>
      <c r="E209" s="19"/>
      <c r="F209" s="19"/>
    </row>
    <row r="210" spans="4:6" ht="18" customHeight="1" x14ac:dyDescent="0.3">
      <c r="D210" s="19"/>
      <c r="E210" s="19"/>
      <c r="F210" s="19"/>
    </row>
    <row r="211" spans="4:6" ht="18" customHeight="1" x14ac:dyDescent="0.3">
      <c r="D211" s="19"/>
      <c r="E211" s="19"/>
      <c r="F211" s="19"/>
    </row>
    <row r="212" spans="4:6" ht="18" customHeight="1" x14ac:dyDescent="0.3">
      <c r="D212" s="19"/>
      <c r="E212" s="19"/>
      <c r="F212" s="19"/>
    </row>
    <row r="213" spans="4:6" ht="18" customHeight="1" x14ac:dyDescent="0.3">
      <c r="D213" s="19"/>
      <c r="E213" s="19"/>
      <c r="F213" s="19"/>
    </row>
    <row r="214" spans="4:6" ht="18" customHeight="1" x14ac:dyDescent="0.3">
      <c r="D214" s="19"/>
      <c r="E214" s="19"/>
      <c r="F214" s="19"/>
    </row>
    <row r="215" spans="4:6" ht="18" customHeight="1" x14ac:dyDescent="0.3">
      <c r="D215" s="19"/>
      <c r="E215" s="19"/>
      <c r="F215" s="19"/>
    </row>
    <row r="216" spans="4:6" ht="18" customHeight="1" x14ac:dyDescent="0.3">
      <c r="D216" s="19"/>
      <c r="E216" s="19"/>
      <c r="F216" s="19"/>
    </row>
    <row r="217" spans="4:6" ht="18" customHeight="1" x14ac:dyDescent="0.3">
      <c r="D217" s="19"/>
      <c r="E217" s="19"/>
      <c r="F217" s="19"/>
    </row>
    <row r="218" spans="4:6" ht="18" customHeight="1" x14ac:dyDescent="0.3">
      <c r="D218" s="19"/>
      <c r="E218" s="19"/>
      <c r="F218" s="19"/>
    </row>
    <row r="219" spans="4:6" ht="18" customHeight="1" x14ac:dyDescent="0.3">
      <c r="D219" s="19"/>
      <c r="E219" s="19"/>
      <c r="F219" s="19"/>
    </row>
    <row r="220" spans="4:6" ht="18" customHeight="1" x14ac:dyDescent="0.3">
      <c r="D220" s="19"/>
      <c r="E220" s="19"/>
      <c r="F220" s="19"/>
    </row>
    <row r="221" spans="4:6" ht="18" customHeight="1" x14ac:dyDescent="0.3">
      <c r="D221" s="19"/>
      <c r="E221" s="19"/>
      <c r="F221" s="19"/>
    </row>
    <row r="222" spans="4:6" ht="18" customHeight="1" x14ac:dyDescent="0.3">
      <c r="D222" s="19"/>
      <c r="E222" s="19"/>
      <c r="F222" s="19"/>
    </row>
    <row r="223" spans="4:6" ht="18" customHeight="1" x14ac:dyDescent="0.3">
      <c r="D223" s="19"/>
      <c r="E223" s="19"/>
      <c r="F223" s="19"/>
    </row>
    <row r="224" spans="4:6" ht="18" customHeight="1" x14ac:dyDescent="0.3">
      <c r="D224" s="19"/>
      <c r="E224" s="19"/>
      <c r="F224" s="19"/>
    </row>
    <row r="225" spans="4:6" ht="18" customHeight="1" x14ac:dyDescent="0.3">
      <c r="D225" s="19"/>
      <c r="E225" s="19"/>
      <c r="F225" s="19"/>
    </row>
    <row r="226" spans="4:6" ht="18" customHeight="1" x14ac:dyDescent="0.3">
      <c r="D226" s="19"/>
      <c r="E226" s="19"/>
      <c r="F226" s="19"/>
    </row>
    <row r="227" spans="4:6" ht="18" customHeight="1" x14ac:dyDescent="0.3">
      <c r="D227" s="19"/>
      <c r="E227" s="19"/>
      <c r="F227" s="19"/>
    </row>
    <row r="228" spans="4:6" ht="18" customHeight="1" x14ac:dyDescent="0.3">
      <c r="D228" s="19"/>
      <c r="E228" s="19"/>
      <c r="F228" s="19"/>
    </row>
    <row r="229" spans="4:6" ht="18" customHeight="1" x14ac:dyDescent="0.3">
      <c r="D229" s="19"/>
      <c r="E229" s="19"/>
      <c r="F229" s="19"/>
    </row>
    <row r="230" spans="4:6" ht="18" customHeight="1" x14ac:dyDescent="0.3">
      <c r="D230" s="19"/>
      <c r="E230" s="19"/>
      <c r="F230" s="19"/>
    </row>
    <row r="231" spans="4:6" ht="18" customHeight="1" x14ac:dyDescent="0.3">
      <c r="D231" s="19"/>
      <c r="E231" s="19"/>
      <c r="F231" s="19"/>
    </row>
    <row r="232" spans="4:6" ht="18" customHeight="1" x14ac:dyDescent="0.3">
      <c r="D232" s="19"/>
      <c r="E232" s="19"/>
      <c r="F232" s="19"/>
    </row>
    <row r="233" spans="4:6" ht="18" customHeight="1" x14ac:dyDescent="0.3">
      <c r="D233" s="19"/>
      <c r="E233" s="19"/>
      <c r="F233" s="19"/>
    </row>
    <row r="234" spans="4:6" ht="18" customHeight="1" x14ac:dyDescent="0.3">
      <c r="D234" s="19"/>
      <c r="E234" s="19"/>
      <c r="F234" s="19"/>
    </row>
    <row r="235" spans="4:6" ht="18" customHeight="1" x14ac:dyDescent="0.3">
      <c r="D235" s="19"/>
      <c r="E235" s="19"/>
      <c r="F235" s="19"/>
    </row>
    <row r="236" spans="4:6" ht="18" customHeight="1" x14ac:dyDescent="0.3">
      <c r="D236" s="19"/>
      <c r="E236" s="19"/>
      <c r="F236" s="19"/>
    </row>
    <row r="237" spans="4:6" ht="18" customHeight="1" x14ac:dyDescent="0.3">
      <c r="D237" s="19"/>
      <c r="E237" s="19"/>
      <c r="F237" s="19"/>
    </row>
    <row r="238" spans="4:6" ht="18" customHeight="1" x14ac:dyDescent="0.3">
      <c r="D238" s="19"/>
      <c r="E238" s="19"/>
      <c r="F238" s="19"/>
    </row>
    <row r="239" spans="4:6" x14ac:dyDescent="0.3">
      <c r="D239" s="19"/>
      <c r="E239" s="19"/>
      <c r="F239" s="19"/>
    </row>
    <row r="240" spans="4:6" x14ac:dyDescent="0.3">
      <c r="D240" s="19"/>
      <c r="E240" s="19"/>
      <c r="F240" s="19"/>
    </row>
    <row r="241" spans="4:6" x14ac:dyDescent="0.3">
      <c r="D241" s="19"/>
      <c r="E241" s="19"/>
      <c r="F241" s="19"/>
    </row>
    <row r="242" spans="4:6" x14ac:dyDescent="0.3">
      <c r="D242" s="19"/>
      <c r="E242" s="19"/>
      <c r="F242" s="19"/>
    </row>
    <row r="243" spans="4:6" x14ac:dyDescent="0.3">
      <c r="D243" s="19"/>
      <c r="E243" s="19"/>
      <c r="F243" s="19"/>
    </row>
    <row r="244" spans="4:6" x14ac:dyDescent="0.3">
      <c r="D244" s="19"/>
      <c r="E244" s="19"/>
      <c r="F244" s="19"/>
    </row>
    <row r="245" spans="4:6" x14ac:dyDescent="0.3">
      <c r="D245" s="19"/>
      <c r="E245" s="19"/>
      <c r="F245" s="19"/>
    </row>
    <row r="246" spans="4:6" x14ac:dyDescent="0.3">
      <c r="D246" s="19"/>
      <c r="E246" s="19"/>
      <c r="F246" s="19"/>
    </row>
    <row r="247" spans="4:6" x14ac:dyDescent="0.3">
      <c r="D247" s="19"/>
      <c r="E247" s="19"/>
      <c r="F247" s="19"/>
    </row>
    <row r="248" spans="4:6" x14ac:dyDescent="0.3">
      <c r="D248" s="19"/>
      <c r="E248" s="19"/>
      <c r="F248" s="19"/>
    </row>
    <row r="249" spans="4:6" x14ac:dyDescent="0.3">
      <c r="D249" s="19"/>
      <c r="E249" s="19"/>
      <c r="F249" s="19"/>
    </row>
    <row r="250" spans="4:6" x14ac:dyDescent="0.3">
      <c r="D250" s="19"/>
      <c r="E250" s="19"/>
      <c r="F250" s="19"/>
    </row>
    <row r="251" spans="4:6" x14ac:dyDescent="0.3">
      <c r="D251" s="19"/>
      <c r="E251" s="19"/>
      <c r="F251" s="19"/>
    </row>
  </sheetData>
  <mergeCells count="2">
    <mergeCell ref="E3:G3"/>
    <mergeCell ref="I21:I22"/>
  </mergeCells>
  <printOptions horizontalCentered="1"/>
  <pageMargins left="0.31496062992125984" right="0.31496062992125984" top="0.35433070866141736" bottom="0.35433070866141736" header="0.31496062992125984" footer="0.31496062992125984"/>
  <pageSetup scale="73" orientation="landscape" r:id="rId1"/>
  <headerFooter>
    <oddFooter>&amp;L&amp;F&amp;C&amp;A&amp;RPrinted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T95"/>
  <sheetViews>
    <sheetView workbookViewId="0">
      <pane xSplit="5" ySplit="7" topLeftCell="F8" activePane="bottomRight" state="frozen"/>
      <selection pane="topRight" activeCell="F1" sqref="F1"/>
      <selection pane="bottomLeft" activeCell="A8" sqref="A8"/>
      <selection pane="bottomRight" activeCell="F8" sqref="F8"/>
    </sheetView>
  </sheetViews>
  <sheetFormatPr defaultColWidth="9.109375" defaultRowHeight="13.8" x14ac:dyDescent="0.3"/>
  <cols>
    <col min="1" max="2" width="3.6640625" style="19" customWidth="1"/>
    <col min="3" max="3" width="27.6640625" style="19" customWidth="1"/>
    <col min="4" max="4" width="24.6640625" style="19" customWidth="1"/>
    <col min="5" max="7" width="9.6640625" style="72" customWidth="1"/>
    <col min="8" max="8" width="9.6640625" style="19" customWidth="1"/>
    <col min="9" max="12" width="12.6640625" style="19" customWidth="1"/>
    <col min="13" max="14" width="12.6640625" style="19" hidden="1" customWidth="1"/>
    <col min="15" max="17" width="12.6640625" style="19" customWidth="1"/>
    <col min="18" max="19" width="12.6640625" style="19" hidden="1" customWidth="1"/>
    <col min="20" max="20" width="24.6640625" style="19" customWidth="1"/>
    <col min="21" max="16384" width="9.109375" style="19"/>
  </cols>
  <sheetData>
    <row r="1" spans="1:20" ht="24" customHeight="1" thickTop="1" x14ac:dyDescent="0.3">
      <c r="A1" s="1213" t="s">
        <v>497</v>
      </c>
      <c r="B1" s="1214"/>
      <c r="C1" s="1215"/>
      <c r="D1" s="1215"/>
      <c r="E1" s="1216"/>
      <c r="F1" s="1217" t="s">
        <v>783</v>
      </c>
      <c r="G1" s="1217"/>
      <c r="H1" s="1215"/>
      <c r="I1" s="1218"/>
      <c r="J1" s="1218"/>
      <c r="K1" s="1215"/>
      <c r="L1" s="1219"/>
      <c r="M1" s="1219"/>
      <c r="N1" s="1219"/>
      <c r="O1" s="1219"/>
      <c r="P1" s="1219"/>
      <c r="Q1" s="1219"/>
      <c r="R1" s="1219"/>
      <c r="S1" s="1219"/>
      <c r="T1" s="1220"/>
    </row>
    <row r="2" spans="1:20" ht="18" customHeight="1" x14ac:dyDescent="0.25">
      <c r="A2" s="1221"/>
      <c r="B2" s="1110"/>
      <c r="D2" s="259"/>
      <c r="E2" s="36" t="s">
        <v>0</v>
      </c>
      <c r="F2" s="37" t="str">
        <f>'All Years'!E2</f>
        <v>SFO Terminal 1 Reconstruction; Scheme Design Phase</v>
      </c>
      <c r="G2" s="37"/>
      <c r="H2" s="1110"/>
      <c r="I2" s="1110"/>
      <c r="J2" s="1110"/>
      <c r="K2" s="1110"/>
      <c r="L2" s="1110"/>
      <c r="M2" s="1110"/>
      <c r="N2" s="1110"/>
      <c r="O2" s="1110"/>
      <c r="P2" s="1110"/>
      <c r="Q2" s="1110"/>
      <c r="R2" s="1110"/>
      <c r="S2" s="1110"/>
      <c r="T2" s="1459" t="s">
        <v>447</v>
      </c>
    </row>
    <row r="3" spans="1:20" ht="18" customHeight="1" thickBot="1" x14ac:dyDescent="0.3">
      <c r="A3" s="1222" t="s">
        <v>10</v>
      </c>
      <c r="B3" s="260"/>
      <c r="C3" s="1998">
        <f>'All Years'!C3</f>
        <v>42499</v>
      </c>
      <c r="D3" s="1998"/>
      <c r="E3" s="602">
        <f>'All Years'!D3</f>
        <v>17</v>
      </c>
      <c r="F3" s="35" t="str">
        <f>'All Years'!C2</f>
        <v>Fixed Link Calculations Added</v>
      </c>
      <c r="G3" s="1307"/>
      <c r="H3" s="1307"/>
      <c r="I3" s="1307"/>
      <c r="J3" s="1307"/>
      <c r="K3" s="1307"/>
      <c r="L3" s="211"/>
      <c r="M3" s="212"/>
      <c r="N3" s="212"/>
      <c r="O3" s="212"/>
      <c r="P3" s="212"/>
      <c r="Q3" s="212"/>
      <c r="R3" s="212"/>
      <c r="S3" s="212"/>
      <c r="T3" s="1460" t="s">
        <v>446</v>
      </c>
    </row>
    <row r="4" spans="1:20" ht="18" customHeight="1" x14ac:dyDescent="0.3">
      <c r="A4" s="1223"/>
      <c r="B4" s="1205"/>
      <c r="C4" s="607"/>
      <c r="D4" s="607"/>
      <c r="E4" s="607"/>
      <c r="F4" s="1991" t="s">
        <v>687</v>
      </c>
      <c r="G4" s="1992"/>
      <c r="H4" s="1993"/>
      <c r="I4" s="1991" t="s">
        <v>727</v>
      </c>
      <c r="J4" s="1992"/>
      <c r="K4" s="1992"/>
      <c r="L4" s="2000" t="s">
        <v>705</v>
      </c>
      <c r="M4" s="1991" t="s">
        <v>710</v>
      </c>
      <c r="N4" s="1992"/>
      <c r="O4" s="1991" t="s">
        <v>711</v>
      </c>
      <c r="P4" s="1992"/>
      <c r="Q4" s="1992"/>
      <c r="R4" s="1991" t="s">
        <v>712</v>
      </c>
      <c r="S4" s="1993"/>
      <c r="T4" s="1461"/>
    </row>
    <row r="5" spans="1:20" ht="18" customHeight="1" x14ac:dyDescent="0.3">
      <c r="A5" s="1224"/>
      <c r="B5" s="269"/>
      <c r="C5" s="1110"/>
      <c r="D5" s="1110"/>
      <c r="E5" s="604" t="s">
        <v>639</v>
      </c>
      <c r="F5" s="1966"/>
      <c r="G5" s="1968"/>
      <c r="H5" s="1967"/>
      <c r="I5" s="1966" t="s">
        <v>701</v>
      </c>
      <c r="J5" s="1968"/>
      <c r="K5" s="1968"/>
      <c r="L5" s="2001"/>
      <c r="M5" s="1994" t="s">
        <v>713</v>
      </c>
      <c r="N5" s="1996" t="s">
        <v>714</v>
      </c>
      <c r="O5" s="1994" t="s">
        <v>713</v>
      </c>
      <c r="P5" s="1570"/>
      <c r="Q5" s="1996" t="s">
        <v>714</v>
      </c>
      <c r="R5" s="1994" t="s">
        <v>713</v>
      </c>
      <c r="S5" s="1996" t="s">
        <v>714</v>
      </c>
      <c r="T5" s="1462"/>
    </row>
    <row r="6" spans="1:20" ht="18" customHeight="1" thickBot="1" x14ac:dyDescent="0.35">
      <c r="A6" s="1229"/>
      <c r="B6" s="1230"/>
      <c r="C6" s="1231" t="s">
        <v>685</v>
      </c>
      <c r="D6" s="1231" t="s">
        <v>699</v>
      </c>
      <c r="E6" s="1232" t="s">
        <v>688</v>
      </c>
      <c r="F6" s="2003" t="s">
        <v>700</v>
      </c>
      <c r="G6" s="2004"/>
      <c r="H6" s="2005"/>
      <c r="I6" s="2003" t="s">
        <v>723</v>
      </c>
      <c r="J6" s="2004"/>
      <c r="K6" s="2005"/>
      <c r="L6" s="2002"/>
      <c r="M6" s="1995"/>
      <c r="N6" s="1997"/>
      <c r="O6" s="1995"/>
      <c r="P6" s="1571"/>
      <c r="Q6" s="1997"/>
      <c r="R6" s="1995"/>
      <c r="S6" s="1997"/>
      <c r="T6" s="1463" t="s">
        <v>17</v>
      </c>
    </row>
    <row r="7" spans="1:20" ht="27" customHeight="1" x14ac:dyDescent="0.25">
      <c r="A7" s="1262"/>
      <c r="B7" s="1263"/>
      <c r="C7" s="1351"/>
      <c r="D7" s="1351"/>
      <c r="E7" s="1352"/>
      <c r="F7" s="1353" t="s">
        <v>724</v>
      </c>
      <c r="G7" s="1353" t="s">
        <v>725</v>
      </c>
      <c r="H7" s="1354" t="s">
        <v>693</v>
      </c>
      <c r="I7" s="1355" t="s">
        <v>689</v>
      </c>
      <c r="J7" s="1353" t="s">
        <v>726</v>
      </c>
      <c r="K7" s="1354" t="s">
        <v>260</v>
      </c>
      <c r="L7" s="1356"/>
      <c r="M7" s="1353" t="s">
        <v>715</v>
      </c>
      <c r="N7" s="1354" t="s">
        <v>719</v>
      </c>
      <c r="O7" s="1353" t="s">
        <v>715</v>
      </c>
      <c r="P7" s="1353" t="s">
        <v>765</v>
      </c>
      <c r="Q7" s="1354" t="s">
        <v>719</v>
      </c>
      <c r="R7" s="1353" t="s">
        <v>715</v>
      </c>
      <c r="S7" s="1354" t="s">
        <v>719</v>
      </c>
      <c r="T7" s="1464"/>
    </row>
    <row r="8" spans="1:20" ht="27" customHeight="1" x14ac:dyDescent="0.25">
      <c r="A8" s="1342"/>
      <c r="B8" s="1343"/>
      <c r="C8" s="187" t="s">
        <v>657</v>
      </c>
      <c r="D8" s="187" t="s">
        <v>702</v>
      </c>
      <c r="E8" s="1344" t="s">
        <v>638</v>
      </c>
      <c r="F8" s="1345"/>
      <c r="G8" s="1346">
        <v>150</v>
      </c>
      <c r="H8" s="1347">
        <v>150</v>
      </c>
      <c r="I8" s="1348">
        <v>1809</v>
      </c>
      <c r="J8" s="1348">
        <v>456</v>
      </c>
      <c r="K8" s="1349">
        <f>I8+J8</f>
        <v>2265</v>
      </c>
      <c r="L8" s="1350" t="s">
        <v>706</v>
      </c>
      <c r="M8" s="1368">
        <v>6400</v>
      </c>
      <c r="N8" s="1560" t="s">
        <v>717</v>
      </c>
      <c r="O8" s="1637">
        <v>6400</v>
      </c>
      <c r="P8" s="1635">
        <f>(O8/O9)-1</f>
        <v>0.18716379150435913</v>
      </c>
      <c r="Q8" s="1636" t="s">
        <v>718</v>
      </c>
      <c r="R8" s="1368">
        <v>6400</v>
      </c>
      <c r="S8" s="1560" t="s">
        <v>717</v>
      </c>
      <c r="T8" s="1465" t="s">
        <v>621</v>
      </c>
    </row>
    <row r="9" spans="1:20" ht="27" customHeight="1" x14ac:dyDescent="0.25">
      <c r="A9" s="1266"/>
      <c r="B9" s="1267"/>
      <c r="C9" s="1301" t="s">
        <v>654</v>
      </c>
      <c r="D9" s="1301" t="s">
        <v>703</v>
      </c>
      <c r="E9" s="1322" t="s">
        <v>632</v>
      </c>
      <c r="F9" s="1268"/>
      <c r="G9" s="1237">
        <v>190</v>
      </c>
      <c r="H9" s="1308">
        <v>190</v>
      </c>
      <c r="I9" s="1239">
        <v>2532</v>
      </c>
      <c r="J9" s="1239">
        <v>594</v>
      </c>
      <c r="K9" s="1240">
        <f>I9+J9</f>
        <v>3126</v>
      </c>
      <c r="L9" s="1336" t="s">
        <v>706</v>
      </c>
      <c r="M9" s="1370">
        <f>$K8+$K9</f>
        <v>5391</v>
      </c>
      <c r="N9" s="1372" t="s">
        <v>716</v>
      </c>
      <c r="O9" s="1981">
        <f>$K8+$K9</f>
        <v>5391</v>
      </c>
      <c r="P9" s="1982"/>
      <c r="Q9" s="1636" t="s">
        <v>718</v>
      </c>
      <c r="R9" s="1370">
        <f>$K8+$K9</f>
        <v>5391</v>
      </c>
      <c r="S9" s="1372" t="s">
        <v>716</v>
      </c>
      <c r="T9" s="1466" t="s">
        <v>411</v>
      </c>
    </row>
    <row r="10" spans="1:20" ht="27" customHeight="1" x14ac:dyDescent="0.3">
      <c r="A10" s="1266"/>
      <c r="B10" s="1267"/>
      <c r="C10" s="1301" t="s">
        <v>654</v>
      </c>
      <c r="D10" s="1301" t="s">
        <v>703</v>
      </c>
      <c r="E10" s="1322" t="s">
        <v>633</v>
      </c>
      <c r="F10" s="1173"/>
      <c r="G10" s="1237">
        <v>190</v>
      </c>
      <c r="H10" s="1308">
        <v>190</v>
      </c>
      <c r="I10" s="1239">
        <v>2532</v>
      </c>
      <c r="J10" s="1239">
        <v>594</v>
      </c>
      <c r="K10" s="1240">
        <f>I10+J10</f>
        <v>3126</v>
      </c>
      <c r="L10" s="1336" t="s">
        <v>706</v>
      </c>
      <c r="M10" s="1989">
        <v>13100</v>
      </c>
      <c r="N10" s="1372" t="s">
        <v>716</v>
      </c>
      <c r="O10" s="1987">
        <v>12100</v>
      </c>
      <c r="P10" s="1430"/>
      <c r="Q10" s="1372" t="s">
        <v>716</v>
      </c>
      <c r="R10" s="1989">
        <v>11700</v>
      </c>
      <c r="S10" s="1375" t="s">
        <v>720</v>
      </c>
      <c r="T10" s="1466" t="s">
        <v>411</v>
      </c>
    </row>
    <row r="11" spans="1:20" ht="18" customHeight="1" x14ac:dyDescent="0.3">
      <c r="A11" s="1225"/>
      <c r="B11" s="1999" t="s">
        <v>663</v>
      </c>
      <c r="C11" s="1302" t="s">
        <v>654</v>
      </c>
      <c r="D11" s="1304" t="s">
        <v>703</v>
      </c>
      <c r="E11" s="1131" t="s">
        <v>665</v>
      </c>
      <c r="F11" s="706"/>
      <c r="G11" s="1156">
        <v>190</v>
      </c>
      <c r="H11" s="1309"/>
      <c r="I11" s="706"/>
      <c r="J11" s="1026"/>
      <c r="K11" s="55"/>
      <c r="L11" s="1324"/>
      <c r="M11" s="1990"/>
      <c r="N11" s="1373"/>
      <c r="O11" s="1988"/>
      <c r="P11" s="1635">
        <f>(O10/O14)-1</f>
        <v>-1.6979445933869575E-2</v>
      </c>
      <c r="Q11" s="1373"/>
      <c r="R11" s="1990"/>
      <c r="S11" s="1376"/>
      <c r="T11" s="1467"/>
    </row>
    <row r="12" spans="1:20" ht="18" customHeight="1" x14ac:dyDescent="0.3">
      <c r="A12" s="1225"/>
      <c r="B12" s="1999"/>
      <c r="C12" s="1306" t="s">
        <v>655</v>
      </c>
      <c r="D12" s="1306" t="s">
        <v>704</v>
      </c>
      <c r="E12" s="93" t="s">
        <v>634</v>
      </c>
      <c r="F12" s="278">
        <v>260</v>
      </c>
      <c r="G12" s="1156"/>
      <c r="H12" s="1310">
        <v>380</v>
      </c>
      <c r="I12" s="1209">
        <v>5065</v>
      </c>
      <c r="J12" s="1209">
        <v>992</v>
      </c>
      <c r="K12" s="1212">
        <f>I12+J12</f>
        <v>6057</v>
      </c>
      <c r="L12" s="1338" t="s">
        <v>706</v>
      </c>
      <c r="M12" s="1990"/>
      <c r="N12" s="1341" t="s">
        <v>716</v>
      </c>
      <c r="O12" s="1988"/>
      <c r="P12" s="1430"/>
      <c r="Q12" s="1341" t="s">
        <v>716</v>
      </c>
      <c r="R12" s="1990"/>
      <c r="S12" s="1377" t="s">
        <v>720</v>
      </c>
      <c r="T12" s="1468" t="s">
        <v>629</v>
      </c>
    </row>
    <row r="13" spans="1:20" ht="18" customHeight="1" x14ac:dyDescent="0.3">
      <c r="A13" s="1225"/>
      <c r="B13" s="1999"/>
      <c r="C13" s="1302" t="s">
        <v>654</v>
      </c>
      <c r="D13" s="1305" t="s">
        <v>703</v>
      </c>
      <c r="E13" s="1171" t="s">
        <v>666</v>
      </c>
      <c r="F13" s="206"/>
      <c r="G13" s="1156">
        <v>190</v>
      </c>
      <c r="H13" s="1311"/>
      <c r="I13" s="206"/>
      <c r="J13" s="17"/>
      <c r="K13" s="17"/>
      <c r="L13" s="1326"/>
      <c r="M13" s="1990"/>
      <c r="N13" s="1374"/>
      <c r="O13" s="1988"/>
      <c r="P13" s="1430"/>
      <c r="Q13" s="1374"/>
      <c r="R13" s="1990"/>
      <c r="S13" s="1378"/>
      <c r="T13" s="1469"/>
    </row>
    <row r="14" spans="1:20" ht="27" customHeight="1" x14ac:dyDescent="0.25">
      <c r="A14" s="1227"/>
      <c r="B14" s="344"/>
      <c r="C14" s="1301" t="s">
        <v>654</v>
      </c>
      <c r="D14" s="1301" t="s">
        <v>703</v>
      </c>
      <c r="E14" s="1322" t="s">
        <v>635</v>
      </c>
      <c r="F14" s="1173"/>
      <c r="G14" s="1237">
        <v>190</v>
      </c>
      <c r="H14" s="1308">
        <v>190</v>
      </c>
      <c r="I14" s="1239">
        <v>2532</v>
      </c>
      <c r="J14" s="1239">
        <v>594</v>
      </c>
      <c r="K14" s="1240">
        <f t="shared" ref="K14:K18" si="0">I14+J14</f>
        <v>3126</v>
      </c>
      <c r="L14" s="1336" t="s">
        <v>706</v>
      </c>
      <c r="M14" s="1370">
        <f>SUM($K10:$K14)</f>
        <v>12309</v>
      </c>
      <c r="N14" s="1372" t="s">
        <v>716</v>
      </c>
      <c r="O14" s="1981">
        <f>SUM($K10:$K14)</f>
        <v>12309</v>
      </c>
      <c r="P14" s="1982"/>
      <c r="Q14" s="1372" t="s">
        <v>716</v>
      </c>
      <c r="R14" s="1370">
        <f>SUM($K10:$K14)</f>
        <v>12309</v>
      </c>
      <c r="S14" s="1375" t="s">
        <v>720</v>
      </c>
      <c r="T14" s="1466" t="s">
        <v>411</v>
      </c>
    </row>
    <row r="15" spans="1:20" ht="27" customHeight="1" x14ac:dyDescent="0.25">
      <c r="A15" s="1227"/>
      <c r="B15" s="344"/>
      <c r="C15" s="1301" t="s">
        <v>654</v>
      </c>
      <c r="D15" s="1301" t="s">
        <v>703</v>
      </c>
      <c r="E15" s="1322" t="s">
        <v>636</v>
      </c>
      <c r="F15" s="1269"/>
      <c r="G15" s="1237">
        <v>190</v>
      </c>
      <c r="H15" s="1308">
        <v>190</v>
      </c>
      <c r="I15" s="1239">
        <v>2532</v>
      </c>
      <c r="J15" s="1239">
        <v>594</v>
      </c>
      <c r="K15" s="1240">
        <f t="shared" si="0"/>
        <v>3126</v>
      </c>
      <c r="L15" s="1336" t="s">
        <v>706</v>
      </c>
      <c r="M15" s="1368">
        <v>7300</v>
      </c>
      <c r="N15" s="1560" t="s">
        <v>717</v>
      </c>
      <c r="O15" s="1637">
        <v>5800</v>
      </c>
      <c r="P15" s="1635">
        <f>(O15/O16)-1</f>
        <v>-7.2296865003198985E-2</v>
      </c>
      <c r="Q15" s="1372" t="s">
        <v>716</v>
      </c>
      <c r="R15" s="1368">
        <v>6400</v>
      </c>
      <c r="S15" s="1372" t="s">
        <v>716</v>
      </c>
      <c r="T15" s="1466" t="s">
        <v>411</v>
      </c>
    </row>
    <row r="16" spans="1:20" ht="27" customHeight="1" x14ac:dyDescent="0.25">
      <c r="A16" s="1227"/>
      <c r="B16" s="344"/>
      <c r="C16" s="1301" t="s">
        <v>654</v>
      </c>
      <c r="D16" s="1301" t="s">
        <v>703</v>
      </c>
      <c r="E16" s="1322" t="s">
        <v>637</v>
      </c>
      <c r="F16" s="1270"/>
      <c r="G16" s="1237">
        <v>190</v>
      </c>
      <c r="H16" s="1308">
        <v>190</v>
      </c>
      <c r="I16" s="1239">
        <v>2532</v>
      </c>
      <c r="J16" s="1239">
        <v>594</v>
      </c>
      <c r="K16" s="1240">
        <f t="shared" si="0"/>
        <v>3126</v>
      </c>
      <c r="L16" s="1336" t="s">
        <v>706</v>
      </c>
      <c r="M16" s="1370">
        <f>$K15+$K16</f>
        <v>6252</v>
      </c>
      <c r="N16" s="1372" t="s">
        <v>716</v>
      </c>
      <c r="O16" s="1981">
        <f>$K15+$K16</f>
        <v>6252</v>
      </c>
      <c r="P16" s="1982"/>
      <c r="Q16" s="1372" t="s">
        <v>716</v>
      </c>
      <c r="R16" s="1370">
        <f>$K15+$K16</f>
        <v>6252</v>
      </c>
      <c r="S16" s="1372" t="s">
        <v>716</v>
      </c>
      <c r="T16" s="1466" t="s">
        <v>411</v>
      </c>
    </row>
    <row r="17" spans="1:20" ht="27" customHeight="1" x14ac:dyDescent="0.25">
      <c r="A17" s="1227"/>
      <c r="B17" s="344"/>
      <c r="C17" s="1301" t="s">
        <v>654</v>
      </c>
      <c r="D17" s="1301" t="s">
        <v>703</v>
      </c>
      <c r="E17" s="1322" t="s">
        <v>640</v>
      </c>
      <c r="F17" s="1270"/>
      <c r="G17" s="1237">
        <v>190</v>
      </c>
      <c r="H17" s="1308">
        <v>190</v>
      </c>
      <c r="I17" s="1239">
        <v>2532</v>
      </c>
      <c r="J17" s="1239">
        <v>594</v>
      </c>
      <c r="K17" s="1240">
        <f t="shared" si="0"/>
        <v>3126</v>
      </c>
      <c r="L17" s="1336" t="s">
        <v>706</v>
      </c>
      <c r="M17" s="1368">
        <v>8800</v>
      </c>
      <c r="N17" s="1403" t="s">
        <v>718</v>
      </c>
      <c r="O17" s="1638">
        <v>6989</v>
      </c>
      <c r="P17" s="1635">
        <f>(O17/O18)-1</f>
        <v>0.11788227767114523</v>
      </c>
      <c r="Q17" s="1636" t="s">
        <v>718</v>
      </c>
      <c r="R17" s="1241">
        <v>3100</v>
      </c>
      <c r="S17" s="1372" t="s">
        <v>716</v>
      </c>
      <c r="T17" s="1466" t="s">
        <v>411</v>
      </c>
    </row>
    <row r="18" spans="1:20" ht="27" customHeight="1" thickBot="1" x14ac:dyDescent="0.3">
      <c r="A18" s="1261"/>
      <c r="B18" s="1207"/>
      <c r="C18" s="1303" t="s">
        <v>654</v>
      </c>
      <c r="D18" s="1303" t="s">
        <v>703</v>
      </c>
      <c r="E18" s="1323" t="s">
        <v>647</v>
      </c>
      <c r="F18" s="1271"/>
      <c r="G18" s="1273">
        <v>190</v>
      </c>
      <c r="H18" s="1312">
        <v>190</v>
      </c>
      <c r="I18" s="1239">
        <v>2532</v>
      </c>
      <c r="J18" s="1274">
        <v>594</v>
      </c>
      <c r="K18" s="1275">
        <f t="shared" si="0"/>
        <v>3126</v>
      </c>
      <c r="L18" s="1336" t="s">
        <v>706</v>
      </c>
      <c r="M18" s="1370">
        <f>$K17+$K18</f>
        <v>6252</v>
      </c>
      <c r="N18" s="1403" t="s">
        <v>718</v>
      </c>
      <c r="O18" s="1981">
        <f>$K17+$K18</f>
        <v>6252</v>
      </c>
      <c r="P18" s="1982"/>
      <c r="Q18" s="1636" t="s">
        <v>718</v>
      </c>
      <c r="R18" s="1241">
        <v>3400</v>
      </c>
      <c r="S18" s="1372" t="s">
        <v>716</v>
      </c>
      <c r="T18" s="1466" t="s">
        <v>411</v>
      </c>
    </row>
    <row r="19" spans="1:20" ht="27" customHeight="1" x14ac:dyDescent="0.25">
      <c r="A19" s="1252"/>
      <c r="B19" s="1264"/>
      <c r="C19" s="1264"/>
      <c r="D19" s="1264"/>
      <c r="E19" s="1276"/>
      <c r="F19" s="1277"/>
      <c r="G19" s="1278"/>
      <c r="H19" s="1279"/>
      <c r="I19" s="1280"/>
      <c r="J19" s="1280"/>
      <c r="K19" s="1258">
        <f>SUM(K8:K18)</f>
        <v>30204</v>
      </c>
      <c r="L19" s="1327"/>
      <c r="M19" s="1371"/>
      <c r="N19" s="1379"/>
      <c r="O19" s="1359"/>
      <c r="P19" s="1425"/>
      <c r="Q19" s="1360"/>
      <c r="R19" s="1359"/>
      <c r="S19" s="1360"/>
      <c r="T19" s="1470"/>
    </row>
    <row r="20" spans="1:20" ht="27" customHeight="1" x14ac:dyDescent="0.25">
      <c r="A20" s="1221"/>
      <c r="B20" s="1110"/>
      <c r="C20" s="1110"/>
      <c r="D20" s="1110"/>
      <c r="E20" s="1125"/>
      <c r="F20" s="1211" t="s">
        <v>694</v>
      </c>
      <c r="G20" s="1211" t="s">
        <v>692</v>
      </c>
      <c r="H20" s="1339" t="s">
        <v>693</v>
      </c>
      <c r="I20" s="1340" t="s">
        <v>689</v>
      </c>
      <c r="J20" s="1211" t="s">
        <v>690</v>
      </c>
      <c r="K20" s="1233" t="s">
        <v>260</v>
      </c>
      <c r="L20" s="1358"/>
      <c r="M20" s="1340" t="s">
        <v>715</v>
      </c>
      <c r="N20" s="1339" t="s">
        <v>719</v>
      </c>
      <c r="O20" s="1340" t="s">
        <v>715</v>
      </c>
      <c r="P20" s="1426" t="s">
        <v>765</v>
      </c>
      <c r="Q20" s="1339" t="s">
        <v>719</v>
      </c>
      <c r="R20" s="1340" t="s">
        <v>715</v>
      </c>
      <c r="S20" s="1339" t="s">
        <v>719</v>
      </c>
      <c r="T20" s="1471"/>
    </row>
    <row r="21" spans="1:20" ht="27" customHeight="1" x14ac:dyDescent="0.3">
      <c r="A21" s="1227"/>
      <c r="B21" s="344"/>
      <c r="C21" s="1301" t="s">
        <v>654</v>
      </c>
      <c r="D21" s="1301" t="s">
        <v>703</v>
      </c>
      <c r="E21" s="1235" t="s">
        <v>646</v>
      </c>
      <c r="F21" s="1236"/>
      <c r="G21" s="1237">
        <v>190</v>
      </c>
      <c r="H21" s="1308">
        <v>190</v>
      </c>
      <c r="I21" s="1239">
        <v>2532</v>
      </c>
      <c r="J21" s="1239">
        <v>594</v>
      </c>
      <c r="K21" s="1240">
        <f>I21+J21</f>
        <v>3126</v>
      </c>
      <c r="L21" s="1350" t="s">
        <v>706</v>
      </c>
      <c r="M21" s="1989">
        <v>32550</v>
      </c>
      <c r="N21" s="1372" t="s">
        <v>716</v>
      </c>
      <c r="O21" s="1987">
        <v>32500</v>
      </c>
      <c r="P21" s="1430"/>
      <c r="Q21" s="1372" t="s">
        <v>716</v>
      </c>
      <c r="R21" s="1989">
        <v>23000</v>
      </c>
      <c r="S21" s="1398" t="s">
        <v>721</v>
      </c>
      <c r="T21" s="1466" t="s">
        <v>411</v>
      </c>
    </row>
    <row r="22" spans="1:20" ht="27" customHeight="1" x14ac:dyDescent="0.3">
      <c r="A22" s="1227"/>
      <c r="B22" s="344"/>
      <c r="C22" s="1301" t="s">
        <v>654</v>
      </c>
      <c r="D22" s="1301" t="s">
        <v>703</v>
      </c>
      <c r="E22" s="1235" t="s">
        <v>641</v>
      </c>
      <c r="F22" s="1236"/>
      <c r="G22" s="1237">
        <v>190</v>
      </c>
      <c r="H22" s="1308">
        <v>190</v>
      </c>
      <c r="I22" s="1239">
        <v>2532</v>
      </c>
      <c r="J22" s="1239">
        <v>594</v>
      </c>
      <c r="K22" s="1240">
        <f>I22+J22</f>
        <v>3126</v>
      </c>
      <c r="L22" s="1336" t="s">
        <v>706</v>
      </c>
      <c r="M22" s="1990"/>
      <c r="N22" s="1372" t="s">
        <v>716</v>
      </c>
      <c r="O22" s="1988"/>
      <c r="P22" s="1430"/>
      <c r="Q22" s="1372" t="s">
        <v>716</v>
      </c>
      <c r="R22" s="1990"/>
      <c r="S22" s="1398" t="s">
        <v>721</v>
      </c>
      <c r="T22" s="1466" t="s">
        <v>411</v>
      </c>
    </row>
    <row r="23" spans="1:20" ht="27" customHeight="1" x14ac:dyDescent="0.3">
      <c r="A23" s="1227"/>
      <c r="B23" s="344"/>
      <c r="C23" s="1301" t="s">
        <v>654</v>
      </c>
      <c r="D23" s="1301" t="s">
        <v>703</v>
      </c>
      <c r="E23" s="1235" t="s">
        <v>642</v>
      </c>
      <c r="F23" s="1242"/>
      <c r="G23" s="1243">
        <v>190</v>
      </c>
      <c r="H23" s="1308">
        <v>190</v>
      </c>
      <c r="I23" s="1239">
        <v>2532</v>
      </c>
      <c r="J23" s="1239">
        <v>594</v>
      </c>
      <c r="K23" s="1240">
        <f t="shared" ref="K23:K26" si="1">I23+J23</f>
        <v>3126</v>
      </c>
      <c r="L23" s="1336" t="s">
        <v>706</v>
      </c>
      <c r="M23" s="1990"/>
      <c r="N23" s="1372" t="s">
        <v>716</v>
      </c>
      <c r="O23" s="1988"/>
      <c r="P23" s="1430"/>
      <c r="Q23" s="1372" t="s">
        <v>716</v>
      </c>
      <c r="R23" s="1990"/>
      <c r="S23" s="1398" t="s">
        <v>721</v>
      </c>
      <c r="T23" s="1466" t="s">
        <v>411</v>
      </c>
    </row>
    <row r="24" spans="1:20" ht="27" customHeight="1" x14ac:dyDescent="0.3">
      <c r="A24" s="1227"/>
      <c r="B24" s="344"/>
      <c r="C24" s="1301" t="s">
        <v>654</v>
      </c>
      <c r="D24" s="1301" t="s">
        <v>703</v>
      </c>
      <c r="E24" s="1235" t="s">
        <v>643</v>
      </c>
      <c r="F24" s="1242"/>
      <c r="G24" s="1243">
        <v>190</v>
      </c>
      <c r="H24" s="1308">
        <v>190</v>
      </c>
      <c r="I24" s="1239">
        <v>2532</v>
      </c>
      <c r="J24" s="1239">
        <v>594</v>
      </c>
      <c r="K24" s="1240">
        <f t="shared" si="1"/>
        <v>3126</v>
      </c>
      <c r="L24" s="1336" t="s">
        <v>706</v>
      </c>
      <c r="M24" s="1990"/>
      <c r="N24" s="1372" t="s">
        <v>716</v>
      </c>
      <c r="O24" s="1988"/>
      <c r="P24" s="1430"/>
      <c r="Q24" s="1372" t="s">
        <v>716</v>
      </c>
      <c r="R24" s="1990"/>
      <c r="S24" s="1398" t="s">
        <v>721</v>
      </c>
      <c r="T24" s="1466" t="s">
        <v>411</v>
      </c>
    </row>
    <row r="25" spans="1:20" ht="27" customHeight="1" x14ac:dyDescent="0.3">
      <c r="A25" s="1227"/>
      <c r="B25" s="344"/>
      <c r="C25" s="1301" t="s">
        <v>654</v>
      </c>
      <c r="D25" s="1301" t="s">
        <v>703</v>
      </c>
      <c r="E25" s="1235" t="s">
        <v>644</v>
      </c>
      <c r="F25" s="1172"/>
      <c r="G25" s="1244">
        <v>190</v>
      </c>
      <c r="H25" s="1308">
        <v>190</v>
      </c>
      <c r="I25" s="1239">
        <v>2532</v>
      </c>
      <c r="J25" s="1239">
        <v>594</v>
      </c>
      <c r="K25" s="1240">
        <f t="shared" si="1"/>
        <v>3126</v>
      </c>
      <c r="L25" s="1336" t="s">
        <v>706</v>
      </c>
      <c r="M25" s="1990"/>
      <c r="N25" s="1372" t="s">
        <v>716</v>
      </c>
      <c r="O25" s="1988"/>
      <c r="P25" s="1635">
        <f>(O21/O31)-1</f>
        <v>1.3629417085113671E-2</v>
      </c>
      <c r="Q25" s="1372" t="s">
        <v>716</v>
      </c>
      <c r="R25" s="1990"/>
      <c r="S25" s="1398" t="s">
        <v>721</v>
      </c>
      <c r="T25" s="1466" t="s">
        <v>411</v>
      </c>
    </row>
    <row r="26" spans="1:20" ht="27" customHeight="1" x14ac:dyDescent="0.3">
      <c r="A26" s="1227"/>
      <c r="B26" s="344"/>
      <c r="C26" s="1301" t="s">
        <v>654</v>
      </c>
      <c r="D26" s="1301" t="s">
        <v>703</v>
      </c>
      <c r="E26" s="1235" t="s">
        <v>645</v>
      </c>
      <c r="F26" s="1172"/>
      <c r="G26" s="1244">
        <v>190</v>
      </c>
      <c r="H26" s="1308">
        <v>190</v>
      </c>
      <c r="I26" s="1239">
        <v>2532</v>
      </c>
      <c r="J26" s="1239">
        <v>594</v>
      </c>
      <c r="K26" s="1240">
        <f t="shared" si="1"/>
        <v>3126</v>
      </c>
      <c r="L26" s="1336" t="s">
        <v>706</v>
      </c>
      <c r="M26" s="1990"/>
      <c r="N26" s="1372" t="s">
        <v>716</v>
      </c>
      <c r="O26" s="1988"/>
      <c r="P26" s="1430"/>
      <c r="Q26" s="1372" t="s">
        <v>716</v>
      </c>
      <c r="R26" s="1990"/>
      <c r="S26" s="1398" t="s">
        <v>721</v>
      </c>
      <c r="T26" s="1466" t="s">
        <v>411</v>
      </c>
    </row>
    <row r="27" spans="1:20" ht="18" customHeight="1" x14ac:dyDescent="0.3">
      <c r="A27" s="1221"/>
      <c r="B27" s="1999" t="s">
        <v>663</v>
      </c>
      <c r="C27" s="1302" t="s">
        <v>654</v>
      </c>
      <c r="D27" s="1304" t="s">
        <v>703</v>
      </c>
      <c r="E27" s="1131" t="s">
        <v>662</v>
      </c>
      <c r="F27" s="278"/>
      <c r="G27" s="1156">
        <v>190</v>
      </c>
      <c r="H27" s="1310"/>
      <c r="I27" s="1026"/>
      <c r="J27" s="1026"/>
      <c r="K27" s="8"/>
      <c r="L27" s="1325"/>
      <c r="M27" s="1990"/>
      <c r="N27" s="1373"/>
      <c r="O27" s="1988"/>
      <c r="P27" s="1430"/>
      <c r="Q27" s="1373"/>
      <c r="R27" s="1990"/>
      <c r="S27" s="1399"/>
      <c r="T27" s="1468"/>
    </row>
    <row r="28" spans="1:20" ht="18" customHeight="1" x14ac:dyDescent="0.3">
      <c r="A28" s="1221"/>
      <c r="B28" s="1999"/>
      <c r="C28" s="171" t="s">
        <v>664</v>
      </c>
      <c r="D28" s="171" t="s">
        <v>708</v>
      </c>
      <c r="E28" s="1158" t="s">
        <v>648</v>
      </c>
      <c r="F28" s="278">
        <v>345</v>
      </c>
      <c r="G28" s="1156"/>
      <c r="H28" s="1310">
        <v>380</v>
      </c>
      <c r="I28" s="1209">
        <v>5065</v>
      </c>
      <c r="J28" s="1209">
        <v>992</v>
      </c>
      <c r="K28" s="1212">
        <f>I28+J28</f>
        <v>6057</v>
      </c>
      <c r="L28" s="1338" t="s">
        <v>706</v>
      </c>
      <c r="M28" s="1990"/>
      <c r="N28" s="1341" t="s">
        <v>716</v>
      </c>
      <c r="O28" s="1988"/>
      <c r="P28" s="1430"/>
      <c r="Q28" s="1341" t="s">
        <v>716</v>
      </c>
      <c r="R28" s="1990"/>
      <c r="S28" s="1400" t="s">
        <v>721</v>
      </c>
      <c r="T28" s="1468" t="s">
        <v>691</v>
      </c>
    </row>
    <row r="29" spans="1:20" ht="18" customHeight="1" x14ac:dyDescent="0.3">
      <c r="A29" s="1221"/>
      <c r="B29" s="1999"/>
      <c r="C29" s="1305" t="s">
        <v>654</v>
      </c>
      <c r="D29" s="1305" t="s">
        <v>703</v>
      </c>
      <c r="E29" s="1131" t="s">
        <v>661</v>
      </c>
      <c r="F29" s="278"/>
      <c r="G29" s="1156">
        <v>190</v>
      </c>
      <c r="H29" s="1310"/>
      <c r="I29" s="1026"/>
      <c r="J29" s="1026"/>
      <c r="K29" s="8"/>
      <c r="L29" s="1325"/>
      <c r="M29" s="1990"/>
      <c r="N29" s="1374"/>
      <c r="O29" s="1988"/>
      <c r="P29" s="1430"/>
      <c r="Q29" s="1374"/>
      <c r="R29" s="1990"/>
      <c r="S29" s="1399"/>
      <c r="T29" s="1468"/>
    </row>
    <row r="30" spans="1:20" ht="18" customHeight="1" x14ac:dyDescent="0.3">
      <c r="A30" s="1228"/>
      <c r="B30" s="2006" t="s">
        <v>663</v>
      </c>
      <c r="C30" s="1302" t="s">
        <v>654</v>
      </c>
      <c r="D30" s="1304" t="s">
        <v>703</v>
      </c>
      <c r="E30" s="1245" t="s">
        <v>660</v>
      </c>
      <c r="F30" s="1175"/>
      <c r="G30" s="1176">
        <v>190</v>
      </c>
      <c r="H30" s="1632"/>
      <c r="I30" s="1178"/>
      <c r="J30" s="1178"/>
      <c r="K30" s="1179"/>
      <c r="L30" s="1328"/>
      <c r="M30" s="267"/>
      <c r="N30" s="1373"/>
      <c r="O30" s="267"/>
      <c r="P30" s="184"/>
      <c r="Q30" s="1373"/>
      <c r="R30" s="267"/>
      <c r="S30" s="1401"/>
      <c r="T30" s="1472"/>
    </row>
    <row r="31" spans="1:20" ht="18" customHeight="1" x14ac:dyDescent="0.3">
      <c r="A31" s="1221"/>
      <c r="B31" s="1999"/>
      <c r="C31" s="171" t="s">
        <v>656</v>
      </c>
      <c r="D31" s="171" t="s">
        <v>709</v>
      </c>
      <c r="E31" s="1158" t="s">
        <v>649</v>
      </c>
      <c r="F31" s="278">
        <v>516</v>
      </c>
      <c r="G31" s="1156"/>
      <c r="H31" s="1310">
        <v>516</v>
      </c>
      <c r="I31" s="1209">
        <v>6198</v>
      </c>
      <c r="J31" s="1209">
        <v>1052</v>
      </c>
      <c r="K31" s="1212">
        <f>I31+J31</f>
        <v>7250</v>
      </c>
      <c r="L31" s="1338" t="s">
        <v>706</v>
      </c>
      <c r="M31" s="1380">
        <f>SUM($K21:$K32)</f>
        <v>32063</v>
      </c>
      <c r="N31" s="1341" t="s">
        <v>716</v>
      </c>
      <c r="O31" s="1983">
        <f>SUM($K21:$K32)</f>
        <v>32063</v>
      </c>
      <c r="P31" s="1984"/>
      <c r="Q31" s="1341" t="s">
        <v>716</v>
      </c>
      <c r="R31" s="1380">
        <f>SUM($K21:$K32)</f>
        <v>32063</v>
      </c>
      <c r="S31" s="1400" t="s">
        <v>721</v>
      </c>
      <c r="T31" s="1468" t="s">
        <v>485</v>
      </c>
    </row>
    <row r="32" spans="1:20" ht="18" customHeight="1" thickBot="1" x14ac:dyDescent="0.35">
      <c r="A32" s="1246"/>
      <c r="B32" s="2007"/>
      <c r="C32" s="1302" t="s">
        <v>654</v>
      </c>
      <c r="D32" s="1305" t="s">
        <v>703</v>
      </c>
      <c r="E32" s="1247" t="s">
        <v>659</v>
      </c>
      <c r="F32" s="1248"/>
      <c r="G32" s="1249">
        <v>190</v>
      </c>
      <c r="H32" s="1633"/>
      <c r="I32" s="1251"/>
      <c r="J32" s="1251"/>
      <c r="K32" s="723"/>
      <c r="L32" s="1329"/>
      <c r="M32" s="1361"/>
      <c r="N32" s="1374"/>
      <c r="O32" s="1361"/>
      <c r="P32" s="184"/>
      <c r="Q32" s="1374"/>
      <c r="R32" s="1361"/>
      <c r="S32" s="1402"/>
      <c r="T32" s="1473"/>
    </row>
    <row r="33" spans="1:20" ht="27" customHeight="1" x14ac:dyDescent="0.3">
      <c r="A33" s="1252"/>
      <c r="B33" s="1253"/>
      <c r="C33" s="1313"/>
      <c r="D33" s="1254"/>
      <c r="E33" s="1255"/>
      <c r="F33" s="1256"/>
      <c r="G33" s="1257"/>
      <c r="H33" s="1258">
        <f>SUM(H21:H32)</f>
        <v>2036</v>
      </c>
      <c r="I33" s="1259"/>
      <c r="J33" s="1259"/>
      <c r="K33" s="1258">
        <f>SUM(K21:K32)</f>
        <v>32063</v>
      </c>
      <c r="L33" s="1330"/>
      <c r="M33" s="1362"/>
      <c r="N33" s="1363"/>
      <c r="O33" s="1362"/>
      <c r="P33" s="1429"/>
      <c r="Q33" s="1363"/>
      <c r="R33" s="1362"/>
      <c r="S33" s="1363"/>
      <c r="T33" s="1474"/>
    </row>
    <row r="34" spans="1:20" ht="27" customHeight="1" x14ac:dyDescent="0.3">
      <c r="A34" s="1221"/>
      <c r="B34" s="1208"/>
      <c r="C34" s="1381"/>
      <c r="D34" s="1234"/>
      <c r="E34" s="1131"/>
      <c r="F34" s="1211" t="s">
        <v>694</v>
      </c>
      <c r="G34" s="1211" t="s">
        <v>692</v>
      </c>
      <c r="H34" s="1339" t="s">
        <v>693</v>
      </c>
      <c r="I34" s="1340" t="s">
        <v>689</v>
      </c>
      <c r="J34" s="1211" t="s">
        <v>690</v>
      </c>
      <c r="K34" s="1233" t="s">
        <v>260</v>
      </c>
      <c r="L34" s="1333"/>
      <c r="M34" s="1340" t="s">
        <v>715</v>
      </c>
      <c r="N34" s="1339" t="s">
        <v>719</v>
      </c>
      <c r="O34" s="1340" t="s">
        <v>715</v>
      </c>
      <c r="P34" s="1426" t="s">
        <v>765</v>
      </c>
      <c r="Q34" s="1339" t="s">
        <v>719</v>
      </c>
      <c r="R34" s="1340" t="s">
        <v>715</v>
      </c>
      <c r="S34" s="1339" t="s">
        <v>719</v>
      </c>
      <c r="T34" s="1475"/>
    </row>
    <row r="35" spans="1:20" ht="18" customHeight="1" x14ac:dyDescent="0.3">
      <c r="A35" s="1228"/>
      <c r="B35" s="2006" t="s">
        <v>663</v>
      </c>
      <c r="C35" s="1302" t="s">
        <v>654</v>
      </c>
      <c r="D35" s="1304" t="s">
        <v>703</v>
      </c>
      <c r="E35" s="1174" t="s">
        <v>667</v>
      </c>
      <c r="F35" s="1175"/>
      <c r="G35" s="1176">
        <v>190</v>
      </c>
      <c r="H35" s="1177"/>
      <c r="I35" s="1178"/>
      <c r="J35" s="1178"/>
      <c r="K35" s="1178"/>
      <c r="L35" s="1331"/>
      <c r="M35" s="1368"/>
      <c r="N35" s="1382"/>
      <c r="O35" s="1368"/>
      <c r="P35" s="1423"/>
      <c r="Q35" s="1382"/>
      <c r="R35" s="1368"/>
      <c r="S35" s="1373"/>
      <c r="T35" s="1476"/>
    </row>
    <row r="36" spans="1:20" ht="18" customHeight="1" x14ac:dyDescent="0.3">
      <c r="A36" s="1221"/>
      <c r="B36" s="1999"/>
      <c r="C36" s="171" t="s">
        <v>656</v>
      </c>
      <c r="D36" s="171" t="s">
        <v>709</v>
      </c>
      <c r="E36" s="1158" t="s">
        <v>650</v>
      </c>
      <c r="F36" s="278">
        <v>516</v>
      </c>
      <c r="G36" s="1156"/>
      <c r="H36" s="1310">
        <v>516</v>
      </c>
      <c r="I36" s="1209">
        <v>6877</v>
      </c>
      <c r="J36" s="1209">
        <v>1052</v>
      </c>
      <c r="K36" s="1212">
        <f>I36+J36</f>
        <v>7929</v>
      </c>
      <c r="L36" s="1338" t="s">
        <v>707</v>
      </c>
      <c r="M36" s="1369">
        <v>8500</v>
      </c>
      <c r="N36" s="1341" t="s">
        <v>716</v>
      </c>
      <c r="O36" s="1663">
        <v>7400</v>
      </c>
      <c r="P36" s="1635">
        <f>(O36/K36)-1</f>
        <v>-6.6717114390213106E-2</v>
      </c>
      <c r="Q36" s="1341" t="s">
        <v>716</v>
      </c>
      <c r="R36" s="1369">
        <v>7400</v>
      </c>
      <c r="S36" s="1341" t="s">
        <v>716</v>
      </c>
      <c r="T36" s="1468" t="s">
        <v>485</v>
      </c>
    </row>
    <row r="37" spans="1:20" ht="18" customHeight="1" x14ac:dyDescent="0.3">
      <c r="A37" s="1226"/>
      <c r="B37" s="2008"/>
      <c r="C37" s="1305" t="s">
        <v>654</v>
      </c>
      <c r="D37" s="1305" t="s">
        <v>703</v>
      </c>
      <c r="E37" s="1130" t="s">
        <v>668</v>
      </c>
      <c r="F37" s="1154"/>
      <c r="G37" s="1157">
        <v>190</v>
      </c>
      <c r="H37" s="1347"/>
      <c r="I37" s="1030"/>
      <c r="J37" s="1030"/>
      <c r="K37" s="1030"/>
      <c r="L37" s="1332"/>
      <c r="M37" s="1370"/>
      <c r="N37" s="1383"/>
      <c r="O37" s="1370"/>
      <c r="P37" s="1424"/>
      <c r="Q37" s="1383"/>
      <c r="R37" s="1370"/>
      <c r="S37" s="1374"/>
      <c r="T37" s="1477"/>
    </row>
    <row r="38" spans="1:20" ht="18" customHeight="1" x14ac:dyDescent="0.3">
      <c r="A38" s="1221"/>
      <c r="B38" s="1999" t="s">
        <v>663</v>
      </c>
      <c r="C38" s="1302" t="s">
        <v>654</v>
      </c>
      <c r="D38" s="1304" t="s">
        <v>703</v>
      </c>
      <c r="E38" s="1131" t="s">
        <v>669</v>
      </c>
      <c r="F38" s="278"/>
      <c r="G38" s="1156">
        <v>190</v>
      </c>
      <c r="H38" s="1310"/>
      <c r="I38" s="1026"/>
      <c r="J38" s="1026"/>
      <c r="K38" s="1026"/>
      <c r="L38" s="1333"/>
      <c r="M38" s="267"/>
      <c r="N38" s="1382"/>
      <c r="O38" s="267"/>
      <c r="P38" s="184"/>
      <c r="Q38" s="1382"/>
      <c r="R38" s="267"/>
      <c r="S38" s="1373"/>
      <c r="T38" s="1475"/>
    </row>
    <row r="39" spans="1:20" ht="18" customHeight="1" x14ac:dyDescent="0.3">
      <c r="A39" s="1221"/>
      <c r="B39" s="1999"/>
      <c r="C39" s="171" t="s">
        <v>656</v>
      </c>
      <c r="D39" s="171" t="s">
        <v>709</v>
      </c>
      <c r="E39" s="1158" t="s">
        <v>651</v>
      </c>
      <c r="F39" s="278">
        <v>516</v>
      </c>
      <c r="G39" s="1156"/>
      <c r="H39" s="1310">
        <v>516</v>
      </c>
      <c r="I39" s="1209">
        <v>6877</v>
      </c>
      <c r="J39" s="1209">
        <v>1052</v>
      </c>
      <c r="K39" s="1212">
        <f>I39+J39</f>
        <v>7929</v>
      </c>
      <c r="L39" s="1338" t="s">
        <v>707</v>
      </c>
      <c r="M39" s="1369">
        <v>7700</v>
      </c>
      <c r="N39" s="1341" t="s">
        <v>716</v>
      </c>
      <c r="O39" s="1663">
        <v>7400</v>
      </c>
      <c r="P39" s="1635">
        <f>(O39/K39)-1</f>
        <v>-6.6717114390213106E-2</v>
      </c>
      <c r="Q39" s="1341" t="s">
        <v>716</v>
      </c>
      <c r="R39" s="1369">
        <v>7400</v>
      </c>
      <c r="S39" s="1341" t="s">
        <v>716</v>
      </c>
      <c r="T39" s="1468" t="s">
        <v>485</v>
      </c>
    </row>
    <row r="40" spans="1:20" ht="18" customHeight="1" x14ac:dyDescent="0.3">
      <c r="A40" s="1221"/>
      <c r="B40" s="1999"/>
      <c r="C40" s="1305" t="s">
        <v>654</v>
      </c>
      <c r="D40" s="1305" t="s">
        <v>703</v>
      </c>
      <c r="E40" s="1131" t="s">
        <v>670</v>
      </c>
      <c r="F40" s="278"/>
      <c r="G40" s="1156">
        <v>190</v>
      </c>
      <c r="H40" s="1310"/>
      <c r="I40" s="1026"/>
      <c r="J40" s="1026"/>
      <c r="K40" s="1026"/>
      <c r="L40" s="1333"/>
      <c r="M40" s="267"/>
      <c r="N40" s="1383"/>
      <c r="O40" s="267"/>
      <c r="P40" s="184"/>
      <c r="Q40" s="1383"/>
      <c r="R40" s="267"/>
      <c r="S40" s="1374"/>
      <c r="T40" s="1475"/>
    </row>
    <row r="41" spans="1:20" ht="18" customHeight="1" x14ac:dyDescent="0.3">
      <c r="A41" s="1228"/>
      <c r="B41" s="2006" t="s">
        <v>663</v>
      </c>
      <c r="C41" s="1304" t="s">
        <v>654</v>
      </c>
      <c r="D41" s="1304" t="s">
        <v>703</v>
      </c>
      <c r="E41" s="1174" t="s">
        <v>671</v>
      </c>
      <c r="F41" s="1175"/>
      <c r="G41" s="1176">
        <v>190</v>
      </c>
      <c r="H41" s="1632"/>
      <c r="I41" s="1384"/>
      <c r="J41" s="1423"/>
      <c r="K41" s="1488"/>
      <c r="L41" s="1568"/>
      <c r="M41" s="1384"/>
      <c r="N41" s="1561"/>
      <c r="O41" s="1620"/>
      <c r="P41" s="1423"/>
      <c r="Q41" s="1561"/>
      <c r="R41" s="1384"/>
      <c r="S41" s="1565"/>
      <c r="T41" s="1476"/>
    </row>
    <row r="42" spans="1:20" ht="18" customHeight="1" x14ac:dyDescent="0.3">
      <c r="A42" s="1221"/>
      <c r="B42" s="1999"/>
      <c r="C42" s="171" t="s">
        <v>664</v>
      </c>
      <c r="D42" s="171" t="s">
        <v>708</v>
      </c>
      <c r="E42" s="1158" t="s">
        <v>539</v>
      </c>
      <c r="F42" s="278">
        <v>345</v>
      </c>
      <c r="G42" s="1156"/>
      <c r="H42" s="1310">
        <v>380</v>
      </c>
      <c r="I42" s="1209">
        <v>5065</v>
      </c>
      <c r="J42" s="1209">
        <v>992</v>
      </c>
      <c r="K42" s="1212">
        <f>I42+J42</f>
        <v>6057</v>
      </c>
      <c r="L42" s="1564" t="s">
        <v>706</v>
      </c>
      <c r="M42" s="1369">
        <v>6200</v>
      </c>
      <c r="N42" s="1341" t="s">
        <v>716</v>
      </c>
      <c r="O42" s="1663">
        <v>6400</v>
      </c>
      <c r="P42" s="1635">
        <f>(O42/O43)-1</f>
        <v>5.662869407297344E-2</v>
      </c>
      <c r="Q42" s="1341" t="s">
        <v>716</v>
      </c>
      <c r="R42" s="1369">
        <v>6200</v>
      </c>
      <c r="S42" s="1341" t="s">
        <v>716</v>
      </c>
      <c r="T42" s="1468" t="s">
        <v>691</v>
      </c>
    </row>
    <row r="43" spans="1:20" ht="18" customHeight="1" x14ac:dyDescent="0.3">
      <c r="A43" s="1226"/>
      <c r="B43" s="2008"/>
      <c r="C43" s="1305" t="s">
        <v>654</v>
      </c>
      <c r="D43" s="1305" t="s">
        <v>703</v>
      </c>
      <c r="E43" s="1130" t="s">
        <v>672</v>
      </c>
      <c r="F43" s="1154"/>
      <c r="G43" s="1157">
        <v>190</v>
      </c>
      <c r="H43" s="1347"/>
      <c r="I43" s="1030"/>
      <c r="J43" s="1030"/>
      <c r="K43" s="1030"/>
      <c r="L43" s="1569"/>
      <c r="M43" s="1364"/>
      <c r="N43" s="1383"/>
      <c r="O43" s="1981">
        <f>$K42+$K43</f>
        <v>6057</v>
      </c>
      <c r="P43" s="1982"/>
      <c r="Q43" s="1383"/>
      <c r="R43" s="1364"/>
      <c r="S43" s="1383"/>
      <c r="T43" s="1477"/>
    </row>
    <row r="44" spans="1:20" ht="27" customHeight="1" x14ac:dyDescent="0.3">
      <c r="A44" s="1661" t="s">
        <v>695</v>
      </c>
      <c r="B44" s="17"/>
      <c r="C44" s="1301" t="s">
        <v>654</v>
      </c>
      <c r="D44" s="1301" t="s">
        <v>703</v>
      </c>
      <c r="E44" s="1235" t="s">
        <v>652</v>
      </c>
      <c r="F44" s="278"/>
      <c r="G44" s="1244">
        <v>190</v>
      </c>
      <c r="H44" s="1308">
        <v>190</v>
      </c>
      <c r="I44" s="1239">
        <v>2816</v>
      </c>
      <c r="J44" s="1239">
        <v>594</v>
      </c>
      <c r="K44" s="1240">
        <f t="shared" ref="K44" si="2">I44+J44</f>
        <v>3410</v>
      </c>
      <c r="L44" s="1336" t="s">
        <v>707</v>
      </c>
      <c r="M44" s="267"/>
      <c r="N44" s="1662"/>
      <c r="O44" s="1663">
        <v>3400</v>
      </c>
      <c r="P44" s="1635">
        <f>(O44/K44)-1</f>
        <v>-2.9325513196480912E-3</v>
      </c>
      <c r="Q44" s="1372" t="s">
        <v>716</v>
      </c>
      <c r="R44" s="267"/>
      <c r="S44" s="1662"/>
      <c r="T44" s="1466" t="s">
        <v>411</v>
      </c>
    </row>
    <row r="45" spans="1:20" ht="27" customHeight="1" thickBot="1" x14ac:dyDescent="0.35">
      <c r="A45" s="1300" t="s">
        <v>695</v>
      </c>
      <c r="B45" s="1289"/>
      <c r="C45" s="1563" t="s">
        <v>658</v>
      </c>
      <c r="D45" s="1290"/>
      <c r="E45" s="1291" t="s">
        <v>653</v>
      </c>
      <c r="F45" s="1292"/>
      <c r="G45" s="1293">
        <v>190</v>
      </c>
      <c r="H45" s="1634">
        <v>190</v>
      </c>
      <c r="I45" s="1295">
        <v>2532</v>
      </c>
      <c r="J45" s="1296">
        <v>594</v>
      </c>
      <c r="K45" s="1297">
        <f t="shared" ref="K45" si="3">I45+J45</f>
        <v>3126</v>
      </c>
      <c r="L45" s="1664" t="s">
        <v>767</v>
      </c>
      <c r="M45" s="1298"/>
      <c r="N45" s="1367"/>
      <c r="O45" s="1298"/>
      <c r="P45" s="1432"/>
      <c r="Q45" s="1367"/>
      <c r="R45" s="1298"/>
      <c r="S45" s="1367"/>
      <c r="T45" s="1479" t="s">
        <v>411</v>
      </c>
    </row>
    <row r="46" spans="1:20" ht="30" customHeight="1" x14ac:dyDescent="0.25">
      <c r="A46" s="1530"/>
      <c r="B46" s="1531"/>
      <c r="C46" s="1532"/>
      <c r="D46" s="1265"/>
      <c r="E46" s="1533"/>
      <c r="F46" s="1256"/>
      <c r="G46" s="1534"/>
      <c r="H46" s="1535"/>
      <c r="I46" s="1536"/>
      <c r="J46" s="1547" t="s">
        <v>738</v>
      </c>
      <c r="K46" s="1258">
        <f>SUM(K35:K43)</f>
        <v>21915</v>
      </c>
      <c r="L46" s="1548"/>
      <c r="M46" s="1429"/>
      <c r="N46" s="1363"/>
      <c r="O46" s="1429"/>
      <c r="P46" s="1429"/>
      <c r="Q46" s="1363"/>
      <c r="R46" s="1429"/>
      <c r="S46" s="1363"/>
      <c r="T46" s="1553"/>
    </row>
    <row r="47" spans="1:20" ht="30" customHeight="1" thickBot="1" x14ac:dyDescent="0.35">
      <c r="A47" s="1537"/>
      <c r="B47" s="1538"/>
      <c r="C47" s="1539"/>
      <c r="D47" s="1540"/>
      <c r="E47" s="1541"/>
      <c r="F47" s="1542"/>
      <c r="G47" s="1542"/>
      <c r="H47" s="1546"/>
      <c r="I47" s="1512" t="s">
        <v>722</v>
      </c>
      <c r="J47" s="1985">
        <f>K19+K33+K46</f>
        <v>84182</v>
      </c>
      <c r="K47" s="1986"/>
      <c r="L47" s="1549"/>
      <c r="M47" s="1544"/>
      <c r="N47" s="1543"/>
      <c r="O47" s="1545"/>
      <c r="P47" s="1545"/>
      <c r="Q47" s="1543"/>
      <c r="R47" s="1544"/>
      <c r="S47" s="1543"/>
      <c r="T47" s="1554"/>
    </row>
    <row r="48" spans="1:20" ht="30" customHeight="1" thickBot="1" x14ac:dyDescent="0.35">
      <c r="A48" s="1522"/>
      <c r="B48" s="1523"/>
      <c r="C48" s="1524"/>
      <c r="D48" s="1525"/>
      <c r="E48" s="1526"/>
      <c r="F48" s="1527"/>
      <c r="G48" s="1527"/>
      <c r="H48" s="1504" t="s">
        <v>739</v>
      </c>
      <c r="I48" s="1490"/>
      <c r="J48" s="1528"/>
      <c r="K48" s="1529"/>
      <c r="M48" s="1529"/>
      <c r="N48" s="1550">
        <v>33000</v>
      </c>
      <c r="O48" s="1551"/>
      <c r="P48" s="1551"/>
      <c r="Q48" s="1550">
        <v>33313</v>
      </c>
      <c r="R48" s="1552"/>
      <c r="S48" s="1550">
        <v>20100</v>
      </c>
      <c r="T48" s="1555"/>
    </row>
    <row r="49" spans="1:20" ht="18" customHeight="1" thickTop="1" x14ac:dyDescent="0.3">
      <c r="A49" s="1219"/>
      <c r="B49" s="1219"/>
      <c r="C49" s="1520"/>
      <c r="D49" s="1219"/>
      <c r="E49" s="1219"/>
      <c r="F49" s="1219"/>
      <c r="G49" s="1219"/>
      <c r="H49" s="1219"/>
      <c r="I49" s="1219"/>
      <c r="J49" s="1219"/>
      <c r="K49" s="1219"/>
      <c r="L49" s="1219"/>
      <c r="M49" s="1521"/>
      <c r="N49" s="1521"/>
      <c r="O49" s="1521"/>
      <c r="P49" s="1521"/>
      <c r="Q49" s="1521"/>
      <c r="R49" s="1521"/>
      <c r="S49" s="1521"/>
      <c r="T49" s="1219"/>
    </row>
    <row r="50" spans="1:20" ht="18" customHeight="1" thickBot="1" x14ac:dyDescent="0.35">
      <c r="A50" s="134"/>
      <c r="B50" s="134"/>
      <c r="C50" s="1316"/>
      <c r="D50" s="134"/>
      <c r="E50" s="134"/>
      <c r="F50" s="134"/>
      <c r="G50" s="134"/>
      <c r="H50" s="134"/>
      <c r="I50" s="134"/>
      <c r="J50" s="134"/>
      <c r="K50" s="134"/>
      <c r="L50" s="134"/>
      <c r="M50" s="758"/>
      <c r="N50" s="758"/>
      <c r="O50" s="758"/>
      <c r="P50" s="758"/>
      <c r="Q50" s="758"/>
      <c r="R50" s="758"/>
      <c r="S50" s="758"/>
      <c r="T50" s="134"/>
    </row>
    <row r="51" spans="1:20" ht="18" customHeight="1" x14ac:dyDescent="0.3">
      <c r="A51" s="1203" t="s">
        <v>696</v>
      </c>
      <c r="B51" s="607"/>
      <c r="C51" s="1317"/>
      <c r="D51" s="607"/>
      <c r="E51" s="607"/>
      <c r="F51" s="1991"/>
      <c r="G51" s="1992"/>
      <c r="H51" s="1993"/>
      <c r="I51" s="1991"/>
      <c r="J51" s="1992"/>
      <c r="K51" s="1993"/>
      <c r="L51" s="607"/>
      <c r="M51" s="1204"/>
      <c r="N51" s="1204"/>
      <c r="O51" s="1204"/>
      <c r="P51" s="1204"/>
      <c r="Q51" s="1204"/>
      <c r="R51" s="1204"/>
      <c r="S51" s="1204"/>
      <c r="T51" s="607"/>
    </row>
    <row r="52" spans="1:20" ht="18" customHeight="1" x14ac:dyDescent="0.3">
      <c r="A52" s="759"/>
      <c r="B52" s="1110"/>
      <c r="C52" s="171"/>
      <c r="D52" s="1110"/>
      <c r="E52" s="604" t="s">
        <v>673</v>
      </c>
      <c r="F52" s="1966"/>
      <c r="G52" s="1968"/>
      <c r="H52" s="1967"/>
      <c r="I52" s="1966"/>
      <c r="J52" s="1968"/>
      <c r="K52" s="1967"/>
      <c r="L52" s="1110"/>
      <c r="M52" s="16"/>
      <c r="N52" s="16"/>
      <c r="O52" s="16"/>
      <c r="P52" s="16"/>
      <c r="Q52" s="16"/>
      <c r="R52" s="16"/>
      <c r="S52" s="16"/>
      <c r="T52" s="1110"/>
    </row>
    <row r="53" spans="1:20" ht="18" customHeight="1" x14ac:dyDescent="0.3">
      <c r="A53" s="67"/>
      <c r="B53" s="22"/>
      <c r="C53" s="1318" t="s">
        <v>17</v>
      </c>
      <c r="D53" s="328"/>
      <c r="E53" s="22"/>
      <c r="F53" s="1959"/>
      <c r="G53" s="1971"/>
      <c r="H53" s="1960"/>
      <c r="I53" s="1959"/>
      <c r="J53" s="1971"/>
      <c r="K53" s="1960"/>
      <c r="L53" s="1110"/>
      <c r="M53" s="47"/>
      <c r="N53" s="47"/>
      <c r="O53" s="47"/>
      <c r="P53" s="47"/>
      <c r="Q53" s="47"/>
      <c r="R53" s="47"/>
      <c r="S53" s="47"/>
      <c r="T53" s="1110"/>
    </row>
    <row r="54" spans="1:20" ht="27" customHeight="1" x14ac:dyDescent="0.3">
      <c r="A54" s="1132"/>
      <c r="B54" s="1133"/>
      <c r="C54" s="1319" t="s">
        <v>682</v>
      </c>
      <c r="D54" s="1194"/>
      <c r="E54" s="1191">
        <v>50</v>
      </c>
      <c r="F54" s="1195">
        <v>160</v>
      </c>
      <c r="G54" s="1197"/>
      <c r="H54" s="1200"/>
      <c r="I54" s="1159"/>
      <c r="J54" s="1160"/>
      <c r="K54" s="1161"/>
      <c r="L54" s="55"/>
      <c r="M54" s="184"/>
      <c r="N54" s="184"/>
      <c r="O54" s="184"/>
      <c r="P54" s="184"/>
      <c r="Q54" s="184"/>
      <c r="R54" s="184"/>
      <c r="S54" s="184"/>
      <c r="T54" s="17"/>
    </row>
    <row r="55" spans="1:20" ht="27" customHeight="1" x14ac:dyDescent="0.3">
      <c r="A55" s="1134"/>
      <c r="B55" s="1135"/>
      <c r="C55" s="1320" t="s">
        <v>682</v>
      </c>
      <c r="D55" s="1196"/>
      <c r="E55" s="1192" t="s">
        <v>674</v>
      </c>
      <c r="F55" s="1151">
        <v>160</v>
      </c>
      <c r="G55" s="1152"/>
      <c r="H55" s="1201"/>
      <c r="I55" s="1143"/>
      <c r="J55" s="1141"/>
      <c r="K55" s="1162"/>
      <c r="L55" s="1182"/>
      <c r="M55" s="1183"/>
      <c r="N55" s="1183"/>
      <c r="O55" s="1183"/>
      <c r="P55" s="1183"/>
      <c r="Q55" s="1183"/>
      <c r="R55" s="1183"/>
      <c r="S55" s="1183"/>
      <c r="T55" s="99"/>
    </row>
    <row r="56" spans="1:20" ht="27" customHeight="1" x14ac:dyDescent="0.3">
      <c r="A56" s="1134"/>
      <c r="B56" s="1188"/>
      <c r="C56" s="1320" t="s">
        <v>683</v>
      </c>
      <c r="D56" s="1196"/>
      <c r="E56" s="1192" t="s">
        <v>675</v>
      </c>
      <c r="F56" s="1146">
        <v>188</v>
      </c>
      <c r="G56" s="1147"/>
      <c r="H56" s="1201"/>
      <c r="I56" s="1189"/>
      <c r="J56" s="1168"/>
      <c r="K56" s="1167"/>
      <c r="L56" s="202"/>
      <c r="M56" s="1126"/>
      <c r="N56" s="1126"/>
      <c r="O56" s="1126"/>
      <c r="P56" s="1126"/>
      <c r="Q56" s="1126"/>
      <c r="R56" s="1126"/>
      <c r="S56" s="1126"/>
      <c r="T56" s="17"/>
    </row>
    <row r="57" spans="1:20" ht="27" customHeight="1" x14ac:dyDescent="0.3">
      <c r="A57" s="1134"/>
      <c r="B57" s="1135"/>
      <c r="C57" s="1320" t="s">
        <v>686</v>
      </c>
      <c r="D57" s="1196"/>
      <c r="E57" s="1192" t="s">
        <v>676</v>
      </c>
      <c r="F57" s="1151">
        <v>225</v>
      </c>
      <c r="G57" s="1152"/>
      <c r="H57" s="1201"/>
      <c r="I57" s="1143"/>
      <c r="J57" s="1141"/>
      <c r="K57" s="1162"/>
      <c r="L57" s="1184"/>
      <c r="M57" s="1127"/>
      <c r="N57" s="1127"/>
      <c r="O57" s="1127"/>
      <c r="P57" s="1127"/>
      <c r="Q57" s="1127"/>
      <c r="R57" s="1127"/>
      <c r="S57" s="1127"/>
      <c r="T57" s="1127"/>
    </row>
    <row r="58" spans="1:20" ht="27" customHeight="1" x14ac:dyDescent="0.3">
      <c r="A58" s="1134"/>
      <c r="B58" s="1135"/>
      <c r="C58" s="1320" t="s">
        <v>683</v>
      </c>
      <c r="D58" s="1196"/>
      <c r="E58" s="1192" t="s">
        <v>677</v>
      </c>
      <c r="F58" s="1151">
        <v>188</v>
      </c>
      <c r="G58" s="1152"/>
      <c r="H58" s="1201"/>
      <c r="I58" s="1163"/>
      <c r="J58" s="1138"/>
      <c r="K58" s="1164"/>
      <c r="L58" s="1184"/>
      <c r="M58" s="1127"/>
      <c r="N58" s="1127"/>
      <c r="O58" s="1127"/>
      <c r="P58" s="1127"/>
      <c r="Q58" s="1127"/>
      <c r="R58" s="1127"/>
      <c r="S58" s="1127"/>
      <c r="T58" s="55"/>
    </row>
    <row r="59" spans="1:20" ht="27" customHeight="1" x14ac:dyDescent="0.3">
      <c r="A59" s="1134"/>
      <c r="B59" s="1135"/>
      <c r="C59" s="1320" t="s">
        <v>683</v>
      </c>
      <c r="D59" s="1196"/>
      <c r="E59" s="1192">
        <v>53</v>
      </c>
      <c r="F59" s="1151">
        <v>188</v>
      </c>
      <c r="G59" s="1152"/>
      <c r="H59" s="1201"/>
      <c r="I59" s="1165"/>
      <c r="J59" s="1166"/>
      <c r="K59" s="1167"/>
      <c r="L59" s="1184"/>
      <c r="M59" s="184"/>
      <c r="N59" s="184"/>
      <c r="O59" s="184"/>
      <c r="P59" s="184"/>
      <c r="Q59" s="184"/>
      <c r="R59" s="184"/>
      <c r="S59" s="184"/>
      <c r="T59" s="55"/>
    </row>
    <row r="60" spans="1:20" ht="27" customHeight="1" x14ac:dyDescent="0.3">
      <c r="A60" s="1134"/>
      <c r="B60" s="1135"/>
      <c r="C60" s="1320" t="s">
        <v>682</v>
      </c>
      <c r="D60" s="1196"/>
      <c r="E60" s="1192" t="s">
        <v>678</v>
      </c>
      <c r="F60" s="1151">
        <v>160</v>
      </c>
      <c r="G60" s="1152"/>
      <c r="H60" s="1201"/>
      <c r="I60" s="1165"/>
      <c r="J60" s="1166"/>
      <c r="K60" s="1167"/>
      <c r="L60" s="1185"/>
      <c r="M60" s="1183"/>
      <c r="N60" s="1183"/>
      <c r="O60" s="1183"/>
      <c r="P60" s="1183"/>
      <c r="Q60" s="1183"/>
      <c r="R60" s="1183"/>
      <c r="S60" s="1183"/>
      <c r="T60" s="60"/>
    </row>
    <row r="61" spans="1:20" ht="27" customHeight="1" x14ac:dyDescent="0.3">
      <c r="A61" s="1134"/>
      <c r="B61" s="1135"/>
      <c r="C61" s="1320" t="s">
        <v>683</v>
      </c>
      <c r="D61" s="1196"/>
      <c r="E61" s="1192" t="s">
        <v>679</v>
      </c>
      <c r="F61" s="1146">
        <v>188</v>
      </c>
      <c r="G61" s="1147"/>
      <c r="H61" s="1148"/>
      <c r="I61" s="1137"/>
      <c r="J61" s="1137"/>
      <c r="K61" s="1145"/>
      <c r="L61" s="1037"/>
      <c r="M61" s="1128"/>
      <c r="N61" s="1128"/>
      <c r="O61" s="1128"/>
      <c r="P61" s="1128"/>
      <c r="Q61" s="1128"/>
      <c r="R61" s="1128"/>
      <c r="S61" s="1128"/>
      <c r="T61" s="55"/>
    </row>
    <row r="62" spans="1:20" ht="27" customHeight="1" x14ac:dyDescent="0.3">
      <c r="A62" s="1134"/>
      <c r="B62" s="1135"/>
      <c r="C62" s="1320" t="s">
        <v>686</v>
      </c>
      <c r="D62" s="1196"/>
      <c r="E62" s="1192">
        <v>55</v>
      </c>
      <c r="F62" s="1146">
        <v>225</v>
      </c>
      <c r="G62" s="1147"/>
      <c r="H62" s="1148"/>
      <c r="I62" s="1137"/>
      <c r="J62" s="1137"/>
      <c r="K62" s="1145"/>
      <c r="L62" s="1044"/>
      <c r="M62" s="1183"/>
      <c r="N62" s="1183"/>
      <c r="O62" s="1183"/>
      <c r="P62" s="1183"/>
      <c r="Q62" s="1183"/>
      <c r="R62" s="1183"/>
      <c r="S62" s="1183"/>
      <c r="T62" s="1186"/>
    </row>
    <row r="63" spans="1:20" ht="27" customHeight="1" x14ac:dyDescent="0.3">
      <c r="A63" s="1134"/>
      <c r="B63" s="1135"/>
      <c r="C63" s="1320" t="s">
        <v>683</v>
      </c>
      <c r="D63" s="1196"/>
      <c r="E63" s="1192">
        <v>56</v>
      </c>
      <c r="F63" s="1146">
        <v>188</v>
      </c>
      <c r="G63" s="1147"/>
      <c r="H63" s="1148"/>
      <c r="I63" s="1137"/>
      <c r="J63" s="1137"/>
      <c r="K63" s="1136"/>
      <c r="L63" s="1038"/>
      <c r="M63" s="184"/>
      <c r="N63" s="184"/>
      <c r="O63" s="184"/>
      <c r="P63" s="184"/>
      <c r="Q63" s="184"/>
      <c r="R63" s="184"/>
      <c r="S63" s="184"/>
      <c r="T63" s="1129"/>
    </row>
    <row r="64" spans="1:20" ht="27" customHeight="1" x14ac:dyDescent="0.3">
      <c r="A64" s="1134"/>
      <c r="B64" s="1135"/>
      <c r="C64" s="1320" t="s">
        <v>684</v>
      </c>
      <c r="D64" s="1196"/>
      <c r="E64" s="1192">
        <v>57</v>
      </c>
      <c r="F64" s="1149">
        <v>247</v>
      </c>
      <c r="G64" s="1150"/>
      <c r="H64" s="1148"/>
      <c r="I64" s="1139"/>
      <c r="J64" s="1142"/>
      <c r="K64" s="1140"/>
      <c r="L64" s="1187"/>
      <c r="M64" s="184"/>
      <c r="N64" s="184"/>
      <c r="O64" s="184"/>
      <c r="P64" s="184"/>
      <c r="Q64" s="184"/>
      <c r="R64" s="184"/>
      <c r="S64" s="184"/>
      <c r="T64" s="184"/>
    </row>
    <row r="65" spans="1:20" ht="27" customHeight="1" x14ac:dyDescent="0.3">
      <c r="A65" s="1134"/>
      <c r="B65" s="1135"/>
      <c r="C65" s="1320" t="s">
        <v>682</v>
      </c>
      <c r="D65" s="1196"/>
      <c r="E65" s="1192" t="s">
        <v>680</v>
      </c>
      <c r="F65" s="1149">
        <v>160</v>
      </c>
      <c r="G65" s="1150"/>
      <c r="H65" s="1148"/>
      <c r="I65" s="1139"/>
      <c r="J65" s="1142"/>
      <c r="K65" s="1140"/>
      <c r="L65" s="1187"/>
      <c r="M65" s="184"/>
      <c r="N65" s="184"/>
      <c r="O65" s="184"/>
      <c r="P65" s="184"/>
      <c r="Q65" s="184"/>
      <c r="R65" s="184"/>
      <c r="S65" s="184"/>
      <c r="T65" s="184"/>
    </row>
    <row r="66" spans="1:20" ht="27" customHeight="1" x14ac:dyDescent="0.3">
      <c r="A66" s="1134"/>
      <c r="B66" s="1135"/>
      <c r="C66" s="1320" t="s">
        <v>686</v>
      </c>
      <c r="D66" s="1196"/>
      <c r="E66" s="1192" t="s">
        <v>681</v>
      </c>
      <c r="F66" s="1151">
        <v>225</v>
      </c>
      <c r="G66" s="1152"/>
      <c r="H66" s="1148"/>
      <c r="I66" s="1143"/>
      <c r="J66" s="1141"/>
      <c r="K66" s="1140"/>
      <c r="L66" s="1187"/>
      <c r="M66" s="184"/>
      <c r="N66" s="184"/>
      <c r="O66" s="184"/>
      <c r="P66" s="184"/>
      <c r="Q66" s="184"/>
      <c r="R66" s="184"/>
      <c r="S66" s="184"/>
      <c r="T66" s="184"/>
    </row>
    <row r="67" spans="1:20" ht="27" customHeight="1" x14ac:dyDescent="0.3">
      <c r="A67" s="1169"/>
      <c r="B67" s="1170"/>
      <c r="C67" s="1321" t="s">
        <v>682</v>
      </c>
      <c r="D67" s="1202"/>
      <c r="E67" s="1193">
        <v>59</v>
      </c>
      <c r="F67" s="1198">
        <v>160</v>
      </c>
      <c r="G67" s="1199"/>
      <c r="H67" s="1181"/>
      <c r="I67" s="1190"/>
      <c r="J67" s="1190"/>
      <c r="K67" s="1180"/>
      <c r="L67" s="1039"/>
      <c r="M67" s="57"/>
      <c r="N67" s="57"/>
      <c r="O67" s="57"/>
      <c r="P67" s="57"/>
      <c r="Q67" s="57"/>
      <c r="R67" s="57"/>
      <c r="S67" s="57"/>
      <c r="T67" s="53"/>
    </row>
    <row r="68" spans="1:20" ht="27" customHeight="1" thickBot="1" x14ac:dyDescent="0.35">
      <c r="A68" s="215"/>
      <c r="B68" s="216"/>
      <c r="C68" s="358"/>
      <c r="D68" s="358"/>
      <c r="E68" s="359"/>
      <c r="F68" s="1210">
        <f>SUM(F54:F67)</f>
        <v>2662</v>
      </c>
      <c r="G68" s="1144"/>
      <c r="H68" s="723"/>
      <c r="I68" s="724"/>
      <c r="J68" s="358"/>
      <c r="K68" s="723"/>
      <c r="L68" s="725"/>
      <c r="M68" s="758"/>
      <c r="N68" s="758"/>
      <c r="O68" s="758"/>
      <c r="P68" s="758"/>
      <c r="Q68" s="758"/>
      <c r="R68" s="758"/>
      <c r="S68" s="758"/>
      <c r="T68" s="134"/>
    </row>
    <row r="69" spans="1:20" ht="14.4" x14ac:dyDescent="0.3">
      <c r="A69" s="62"/>
      <c r="B69" s="62"/>
      <c r="C69" s="62"/>
      <c r="D69" s="62"/>
      <c r="E69" s="62"/>
      <c r="F69" s="62"/>
      <c r="G69" s="62"/>
      <c r="H69" s="62"/>
      <c r="I69" s="62"/>
      <c r="J69" s="62"/>
      <c r="K69" s="62"/>
    </row>
    <row r="70" spans="1:20" ht="14.4" x14ac:dyDescent="0.3">
      <c r="A70" s="62"/>
      <c r="B70" s="62"/>
      <c r="C70" s="62"/>
      <c r="D70" s="62"/>
      <c r="E70" s="62"/>
      <c r="F70" s="62"/>
      <c r="G70" s="62"/>
      <c r="H70" s="62"/>
      <c r="I70" s="62"/>
      <c r="J70" s="62"/>
      <c r="K70" s="62"/>
    </row>
    <row r="71" spans="1:20" ht="14.4" x14ac:dyDescent="0.3">
      <c r="A71" s="62"/>
      <c r="B71" s="62"/>
      <c r="C71" s="62"/>
      <c r="D71" s="62"/>
      <c r="E71" s="62"/>
      <c r="F71" s="62"/>
      <c r="G71" s="62"/>
      <c r="H71" s="62"/>
      <c r="I71" s="62"/>
      <c r="J71" s="62"/>
      <c r="K71" s="62"/>
    </row>
    <row r="72" spans="1:20" ht="14.4" x14ac:dyDescent="0.3">
      <c r="A72" s="62"/>
      <c r="B72" s="62"/>
      <c r="C72" s="62"/>
      <c r="D72" s="62"/>
      <c r="E72" s="62"/>
      <c r="F72" s="62"/>
      <c r="G72" s="62"/>
      <c r="H72" s="62"/>
      <c r="I72" s="62"/>
      <c r="J72" s="62"/>
      <c r="K72" s="62"/>
    </row>
    <row r="73" spans="1:20" ht="14.4" x14ac:dyDescent="0.3">
      <c r="A73" s="62"/>
      <c r="B73" s="62"/>
      <c r="C73" s="62"/>
      <c r="D73" s="62"/>
      <c r="E73" s="62"/>
      <c r="F73" s="62"/>
      <c r="G73" s="62"/>
      <c r="H73" s="62"/>
      <c r="I73" s="62"/>
      <c r="J73" s="62"/>
      <c r="K73" s="62"/>
    </row>
    <row r="74" spans="1:20" ht="14.4" x14ac:dyDescent="0.3">
      <c r="A74" s="62"/>
      <c r="B74" s="62"/>
      <c r="C74" s="62"/>
      <c r="D74" s="62"/>
      <c r="E74" s="62"/>
      <c r="F74" s="62"/>
      <c r="G74" s="62"/>
      <c r="H74" s="62"/>
      <c r="I74" s="62"/>
      <c r="J74" s="62"/>
      <c r="K74" s="62"/>
    </row>
    <row r="75" spans="1:20" ht="14.4" x14ac:dyDescent="0.3">
      <c r="A75" s="62"/>
      <c r="B75" s="62"/>
      <c r="C75" s="62"/>
      <c r="D75" s="62"/>
      <c r="E75" s="62"/>
      <c r="F75" s="62"/>
      <c r="G75" s="62"/>
      <c r="H75" s="62"/>
      <c r="I75" s="62"/>
      <c r="J75" s="62"/>
      <c r="K75" s="62"/>
    </row>
    <row r="76" spans="1:20" ht="14.4" x14ac:dyDescent="0.3">
      <c r="A76" s="62"/>
      <c r="B76" s="62"/>
      <c r="C76" s="62"/>
      <c r="D76" s="62"/>
      <c r="E76" s="62"/>
      <c r="F76" s="62"/>
      <c r="G76" s="62"/>
      <c r="H76" s="62"/>
      <c r="I76" s="62"/>
      <c r="J76" s="62"/>
      <c r="K76" s="62"/>
    </row>
    <row r="77" spans="1:20" ht="14.4" x14ac:dyDescent="0.3">
      <c r="A77" s="62"/>
      <c r="B77" s="62"/>
      <c r="C77" s="62"/>
      <c r="D77" s="62"/>
      <c r="E77" s="62"/>
      <c r="F77" s="62"/>
      <c r="G77" s="62"/>
      <c r="H77" s="62"/>
      <c r="I77" s="62"/>
      <c r="J77" s="62"/>
      <c r="K77" s="62"/>
    </row>
    <row r="78" spans="1:20" ht="14.4" x14ac:dyDescent="0.3">
      <c r="A78" s="62"/>
      <c r="B78" s="62"/>
      <c r="C78" s="62"/>
      <c r="D78" s="62"/>
      <c r="E78" s="62"/>
      <c r="F78" s="62"/>
      <c r="G78" s="62"/>
      <c r="H78" s="62"/>
      <c r="I78" s="62"/>
      <c r="J78" s="62"/>
      <c r="K78" s="62"/>
    </row>
    <row r="79" spans="1:20" ht="14.4" x14ac:dyDescent="0.3">
      <c r="A79" s="62"/>
      <c r="B79" s="62"/>
      <c r="C79" s="62"/>
      <c r="D79" s="62"/>
      <c r="E79" s="62"/>
      <c r="F79" s="62"/>
      <c r="G79" s="62"/>
      <c r="H79" s="62"/>
      <c r="I79" s="62"/>
      <c r="J79" s="62"/>
      <c r="K79" s="62"/>
    </row>
    <row r="80" spans="1:20" ht="14.4" x14ac:dyDescent="0.3">
      <c r="A80" s="62"/>
      <c r="B80" s="62"/>
      <c r="C80" s="62"/>
      <c r="D80" s="62"/>
      <c r="E80" s="62"/>
      <c r="F80" s="62"/>
      <c r="G80" s="62"/>
      <c r="H80" s="62"/>
      <c r="I80" s="62"/>
      <c r="J80" s="62"/>
      <c r="K80" s="62"/>
    </row>
    <row r="81" spans="1:11" ht="14.4" x14ac:dyDescent="0.3">
      <c r="A81" s="62"/>
      <c r="B81" s="62"/>
      <c r="C81" s="62"/>
      <c r="D81" s="62"/>
      <c r="E81" s="62"/>
      <c r="F81" s="62"/>
      <c r="G81" s="62"/>
      <c r="H81" s="62"/>
      <c r="I81" s="62"/>
      <c r="J81" s="62"/>
      <c r="K81" s="62"/>
    </row>
    <row r="82" spans="1:11" ht="14.4" x14ac:dyDescent="0.3">
      <c r="A82" s="62"/>
      <c r="B82" s="62"/>
      <c r="C82" s="62"/>
      <c r="D82" s="62"/>
      <c r="E82" s="62"/>
      <c r="F82" s="62"/>
      <c r="G82" s="62"/>
      <c r="H82" s="62"/>
      <c r="I82" s="62"/>
      <c r="J82" s="62"/>
      <c r="K82" s="62"/>
    </row>
    <row r="83" spans="1:11" ht="14.4" x14ac:dyDescent="0.3">
      <c r="A83" s="62"/>
      <c r="B83" s="62"/>
      <c r="C83" s="62"/>
      <c r="D83" s="62"/>
      <c r="E83" s="62"/>
      <c r="F83" s="62"/>
      <c r="G83" s="62"/>
      <c r="H83" s="62"/>
      <c r="I83" s="62"/>
      <c r="J83" s="62"/>
      <c r="K83" s="62"/>
    </row>
    <row r="84" spans="1:11" ht="14.4" x14ac:dyDescent="0.3">
      <c r="A84" s="62"/>
      <c r="B84" s="62"/>
      <c r="C84" s="62"/>
      <c r="D84" s="62"/>
      <c r="E84" s="62"/>
      <c r="F84" s="62"/>
      <c r="G84" s="62"/>
      <c r="H84" s="62"/>
      <c r="I84" s="62"/>
      <c r="J84" s="62"/>
      <c r="K84" s="62"/>
    </row>
    <row r="85" spans="1:11" ht="14.4" x14ac:dyDescent="0.3">
      <c r="A85" s="62"/>
      <c r="B85" s="62"/>
      <c r="C85" s="62"/>
      <c r="D85" s="62"/>
      <c r="E85" s="62"/>
      <c r="F85" s="62"/>
      <c r="G85" s="62"/>
      <c r="H85" s="62"/>
      <c r="I85" s="62"/>
      <c r="J85" s="62"/>
      <c r="K85" s="62"/>
    </row>
    <row r="86" spans="1:11" ht="14.4" x14ac:dyDescent="0.3">
      <c r="A86" s="62"/>
      <c r="B86" s="62"/>
      <c r="C86" s="62"/>
      <c r="D86" s="62"/>
      <c r="E86" s="62"/>
      <c r="F86" s="62"/>
      <c r="G86" s="62"/>
      <c r="H86" s="62"/>
      <c r="I86" s="62"/>
      <c r="J86" s="62"/>
      <c r="K86" s="62"/>
    </row>
    <row r="87" spans="1:11" ht="14.4" x14ac:dyDescent="0.3">
      <c r="A87" s="62"/>
      <c r="B87" s="62"/>
      <c r="C87" s="62"/>
      <c r="D87" s="62"/>
      <c r="E87" s="62"/>
      <c r="F87" s="62"/>
      <c r="G87" s="62"/>
      <c r="H87" s="62"/>
      <c r="I87" s="62"/>
      <c r="J87" s="62"/>
      <c r="K87" s="62"/>
    </row>
    <row r="88" spans="1:11" ht="14.4" x14ac:dyDescent="0.3">
      <c r="A88" s="62"/>
      <c r="B88" s="62"/>
      <c r="C88" s="62"/>
      <c r="D88" s="62"/>
      <c r="E88" s="62"/>
      <c r="F88" s="62"/>
      <c r="G88" s="62"/>
      <c r="H88" s="62"/>
      <c r="I88" s="62"/>
      <c r="J88" s="62"/>
      <c r="K88" s="62"/>
    </row>
    <row r="93" spans="1:11" x14ac:dyDescent="0.3">
      <c r="E93" s="19"/>
      <c r="F93" s="19"/>
      <c r="G93" s="19"/>
    </row>
    <row r="94" spans="1:11" x14ac:dyDescent="0.3">
      <c r="E94" s="19"/>
      <c r="F94" s="19"/>
      <c r="G94" s="19"/>
    </row>
    <row r="95" spans="1:11" x14ac:dyDescent="0.3">
      <c r="E95" s="19"/>
      <c r="F95" s="19"/>
      <c r="G95" s="19"/>
    </row>
  </sheetData>
  <mergeCells count="42">
    <mergeCell ref="F53:H53"/>
    <mergeCell ref="I53:K53"/>
    <mergeCell ref="F51:H51"/>
    <mergeCell ref="I51:K51"/>
    <mergeCell ref="F52:H52"/>
    <mergeCell ref="I52:K52"/>
    <mergeCell ref="B27:B29"/>
    <mergeCell ref="B30:B32"/>
    <mergeCell ref="B35:B37"/>
    <mergeCell ref="B38:B40"/>
    <mergeCell ref="B41:B43"/>
    <mergeCell ref="C3:D3"/>
    <mergeCell ref="B11:B13"/>
    <mergeCell ref="L4:L6"/>
    <mergeCell ref="M4:N4"/>
    <mergeCell ref="M10:M13"/>
    <mergeCell ref="F5:H5"/>
    <mergeCell ref="I5:K5"/>
    <mergeCell ref="F6:H6"/>
    <mergeCell ref="I6:K6"/>
    <mergeCell ref="F4:H4"/>
    <mergeCell ref="I4:K4"/>
    <mergeCell ref="O4:Q4"/>
    <mergeCell ref="R4:S4"/>
    <mergeCell ref="M5:M6"/>
    <mergeCell ref="N5:N6"/>
    <mergeCell ref="O5:O6"/>
    <mergeCell ref="Q5:Q6"/>
    <mergeCell ref="R5:R6"/>
    <mergeCell ref="S5:S6"/>
    <mergeCell ref="R10:R13"/>
    <mergeCell ref="M21:M29"/>
    <mergeCell ref="O21:O29"/>
    <mergeCell ref="R21:R29"/>
    <mergeCell ref="O18:P18"/>
    <mergeCell ref="O9:P9"/>
    <mergeCell ref="O14:P14"/>
    <mergeCell ref="O16:P16"/>
    <mergeCell ref="O31:P31"/>
    <mergeCell ref="J47:K47"/>
    <mergeCell ref="O10:O13"/>
    <mergeCell ref="O43:P43"/>
  </mergeCells>
  <printOptions horizontalCentered="1"/>
  <pageMargins left="0.70866141732283472" right="0.70866141732283472" top="0.35433070866141736" bottom="0.35433070866141736" header="0.31496062992125984" footer="0.31496062992125984"/>
  <pageSetup paperSize="3" scale="4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94"/>
  <sheetViews>
    <sheetView zoomScaleNormal="100" workbookViewId="0">
      <pane xSplit="5" ySplit="7" topLeftCell="F8" activePane="bottomRight" state="frozen"/>
      <selection pane="topRight" activeCell="F1" sqref="F1"/>
      <selection pane="bottomLeft" activeCell="A8" sqref="A8"/>
      <selection pane="bottomRight" activeCell="F8" sqref="F8"/>
    </sheetView>
  </sheetViews>
  <sheetFormatPr defaultColWidth="9.109375" defaultRowHeight="13.8" x14ac:dyDescent="0.3"/>
  <cols>
    <col min="1" max="2" width="3.6640625" style="19" customWidth="1"/>
    <col min="3" max="3" width="27.6640625" style="19" customWidth="1"/>
    <col min="4" max="4" width="24.6640625" style="19" customWidth="1"/>
    <col min="5" max="7" width="9.6640625" style="72" customWidth="1"/>
    <col min="8" max="10" width="9.6640625" style="19" customWidth="1"/>
    <col min="11" max="11" width="9.6640625" style="19" hidden="1" customWidth="1"/>
    <col min="12" max="14" width="9.6640625" style="19" customWidth="1"/>
    <col min="15" max="15" width="12.6640625" style="19" customWidth="1"/>
    <col min="16" max="19" width="12.6640625" style="19" hidden="1" customWidth="1"/>
    <col min="20" max="21" width="12.6640625" style="19" customWidth="1"/>
    <col min="22" max="24" width="12.6640625" style="19" hidden="1" customWidth="1"/>
    <col min="25" max="25" width="24.6640625" style="72" customWidth="1"/>
    <col min="26" max="16384" width="9.109375" style="19"/>
  </cols>
  <sheetData>
    <row r="1" spans="1:25" ht="24" customHeight="1" thickTop="1" x14ac:dyDescent="0.3">
      <c r="A1" s="1213" t="s">
        <v>497</v>
      </c>
      <c r="B1" s="1214"/>
      <c r="C1" s="1215"/>
      <c r="D1" s="1215"/>
      <c r="E1" s="1216"/>
      <c r="F1" s="1217" t="s">
        <v>784</v>
      </c>
      <c r="G1" s="1217"/>
      <c r="H1" s="1215"/>
      <c r="I1" s="1218"/>
      <c r="J1" s="1218"/>
      <c r="K1" s="1218"/>
      <c r="L1" s="1218"/>
      <c r="M1" s="1218"/>
      <c r="N1" s="1215"/>
      <c r="O1" s="1219"/>
      <c r="P1" s="1219"/>
      <c r="Q1" s="1219"/>
      <c r="R1" s="1219"/>
      <c r="S1" s="1219"/>
      <c r="T1" s="1219"/>
      <c r="U1" s="1219"/>
      <c r="V1" s="1219"/>
      <c r="W1" s="1219"/>
      <c r="X1" s="1219"/>
      <c r="Y1" s="1458"/>
    </row>
    <row r="2" spans="1:25" ht="18" customHeight="1" x14ac:dyDescent="0.25">
      <c r="A2" s="1221"/>
      <c r="B2" s="1110"/>
      <c r="D2" s="259"/>
      <c r="E2" s="36" t="s">
        <v>0</v>
      </c>
      <c r="F2" s="37" t="str">
        <f>'All Years'!E2</f>
        <v>SFO Terminal 1 Reconstruction; Scheme Design Phase</v>
      </c>
      <c r="G2" s="37"/>
      <c r="H2" s="1110"/>
      <c r="I2" s="1110"/>
      <c r="J2" s="1110"/>
      <c r="K2" s="1110"/>
      <c r="L2" s="1110"/>
      <c r="M2" s="1110"/>
      <c r="N2" s="1110"/>
      <c r="O2" s="1110"/>
      <c r="P2" s="1110"/>
      <c r="Q2" s="1110"/>
      <c r="R2" s="1110"/>
      <c r="S2" s="1110"/>
      <c r="T2" s="1110"/>
      <c r="U2" s="1110"/>
      <c r="V2" s="1110"/>
      <c r="W2" s="1110"/>
      <c r="X2" s="1110"/>
      <c r="Y2" s="1459" t="s">
        <v>447</v>
      </c>
    </row>
    <row r="3" spans="1:25" ht="18" customHeight="1" thickBot="1" x14ac:dyDescent="0.3">
      <c r="A3" s="1222" t="s">
        <v>10</v>
      </c>
      <c r="B3" s="260"/>
      <c r="C3" s="1998">
        <f>'All Years'!C3</f>
        <v>42499</v>
      </c>
      <c r="D3" s="1998"/>
      <c r="E3" s="602">
        <f>'All Years'!D3</f>
        <v>17</v>
      </c>
      <c r="F3" s="35" t="str">
        <f>'All Years'!C2</f>
        <v>Fixed Link Calculations Added</v>
      </c>
      <c r="G3" s="1307"/>
      <c r="H3" s="1307"/>
      <c r="I3" s="1307"/>
      <c r="J3" s="1307"/>
      <c r="K3" s="1307"/>
      <c r="L3" s="1307"/>
      <c r="M3" s="1307"/>
      <c r="N3" s="1307"/>
      <c r="O3" s="211"/>
      <c r="P3" s="211"/>
      <c r="Q3" s="212"/>
      <c r="R3" s="212"/>
      <c r="S3" s="212"/>
      <c r="T3" s="212"/>
      <c r="U3" s="212"/>
      <c r="V3" s="212"/>
      <c r="W3" s="212"/>
      <c r="X3" s="212"/>
      <c r="Y3" s="1460" t="s">
        <v>446</v>
      </c>
    </row>
    <row r="4" spans="1:25" ht="18" customHeight="1" x14ac:dyDescent="0.3">
      <c r="A4" s="1223"/>
      <c r="B4" s="1205"/>
      <c r="C4" s="607"/>
      <c r="D4" s="607"/>
      <c r="E4" s="607"/>
      <c r="F4" s="1991" t="s">
        <v>687</v>
      </c>
      <c r="G4" s="1992"/>
      <c r="H4" s="1993"/>
      <c r="I4" s="1991" t="s">
        <v>727</v>
      </c>
      <c r="J4" s="1992"/>
      <c r="K4" s="1992"/>
      <c r="L4" s="1992"/>
      <c r="M4" s="1992"/>
      <c r="N4" s="1992"/>
      <c r="O4" s="2000" t="s">
        <v>705</v>
      </c>
      <c r="P4" s="1991" t="s">
        <v>710</v>
      </c>
      <c r="Q4" s="1992"/>
      <c r="R4" s="1993"/>
      <c r="S4" s="1991" t="s">
        <v>711</v>
      </c>
      <c r="T4" s="1992"/>
      <c r="U4" s="1993"/>
      <c r="V4" s="1386"/>
      <c r="W4" s="1992" t="s">
        <v>712</v>
      </c>
      <c r="X4" s="1993"/>
      <c r="Y4" s="1461"/>
    </row>
    <row r="5" spans="1:25" ht="18" customHeight="1" x14ac:dyDescent="0.3">
      <c r="A5" s="1224"/>
      <c r="B5" s="269"/>
      <c r="C5" s="1110"/>
      <c r="D5" s="1110"/>
      <c r="E5" s="604" t="s">
        <v>639</v>
      </c>
      <c r="F5" s="1966"/>
      <c r="G5" s="1968"/>
      <c r="H5" s="1967"/>
      <c r="I5" s="1966" t="s">
        <v>737</v>
      </c>
      <c r="J5" s="1968"/>
      <c r="K5" s="1968"/>
      <c r="L5" s="1968"/>
      <c r="M5" s="1968"/>
      <c r="N5" s="1968"/>
      <c r="O5" s="2001"/>
      <c r="P5" s="2009" t="s">
        <v>735</v>
      </c>
      <c r="Q5" s="2011" t="s">
        <v>713</v>
      </c>
      <c r="R5" s="1996" t="s">
        <v>714</v>
      </c>
      <c r="S5" s="2009" t="s">
        <v>735</v>
      </c>
      <c r="T5" s="2011" t="s">
        <v>713</v>
      </c>
      <c r="U5" s="1996" t="s">
        <v>714</v>
      </c>
      <c r="V5" s="1387"/>
      <c r="W5" s="2011" t="s">
        <v>713</v>
      </c>
      <c r="X5" s="1996" t="s">
        <v>714</v>
      </c>
      <c r="Y5" s="1462"/>
    </row>
    <row r="6" spans="1:25" ht="18" customHeight="1" thickBot="1" x14ac:dyDescent="0.35">
      <c r="A6" s="1229"/>
      <c r="B6" s="1230"/>
      <c r="C6" s="1231" t="s">
        <v>685</v>
      </c>
      <c r="D6" s="1231" t="s">
        <v>699</v>
      </c>
      <c r="E6" s="1232" t="s">
        <v>688</v>
      </c>
      <c r="F6" s="2003" t="s">
        <v>700</v>
      </c>
      <c r="G6" s="2004"/>
      <c r="H6" s="2005"/>
      <c r="I6" s="2003" t="s">
        <v>731</v>
      </c>
      <c r="J6" s="2004"/>
      <c r="K6" s="2004"/>
      <c r="L6" s="2004"/>
      <c r="M6" s="2004"/>
      <c r="N6" s="2005"/>
      <c r="O6" s="2002"/>
      <c r="P6" s="2010"/>
      <c r="Q6" s="2012"/>
      <c r="R6" s="1997"/>
      <c r="S6" s="2010"/>
      <c r="T6" s="2012"/>
      <c r="U6" s="1997"/>
      <c r="V6" s="1388"/>
      <c r="W6" s="2012"/>
      <c r="X6" s="1997"/>
      <c r="Y6" s="1463" t="s">
        <v>17</v>
      </c>
    </row>
    <row r="7" spans="1:25" ht="36" customHeight="1" x14ac:dyDescent="0.25">
      <c r="A7" s="1262"/>
      <c r="B7" s="1263"/>
      <c r="C7" s="1351"/>
      <c r="D7" s="1351"/>
      <c r="E7" s="1408"/>
      <c r="F7" s="1407" t="s">
        <v>724</v>
      </c>
      <c r="G7" s="1405" t="s">
        <v>729</v>
      </c>
      <c r="H7" s="1406" t="s">
        <v>693</v>
      </c>
      <c r="I7" s="1407" t="s">
        <v>728</v>
      </c>
      <c r="J7" s="1405" t="s">
        <v>730</v>
      </c>
      <c r="K7" s="1405" t="s">
        <v>732</v>
      </c>
      <c r="L7" s="1405" t="s">
        <v>734</v>
      </c>
      <c r="M7" s="1405" t="s">
        <v>726</v>
      </c>
      <c r="N7" s="1406" t="s">
        <v>260</v>
      </c>
      <c r="O7" s="1356"/>
      <c r="P7" s="1407" t="s">
        <v>715</v>
      </c>
      <c r="Q7" s="1405" t="s">
        <v>715</v>
      </c>
      <c r="R7" s="1406" t="s">
        <v>733</v>
      </c>
      <c r="S7" s="1407" t="s">
        <v>715</v>
      </c>
      <c r="T7" s="1405" t="s">
        <v>715</v>
      </c>
      <c r="U7" s="1406" t="s">
        <v>733</v>
      </c>
      <c r="V7" s="1440"/>
      <c r="W7" s="1405" t="s">
        <v>715</v>
      </c>
      <c r="X7" s="1406" t="s">
        <v>733</v>
      </c>
      <c r="Y7" s="1464"/>
    </row>
    <row r="8" spans="1:25" ht="27" customHeight="1" x14ac:dyDescent="0.25">
      <c r="A8" s="1342"/>
      <c r="B8" s="1343"/>
      <c r="C8" s="187" t="s">
        <v>657</v>
      </c>
      <c r="D8" s="187" t="s">
        <v>702</v>
      </c>
      <c r="E8" s="1344" t="s">
        <v>638</v>
      </c>
      <c r="F8" s="1345"/>
      <c r="G8" s="1346">
        <v>150</v>
      </c>
      <c r="H8" s="1347">
        <v>150</v>
      </c>
      <c r="I8" s="1348">
        <v>83</v>
      </c>
      <c r="J8" s="1348">
        <v>36</v>
      </c>
      <c r="K8" s="1409">
        <f>(I8*17.2)+(J8*11.8)</f>
        <v>1852.3999999999999</v>
      </c>
      <c r="L8" s="1409">
        <f>K8/0.65</f>
        <v>2849.8461538461534</v>
      </c>
      <c r="M8" s="1348">
        <v>456</v>
      </c>
      <c r="N8" s="1349">
        <f>L8+M8</f>
        <v>3305.8461538461534</v>
      </c>
      <c r="O8" s="1350" t="s">
        <v>706</v>
      </c>
      <c r="P8" s="1412"/>
      <c r="Q8" s="1433">
        <f>'Comparisons 10th Edn'!M8</f>
        <v>6400</v>
      </c>
      <c r="R8" s="1410" t="str">
        <f>IF(P9&gt;0.95,"LoS F",IF(P9&gt;0.8,"LoS E",IF(P9&gt;0.65,"LoS D",IF(P9&gt;0.5,"LoS C",IF(P9&gt;0.4,"LoS B","LoS A")))))</f>
        <v>LoS D</v>
      </c>
      <c r="S8" s="1441"/>
      <c r="T8" s="1433">
        <f>'Comparisons 10th Edn'!O8</f>
        <v>6400</v>
      </c>
      <c r="U8" s="1410" t="str">
        <f>IF(S9&gt;0.95,"LoS F",IF(S9&gt;0.8,"LoS E",IF(S9&gt;0.65,"LoS D",IF(S9&gt;0.5,"LoS C",IF(S9&gt;0.4,"LoS B","LoS A")))))</f>
        <v>LoS D</v>
      </c>
      <c r="V8" s="1442"/>
      <c r="W8" s="1433">
        <f>'Comparisons 10th Edn'!R8</f>
        <v>6400</v>
      </c>
      <c r="X8" s="1410" t="str">
        <f>IF(V9&gt;0.95,"LoS F",IF(V9&gt;0.8,"LoS E",IF(V9&gt;0.65,"LoS D",IF(V9&gt;0.5,"LoS C",IF(V9&gt;0.4,"LoS B","LoS A")))))</f>
        <v>LoS D</v>
      </c>
      <c r="Y8" s="1465" t="s">
        <v>621</v>
      </c>
    </row>
    <row r="9" spans="1:25" ht="27" customHeight="1" x14ac:dyDescent="0.25">
      <c r="A9" s="1266"/>
      <c r="B9" s="1267"/>
      <c r="C9" s="1301" t="s">
        <v>654</v>
      </c>
      <c r="D9" s="1301" t="s">
        <v>703</v>
      </c>
      <c r="E9" s="1322" t="s">
        <v>632</v>
      </c>
      <c r="F9" s="1268"/>
      <c r="G9" s="1237">
        <v>190</v>
      </c>
      <c r="H9" s="1308">
        <v>190</v>
      </c>
      <c r="I9" s="1239">
        <v>105</v>
      </c>
      <c r="J9" s="1239">
        <v>45</v>
      </c>
      <c r="K9" s="1409">
        <f>(I9*17.2)+(J9*11.8)</f>
        <v>2337</v>
      </c>
      <c r="L9" s="1409">
        <f>K9/0.65</f>
        <v>3595.3846153846152</v>
      </c>
      <c r="M9" s="1239">
        <v>594</v>
      </c>
      <c r="N9" s="1349">
        <f>L9+M9</f>
        <v>4189.3846153846152</v>
      </c>
      <c r="O9" s="1336" t="s">
        <v>706</v>
      </c>
      <c r="P9" s="1422">
        <f>($K8+$K9)/Q8</f>
        <v>0.65459374999999997</v>
      </c>
      <c r="Q9" s="1424">
        <f>$N8+$N9</f>
        <v>7495.2307692307686</v>
      </c>
      <c r="R9" s="1410" t="str">
        <f>R8</f>
        <v>LoS D</v>
      </c>
      <c r="S9" s="1422">
        <f>($K8+$K9)/T8</f>
        <v>0.65459374999999997</v>
      </c>
      <c r="T9" s="1424">
        <f>$N8+$N9</f>
        <v>7495.2307692307686</v>
      </c>
      <c r="U9" s="1410" t="str">
        <f>U8</f>
        <v>LoS D</v>
      </c>
      <c r="V9" s="1422">
        <f>($K8+$K9)/W8</f>
        <v>0.65459374999999997</v>
      </c>
      <c r="W9" s="1424">
        <f>$N8+$N9</f>
        <v>7495.2307692307686</v>
      </c>
      <c r="X9" s="1410" t="str">
        <f>X8</f>
        <v>LoS D</v>
      </c>
      <c r="Y9" s="1466" t="s">
        <v>411</v>
      </c>
    </row>
    <row r="10" spans="1:25" ht="27" customHeight="1" x14ac:dyDescent="0.3">
      <c r="A10" s="1266"/>
      <c r="B10" s="1267"/>
      <c r="C10" s="1301" t="s">
        <v>654</v>
      </c>
      <c r="D10" s="1301" t="s">
        <v>703</v>
      </c>
      <c r="E10" s="1322" t="s">
        <v>633</v>
      </c>
      <c r="F10" s="1173"/>
      <c r="G10" s="1237">
        <v>190</v>
      </c>
      <c r="H10" s="1308">
        <v>190</v>
      </c>
      <c r="I10" s="1239">
        <v>105</v>
      </c>
      <c r="J10" s="1239">
        <v>45</v>
      </c>
      <c r="K10" s="1409">
        <f>(I10*17.2)+(J10*11.8)</f>
        <v>2337</v>
      </c>
      <c r="L10" s="1409">
        <f>K10/0.65</f>
        <v>3595.3846153846152</v>
      </c>
      <c r="M10" s="1239">
        <v>594</v>
      </c>
      <c r="N10" s="1349">
        <f>L10+M10</f>
        <v>4189.3846153846152</v>
      </c>
      <c r="O10" s="1336" t="s">
        <v>706</v>
      </c>
      <c r="P10" s="1413"/>
      <c r="Q10" s="2013">
        <f>'Comparisons 10th Edn'!M10</f>
        <v>13100</v>
      </c>
      <c r="R10" s="1410" t="str">
        <f>R12</f>
        <v>LoS D</v>
      </c>
      <c r="S10" s="1413"/>
      <c r="T10" s="2013">
        <f>'Comparisons 10th Edn'!O10</f>
        <v>12100</v>
      </c>
      <c r="U10" s="1410" t="str">
        <f>U12</f>
        <v>LoS D</v>
      </c>
      <c r="V10" s="1413"/>
      <c r="W10" s="2013">
        <f>'Comparisons 10th Edn'!R10</f>
        <v>11700</v>
      </c>
      <c r="X10" s="1481" t="str">
        <f>X12</f>
        <v>LoS D</v>
      </c>
      <c r="Y10" s="1466" t="s">
        <v>411</v>
      </c>
    </row>
    <row r="11" spans="1:25" ht="18" customHeight="1" x14ac:dyDescent="0.3">
      <c r="A11" s="1225"/>
      <c r="B11" s="1999" t="s">
        <v>663</v>
      </c>
      <c r="C11" s="1302" t="s">
        <v>654</v>
      </c>
      <c r="D11" s="1304" t="s">
        <v>703</v>
      </c>
      <c r="E11" s="1131" t="s">
        <v>665</v>
      </c>
      <c r="F11" s="706"/>
      <c r="G11" s="1156">
        <v>190</v>
      </c>
      <c r="H11" s="1309"/>
      <c r="I11" s="706"/>
      <c r="J11" s="1026"/>
      <c r="K11" s="1026"/>
      <c r="L11" s="1026"/>
      <c r="M11" s="1026"/>
      <c r="N11" s="55"/>
      <c r="O11" s="1324"/>
      <c r="P11" s="1414"/>
      <c r="Q11" s="2014"/>
      <c r="R11" s="1373"/>
      <c r="S11" s="1414"/>
      <c r="T11" s="2014"/>
      <c r="U11" s="1373"/>
      <c r="V11" s="1414"/>
      <c r="W11" s="2014"/>
      <c r="X11" s="1373"/>
      <c r="Y11" s="1467"/>
    </row>
    <row r="12" spans="1:25" ht="18" customHeight="1" x14ac:dyDescent="0.3">
      <c r="A12" s="1225"/>
      <c r="B12" s="1999"/>
      <c r="C12" s="1306" t="s">
        <v>655</v>
      </c>
      <c r="D12" s="1306" t="s">
        <v>704</v>
      </c>
      <c r="E12" s="93" t="s">
        <v>634</v>
      </c>
      <c r="F12" s="278">
        <v>260</v>
      </c>
      <c r="G12" s="1156"/>
      <c r="H12" s="1310">
        <v>380</v>
      </c>
      <c r="I12" s="1385">
        <v>210</v>
      </c>
      <c r="J12" s="1430">
        <v>90</v>
      </c>
      <c r="K12" s="1436">
        <f>(I12*17.2)+(J12*11.8)</f>
        <v>4674</v>
      </c>
      <c r="L12" s="1436">
        <f>K12/0.65</f>
        <v>7190.7692307692305</v>
      </c>
      <c r="M12" s="1209">
        <v>992</v>
      </c>
      <c r="N12" s="1437">
        <f>L12+M12</f>
        <v>8182.7692307692305</v>
      </c>
      <c r="O12" s="1338" t="s">
        <v>706</v>
      </c>
      <c r="P12" s="1415"/>
      <c r="Q12" s="2014"/>
      <c r="R12" s="1434" t="str">
        <f>IF(P14&gt;0.95,"LoS F",IF(P14&gt;0.8,"LoS E",IF(P14&gt;0.65,"LoS D",IF(P14&gt;0.5,"LoS C",IF(P14&gt;0.4,"LoS B","LoS A")))))</f>
        <v>LoS D</v>
      </c>
      <c r="S12" s="1415"/>
      <c r="T12" s="2014"/>
      <c r="U12" s="1434" t="str">
        <f>IF(S14&gt;0.95,"LoS F",IF(S14&gt;0.8,"LoS E",IF(S14&gt;0.65,"LoS D",IF(S14&gt;0.5,"LoS C",IF(S14&gt;0.4,"LoS B","LoS A")))))</f>
        <v>LoS D</v>
      </c>
      <c r="V12" s="1415"/>
      <c r="W12" s="2014"/>
      <c r="X12" s="1434" t="str">
        <f>IF(V14&gt;0.95,"LoS F",IF(V14&gt;0.8,"LoS E",IF(V14&gt;0.65,"LoS D",IF(V14&gt;0.5,"LoS C",IF(V14&gt;0.4,"LoS B","LoS A")))))</f>
        <v>LoS D</v>
      </c>
      <c r="Y12" s="1468" t="s">
        <v>629</v>
      </c>
    </row>
    <row r="13" spans="1:25" ht="18" customHeight="1" x14ac:dyDescent="0.3">
      <c r="A13" s="1225"/>
      <c r="B13" s="1999"/>
      <c r="C13" s="1302" t="s">
        <v>654</v>
      </c>
      <c r="D13" s="1305" t="s">
        <v>703</v>
      </c>
      <c r="E13" s="1171" t="s">
        <v>666</v>
      </c>
      <c r="F13" s="206"/>
      <c r="G13" s="1156">
        <v>190</v>
      </c>
      <c r="H13" s="1311"/>
      <c r="I13" s="205"/>
      <c r="J13" s="99"/>
      <c r="K13" s="99"/>
      <c r="L13" s="99"/>
      <c r="M13" s="99"/>
      <c r="N13" s="207"/>
      <c r="O13" s="1326"/>
      <c r="P13" s="705"/>
      <c r="Q13" s="2014"/>
      <c r="R13" s="1435"/>
      <c r="S13" s="705"/>
      <c r="T13" s="2014"/>
      <c r="U13" s="1374"/>
      <c r="V13" s="705"/>
      <c r="W13" s="2014"/>
      <c r="X13" s="1374"/>
      <c r="Y13" s="1469"/>
    </row>
    <row r="14" spans="1:25" ht="27" customHeight="1" x14ac:dyDescent="0.25">
      <c r="A14" s="1227"/>
      <c r="B14" s="344"/>
      <c r="C14" s="1301" t="s">
        <v>654</v>
      </c>
      <c r="D14" s="1301" t="s">
        <v>703</v>
      </c>
      <c r="E14" s="1322" t="s">
        <v>635</v>
      </c>
      <c r="F14" s="1173"/>
      <c r="G14" s="1237">
        <v>190</v>
      </c>
      <c r="H14" s="1308">
        <v>190</v>
      </c>
      <c r="I14" s="1239">
        <v>105</v>
      </c>
      <c r="J14" s="1239">
        <v>45</v>
      </c>
      <c r="K14" s="1409">
        <f>(I14*17.2)+(J14*11.8)</f>
        <v>2337</v>
      </c>
      <c r="L14" s="1409">
        <f>K14/0.65</f>
        <v>3595.3846153846152</v>
      </c>
      <c r="M14" s="1348">
        <v>594</v>
      </c>
      <c r="N14" s="1349">
        <f>L14+M14</f>
        <v>4189.3846153846152</v>
      </c>
      <c r="O14" s="1336" t="s">
        <v>706</v>
      </c>
      <c r="P14" s="1422">
        <f>SUM($K10:$K14)/Q10</f>
        <v>0.713587786259542</v>
      </c>
      <c r="Q14" s="1424">
        <f>SUM($N10:$N14)</f>
        <v>16561.538461538461</v>
      </c>
      <c r="R14" s="1410" t="str">
        <f>R12</f>
        <v>LoS D</v>
      </c>
      <c r="S14" s="1422">
        <f>SUM($K10:$K14)/T10</f>
        <v>0.77256198347107441</v>
      </c>
      <c r="T14" s="1424">
        <f>SUM($N10:$N14)</f>
        <v>16561.538461538461</v>
      </c>
      <c r="U14" s="1410" t="str">
        <f>U12</f>
        <v>LoS D</v>
      </c>
      <c r="V14" s="1422">
        <f>SUM($K10:$K14)/W10</f>
        <v>0.79897435897435898</v>
      </c>
      <c r="W14" s="1424">
        <f>SUM($N10:$N14)</f>
        <v>16561.538461538461</v>
      </c>
      <c r="X14" s="1410" t="str">
        <f>X12</f>
        <v>LoS D</v>
      </c>
      <c r="Y14" s="1466" t="s">
        <v>411</v>
      </c>
    </row>
    <row r="15" spans="1:25" ht="27" customHeight="1" x14ac:dyDescent="0.25">
      <c r="A15" s="1227"/>
      <c r="B15" s="344"/>
      <c r="C15" s="1301" t="s">
        <v>654</v>
      </c>
      <c r="D15" s="1301" t="s">
        <v>703</v>
      </c>
      <c r="E15" s="1322" t="s">
        <v>636</v>
      </c>
      <c r="F15" s="1269"/>
      <c r="G15" s="1237">
        <v>190</v>
      </c>
      <c r="H15" s="1308">
        <v>190</v>
      </c>
      <c r="I15" s="1239">
        <v>105</v>
      </c>
      <c r="J15" s="1239">
        <v>45</v>
      </c>
      <c r="K15" s="1409">
        <f t="shared" ref="K15:K18" si="0">(I15*17.2)+(J15*11.8)</f>
        <v>2337</v>
      </c>
      <c r="L15" s="1409">
        <f t="shared" ref="L15:L18" si="1">K15/0.65</f>
        <v>3595.3846153846152</v>
      </c>
      <c r="M15" s="1348">
        <v>594</v>
      </c>
      <c r="N15" s="1349">
        <f t="shared" ref="N15:N18" si="2">L15+M15</f>
        <v>4189.3846153846152</v>
      </c>
      <c r="O15" s="1336" t="s">
        <v>706</v>
      </c>
      <c r="P15" s="1413"/>
      <c r="Q15" s="1433">
        <f>'Comparisons 10th Edn'!M15</f>
        <v>7300</v>
      </c>
      <c r="R15" s="1438" t="str">
        <f>IF(P16&gt;0.95,"LoS F",IF(P16&gt;0.8,"LoS E",IF(P16&gt;0.65,"LoS D",IF(P16&gt;0.5,"LoS C",IF(P16&gt;0.4,"LoS B","LoS A")))))</f>
        <v>LoS C</v>
      </c>
      <c r="S15" s="1413"/>
      <c r="T15" s="1433">
        <f>'Comparisons 10th Edn'!O15</f>
        <v>5800</v>
      </c>
      <c r="U15" s="1410" t="str">
        <f>IF(S16&gt;0.95,"LoS F",IF(S16&gt;0.8,"LoS E",IF(S16&gt;0.65,"LoS D",IF(S16&gt;0.5,"LoS C",IF(S16&gt;0.4,"LoS B","LoS A")))))</f>
        <v>LoS E</v>
      </c>
      <c r="V15" s="1413"/>
      <c r="W15" s="1433">
        <f>'Comparisons 10th Edn'!R15</f>
        <v>6400</v>
      </c>
      <c r="X15" s="1410" t="str">
        <f>IF(V16&gt;0.95,"LoS F",IF(V16&gt;0.8,"LoS E",IF(V16&gt;0.65,"LoS D",IF(V16&gt;0.5,"LoS C",IF(V16&gt;0.4,"LoS B","LoS A")))))</f>
        <v>LoS D</v>
      </c>
      <c r="Y15" s="1466" t="s">
        <v>411</v>
      </c>
    </row>
    <row r="16" spans="1:25" ht="27" customHeight="1" x14ac:dyDescent="0.25">
      <c r="A16" s="1227"/>
      <c r="B16" s="344"/>
      <c r="C16" s="1301" t="s">
        <v>654</v>
      </c>
      <c r="D16" s="1301" t="s">
        <v>703</v>
      </c>
      <c r="E16" s="1322" t="s">
        <v>637</v>
      </c>
      <c r="F16" s="1270"/>
      <c r="G16" s="1237">
        <v>190</v>
      </c>
      <c r="H16" s="1308">
        <v>190</v>
      </c>
      <c r="I16" s="1239">
        <v>105</v>
      </c>
      <c r="J16" s="1239">
        <v>45</v>
      </c>
      <c r="K16" s="1409">
        <f t="shared" si="0"/>
        <v>2337</v>
      </c>
      <c r="L16" s="1409">
        <f t="shared" si="1"/>
        <v>3595.3846153846152</v>
      </c>
      <c r="M16" s="1348">
        <v>594</v>
      </c>
      <c r="N16" s="1349">
        <f t="shared" si="2"/>
        <v>4189.3846153846152</v>
      </c>
      <c r="O16" s="1336" t="s">
        <v>706</v>
      </c>
      <c r="P16" s="1422">
        <f>($K15+$K16)/Q15</f>
        <v>0.64027397260273977</v>
      </c>
      <c r="Q16" s="1424">
        <f>$N15+$N16</f>
        <v>8378.7692307692305</v>
      </c>
      <c r="R16" s="1438" t="str">
        <f>R15</f>
        <v>LoS C</v>
      </c>
      <c r="S16" s="1422">
        <f>($K15+$K16)/T15</f>
        <v>0.80586206896551726</v>
      </c>
      <c r="T16" s="1424">
        <f>$N15+$N16</f>
        <v>8378.7692307692305</v>
      </c>
      <c r="U16" s="1410" t="str">
        <f>U15</f>
        <v>LoS E</v>
      </c>
      <c r="V16" s="1422">
        <f>($K15+$K16)/W15</f>
        <v>0.73031250000000003</v>
      </c>
      <c r="W16" s="1424">
        <f>$N15+$N16</f>
        <v>8378.7692307692305</v>
      </c>
      <c r="X16" s="1410" t="str">
        <f>X15</f>
        <v>LoS D</v>
      </c>
      <c r="Y16" s="1466" t="s">
        <v>411</v>
      </c>
    </row>
    <row r="17" spans="1:25" ht="27" customHeight="1" x14ac:dyDescent="0.25">
      <c r="A17" s="1227"/>
      <c r="B17" s="344"/>
      <c r="C17" s="1301" t="s">
        <v>654</v>
      </c>
      <c r="D17" s="1301" t="s">
        <v>703</v>
      </c>
      <c r="E17" s="1322" t="s">
        <v>640</v>
      </c>
      <c r="F17" s="1270"/>
      <c r="G17" s="1237">
        <v>190</v>
      </c>
      <c r="H17" s="1308">
        <v>190</v>
      </c>
      <c r="I17" s="1239">
        <v>105</v>
      </c>
      <c r="J17" s="1239">
        <v>45</v>
      </c>
      <c r="K17" s="1409">
        <f t="shared" si="0"/>
        <v>2337</v>
      </c>
      <c r="L17" s="1409">
        <f t="shared" si="1"/>
        <v>3595.3846153846152</v>
      </c>
      <c r="M17" s="1348">
        <v>594</v>
      </c>
      <c r="N17" s="1349">
        <f t="shared" si="2"/>
        <v>4189.3846153846152</v>
      </c>
      <c r="O17" s="1336" t="s">
        <v>736</v>
      </c>
      <c r="P17" s="1413"/>
      <c r="Q17" s="1433">
        <f>'Comparisons 10th Edn'!M17</f>
        <v>8800</v>
      </c>
      <c r="R17" s="1438" t="str">
        <f>IF(P18&gt;0.95,"LoS F",IF(P18&gt;0.8,"LoS E",IF(P18&gt;0.65,"LoS D",IF(P18&gt;0.5,"LoS C",IF(P18&gt;0.4,"LoS B","LoS A")))))</f>
        <v>LoS C</v>
      </c>
      <c r="S17" s="1422">
        <f>$K17/0.9/T17</f>
        <v>0.37153622358945004</v>
      </c>
      <c r="T17" s="1447">
        <f>'Comparisons 10th Edn'!O17</f>
        <v>6989</v>
      </c>
      <c r="U17" s="1446" t="str">
        <f>IF(S17&gt;0.95,"LoS F",IF(S17&gt;0.8,"LoS E",IF(S17&gt;0.65,"LoS D",IF(S17&gt;0.5,"LoS C",IF(S17&gt;0.4,"LoS B","LoS A")))))</f>
        <v>LoS A</v>
      </c>
      <c r="V17" s="1422">
        <f>$K17/0.9/W17</f>
        <v>0.83763440860215044</v>
      </c>
      <c r="W17" s="1447">
        <f>'Comparisons 10th Edn'!R17</f>
        <v>3100</v>
      </c>
      <c r="X17" s="1446" t="str">
        <f>IF(V17&gt;0.95,"LoS F",IF(V17&gt;0.8,"LoS E",IF(V17&gt;0.65,"LoS D",IF(V17&gt;0.5,"LoS C",IF(V17&gt;0.4,"LoS B","LoS A")))))</f>
        <v>LoS E</v>
      </c>
      <c r="Y17" s="1466" t="s">
        <v>411</v>
      </c>
    </row>
    <row r="18" spans="1:25" ht="27" customHeight="1" thickBot="1" x14ac:dyDescent="0.3">
      <c r="A18" s="1261"/>
      <c r="B18" s="1207"/>
      <c r="C18" s="1303" t="s">
        <v>654</v>
      </c>
      <c r="D18" s="1303" t="s">
        <v>703</v>
      </c>
      <c r="E18" s="1323" t="s">
        <v>647</v>
      </c>
      <c r="F18" s="1271"/>
      <c r="G18" s="1273">
        <v>190</v>
      </c>
      <c r="H18" s="1312">
        <v>190</v>
      </c>
      <c r="I18" s="1239">
        <v>105</v>
      </c>
      <c r="J18" s="1239">
        <v>45</v>
      </c>
      <c r="K18" s="1409">
        <f t="shared" si="0"/>
        <v>2337</v>
      </c>
      <c r="L18" s="1409">
        <f t="shared" si="1"/>
        <v>3595.3846153846152</v>
      </c>
      <c r="M18" s="1348">
        <v>594</v>
      </c>
      <c r="N18" s="1349">
        <f t="shared" si="2"/>
        <v>4189.3846153846152</v>
      </c>
      <c r="O18" s="1337" t="s">
        <v>736</v>
      </c>
      <c r="P18" s="1556">
        <f>($K17+$K18)/Q17</f>
        <v>0.53113636363636363</v>
      </c>
      <c r="Q18" s="1557">
        <f>$N17+$N18</f>
        <v>8378.7692307692305</v>
      </c>
      <c r="R18" s="1558" t="str">
        <f>R17</f>
        <v>LoS C</v>
      </c>
      <c r="S18" s="1556">
        <f>$K18/0.9/T18</f>
        <v>0.41533375986351034</v>
      </c>
      <c r="T18" s="1559">
        <f>'Comparisons 10th Edn'!O18</f>
        <v>6252</v>
      </c>
      <c r="U18" s="1448" t="str">
        <f>IF(S18&gt;0.95,"LoS F",IF(S18&gt;0.8,"LoS E",IF(S18&gt;0.65,"LoS D",IF(S18&gt;0.5,"LoS C",IF(S18&gt;0.4,"LoS B","LoS A")))))</f>
        <v>LoS B</v>
      </c>
      <c r="V18" s="1422">
        <f>$K18/0.9/W18</f>
        <v>0.76372549019607838</v>
      </c>
      <c r="W18" s="1447">
        <f>'Comparisons 10th Edn'!R18</f>
        <v>3400</v>
      </c>
      <c r="X18" s="1448" t="str">
        <f>IF(V18&gt;0.95,"LoS F",IF(V18&gt;0.8,"LoS E",IF(V18&gt;0.65,"LoS D",IF(V18&gt;0.5,"LoS C",IF(V18&gt;0.4,"LoS B","LoS A")))))</f>
        <v>LoS D</v>
      </c>
      <c r="Y18" s="1466" t="s">
        <v>411</v>
      </c>
    </row>
    <row r="19" spans="1:25" ht="27" customHeight="1" x14ac:dyDescent="0.25">
      <c r="A19" s="1252"/>
      <c r="B19" s="1264"/>
      <c r="C19" s="1264"/>
      <c r="D19" s="1264"/>
      <c r="E19" s="1276"/>
      <c r="F19" s="1277"/>
      <c r="G19" s="1278"/>
      <c r="H19" s="1279"/>
      <c r="I19" s="1449"/>
      <c r="J19" s="1449"/>
      <c r="K19" s="1449"/>
      <c r="L19" s="1449"/>
      <c r="M19" s="1449"/>
      <c r="N19" s="1450">
        <f>SUM(N8:N18)</f>
        <v>40814.307692307695</v>
      </c>
      <c r="O19" s="1327"/>
      <c r="P19" s="1416"/>
      <c r="Q19" s="1425"/>
      <c r="R19" s="1379"/>
      <c r="S19" s="1371"/>
      <c r="T19" s="1439"/>
      <c r="U19" s="1360"/>
      <c r="V19" s="1359"/>
      <c r="W19" s="1439"/>
      <c r="X19" s="1360"/>
      <c r="Y19" s="1470"/>
    </row>
    <row r="20" spans="1:25" ht="36" customHeight="1" x14ac:dyDescent="0.25">
      <c r="A20" s="1221"/>
      <c r="B20" s="1110"/>
      <c r="C20" s="1110"/>
      <c r="D20" s="1110"/>
      <c r="E20" s="1125"/>
      <c r="F20" s="1211" t="s">
        <v>694</v>
      </c>
      <c r="G20" s="1211" t="s">
        <v>692</v>
      </c>
      <c r="H20" s="1339" t="s">
        <v>693</v>
      </c>
      <c r="I20" s="1451" t="s">
        <v>728</v>
      </c>
      <c r="J20" s="1452" t="s">
        <v>730</v>
      </c>
      <c r="K20" s="1452" t="s">
        <v>732</v>
      </c>
      <c r="L20" s="1452" t="s">
        <v>734</v>
      </c>
      <c r="M20" s="1452" t="s">
        <v>726</v>
      </c>
      <c r="N20" s="1453" t="s">
        <v>260</v>
      </c>
      <c r="O20" s="1358"/>
      <c r="P20" s="1340" t="s">
        <v>715</v>
      </c>
      <c r="Q20" s="1426" t="s">
        <v>715</v>
      </c>
      <c r="R20" s="1339" t="s">
        <v>733</v>
      </c>
      <c r="S20" s="1340" t="s">
        <v>715</v>
      </c>
      <c r="T20" s="1426" t="s">
        <v>715</v>
      </c>
      <c r="U20" s="1339" t="s">
        <v>733</v>
      </c>
      <c r="V20" s="1340" t="s">
        <v>715</v>
      </c>
      <c r="W20" s="1426" t="s">
        <v>715</v>
      </c>
      <c r="X20" s="1339" t="s">
        <v>733</v>
      </c>
      <c r="Y20" s="1471"/>
    </row>
    <row r="21" spans="1:25" ht="27" customHeight="1" x14ac:dyDescent="0.3">
      <c r="A21" s="1227"/>
      <c r="B21" s="344"/>
      <c r="C21" s="1301" t="s">
        <v>654</v>
      </c>
      <c r="D21" s="1301" t="s">
        <v>703</v>
      </c>
      <c r="E21" s="1235" t="s">
        <v>646</v>
      </c>
      <c r="F21" s="1236"/>
      <c r="G21" s="1237">
        <v>190</v>
      </c>
      <c r="H21" s="1238">
        <v>190</v>
      </c>
      <c r="I21" s="1239">
        <v>105</v>
      </c>
      <c r="J21" s="1239">
        <v>45</v>
      </c>
      <c r="K21" s="1409">
        <f t="shared" ref="K21:K26" si="3">(I21*17.2)+(J21*11.8)</f>
        <v>2337</v>
      </c>
      <c r="L21" s="1409">
        <f t="shared" ref="L21:L26" si="4">K21/0.65</f>
        <v>3595.3846153846152</v>
      </c>
      <c r="M21" s="1348">
        <v>594</v>
      </c>
      <c r="N21" s="1349">
        <f t="shared" ref="N21:N26" si="5">L21+M21</f>
        <v>4189.3846153846152</v>
      </c>
      <c r="O21" s="1350" t="s">
        <v>706</v>
      </c>
      <c r="P21" s="1412"/>
      <c r="Q21" s="2013">
        <f>'Comparisons 10th Edn'!M21</f>
        <v>32550</v>
      </c>
      <c r="R21" s="1410" t="str">
        <f>R$31</f>
        <v>LoS D</v>
      </c>
      <c r="S21" s="1442"/>
      <c r="T21" s="2013">
        <f>'Comparisons 10th Edn'!O21</f>
        <v>32500</v>
      </c>
      <c r="U21" s="1410" t="str">
        <f>U$31</f>
        <v>LoS D</v>
      </c>
      <c r="V21" s="1442"/>
      <c r="W21" s="2013">
        <f>'Comparisons 10th Edn'!R21</f>
        <v>23000</v>
      </c>
      <c r="X21" s="1457" t="str">
        <f>X$31</f>
        <v>LoS F</v>
      </c>
      <c r="Y21" s="1466" t="s">
        <v>411</v>
      </c>
    </row>
    <row r="22" spans="1:25" ht="27" customHeight="1" x14ac:dyDescent="0.3">
      <c r="A22" s="1227"/>
      <c r="B22" s="344"/>
      <c r="C22" s="1301" t="s">
        <v>654</v>
      </c>
      <c r="D22" s="1301" t="s">
        <v>703</v>
      </c>
      <c r="E22" s="1235" t="s">
        <v>641</v>
      </c>
      <c r="F22" s="1236"/>
      <c r="G22" s="1237">
        <v>190</v>
      </c>
      <c r="H22" s="1238">
        <v>190</v>
      </c>
      <c r="I22" s="1239">
        <v>105</v>
      </c>
      <c r="J22" s="1239">
        <v>45</v>
      </c>
      <c r="K22" s="1409">
        <f t="shared" si="3"/>
        <v>2337</v>
      </c>
      <c r="L22" s="1409">
        <f t="shared" si="4"/>
        <v>3595.3846153846152</v>
      </c>
      <c r="M22" s="1348">
        <v>594</v>
      </c>
      <c r="N22" s="1349">
        <f t="shared" si="5"/>
        <v>4189.3846153846152</v>
      </c>
      <c r="O22" s="1336" t="s">
        <v>706</v>
      </c>
      <c r="P22" s="1412"/>
      <c r="Q22" s="2014"/>
      <c r="R22" s="1410" t="str">
        <f t="shared" ref="R22:R26" si="6">R$31</f>
        <v>LoS D</v>
      </c>
      <c r="S22" s="1442"/>
      <c r="T22" s="2014"/>
      <c r="U22" s="1410" t="str">
        <f t="shared" ref="U22:U26" si="7">U$31</f>
        <v>LoS D</v>
      </c>
      <c r="V22" s="1442"/>
      <c r="W22" s="2014"/>
      <c r="X22" s="1457" t="str">
        <f t="shared" ref="X22:X26" si="8">X$31</f>
        <v>LoS F</v>
      </c>
      <c r="Y22" s="1466" t="s">
        <v>411</v>
      </c>
    </row>
    <row r="23" spans="1:25" ht="27" customHeight="1" x14ac:dyDescent="0.3">
      <c r="A23" s="1227"/>
      <c r="B23" s="344"/>
      <c r="C23" s="1301" t="s">
        <v>654</v>
      </c>
      <c r="D23" s="1301" t="s">
        <v>703</v>
      </c>
      <c r="E23" s="1235" t="s">
        <v>642</v>
      </c>
      <c r="F23" s="1242"/>
      <c r="G23" s="1243">
        <v>190</v>
      </c>
      <c r="H23" s="1238">
        <v>190</v>
      </c>
      <c r="I23" s="1239">
        <v>105</v>
      </c>
      <c r="J23" s="1239">
        <v>45</v>
      </c>
      <c r="K23" s="1409">
        <f t="shared" si="3"/>
        <v>2337</v>
      </c>
      <c r="L23" s="1409">
        <f t="shared" si="4"/>
        <v>3595.3846153846152</v>
      </c>
      <c r="M23" s="1348">
        <v>594</v>
      </c>
      <c r="N23" s="1349">
        <f t="shared" si="5"/>
        <v>4189.3846153846152</v>
      </c>
      <c r="O23" s="1336" t="s">
        <v>706</v>
      </c>
      <c r="P23" s="1412"/>
      <c r="Q23" s="2014"/>
      <c r="R23" s="1410" t="str">
        <f t="shared" si="6"/>
        <v>LoS D</v>
      </c>
      <c r="S23" s="1442"/>
      <c r="T23" s="2014"/>
      <c r="U23" s="1410" t="str">
        <f t="shared" si="7"/>
        <v>LoS D</v>
      </c>
      <c r="V23" s="1442"/>
      <c r="W23" s="2014"/>
      <c r="X23" s="1457" t="str">
        <f t="shared" si="8"/>
        <v>LoS F</v>
      </c>
      <c r="Y23" s="1466" t="s">
        <v>411</v>
      </c>
    </row>
    <row r="24" spans="1:25" ht="27" customHeight="1" x14ac:dyDescent="0.3">
      <c r="A24" s="1227"/>
      <c r="B24" s="344"/>
      <c r="C24" s="1301" t="s">
        <v>654</v>
      </c>
      <c r="D24" s="1301" t="s">
        <v>703</v>
      </c>
      <c r="E24" s="1235" t="s">
        <v>643</v>
      </c>
      <c r="F24" s="1242"/>
      <c r="G24" s="1243">
        <v>190</v>
      </c>
      <c r="H24" s="1238">
        <v>190</v>
      </c>
      <c r="I24" s="1239">
        <v>105</v>
      </c>
      <c r="J24" s="1239">
        <v>45</v>
      </c>
      <c r="K24" s="1409">
        <f t="shared" si="3"/>
        <v>2337</v>
      </c>
      <c r="L24" s="1409">
        <f t="shared" si="4"/>
        <v>3595.3846153846152</v>
      </c>
      <c r="M24" s="1348">
        <v>594</v>
      </c>
      <c r="N24" s="1349">
        <f t="shared" si="5"/>
        <v>4189.3846153846152</v>
      </c>
      <c r="O24" s="1336" t="s">
        <v>706</v>
      </c>
      <c r="P24" s="1412"/>
      <c r="Q24" s="2014"/>
      <c r="R24" s="1410" t="str">
        <f t="shared" si="6"/>
        <v>LoS D</v>
      </c>
      <c r="S24" s="1442"/>
      <c r="T24" s="2014"/>
      <c r="U24" s="1410" t="str">
        <f t="shared" si="7"/>
        <v>LoS D</v>
      </c>
      <c r="V24" s="1442"/>
      <c r="W24" s="2014"/>
      <c r="X24" s="1457" t="str">
        <f t="shared" si="8"/>
        <v>LoS F</v>
      </c>
      <c r="Y24" s="1466" t="s">
        <v>411</v>
      </c>
    </row>
    <row r="25" spans="1:25" ht="27" customHeight="1" x14ac:dyDescent="0.3">
      <c r="A25" s="1227"/>
      <c r="B25" s="344"/>
      <c r="C25" s="1301" t="s">
        <v>654</v>
      </c>
      <c r="D25" s="1301" t="s">
        <v>703</v>
      </c>
      <c r="E25" s="1235" t="s">
        <v>644</v>
      </c>
      <c r="F25" s="1172"/>
      <c r="G25" s="1244">
        <v>190</v>
      </c>
      <c r="H25" s="1238">
        <v>190</v>
      </c>
      <c r="I25" s="1239">
        <v>105</v>
      </c>
      <c r="J25" s="1239">
        <v>45</v>
      </c>
      <c r="K25" s="1409">
        <f t="shared" si="3"/>
        <v>2337</v>
      </c>
      <c r="L25" s="1409">
        <f t="shared" si="4"/>
        <v>3595.3846153846152</v>
      </c>
      <c r="M25" s="1348">
        <v>594</v>
      </c>
      <c r="N25" s="1349">
        <f t="shared" si="5"/>
        <v>4189.3846153846152</v>
      </c>
      <c r="O25" s="1336" t="s">
        <v>706</v>
      </c>
      <c r="P25" s="1412"/>
      <c r="Q25" s="2014"/>
      <c r="R25" s="1410" t="str">
        <f t="shared" si="6"/>
        <v>LoS D</v>
      </c>
      <c r="S25" s="1442"/>
      <c r="T25" s="2014"/>
      <c r="U25" s="1410" t="str">
        <f t="shared" si="7"/>
        <v>LoS D</v>
      </c>
      <c r="V25" s="1442"/>
      <c r="W25" s="2014"/>
      <c r="X25" s="1457" t="str">
        <f t="shared" si="8"/>
        <v>LoS F</v>
      </c>
      <c r="Y25" s="1466" t="s">
        <v>411</v>
      </c>
    </row>
    <row r="26" spans="1:25" ht="27" customHeight="1" x14ac:dyDescent="0.3">
      <c r="A26" s="1227"/>
      <c r="B26" s="344"/>
      <c r="C26" s="1301" t="s">
        <v>654</v>
      </c>
      <c r="D26" s="1301" t="s">
        <v>703</v>
      </c>
      <c r="E26" s="1235" t="s">
        <v>645</v>
      </c>
      <c r="F26" s="1172"/>
      <c r="G26" s="1244">
        <v>190</v>
      </c>
      <c r="H26" s="1238">
        <v>190</v>
      </c>
      <c r="I26" s="1239">
        <v>105</v>
      </c>
      <c r="J26" s="1239">
        <v>45</v>
      </c>
      <c r="K26" s="1409">
        <f t="shared" si="3"/>
        <v>2337</v>
      </c>
      <c r="L26" s="1409">
        <f t="shared" si="4"/>
        <v>3595.3846153846152</v>
      </c>
      <c r="M26" s="1348">
        <v>594</v>
      </c>
      <c r="N26" s="1349">
        <f t="shared" si="5"/>
        <v>4189.3846153846152</v>
      </c>
      <c r="O26" s="1336" t="s">
        <v>706</v>
      </c>
      <c r="P26" s="1412"/>
      <c r="Q26" s="2014"/>
      <c r="R26" s="1410" t="str">
        <f t="shared" si="6"/>
        <v>LoS D</v>
      </c>
      <c r="S26" s="1442"/>
      <c r="T26" s="2014"/>
      <c r="U26" s="1410" t="str">
        <f t="shared" si="7"/>
        <v>LoS D</v>
      </c>
      <c r="V26" s="1442"/>
      <c r="W26" s="2014"/>
      <c r="X26" s="1457" t="str">
        <f t="shared" si="8"/>
        <v>LoS F</v>
      </c>
      <c r="Y26" s="1466" t="s">
        <v>411</v>
      </c>
    </row>
    <row r="27" spans="1:25" ht="18" customHeight="1" x14ac:dyDescent="0.3">
      <c r="A27" s="1221"/>
      <c r="B27" s="1999" t="s">
        <v>663</v>
      </c>
      <c r="C27" s="1302" t="s">
        <v>654</v>
      </c>
      <c r="D27" s="1304" t="s">
        <v>703</v>
      </c>
      <c r="E27" s="1131" t="s">
        <v>662</v>
      </c>
      <c r="F27" s="278"/>
      <c r="G27" s="1156">
        <v>190</v>
      </c>
      <c r="H27" s="1153"/>
      <c r="I27" s="1026"/>
      <c r="J27" s="1026"/>
      <c r="K27" s="1026"/>
      <c r="L27" s="1026"/>
      <c r="M27" s="1026"/>
      <c r="N27" s="8"/>
      <c r="O27" s="1325"/>
      <c r="P27" s="267"/>
      <c r="Q27" s="2014"/>
      <c r="R27" s="1373"/>
      <c r="S27" s="267"/>
      <c r="T27" s="2014"/>
      <c r="U27" s="1373"/>
      <c r="V27" s="267"/>
      <c r="W27" s="2014"/>
      <c r="X27" s="1399"/>
      <c r="Y27" s="1468"/>
    </row>
    <row r="28" spans="1:25" ht="18" customHeight="1" x14ac:dyDescent="0.3">
      <c r="A28" s="1221"/>
      <c r="B28" s="1999"/>
      <c r="C28" s="171" t="s">
        <v>664</v>
      </c>
      <c r="D28" s="171" t="s">
        <v>708</v>
      </c>
      <c r="E28" s="1158" t="s">
        <v>648</v>
      </c>
      <c r="F28" s="278">
        <v>345</v>
      </c>
      <c r="G28" s="1156"/>
      <c r="H28" s="1153">
        <v>380</v>
      </c>
      <c r="I28" s="1385">
        <v>210</v>
      </c>
      <c r="J28" s="1430">
        <v>90</v>
      </c>
      <c r="K28" s="1436">
        <f>(I28*17.2)+(J28*11.8)</f>
        <v>4674</v>
      </c>
      <c r="L28" s="1436">
        <f>K28/0.65</f>
        <v>7190.7692307692305</v>
      </c>
      <c r="M28" s="1209">
        <v>992</v>
      </c>
      <c r="N28" s="1437">
        <f>L28+M28</f>
        <v>8182.7692307692305</v>
      </c>
      <c r="O28" s="1338" t="s">
        <v>706</v>
      </c>
      <c r="P28" s="1415"/>
      <c r="Q28" s="2014"/>
      <c r="R28" s="1434" t="str">
        <f>R31</f>
        <v>LoS D</v>
      </c>
      <c r="S28" s="1442"/>
      <c r="T28" s="2014"/>
      <c r="U28" s="1434" t="str">
        <f>U31</f>
        <v>LoS D</v>
      </c>
      <c r="V28" s="1442"/>
      <c r="W28" s="2014"/>
      <c r="X28" s="1455" t="str">
        <f>X31</f>
        <v>LoS F</v>
      </c>
      <c r="Y28" s="1468" t="s">
        <v>691</v>
      </c>
    </row>
    <row r="29" spans="1:25" ht="18" customHeight="1" x14ac:dyDescent="0.3">
      <c r="A29" s="1221"/>
      <c r="B29" s="1999"/>
      <c r="C29" s="1305" t="s">
        <v>654</v>
      </c>
      <c r="D29" s="1305" t="s">
        <v>703</v>
      </c>
      <c r="E29" s="1131" t="s">
        <v>661</v>
      </c>
      <c r="F29" s="278"/>
      <c r="G29" s="1156">
        <v>190</v>
      </c>
      <c r="H29" s="1153"/>
      <c r="I29" s="1026"/>
      <c r="J29" s="1026"/>
      <c r="K29" s="1026"/>
      <c r="L29" s="1026"/>
      <c r="M29" s="1026"/>
      <c r="N29" s="8"/>
      <c r="O29" s="1325"/>
      <c r="P29" s="267"/>
      <c r="Q29" s="2014"/>
      <c r="R29" s="1374"/>
      <c r="S29" s="1443"/>
      <c r="T29" s="2014"/>
      <c r="U29" s="1374"/>
      <c r="V29" s="1443"/>
      <c r="W29" s="2014"/>
      <c r="X29" s="1454"/>
      <c r="Y29" s="1468"/>
    </row>
    <row r="30" spans="1:25" ht="18" customHeight="1" x14ac:dyDescent="0.3">
      <c r="A30" s="1228"/>
      <c r="B30" s="2006" t="s">
        <v>663</v>
      </c>
      <c r="C30" s="1302" t="s">
        <v>654</v>
      </c>
      <c r="D30" s="1304" t="s">
        <v>703</v>
      </c>
      <c r="E30" s="1245" t="s">
        <v>660</v>
      </c>
      <c r="F30" s="1175"/>
      <c r="G30" s="1176">
        <v>190</v>
      </c>
      <c r="H30" s="1177"/>
      <c r="I30" s="1178"/>
      <c r="J30" s="1178"/>
      <c r="K30" s="1178"/>
      <c r="L30" s="1178"/>
      <c r="M30" s="1178"/>
      <c r="N30" s="1179"/>
      <c r="O30" s="1328"/>
      <c r="P30" s="267"/>
      <c r="Q30" s="184"/>
      <c r="R30" s="1373"/>
      <c r="S30" s="267"/>
      <c r="T30" s="184"/>
      <c r="U30" s="1373"/>
      <c r="V30" s="267"/>
      <c r="W30" s="184"/>
      <c r="X30" s="1399"/>
      <c r="Y30" s="1472"/>
    </row>
    <row r="31" spans="1:25" ht="18" customHeight="1" x14ac:dyDescent="0.3">
      <c r="A31" s="1221"/>
      <c r="B31" s="1999"/>
      <c r="C31" s="171" t="s">
        <v>656</v>
      </c>
      <c r="D31" s="171" t="s">
        <v>709</v>
      </c>
      <c r="E31" s="1158" t="s">
        <v>649</v>
      </c>
      <c r="F31" s="278">
        <v>516</v>
      </c>
      <c r="G31" s="1156"/>
      <c r="H31" s="1153">
        <v>516</v>
      </c>
      <c r="I31" s="1209">
        <v>257</v>
      </c>
      <c r="J31" s="1209">
        <v>111</v>
      </c>
      <c r="K31" s="1436">
        <f>(I31*17.2)+(J31*11.8)</f>
        <v>5730.2</v>
      </c>
      <c r="L31" s="1436">
        <f>K31/0.65</f>
        <v>8815.6923076923067</v>
      </c>
      <c r="M31" s="1209">
        <v>1052</v>
      </c>
      <c r="N31" s="1437">
        <f>L31+M31</f>
        <v>9867.6923076923067</v>
      </c>
      <c r="O31" s="1338" t="s">
        <v>706</v>
      </c>
      <c r="P31" s="1415"/>
      <c r="Q31" s="1427">
        <f>SUM($N21:$N32)</f>
        <v>43186.769230769227</v>
      </c>
      <c r="R31" s="1434" t="str">
        <f>IF(P32&gt;0.95,"LoS F",IF(P32&gt;0.8,"LoS E",IF(P32&gt;0.65,"LoS D",IF(P32&gt;0.5,"LoS C",IF(P32&gt;0.4,"LoS B","LoS A")))))</f>
        <v>LoS D</v>
      </c>
      <c r="S31" s="1442"/>
      <c r="T31" s="1427">
        <f>SUM($N21:$N32)</f>
        <v>43186.769230769227</v>
      </c>
      <c r="U31" s="1434" t="str">
        <f>IF(S32&gt;0.95,"LoS F",IF(S32&gt;0.8,"LoS E",IF(S32&gt;0.65,"LoS D",IF(S32&gt;0.5,"LoS C",IF(S32&gt;0.4,"LoS B","LoS A")))))</f>
        <v>LoS D</v>
      </c>
      <c r="V31" s="1442"/>
      <c r="W31" s="1427">
        <f>SUM($N21:$N32)</f>
        <v>43186.769230769227</v>
      </c>
      <c r="X31" s="1455" t="str">
        <f>IF(V32&gt;0.95,"LoS F",IF(V32&gt;0.8,"LoS E",IF(V32&gt;0.65,"LoS D",IF(V32&gt;0.5,"LoS C",IF(V32&gt;0.4,"LoS B","LoS A")))))</f>
        <v>LoS F</v>
      </c>
      <c r="Y31" s="1468" t="s">
        <v>485</v>
      </c>
    </row>
    <row r="32" spans="1:25" ht="18" customHeight="1" thickBot="1" x14ac:dyDescent="0.35">
      <c r="A32" s="1246"/>
      <c r="B32" s="2007"/>
      <c r="C32" s="1302" t="s">
        <v>654</v>
      </c>
      <c r="D32" s="1305" t="s">
        <v>703</v>
      </c>
      <c r="E32" s="1247" t="s">
        <v>659</v>
      </c>
      <c r="F32" s="1248"/>
      <c r="G32" s="1249">
        <v>190</v>
      </c>
      <c r="H32" s="1250"/>
      <c r="I32" s="1251"/>
      <c r="J32" s="1251"/>
      <c r="K32" s="1251"/>
      <c r="L32" s="1251"/>
      <c r="M32" s="1251"/>
      <c r="N32" s="723"/>
      <c r="O32" s="1329"/>
      <c r="P32" s="1422">
        <f>SUM($K21:$K32)/Q21</f>
        <v>0.75042089093702002</v>
      </c>
      <c r="Q32" s="1428"/>
      <c r="R32" s="1374"/>
      <c r="S32" s="1422">
        <f>SUM($K21:$K32)/T21</f>
        <v>0.75157538461538465</v>
      </c>
      <c r="T32" s="1428"/>
      <c r="U32" s="1374"/>
      <c r="V32" s="1422">
        <f>SUM($K21:$K32)/W21</f>
        <v>1.0620086956521739</v>
      </c>
      <c r="W32" s="1428"/>
      <c r="X32" s="1454"/>
      <c r="Y32" s="1473"/>
    </row>
    <row r="33" spans="1:25" ht="27" customHeight="1" x14ac:dyDescent="0.3">
      <c r="A33" s="1252"/>
      <c r="B33" s="1253"/>
      <c r="C33" s="1313"/>
      <c r="D33" s="1254"/>
      <c r="E33" s="1255"/>
      <c r="F33" s="1256"/>
      <c r="G33" s="1257"/>
      <c r="H33" s="1258">
        <f>SUM(H21:H32)</f>
        <v>2036</v>
      </c>
      <c r="I33" s="1259"/>
      <c r="J33" s="1259"/>
      <c r="K33" s="1259"/>
      <c r="L33" s="1259"/>
      <c r="M33" s="1259"/>
      <c r="N33" s="1258">
        <f>SUM(N21:N32)</f>
        <v>43186.769230769227</v>
      </c>
      <c r="O33" s="1330"/>
      <c r="P33" s="1417"/>
      <c r="Q33" s="1429"/>
      <c r="R33" s="1363"/>
      <c r="S33" s="1362"/>
      <c r="T33" s="1429"/>
      <c r="U33" s="1363"/>
      <c r="V33" s="1362"/>
      <c r="W33" s="1429"/>
      <c r="X33" s="1363"/>
      <c r="Y33" s="1474"/>
    </row>
    <row r="34" spans="1:25" ht="36" customHeight="1" x14ac:dyDescent="0.3">
      <c r="A34" s="1221"/>
      <c r="B34" s="1208"/>
      <c r="C34" s="1381"/>
      <c r="D34" s="1234"/>
      <c r="E34" s="1131"/>
      <c r="F34" s="1211" t="s">
        <v>694</v>
      </c>
      <c r="G34" s="1211" t="s">
        <v>692</v>
      </c>
      <c r="H34" s="1339" t="s">
        <v>693</v>
      </c>
      <c r="I34" s="1451" t="s">
        <v>728</v>
      </c>
      <c r="J34" s="1452" t="s">
        <v>730</v>
      </c>
      <c r="K34" s="1452" t="s">
        <v>732</v>
      </c>
      <c r="L34" s="1452" t="s">
        <v>734</v>
      </c>
      <c r="M34" s="1452" t="s">
        <v>726</v>
      </c>
      <c r="N34" s="1453" t="s">
        <v>260</v>
      </c>
      <c r="O34" s="1333"/>
      <c r="P34" s="1340" t="s">
        <v>715</v>
      </c>
      <c r="Q34" s="1426" t="s">
        <v>715</v>
      </c>
      <c r="R34" s="1339" t="s">
        <v>733</v>
      </c>
      <c r="S34" s="1340" t="s">
        <v>715</v>
      </c>
      <c r="T34" s="1426" t="s">
        <v>715</v>
      </c>
      <c r="U34" s="1339" t="s">
        <v>733</v>
      </c>
      <c r="V34" s="1340" t="s">
        <v>715</v>
      </c>
      <c r="W34" s="1426" t="s">
        <v>715</v>
      </c>
      <c r="X34" s="1339" t="s">
        <v>733</v>
      </c>
      <c r="Y34" s="1475"/>
    </row>
    <row r="35" spans="1:25" ht="18" customHeight="1" x14ac:dyDescent="0.3">
      <c r="A35" s="1228"/>
      <c r="B35" s="2006" t="s">
        <v>663</v>
      </c>
      <c r="C35" s="1302" t="s">
        <v>654</v>
      </c>
      <c r="D35" s="1304" t="s">
        <v>703</v>
      </c>
      <c r="E35" s="1174" t="s">
        <v>667</v>
      </c>
      <c r="F35" s="1175"/>
      <c r="G35" s="1176">
        <v>190</v>
      </c>
      <c r="H35" s="1177"/>
      <c r="I35" s="1178"/>
      <c r="J35" s="1178"/>
      <c r="K35" s="1178"/>
      <c r="L35" s="1178"/>
      <c r="M35" s="1178"/>
      <c r="N35" s="1178"/>
      <c r="O35" s="1331"/>
      <c r="P35" s="1419"/>
      <c r="Q35" s="1423"/>
      <c r="R35" s="1382"/>
      <c r="S35" s="1489"/>
      <c r="T35" s="1423"/>
      <c r="U35" s="1486"/>
      <c r="V35" s="1489"/>
      <c r="W35" s="1423"/>
      <c r="X35" s="1486"/>
      <c r="Y35" s="1476"/>
    </row>
    <row r="36" spans="1:25" ht="18" customHeight="1" x14ac:dyDescent="0.3">
      <c r="A36" s="1221"/>
      <c r="B36" s="1999"/>
      <c r="C36" s="171" t="s">
        <v>656</v>
      </c>
      <c r="D36" s="171" t="s">
        <v>709</v>
      </c>
      <c r="E36" s="1158" t="s">
        <v>650</v>
      </c>
      <c r="F36" s="278">
        <v>516</v>
      </c>
      <c r="G36" s="1156"/>
      <c r="H36" s="1153">
        <v>516</v>
      </c>
      <c r="I36" s="1209">
        <v>286</v>
      </c>
      <c r="J36" s="1209">
        <v>123</v>
      </c>
      <c r="K36" s="1436">
        <f>(I36*17.2)+(J36*11.8)</f>
        <v>6370.6</v>
      </c>
      <c r="L36" s="1436">
        <f>K36/0.65</f>
        <v>9800.923076923078</v>
      </c>
      <c r="M36" s="1209">
        <v>1052</v>
      </c>
      <c r="N36" s="1437">
        <f>L36+M36</f>
        <v>10852.923076923078</v>
      </c>
      <c r="O36" s="1338" t="s">
        <v>707</v>
      </c>
      <c r="P36" s="1485">
        <f>$K36/Q36</f>
        <v>0.74948235294117649</v>
      </c>
      <c r="Q36" s="1484">
        <f>'Comparisons 10th Edn'!M36</f>
        <v>8500</v>
      </c>
      <c r="R36" s="1434" t="str">
        <f>IF(P36&gt;0.95,"LoS F",IF(P36&gt;0.8,"LoS E",IF(P36&gt;0.65,"LoS D",IF(P36&gt;0.5,"LoS C",IF(P36&gt;0.4,"LoS B","LoS A")))))</f>
        <v>LoS D</v>
      </c>
      <c r="S36" s="1485">
        <f>$K36/T36</f>
        <v>0.86089189189189197</v>
      </c>
      <c r="T36" s="1484">
        <f>'Comparisons 10th Edn'!O36</f>
        <v>7400</v>
      </c>
      <c r="U36" s="1445" t="str">
        <f>IF(S36&gt;0.95,"LoS F",IF(S36&gt;0.8,"LoS E",IF(S36&gt;0.65,"LoS D",IF(S36&gt;0.5,"LoS C",IF(S36&gt;0.4,"LoS B","LoS A")))))</f>
        <v>LoS E</v>
      </c>
      <c r="V36" s="1485">
        <f>$K36/W36</f>
        <v>0.86089189189189197</v>
      </c>
      <c r="W36" s="1484">
        <f>'Comparisons 10th Edn'!R36</f>
        <v>7400</v>
      </c>
      <c r="X36" s="1445" t="str">
        <f>IF(V36&gt;0.95,"LoS F",IF(V36&gt;0.8,"LoS E",IF(V36&gt;0.65,"LoS D",IF(V36&gt;0.5,"LoS C",IF(V36&gt;0.4,"LoS B","LoS A")))))</f>
        <v>LoS E</v>
      </c>
      <c r="Y36" s="1468" t="s">
        <v>485</v>
      </c>
    </row>
    <row r="37" spans="1:25" ht="18" customHeight="1" x14ac:dyDescent="0.3">
      <c r="A37" s="1226"/>
      <c r="B37" s="2008"/>
      <c r="C37" s="1305" t="s">
        <v>654</v>
      </c>
      <c r="D37" s="1305" t="s">
        <v>703</v>
      </c>
      <c r="E37" s="1130" t="s">
        <v>668</v>
      </c>
      <c r="F37" s="1154"/>
      <c r="G37" s="1157">
        <v>190</v>
      </c>
      <c r="H37" s="1155"/>
      <c r="I37" s="1030"/>
      <c r="J37" s="1030"/>
      <c r="K37" s="1030"/>
      <c r="L37" s="1030"/>
      <c r="M37" s="1030"/>
      <c r="N37" s="1030"/>
      <c r="O37" s="1332"/>
      <c r="P37" s="1420"/>
      <c r="Q37" s="1424"/>
      <c r="R37" s="1383"/>
      <c r="S37" s="1420"/>
      <c r="T37" s="1424"/>
      <c r="U37" s="1487"/>
      <c r="V37" s="1420"/>
      <c r="W37" s="1424"/>
      <c r="X37" s="1487"/>
      <c r="Y37" s="1477"/>
    </row>
    <row r="38" spans="1:25" ht="18" customHeight="1" x14ac:dyDescent="0.3">
      <c r="A38" s="1221"/>
      <c r="B38" s="1999" t="s">
        <v>663</v>
      </c>
      <c r="C38" s="1302" t="s">
        <v>654</v>
      </c>
      <c r="D38" s="1304" t="s">
        <v>703</v>
      </c>
      <c r="E38" s="1131" t="s">
        <v>669</v>
      </c>
      <c r="F38" s="278"/>
      <c r="G38" s="1156">
        <v>190</v>
      </c>
      <c r="H38" s="1153"/>
      <c r="I38" s="1026"/>
      <c r="J38" s="1026"/>
      <c r="K38" s="1026"/>
      <c r="L38" s="1026"/>
      <c r="M38" s="1026"/>
      <c r="N38" s="1026"/>
      <c r="O38" s="1333"/>
      <c r="P38" s="1418"/>
      <c r="Q38" s="184"/>
      <c r="R38" s="1486"/>
      <c r="S38" s="1418"/>
      <c r="T38" s="184"/>
      <c r="U38" s="1486"/>
      <c r="V38" s="1418"/>
      <c r="W38" s="184"/>
      <c r="X38" s="1486"/>
      <c r="Y38" s="1475"/>
    </row>
    <row r="39" spans="1:25" ht="18" customHeight="1" x14ac:dyDescent="0.3">
      <c r="A39" s="1221"/>
      <c r="B39" s="1999"/>
      <c r="C39" s="171" t="s">
        <v>656</v>
      </c>
      <c r="D39" s="171" t="s">
        <v>709</v>
      </c>
      <c r="E39" s="1158" t="s">
        <v>651</v>
      </c>
      <c r="F39" s="278">
        <v>516</v>
      </c>
      <c r="G39" s="1156"/>
      <c r="H39" s="1153">
        <v>516</v>
      </c>
      <c r="I39" s="1209">
        <v>286</v>
      </c>
      <c r="J39" s="1209">
        <v>123</v>
      </c>
      <c r="K39" s="1436">
        <f>(I39*17.2)+(J39*11.8)</f>
        <v>6370.6</v>
      </c>
      <c r="L39" s="1436">
        <f>K39/0.65</f>
        <v>9800.923076923078</v>
      </c>
      <c r="M39" s="1209">
        <v>1052</v>
      </c>
      <c r="N39" s="1437">
        <f>L39+M39</f>
        <v>10852.923076923078</v>
      </c>
      <c r="O39" s="1338" t="s">
        <v>707</v>
      </c>
      <c r="P39" s="1485">
        <f>$K39/Q39</f>
        <v>0.82735064935064939</v>
      </c>
      <c r="Q39" s="1484">
        <f>'Comparisons 10th Edn'!M39</f>
        <v>7700</v>
      </c>
      <c r="R39" s="1445" t="str">
        <f>IF(P39&gt;0.95,"LoS F",IF(P39&gt;0.8,"LoS E",IF(P39&gt;0.65,"LoS D",IF(P39&gt;0.5,"LoS C",IF(P39&gt;0.4,"LoS B","LoS A")))))</f>
        <v>LoS E</v>
      </c>
      <c r="S39" s="1485">
        <f>$K39/T39</f>
        <v>0.86089189189189197</v>
      </c>
      <c r="T39" s="1484">
        <f>'Comparisons 10th Edn'!O39</f>
        <v>7400</v>
      </c>
      <c r="U39" s="1445" t="str">
        <f>IF(S39&gt;0.95,"LoS F",IF(S39&gt;0.8,"LoS E",IF(S39&gt;0.65,"LoS D",IF(S39&gt;0.5,"LoS C",IF(S39&gt;0.4,"LoS B","LoS A")))))</f>
        <v>LoS E</v>
      </c>
      <c r="V39" s="1485">
        <f>$K39/W39</f>
        <v>0.86089189189189197</v>
      </c>
      <c r="W39" s="1484">
        <f>'Comparisons 10th Edn'!R39</f>
        <v>7400</v>
      </c>
      <c r="X39" s="1445" t="str">
        <f>IF(V39&gt;0.95,"LoS F",IF(V39&gt;0.8,"LoS E",IF(V39&gt;0.65,"LoS D",IF(V39&gt;0.5,"LoS C",IF(V39&gt;0.4,"LoS B","LoS A")))))</f>
        <v>LoS E</v>
      </c>
      <c r="Y39" s="1468" t="s">
        <v>485</v>
      </c>
    </row>
    <row r="40" spans="1:25" ht="18" customHeight="1" x14ac:dyDescent="0.3">
      <c r="A40" s="1221"/>
      <c r="B40" s="1999"/>
      <c r="C40" s="1305" t="s">
        <v>654</v>
      </c>
      <c r="D40" s="1305" t="s">
        <v>703</v>
      </c>
      <c r="E40" s="1131" t="s">
        <v>670</v>
      </c>
      <c r="F40" s="278"/>
      <c r="G40" s="1156">
        <v>190</v>
      </c>
      <c r="H40" s="1153"/>
      <c r="I40" s="1026"/>
      <c r="J40" s="1026"/>
      <c r="K40" s="1030"/>
      <c r="L40" s="1030"/>
      <c r="M40" s="1030"/>
      <c r="N40" s="1482"/>
      <c r="O40" s="1333"/>
      <c r="P40" s="1418"/>
      <c r="Q40" s="184"/>
      <c r="R40" s="1444"/>
      <c r="S40" s="1418"/>
      <c r="T40" s="184"/>
      <c r="U40" s="1444"/>
      <c r="V40" s="1418"/>
      <c r="W40" s="184"/>
      <c r="X40" s="1444"/>
      <c r="Y40" s="1475"/>
    </row>
    <row r="41" spans="1:25" ht="18" customHeight="1" x14ac:dyDescent="0.3">
      <c r="A41" s="1228"/>
      <c r="B41" s="2006" t="s">
        <v>663</v>
      </c>
      <c r="C41" s="1304" t="s">
        <v>654</v>
      </c>
      <c r="D41" s="1304" t="s">
        <v>703</v>
      </c>
      <c r="E41" s="1174" t="s">
        <v>671</v>
      </c>
      <c r="F41" s="1175"/>
      <c r="G41" s="1176">
        <v>190</v>
      </c>
      <c r="H41" s="1177"/>
      <c r="I41" s="1423"/>
      <c r="J41" s="1423"/>
      <c r="K41" s="1483"/>
      <c r="L41" s="1483"/>
      <c r="M41" s="1423"/>
      <c r="N41" s="1488"/>
      <c r="O41" s="1357"/>
      <c r="P41" s="1566"/>
      <c r="Q41" s="1433"/>
      <c r="R41" s="1567"/>
      <c r="S41" s="1566"/>
      <c r="T41" s="1433"/>
      <c r="U41" s="1567"/>
      <c r="V41" s="1566"/>
      <c r="W41" s="1433"/>
      <c r="X41" s="1565"/>
      <c r="Y41" s="1476"/>
    </row>
    <row r="42" spans="1:25" ht="18" customHeight="1" x14ac:dyDescent="0.3">
      <c r="A42" s="1221"/>
      <c r="B42" s="1999"/>
      <c r="C42" s="171" t="s">
        <v>664</v>
      </c>
      <c r="D42" s="171" t="s">
        <v>708</v>
      </c>
      <c r="E42" s="1158" t="s">
        <v>539</v>
      </c>
      <c r="F42" s="278">
        <v>345</v>
      </c>
      <c r="G42" s="1156"/>
      <c r="H42" s="1153">
        <v>380</v>
      </c>
      <c r="I42" s="1209">
        <v>210</v>
      </c>
      <c r="J42" s="1209">
        <v>90</v>
      </c>
      <c r="K42" s="1436">
        <f t="shared" ref="K42" si="9">(I42*17.2)+(J42*11.8)</f>
        <v>4674</v>
      </c>
      <c r="L42" s="1436">
        <f t="shared" ref="L42" si="10">K42/0.65</f>
        <v>7190.7692307692305</v>
      </c>
      <c r="M42" s="1209">
        <v>857</v>
      </c>
      <c r="N42" s="1437">
        <f t="shared" ref="N42" si="11">L42+M42</f>
        <v>8047.7692307692305</v>
      </c>
      <c r="O42" s="1564" t="s">
        <v>707</v>
      </c>
      <c r="P42" s="1485">
        <f>$K42/Q42</f>
        <v>0.75387096774193552</v>
      </c>
      <c r="Q42" s="1484">
        <f>'Comparisons 10th Edn'!M42</f>
        <v>6200</v>
      </c>
      <c r="R42" s="1434" t="str">
        <f>IF(P42&gt;0.95,"LoS F",IF(P42&gt;0.8,"LoS E",IF(P42&gt;0.65,"LoS D",IF(P42&gt;0.5,"LoS C",IF(P42&gt;0.4,"LoS B","LoS A")))))</f>
        <v>LoS D</v>
      </c>
      <c r="S42" s="1485">
        <f>$K42/T42</f>
        <v>0.73031250000000003</v>
      </c>
      <c r="T42" s="1484">
        <f>'Comparisons 10th Edn'!O42</f>
        <v>6400</v>
      </c>
      <c r="U42" s="1434" t="str">
        <f>IF(S42&gt;0.95,"LoS F",IF(S42&gt;0.8,"LoS E",IF(S42&gt;0.65,"LoS D",IF(S42&gt;0.5,"LoS C",IF(S42&gt;0.4,"LoS B","LoS A")))))</f>
        <v>LoS D</v>
      </c>
      <c r="V42" s="1485">
        <f>$K42/W42</f>
        <v>0.75387096774193552</v>
      </c>
      <c r="W42" s="1484">
        <f>'Comparisons 10th Edn'!R42</f>
        <v>6200</v>
      </c>
      <c r="X42" s="1434" t="str">
        <f>IF(V42&gt;0.95,"LoS F",IF(V42&gt;0.8,"LoS E",IF(V42&gt;0.65,"LoS D",IF(V42&gt;0.5,"LoS C",IF(V42&gt;0.4,"LoS B","LoS A")))))</f>
        <v>LoS D</v>
      </c>
      <c r="Y42" s="1468" t="s">
        <v>691</v>
      </c>
    </row>
    <row r="43" spans="1:25" ht="18" customHeight="1" x14ac:dyDescent="0.3">
      <c r="A43" s="1226"/>
      <c r="B43" s="2008"/>
      <c r="C43" s="1305" t="s">
        <v>654</v>
      </c>
      <c r="D43" s="1305" t="s">
        <v>703</v>
      </c>
      <c r="E43" s="1130" t="s">
        <v>672</v>
      </c>
      <c r="F43" s="1154"/>
      <c r="G43" s="1157">
        <v>190</v>
      </c>
      <c r="H43" s="1155"/>
      <c r="I43" s="1030"/>
      <c r="J43" s="1030"/>
      <c r="K43" s="1030"/>
      <c r="L43" s="1030"/>
      <c r="M43" s="1030"/>
      <c r="N43" s="1030"/>
      <c r="O43" s="1332"/>
      <c r="P43" s="1420"/>
      <c r="Q43" s="1183"/>
      <c r="R43" s="1383"/>
      <c r="S43" s="1364"/>
      <c r="T43" s="1183"/>
      <c r="U43" s="1383"/>
      <c r="V43" s="1364"/>
      <c r="W43" s="1183"/>
      <c r="X43" s="1383"/>
      <c r="Y43" s="1477"/>
    </row>
    <row r="44" spans="1:25" ht="27" customHeight="1" x14ac:dyDescent="0.3">
      <c r="A44" s="1299" t="s">
        <v>695</v>
      </c>
      <c r="B44" s="1281"/>
      <c r="C44" s="1314" t="s">
        <v>657</v>
      </c>
      <c r="D44" s="1282"/>
      <c r="E44" s="1283" t="s">
        <v>652</v>
      </c>
      <c r="F44" s="1284"/>
      <c r="G44" s="1285">
        <v>128</v>
      </c>
      <c r="H44" s="1286">
        <v>128</v>
      </c>
      <c r="I44" s="1287">
        <v>1570</v>
      </c>
      <c r="J44" s="1287"/>
      <c r="K44" s="1287"/>
      <c r="L44" s="1287"/>
      <c r="M44" s="1287">
        <v>446</v>
      </c>
      <c r="N44" s="1288">
        <f>I44+M44</f>
        <v>2016</v>
      </c>
      <c r="O44" s="1334"/>
      <c r="P44" s="1365"/>
      <c r="Q44" s="1431"/>
      <c r="R44" s="1366"/>
      <c r="S44" s="1365"/>
      <c r="T44" s="1431"/>
      <c r="U44" s="1366"/>
      <c r="V44" s="1365"/>
      <c r="W44" s="1431"/>
      <c r="X44" s="1491"/>
      <c r="Y44" s="1478" t="s">
        <v>392</v>
      </c>
    </row>
    <row r="45" spans="1:25" ht="27" customHeight="1" thickBot="1" x14ac:dyDescent="0.35">
      <c r="A45" s="1300" t="s">
        <v>695</v>
      </c>
      <c r="B45" s="1289"/>
      <c r="C45" s="1315" t="s">
        <v>658</v>
      </c>
      <c r="D45" s="1290"/>
      <c r="E45" s="1291" t="s">
        <v>653</v>
      </c>
      <c r="F45" s="1292"/>
      <c r="G45" s="1293">
        <v>190</v>
      </c>
      <c r="H45" s="1294">
        <v>190</v>
      </c>
      <c r="I45" s="1295">
        <v>2589</v>
      </c>
      <c r="J45" s="1296"/>
      <c r="K45" s="1296"/>
      <c r="L45" s="1296"/>
      <c r="M45" s="1296">
        <v>594</v>
      </c>
      <c r="N45" s="1297">
        <f>I45+M45</f>
        <v>3183</v>
      </c>
      <c r="O45" s="1335"/>
      <c r="P45" s="1298"/>
      <c r="Q45" s="1432"/>
      <c r="R45" s="1367"/>
      <c r="S45" s="1298"/>
      <c r="T45" s="1432"/>
      <c r="U45" s="1367"/>
      <c r="V45" s="1298"/>
      <c r="W45" s="1432"/>
      <c r="X45" s="1367"/>
      <c r="Y45" s="1479" t="s">
        <v>411</v>
      </c>
    </row>
    <row r="46" spans="1:25" ht="30" customHeight="1" x14ac:dyDescent="0.3">
      <c r="A46" s="1494"/>
      <c r="B46" s="1495"/>
      <c r="C46" s="1496"/>
      <c r="D46" s="1206"/>
      <c r="E46" s="1497"/>
      <c r="F46" s="1498"/>
      <c r="G46" s="1499"/>
      <c r="H46" s="1499"/>
      <c r="I46" s="1500"/>
      <c r="M46" s="1492" t="s">
        <v>738</v>
      </c>
      <c r="N46" s="1450">
        <f>SUM(N35:N43)</f>
        <v>29753.615384615387</v>
      </c>
      <c r="O46" s="1501"/>
      <c r="P46" s="1456"/>
      <c r="Q46" s="1456"/>
      <c r="R46" s="1493"/>
      <c r="S46" s="1456"/>
      <c r="T46" s="1456"/>
      <c r="U46" s="1493"/>
      <c r="V46" s="1456"/>
      <c r="W46" s="1456"/>
      <c r="X46" s="1493"/>
      <c r="Y46" s="1502"/>
    </row>
    <row r="47" spans="1:25" ht="30" customHeight="1" thickBot="1" x14ac:dyDescent="0.35">
      <c r="A47" s="1505"/>
      <c r="B47" s="1506"/>
      <c r="C47" s="1507"/>
      <c r="D47" s="1272"/>
      <c r="E47" s="1508"/>
      <c r="F47" s="1509"/>
      <c r="G47" s="1510"/>
      <c r="H47" s="1510"/>
      <c r="I47" s="1511"/>
      <c r="J47" s="1512"/>
      <c r="K47" s="1513"/>
      <c r="L47" s="1512" t="s">
        <v>722</v>
      </c>
      <c r="M47" s="1985">
        <f>N19+N33+N46</f>
        <v>113754.69230769231</v>
      </c>
      <c r="N47" s="1986"/>
      <c r="O47" s="1514"/>
      <c r="P47" s="1515"/>
      <c r="Q47" s="1515"/>
      <c r="R47" s="1514"/>
      <c r="S47" s="1515"/>
      <c r="T47" s="1515"/>
      <c r="U47" s="1514"/>
      <c r="V47" s="1515"/>
      <c r="W47" s="1515"/>
      <c r="X47" s="1514"/>
      <c r="Y47" s="1516"/>
    </row>
    <row r="48" spans="1:25" ht="30" customHeight="1" thickBot="1" x14ac:dyDescent="0.35">
      <c r="A48" s="1389"/>
      <c r="B48" s="1390"/>
      <c r="C48" s="1391"/>
      <c r="D48" s="1392"/>
      <c r="E48" s="1393"/>
      <c r="F48" s="1394"/>
      <c r="G48" s="1395"/>
      <c r="H48" s="1396"/>
      <c r="I48" s="1404"/>
      <c r="J48" s="1260"/>
      <c r="K48" s="1260"/>
      <c r="L48" s="1260"/>
      <c r="M48" s="1260"/>
      <c r="N48" s="1503"/>
      <c r="O48" s="1504" t="s">
        <v>739</v>
      </c>
      <c r="P48" s="1421"/>
      <c r="Q48" s="1397"/>
      <c r="R48" s="1562">
        <f>'Comparisons 10th Edn'!N48</f>
        <v>33000</v>
      </c>
      <c r="S48" s="1518"/>
      <c r="T48" s="1519"/>
      <c r="U48" s="1562">
        <f>'Comparisons 10th Edn'!Q48</f>
        <v>33313</v>
      </c>
      <c r="V48" s="1517"/>
      <c r="W48" s="1517"/>
      <c r="X48" s="1562">
        <f>'Comparisons 10th Edn'!S48</f>
        <v>20100</v>
      </c>
      <c r="Y48" s="1480"/>
    </row>
    <row r="49" spans="1:26" ht="36" customHeight="1" thickTop="1" x14ac:dyDescent="0.3">
      <c r="A49"/>
      <c r="B49"/>
      <c r="C49"/>
      <c r="D49"/>
      <c r="E49"/>
      <c r="F49"/>
      <c r="G49"/>
      <c r="H49"/>
      <c r="I49"/>
      <c r="J49"/>
      <c r="K49"/>
      <c r="L49"/>
      <c r="M49"/>
      <c r="N49"/>
      <c r="O49"/>
      <c r="P49"/>
      <c r="Q49"/>
      <c r="R49"/>
      <c r="S49"/>
      <c r="T49"/>
      <c r="U49"/>
      <c r="V49"/>
      <c r="W49"/>
      <c r="X49"/>
      <c r="Y49" s="2"/>
      <c r="Z49"/>
    </row>
    <row r="50" spans="1:26" ht="18" customHeight="1" x14ac:dyDescent="0.3">
      <c r="A50"/>
      <c r="B50"/>
      <c r="C50"/>
      <c r="D50"/>
      <c r="E50"/>
      <c r="F50"/>
      <c r="G50"/>
      <c r="H50"/>
      <c r="I50"/>
      <c r="J50"/>
      <c r="K50"/>
      <c r="L50"/>
      <c r="M50"/>
      <c r="N50"/>
      <c r="O50"/>
      <c r="P50"/>
      <c r="Q50"/>
      <c r="R50"/>
      <c r="S50"/>
      <c r="T50"/>
      <c r="U50"/>
      <c r="V50"/>
      <c r="W50"/>
      <c r="X50"/>
      <c r="Y50" s="2"/>
      <c r="Z50"/>
    </row>
    <row r="51" spans="1:26" ht="18" customHeight="1" x14ac:dyDescent="0.3">
      <c r="A51"/>
      <c r="B51"/>
      <c r="C51"/>
      <c r="D51"/>
      <c r="E51"/>
      <c r="F51"/>
      <c r="G51"/>
      <c r="H51"/>
      <c r="I51"/>
      <c r="J51"/>
      <c r="K51"/>
      <c r="L51"/>
      <c r="M51"/>
      <c r="N51"/>
      <c r="O51"/>
      <c r="P51"/>
      <c r="Q51"/>
      <c r="R51"/>
      <c r="S51"/>
      <c r="T51"/>
      <c r="U51"/>
      <c r="V51"/>
      <c r="W51"/>
      <c r="X51"/>
      <c r="Y51" s="2"/>
      <c r="Z51"/>
    </row>
    <row r="52" spans="1:26" ht="18" customHeight="1" x14ac:dyDescent="0.3">
      <c r="A52"/>
      <c r="B52"/>
      <c r="C52"/>
      <c r="D52"/>
      <c r="E52"/>
      <c r="F52"/>
      <c r="G52"/>
      <c r="H52"/>
      <c r="I52"/>
      <c r="J52"/>
      <c r="K52"/>
      <c r="L52"/>
      <c r="M52"/>
      <c r="N52"/>
      <c r="O52"/>
      <c r="P52"/>
      <c r="Q52"/>
      <c r="R52"/>
      <c r="S52"/>
      <c r="T52"/>
      <c r="U52"/>
      <c r="V52"/>
      <c r="W52"/>
      <c r="X52"/>
      <c r="Y52" s="2"/>
      <c r="Z52"/>
    </row>
    <row r="53" spans="1:26" ht="27" customHeight="1" x14ac:dyDescent="0.3">
      <c r="A53"/>
      <c r="B53"/>
      <c r="C53"/>
      <c r="D53"/>
      <c r="E53"/>
      <c r="F53"/>
      <c r="G53"/>
      <c r="H53"/>
      <c r="I53"/>
      <c r="J53"/>
      <c r="K53"/>
      <c r="L53"/>
      <c r="M53"/>
      <c r="N53"/>
      <c r="O53"/>
      <c r="P53"/>
      <c r="Q53"/>
      <c r="R53"/>
      <c r="S53"/>
      <c r="T53"/>
      <c r="U53"/>
      <c r="V53"/>
      <c r="W53"/>
      <c r="X53"/>
      <c r="Y53" s="2"/>
      <c r="Z53"/>
    </row>
    <row r="54" spans="1:26" ht="27" customHeight="1" x14ac:dyDescent="0.3">
      <c r="A54"/>
      <c r="B54"/>
      <c r="C54"/>
      <c r="D54"/>
      <c r="E54"/>
      <c r="F54"/>
      <c r="G54"/>
      <c r="H54"/>
      <c r="I54"/>
      <c r="J54"/>
      <c r="K54"/>
      <c r="L54"/>
      <c r="M54"/>
      <c r="N54"/>
      <c r="O54"/>
      <c r="P54"/>
      <c r="Q54"/>
      <c r="R54"/>
      <c r="S54"/>
      <c r="T54"/>
      <c r="U54"/>
      <c r="V54"/>
      <c r="W54"/>
      <c r="X54"/>
      <c r="Y54" s="2"/>
      <c r="Z54"/>
    </row>
    <row r="55" spans="1:26" ht="27" customHeight="1" x14ac:dyDescent="0.3">
      <c r="A55"/>
      <c r="B55"/>
      <c r="C55"/>
      <c r="D55"/>
      <c r="E55"/>
      <c r="F55"/>
      <c r="G55"/>
      <c r="H55"/>
      <c r="I55"/>
      <c r="J55"/>
      <c r="K55"/>
      <c r="L55"/>
      <c r="M55"/>
      <c r="N55"/>
      <c r="O55"/>
      <c r="P55"/>
      <c r="Q55"/>
      <c r="R55"/>
      <c r="S55"/>
      <c r="T55"/>
      <c r="U55"/>
      <c r="V55"/>
      <c r="W55"/>
      <c r="X55"/>
      <c r="Y55" s="2"/>
      <c r="Z55"/>
    </row>
    <row r="56" spans="1:26" ht="27" customHeight="1" x14ac:dyDescent="0.3">
      <c r="A56"/>
      <c r="B56"/>
      <c r="C56"/>
      <c r="D56"/>
      <c r="E56"/>
      <c r="F56"/>
      <c r="G56"/>
      <c r="H56"/>
      <c r="I56"/>
      <c r="J56"/>
      <c r="K56"/>
      <c r="L56"/>
      <c r="M56"/>
      <c r="N56"/>
      <c r="O56"/>
      <c r="P56"/>
      <c r="Q56"/>
      <c r="R56"/>
      <c r="S56"/>
      <c r="T56"/>
      <c r="U56"/>
      <c r="V56"/>
      <c r="W56"/>
      <c r="X56"/>
      <c r="Y56" s="2"/>
      <c r="Z56"/>
    </row>
    <row r="57" spans="1:26" ht="27" customHeight="1" x14ac:dyDescent="0.3">
      <c r="A57"/>
      <c r="B57"/>
      <c r="C57"/>
      <c r="D57"/>
      <c r="E57"/>
      <c r="F57"/>
      <c r="G57"/>
      <c r="H57"/>
      <c r="I57"/>
      <c r="J57"/>
      <c r="K57"/>
      <c r="L57"/>
      <c r="M57"/>
      <c r="N57"/>
      <c r="O57"/>
      <c r="P57"/>
      <c r="Q57"/>
      <c r="R57"/>
      <c r="S57"/>
      <c r="T57"/>
      <c r="U57"/>
      <c r="V57"/>
      <c r="W57"/>
      <c r="X57"/>
      <c r="Y57" s="2"/>
      <c r="Z57"/>
    </row>
    <row r="58" spans="1:26" ht="27" customHeight="1" x14ac:dyDescent="0.3">
      <c r="A58"/>
      <c r="B58"/>
      <c r="C58"/>
      <c r="D58"/>
      <c r="E58"/>
      <c r="F58"/>
      <c r="G58"/>
      <c r="H58"/>
      <c r="I58"/>
      <c r="J58"/>
      <c r="K58"/>
      <c r="L58"/>
      <c r="M58"/>
      <c r="N58"/>
      <c r="O58"/>
      <c r="P58"/>
      <c r="Q58"/>
      <c r="R58"/>
      <c r="S58"/>
      <c r="T58"/>
      <c r="U58"/>
      <c r="V58"/>
      <c r="W58"/>
      <c r="X58"/>
      <c r="Y58" s="2"/>
      <c r="Z58"/>
    </row>
    <row r="59" spans="1:26" ht="27" customHeight="1" x14ac:dyDescent="0.3">
      <c r="A59"/>
      <c r="B59"/>
      <c r="C59"/>
      <c r="D59"/>
      <c r="E59"/>
      <c r="F59"/>
      <c r="G59"/>
      <c r="H59"/>
      <c r="I59"/>
      <c r="J59"/>
      <c r="K59"/>
      <c r="L59"/>
      <c r="M59"/>
      <c r="N59"/>
      <c r="O59"/>
      <c r="P59"/>
      <c r="Q59"/>
      <c r="R59"/>
      <c r="S59"/>
      <c r="T59"/>
      <c r="U59"/>
      <c r="V59"/>
      <c r="W59"/>
      <c r="X59"/>
      <c r="Y59" s="2"/>
      <c r="Z59"/>
    </row>
    <row r="60" spans="1:26" ht="27" customHeight="1" x14ac:dyDescent="0.3">
      <c r="A60"/>
      <c r="B60"/>
      <c r="C60"/>
      <c r="D60"/>
      <c r="E60"/>
      <c r="F60"/>
      <c r="G60"/>
      <c r="H60"/>
      <c r="I60"/>
      <c r="J60"/>
      <c r="K60"/>
      <c r="L60"/>
      <c r="M60"/>
      <c r="N60"/>
      <c r="O60"/>
      <c r="P60"/>
      <c r="Q60"/>
      <c r="R60"/>
      <c r="S60"/>
      <c r="T60"/>
      <c r="U60"/>
      <c r="V60"/>
      <c r="W60"/>
      <c r="X60"/>
      <c r="Y60" s="2"/>
      <c r="Z60"/>
    </row>
    <row r="61" spans="1:26" ht="27" customHeight="1" x14ac:dyDescent="0.3">
      <c r="A61"/>
      <c r="B61"/>
      <c r="C61"/>
      <c r="D61"/>
      <c r="E61"/>
      <c r="F61"/>
      <c r="G61"/>
      <c r="H61"/>
      <c r="I61"/>
      <c r="J61"/>
      <c r="K61"/>
      <c r="L61"/>
      <c r="M61"/>
      <c r="N61"/>
      <c r="O61"/>
      <c r="P61"/>
      <c r="Q61"/>
      <c r="R61"/>
      <c r="S61"/>
      <c r="T61"/>
      <c r="U61"/>
      <c r="V61"/>
      <c r="W61"/>
      <c r="X61"/>
      <c r="Y61" s="2"/>
      <c r="Z61"/>
    </row>
    <row r="62" spans="1:26" ht="27" customHeight="1" x14ac:dyDescent="0.3">
      <c r="A62"/>
      <c r="B62"/>
      <c r="C62"/>
      <c r="D62"/>
      <c r="E62"/>
      <c r="F62"/>
      <c r="G62"/>
      <c r="H62"/>
      <c r="I62"/>
      <c r="J62"/>
      <c r="K62"/>
      <c r="L62"/>
      <c r="M62"/>
      <c r="N62"/>
      <c r="O62"/>
      <c r="P62"/>
      <c r="Q62"/>
      <c r="R62"/>
      <c r="S62"/>
      <c r="T62"/>
      <c r="U62"/>
      <c r="V62"/>
      <c r="W62"/>
      <c r="X62"/>
      <c r="Y62" s="2"/>
      <c r="Z62"/>
    </row>
    <row r="63" spans="1:26" ht="27" customHeight="1" x14ac:dyDescent="0.3">
      <c r="A63"/>
      <c r="B63"/>
      <c r="C63"/>
      <c r="D63"/>
      <c r="E63"/>
      <c r="F63"/>
      <c r="G63"/>
      <c r="H63"/>
      <c r="I63"/>
      <c r="J63"/>
      <c r="K63"/>
      <c r="L63"/>
      <c r="M63"/>
      <c r="N63"/>
      <c r="O63"/>
      <c r="P63"/>
      <c r="Q63"/>
      <c r="R63"/>
      <c r="S63"/>
      <c r="T63"/>
      <c r="U63"/>
      <c r="V63"/>
      <c r="W63"/>
      <c r="X63"/>
      <c r="Y63" s="2"/>
      <c r="Z63"/>
    </row>
    <row r="64" spans="1:26" ht="27" customHeight="1" x14ac:dyDescent="0.3">
      <c r="A64"/>
      <c r="B64"/>
      <c r="C64"/>
      <c r="D64"/>
      <c r="E64"/>
      <c r="F64"/>
      <c r="G64"/>
      <c r="H64"/>
      <c r="I64"/>
      <c r="J64"/>
      <c r="K64"/>
      <c r="L64"/>
      <c r="M64"/>
      <c r="N64"/>
      <c r="O64"/>
      <c r="P64"/>
      <c r="Q64"/>
      <c r="R64"/>
      <c r="S64"/>
      <c r="T64"/>
      <c r="U64"/>
      <c r="V64"/>
      <c r="W64"/>
      <c r="X64"/>
      <c r="Y64" s="2"/>
      <c r="Z64"/>
    </row>
    <row r="65" spans="1:26" ht="27" customHeight="1" x14ac:dyDescent="0.3">
      <c r="A65"/>
      <c r="B65"/>
      <c r="C65"/>
      <c r="D65"/>
      <c r="E65"/>
      <c r="F65"/>
      <c r="G65"/>
      <c r="H65"/>
      <c r="I65"/>
      <c r="J65"/>
      <c r="K65"/>
      <c r="L65"/>
      <c r="M65"/>
      <c r="N65"/>
      <c r="O65"/>
      <c r="P65"/>
      <c r="Q65"/>
      <c r="R65"/>
      <c r="S65"/>
      <c r="T65"/>
      <c r="U65"/>
      <c r="V65"/>
      <c r="W65"/>
      <c r="X65"/>
      <c r="Y65" s="2"/>
      <c r="Z65"/>
    </row>
    <row r="66" spans="1:26" ht="27" customHeight="1" x14ac:dyDescent="0.3">
      <c r="A66"/>
      <c r="B66"/>
      <c r="C66"/>
      <c r="D66"/>
      <c r="E66"/>
      <c r="F66"/>
      <c r="G66"/>
      <c r="H66"/>
      <c r="I66"/>
      <c r="J66"/>
      <c r="K66"/>
      <c r="L66"/>
      <c r="M66"/>
      <c r="N66"/>
      <c r="O66"/>
      <c r="P66"/>
      <c r="Q66"/>
      <c r="R66"/>
      <c r="S66"/>
      <c r="T66"/>
      <c r="U66"/>
      <c r="V66"/>
      <c r="W66"/>
      <c r="X66"/>
      <c r="Y66" s="2"/>
      <c r="Z66"/>
    </row>
    <row r="67" spans="1:26" ht="27" customHeight="1" x14ac:dyDescent="0.3">
      <c r="A67"/>
      <c r="B67"/>
      <c r="C67"/>
      <c r="D67"/>
      <c r="E67"/>
      <c r="F67"/>
      <c r="G67"/>
      <c r="H67"/>
      <c r="I67"/>
      <c r="J67"/>
      <c r="K67"/>
      <c r="L67"/>
      <c r="M67"/>
      <c r="N67"/>
      <c r="O67"/>
      <c r="P67"/>
      <c r="Q67"/>
      <c r="R67"/>
      <c r="S67"/>
      <c r="T67"/>
      <c r="U67"/>
      <c r="V67"/>
      <c r="W67"/>
      <c r="X67"/>
      <c r="Y67" s="2"/>
      <c r="Z67"/>
    </row>
    <row r="68" spans="1:26" ht="14.4" x14ac:dyDescent="0.3">
      <c r="A68"/>
      <c r="B68"/>
      <c r="C68"/>
      <c r="D68"/>
      <c r="E68"/>
      <c r="F68"/>
      <c r="G68"/>
      <c r="H68"/>
      <c r="I68"/>
      <c r="J68"/>
      <c r="K68"/>
      <c r="L68"/>
      <c r="M68"/>
      <c r="N68"/>
      <c r="O68"/>
      <c r="P68"/>
      <c r="Q68"/>
      <c r="R68"/>
      <c r="S68"/>
      <c r="T68"/>
      <c r="U68"/>
      <c r="V68"/>
      <c r="W68"/>
      <c r="X68"/>
      <c r="Y68" s="2"/>
      <c r="Z68"/>
    </row>
    <row r="69" spans="1:26" ht="14.4" x14ac:dyDescent="0.3">
      <c r="A69"/>
      <c r="B69"/>
      <c r="C69"/>
      <c r="D69"/>
      <c r="E69"/>
      <c r="F69"/>
      <c r="G69"/>
      <c r="H69"/>
      <c r="I69"/>
      <c r="J69"/>
      <c r="K69"/>
      <c r="L69"/>
      <c r="M69"/>
      <c r="N69"/>
      <c r="O69"/>
      <c r="P69"/>
      <c r="Q69"/>
      <c r="R69"/>
      <c r="S69"/>
      <c r="T69"/>
      <c r="U69"/>
      <c r="V69"/>
      <c r="W69"/>
      <c r="X69"/>
      <c r="Y69" s="2"/>
      <c r="Z69"/>
    </row>
    <row r="70" spans="1:26" ht="14.4" x14ac:dyDescent="0.3">
      <c r="A70" s="62"/>
      <c r="B70" s="62"/>
      <c r="C70" s="62"/>
      <c r="D70" s="62"/>
      <c r="E70" s="62"/>
      <c r="F70" s="62"/>
      <c r="G70" s="62"/>
      <c r="H70" s="62"/>
      <c r="I70" s="62"/>
      <c r="J70" s="62"/>
      <c r="K70" s="62"/>
      <c r="L70" s="62"/>
      <c r="M70" s="62"/>
      <c r="N70" s="62"/>
    </row>
    <row r="71" spans="1:26" ht="14.4" x14ac:dyDescent="0.3">
      <c r="A71" s="62"/>
      <c r="B71" s="62"/>
      <c r="C71" s="62"/>
      <c r="D71" s="62"/>
      <c r="E71" s="62"/>
      <c r="F71" s="62"/>
      <c r="G71" s="62"/>
      <c r="H71" s="62"/>
      <c r="I71" s="62"/>
      <c r="J71" s="62"/>
      <c r="K71" s="62"/>
      <c r="L71" s="62"/>
      <c r="M71" s="62"/>
      <c r="N71" s="62"/>
    </row>
    <row r="72" spans="1:26" ht="14.4" x14ac:dyDescent="0.3">
      <c r="A72" s="62"/>
      <c r="B72" s="62"/>
      <c r="C72" s="62"/>
      <c r="D72" s="62"/>
      <c r="E72" s="62"/>
      <c r="F72" s="62"/>
      <c r="G72" s="62"/>
      <c r="H72" s="62"/>
      <c r="I72" s="62"/>
      <c r="J72" s="62"/>
      <c r="K72" s="62"/>
      <c r="L72" s="62"/>
      <c r="M72" s="62"/>
      <c r="N72" s="62"/>
    </row>
    <row r="73" spans="1:26" ht="14.4" x14ac:dyDescent="0.3">
      <c r="A73" s="62"/>
      <c r="B73" s="62"/>
      <c r="C73" s="62"/>
      <c r="D73" s="62"/>
      <c r="E73" s="62"/>
      <c r="F73" s="62"/>
      <c r="G73" s="62"/>
      <c r="H73" s="62"/>
      <c r="I73" s="62"/>
      <c r="J73" s="62"/>
      <c r="K73" s="62"/>
      <c r="L73" s="62"/>
      <c r="M73" s="62"/>
      <c r="N73" s="62"/>
    </row>
    <row r="74" spans="1:26" ht="14.4" x14ac:dyDescent="0.3">
      <c r="A74" s="62"/>
      <c r="B74" s="62"/>
      <c r="C74" s="62"/>
      <c r="D74" s="62"/>
      <c r="E74" s="62"/>
      <c r="F74" s="62"/>
      <c r="G74" s="62"/>
      <c r="H74" s="62"/>
      <c r="I74" s="62"/>
      <c r="J74" s="62"/>
      <c r="K74" s="62"/>
      <c r="L74" s="62"/>
      <c r="M74" s="62"/>
      <c r="N74" s="62"/>
    </row>
    <row r="75" spans="1:26" ht="14.4" x14ac:dyDescent="0.3">
      <c r="A75" s="62"/>
      <c r="B75" s="62"/>
      <c r="C75" s="62"/>
      <c r="D75" s="62"/>
      <c r="E75" s="62"/>
      <c r="F75" s="62"/>
      <c r="G75" s="62"/>
      <c r="H75" s="62"/>
      <c r="I75" s="62"/>
      <c r="J75" s="62"/>
      <c r="K75" s="62"/>
      <c r="L75" s="62"/>
      <c r="M75" s="62"/>
      <c r="N75" s="62"/>
    </row>
    <row r="76" spans="1:26" ht="14.4" x14ac:dyDescent="0.3">
      <c r="A76" s="62"/>
      <c r="B76" s="62"/>
      <c r="C76" s="62"/>
      <c r="D76" s="62"/>
      <c r="E76" s="62"/>
      <c r="F76" s="62"/>
      <c r="G76" s="62"/>
      <c r="H76" s="62"/>
      <c r="I76" s="62"/>
      <c r="J76" s="62"/>
      <c r="K76" s="62"/>
      <c r="L76" s="62"/>
      <c r="M76" s="62"/>
      <c r="N76" s="62"/>
    </row>
    <row r="77" spans="1:26" ht="14.4" x14ac:dyDescent="0.3">
      <c r="A77" s="62"/>
      <c r="B77" s="62"/>
      <c r="C77" s="62"/>
      <c r="D77" s="62"/>
      <c r="E77" s="62"/>
      <c r="F77" s="62"/>
      <c r="G77" s="62"/>
      <c r="H77" s="62"/>
      <c r="I77" s="62"/>
      <c r="J77" s="62"/>
      <c r="K77" s="62"/>
      <c r="L77" s="62"/>
      <c r="M77" s="62"/>
      <c r="N77" s="62"/>
    </row>
    <row r="78" spans="1:26" ht="14.4" x14ac:dyDescent="0.3">
      <c r="A78" s="62"/>
      <c r="B78" s="62"/>
      <c r="C78" s="62"/>
      <c r="D78" s="62"/>
      <c r="E78" s="62"/>
      <c r="F78" s="62"/>
      <c r="G78" s="62"/>
      <c r="H78" s="62"/>
      <c r="I78" s="62"/>
      <c r="J78" s="62"/>
      <c r="K78" s="62"/>
      <c r="L78" s="62"/>
      <c r="M78" s="62"/>
      <c r="N78" s="62"/>
    </row>
    <row r="79" spans="1:26" ht="14.4" x14ac:dyDescent="0.3">
      <c r="A79" s="62"/>
      <c r="B79" s="62"/>
      <c r="C79" s="62"/>
      <c r="D79" s="62"/>
      <c r="E79" s="62"/>
      <c r="F79" s="62"/>
      <c r="G79" s="62"/>
      <c r="H79" s="62"/>
      <c r="I79" s="62"/>
      <c r="J79" s="62"/>
      <c r="K79" s="62"/>
      <c r="L79" s="62"/>
      <c r="M79" s="62"/>
      <c r="N79" s="62"/>
    </row>
    <row r="80" spans="1:26" ht="14.4" x14ac:dyDescent="0.3">
      <c r="A80" s="62"/>
      <c r="B80" s="62"/>
      <c r="C80" s="62"/>
      <c r="D80" s="62"/>
      <c r="E80" s="62"/>
      <c r="F80" s="62"/>
      <c r="G80" s="62"/>
      <c r="H80" s="62"/>
      <c r="I80" s="62"/>
      <c r="J80" s="62"/>
      <c r="K80" s="62"/>
      <c r="L80" s="62"/>
      <c r="M80" s="62"/>
      <c r="N80" s="62"/>
    </row>
    <row r="81" spans="1:14" ht="14.4" x14ac:dyDescent="0.3">
      <c r="A81" s="62"/>
      <c r="B81" s="62"/>
      <c r="C81" s="62"/>
      <c r="D81" s="62"/>
      <c r="E81" s="62"/>
      <c r="F81" s="62"/>
      <c r="G81" s="62"/>
      <c r="H81" s="62"/>
      <c r="I81" s="62"/>
      <c r="J81" s="62"/>
      <c r="K81" s="62"/>
      <c r="L81" s="62"/>
      <c r="M81" s="62"/>
      <c r="N81" s="62"/>
    </row>
    <row r="82" spans="1:14" ht="14.4" x14ac:dyDescent="0.3">
      <c r="A82" s="62"/>
      <c r="B82" s="62"/>
      <c r="C82" s="62"/>
      <c r="D82" s="62"/>
      <c r="E82" s="62"/>
      <c r="F82" s="62"/>
      <c r="G82" s="62"/>
      <c r="H82" s="62"/>
      <c r="I82" s="62"/>
      <c r="J82" s="62"/>
      <c r="K82" s="62"/>
      <c r="L82" s="62"/>
      <c r="M82" s="62"/>
      <c r="N82" s="62"/>
    </row>
    <row r="83" spans="1:14" ht="14.4" x14ac:dyDescent="0.3">
      <c r="A83" s="62"/>
      <c r="B83" s="62"/>
      <c r="C83" s="62"/>
      <c r="D83" s="62"/>
      <c r="E83" s="62"/>
      <c r="F83" s="62"/>
      <c r="G83" s="62"/>
      <c r="H83" s="62"/>
      <c r="I83" s="62"/>
      <c r="J83" s="62"/>
      <c r="K83" s="62"/>
      <c r="L83" s="62"/>
      <c r="M83" s="62"/>
      <c r="N83" s="62"/>
    </row>
    <row r="84" spans="1:14" ht="14.4" x14ac:dyDescent="0.3">
      <c r="A84" s="62"/>
      <c r="B84" s="62"/>
      <c r="C84" s="62"/>
      <c r="D84" s="62"/>
      <c r="E84" s="62"/>
      <c r="F84" s="62"/>
      <c r="G84" s="62"/>
      <c r="H84" s="62"/>
      <c r="I84" s="62"/>
      <c r="J84" s="62"/>
      <c r="K84" s="62"/>
      <c r="L84" s="62"/>
      <c r="M84" s="62"/>
      <c r="N84" s="62"/>
    </row>
    <row r="85" spans="1:14" ht="14.4" x14ac:dyDescent="0.3">
      <c r="A85" s="62"/>
      <c r="B85" s="62"/>
      <c r="C85" s="62"/>
      <c r="D85" s="62"/>
      <c r="E85" s="62"/>
      <c r="F85" s="62"/>
      <c r="G85" s="62"/>
      <c r="H85" s="62"/>
      <c r="I85" s="62"/>
      <c r="J85" s="62"/>
      <c r="K85" s="62"/>
      <c r="L85" s="62"/>
      <c r="M85" s="62"/>
      <c r="N85" s="62"/>
    </row>
    <row r="86" spans="1:14" ht="14.4" x14ac:dyDescent="0.3">
      <c r="A86" s="62"/>
      <c r="B86" s="62"/>
      <c r="C86" s="62"/>
      <c r="D86" s="62"/>
      <c r="E86" s="62"/>
      <c r="F86" s="62"/>
      <c r="G86" s="62"/>
      <c r="H86" s="62"/>
      <c r="I86" s="62"/>
      <c r="J86" s="62"/>
      <c r="K86" s="62"/>
      <c r="L86" s="62"/>
      <c r="M86" s="62"/>
      <c r="N86" s="62"/>
    </row>
    <row r="87" spans="1:14" ht="14.4" x14ac:dyDescent="0.3">
      <c r="A87" s="62"/>
      <c r="B87" s="62"/>
      <c r="C87" s="62"/>
      <c r="D87" s="62"/>
      <c r="E87" s="62"/>
      <c r="F87" s="62"/>
      <c r="G87" s="62"/>
      <c r="H87" s="62"/>
      <c r="I87" s="62"/>
      <c r="J87" s="62"/>
      <c r="K87" s="62"/>
      <c r="L87" s="62"/>
      <c r="M87" s="62"/>
      <c r="N87" s="62"/>
    </row>
    <row r="92" spans="1:14" x14ac:dyDescent="0.3">
      <c r="E92" s="19"/>
      <c r="F92" s="19"/>
      <c r="G92" s="19"/>
    </row>
    <row r="93" spans="1:14" x14ac:dyDescent="0.3">
      <c r="E93" s="19"/>
      <c r="F93" s="19"/>
      <c r="G93" s="19"/>
    </row>
    <row r="94" spans="1:14" x14ac:dyDescent="0.3">
      <c r="E94" s="19"/>
      <c r="F94" s="19"/>
      <c r="G94" s="19"/>
    </row>
  </sheetData>
  <mergeCells count="32">
    <mergeCell ref="B30:B32"/>
    <mergeCell ref="B35:B37"/>
    <mergeCell ref="B38:B40"/>
    <mergeCell ref="B41:B43"/>
    <mergeCell ref="Q10:Q13"/>
    <mergeCell ref="T10:T13"/>
    <mergeCell ref="W10:W13"/>
    <mergeCell ref="B11:B13"/>
    <mergeCell ref="Q21:Q29"/>
    <mergeCell ref="T21:T29"/>
    <mergeCell ref="W21:W29"/>
    <mergeCell ref="B27:B29"/>
    <mergeCell ref="P5:P6"/>
    <mergeCell ref="P4:R4"/>
    <mergeCell ref="W4:X4"/>
    <mergeCell ref="F5:H5"/>
    <mergeCell ref="I5:N5"/>
    <mergeCell ref="Q5:Q6"/>
    <mergeCell ref="R5:R6"/>
    <mergeCell ref="T5:T6"/>
    <mergeCell ref="U5:U6"/>
    <mergeCell ref="W5:W6"/>
    <mergeCell ref="X5:X6"/>
    <mergeCell ref="F6:H6"/>
    <mergeCell ref="S5:S6"/>
    <mergeCell ref="S4:U4"/>
    <mergeCell ref="M47:N47"/>
    <mergeCell ref="C3:D3"/>
    <mergeCell ref="F4:H4"/>
    <mergeCell ref="I4:N4"/>
    <mergeCell ref="O4:O6"/>
    <mergeCell ref="I6:N6"/>
  </mergeCells>
  <printOptions horizontalCentered="1"/>
  <pageMargins left="0.70866141732283472" right="0.70866141732283472" top="0.94488188976377963" bottom="0.35433070866141736" header="0.31496062992125984" footer="0.31496062992125984"/>
  <pageSetup paperSize="134" scale="2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I103"/>
  <sheetViews>
    <sheetView zoomScale="80" zoomScaleNormal="80" workbookViewId="0">
      <pane xSplit="5" ySplit="7" topLeftCell="F8" activePane="bottomRight" state="frozen"/>
      <selection pane="topRight" activeCell="F1" sqref="F1"/>
      <selection pane="bottomLeft" activeCell="A8" sqref="A8"/>
      <selection pane="bottomRight" activeCell="F8" sqref="F8"/>
    </sheetView>
  </sheetViews>
  <sheetFormatPr defaultColWidth="9.109375" defaultRowHeight="13.8" x14ac:dyDescent="0.3"/>
  <cols>
    <col min="1" max="2" width="3.6640625" style="19" customWidth="1"/>
    <col min="3" max="3" width="27.6640625" style="19" customWidth="1"/>
    <col min="4" max="4" width="24.6640625" style="19" customWidth="1"/>
    <col min="5" max="5" width="9.6640625" style="72" customWidth="1"/>
    <col min="6" max="6" width="21.6640625" style="72" customWidth="1"/>
    <col min="7" max="7" width="9.6640625" style="72" customWidth="1"/>
    <col min="8" max="8" width="9.6640625" style="19" customWidth="1"/>
    <col min="9" max="9" width="15.6640625" style="19" customWidth="1"/>
    <col min="10" max="10" width="9.6640625" style="19" customWidth="1"/>
    <col min="11" max="11" width="15.6640625" style="19" customWidth="1"/>
    <col min="12" max="12" width="9.6640625" style="19" customWidth="1"/>
    <col min="13" max="13" width="12.6640625" style="19" hidden="1" customWidth="1"/>
    <col min="14" max="21" width="12.6640625" style="19" customWidth="1"/>
    <col min="22" max="22" width="9.6640625" style="19" customWidth="1"/>
    <col min="23" max="34" width="12.6640625" style="19" customWidth="1"/>
    <col min="35" max="35" width="24.6640625" style="19" customWidth="1"/>
    <col min="36" max="16384" width="9.109375" style="19"/>
  </cols>
  <sheetData>
    <row r="1" spans="1:35" ht="24" customHeight="1" thickTop="1" x14ac:dyDescent="0.3">
      <c r="A1" s="1213" t="s">
        <v>497</v>
      </c>
      <c r="B1" s="1214"/>
      <c r="C1" s="1215"/>
      <c r="D1" s="1215"/>
      <c r="E1" s="1216"/>
      <c r="F1" s="1217" t="s">
        <v>785</v>
      </c>
      <c r="G1" s="1217"/>
      <c r="H1" s="1215"/>
      <c r="I1" s="1215"/>
      <c r="J1" s="1215"/>
      <c r="K1" s="1215"/>
      <c r="L1" s="1215"/>
      <c r="M1" s="1215"/>
      <c r="N1" s="1215"/>
      <c r="O1" s="1215"/>
      <c r="P1" s="1215"/>
      <c r="Q1" s="1215"/>
      <c r="R1" s="1215"/>
      <c r="S1" s="1215"/>
      <c r="T1" s="1215"/>
      <c r="U1" s="1602"/>
      <c r="V1" s="1215"/>
      <c r="W1" s="1215"/>
      <c r="X1" s="1218"/>
      <c r="Y1" s="1218"/>
      <c r="Z1" s="1215"/>
      <c r="AA1" s="1219"/>
      <c r="AB1" s="1219"/>
      <c r="AC1" s="1219"/>
      <c r="AD1" s="1219"/>
      <c r="AE1" s="1219"/>
      <c r="AF1" s="1219"/>
      <c r="AG1" s="1219"/>
      <c r="AH1" s="1219"/>
      <c r="AI1" s="1220"/>
    </row>
    <row r="2" spans="1:35" ht="18" customHeight="1" x14ac:dyDescent="0.25">
      <c r="A2" s="1221"/>
      <c r="B2" s="1110"/>
      <c r="C2" s="1110"/>
      <c r="D2" s="259"/>
      <c r="E2" s="36" t="s">
        <v>0</v>
      </c>
      <c r="F2" s="37" t="str">
        <f>'All Years'!E2</f>
        <v>SFO Terminal 1 Reconstruction; Scheme Design Phase</v>
      </c>
      <c r="G2" s="37"/>
      <c r="H2" s="1110"/>
      <c r="I2" s="1110"/>
      <c r="J2" s="1110"/>
      <c r="K2" s="1110"/>
      <c r="L2" s="1110"/>
      <c r="M2" s="1110"/>
      <c r="N2" s="1110"/>
      <c r="O2" s="1110"/>
      <c r="P2" s="1110"/>
      <c r="Q2" s="1110"/>
      <c r="R2" s="1110"/>
      <c r="S2" s="1110"/>
      <c r="T2" s="1110"/>
      <c r="U2" s="1459" t="s">
        <v>447</v>
      </c>
      <c r="V2" s="1110"/>
      <c r="W2" s="1110"/>
      <c r="X2" s="1110"/>
      <c r="Y2" s="1110"/>
      <c r="Z2" s="1110"/>
      <c r="AA2" s="1110"/>
      <c r="AB2" s="1110"/>
      <c r="AC2" s="1110"/>
      <c r="AD2" s="1110"/>
      <c r="AE2" s="1110"/>
      <c r="AF2" s="1110"/>
      <c r="AG2" s="1110"/>
      <c r="AH2" s="1110"/>
      <c r="AI2" s="1459" t="s">
        <v>447</v>
      </c>
    </row>
    <row r="3" spans="1:35" ht="18" customHeight="1" thickBot="1" x14ac:dyDescent="0.3">
      <c r="A3" s="1222" t="s">
        <v>10</v>
      </c>
      <c r="B3" s="260"/>
      <c r="C3" s="1998">
        <f>'All Years'!C3</f>
        <v>42499</v>
      </c>
      <c r="D3" s="1998"/>
      <c r="E3" s="602">
        <f>'All Years'!D3</f>
        <v>17</v>
      </c>
      <c r="F3" s="259" t="str">
        <f>'All Years'!C2</f>
        <v>Fixed Link Calculations Added</v>
      </c>
      <c r="G3" s="1307"/>
      <c r="H3" s="1307"/>
      <c r="I3" s="1307"/>
      <c r="J3" s="1307"/>
      <c r="K3" s="1307"/>
      <c r="L3" s="1307"/>
      <c r="M3" s="1307"/>
      <c r="N3" s="1307"/>
      <c r="O3" s="1307"/>
      <c r="P3" s="1307"/>
      <c r="Q3" s="1307"/>
      <c r="R3" s="1307"/>
      <c r="S3" s="1307"/>
      <c r="T3" s="1307"/>
      <c r="U3" s="1460" t="s">
        <v>446</v>
      </c>
      <c r="V3" s="1307"/>
      <c r="W3" s="1307"/>
      <c r="X3" s="1307"/>
      <c r="Y3" s="1307"/>
      <c r="Z3" s="1307"/>
      <c r="AA3" s="211"/>
      <c r="AB3" s="212"/>
      <c r="AC3" s="212"/>
      <c r="AD3" s="212"/>
      <c r="AE3" s="212"/>
      <c r="AF3" s="212"/>
      <c r="AG3" s="212"/>
      <c r="AH3" s="212"/>
      <c r="AI3" s="1460" t="s">
        <v>446</v>
      </c>
    </row>
    <row r="4" spans="1:35" ht="18" customHeight="1" x14ac:dyDescent="0.3">
      <c r="A4" s="1223"/>
      <c r="B4" s="1205"/>
      <c r="C4" s="607"/>
      <c r="D4" s="607"/>
      <c r="E4" s="607"/>
      <c r="F4" s="1991" t="s">
        <v>777</v>
      </c>
      <c r="G4" s="1992"/>
      <c r="H4" s="1993"/>
      <c r="I4" s="2031" t="s">
        <v>776</v>
      </c>
      <c r="J4" s="2032"/>
      <c r="K4" s="1764"/>
      <c r="L4" s="1764"/>
      <c r="M4" s="1762"/>
      <c r="N4" s="1762"/>
      <c r="O4" s="1991" t="s">
        <v>826</v>
      </c>
      <c r="P4" s="1992"/>
      <c r="Q4" s="1992"/>
      <c r="R4" s="1992"/>
      <c r="S4" s="1992"/>
      <c r="T4" s="1992"/>
      <c r="U4" s="2033"/>
      <c r="V4" s="1820" t="s">
        <v>773</v>
      </c>
      <c r="W4" s="1764"/>
      <c r="X4" s="1764"/>
      <c r="Y4" s="1764" t="s">
        <v>808</v>
      </c>
      <c r="Z4" s="1765"/>
      <c r="AA4" s="2000" t="s">
        <v>705</v>
      </c>
      <c r="AB4" s="1991" t="s">
        <v>710</v>
      </c>
      <c r="AC4" s="1992"/>
      <c r="AD4" s="1991" t="s">
        <v>711</v>
      </c>
      <c r="AE4" s="1992"/>
      <c r="AF4" s="1992"/>
      <c r="AG4" s="1991" t="s">
        <v>712</v>
      </c>
      <c r="AH4" s="1993"/>
      <c r="AI4" s="1461"/>
    </row>
    <row r="5" spans="1:35" ht="27" customHeight="1" x14ac:dyDescent="0.3">
      <c r="A5" s="1224"/>
      <c r="B5" s="269"/>
      <c r="C5" s="1110"/>
      <c r="D5" s="1110"/>
      <c r="E5" s="604" t="s">
        <v>639</v>
      </c>
      <c r="F5" s="2018" t="s">
        <v>687</v>
      </c>
      <c r="G5" s="2019"/>
      <c r="H5" s="2020"/>
      <c r="I5" s="2025" t="s">
        <v>811</v>
      </c>
      <c r="J5" s="2026"/>
      <c r="K5" s="1819">
        <f>27+7.5/12</f>
        <v>27.625</v>
      </c>
      <c r="L5" s="2029" t="s">
        <v>817</v>
      </c>
      <c r="M5" s="2023"/>
      <c r="N5" s="2023"/>
      <c r="O5" s="2029" t="s">
        <v>818</v>
      </c>
      <c r="P5" s="2023" t="s">
        <v>825</v>
      </c>
      <c r="Q5" s="2023" t="s">
        <v>820</v>
      </c>
      <c r="R5" s="2023" t="s">
        <v>822</v>
      </c>
      <c r="S5" s="2023"/>
      <c r="T5" s="2023" t="s">
        <v>827</v>
      </c>
      <c r="U5" s="2021" t="s">
        <v>821</v>
      </c>
      <c r="V5" s="1690">
        <v>0.88</v>
      </c>
      <c r="W5" s="1763"/>
      <c r="X5" s="1966" t="s">
        <v>701</v>
      </c>
      <c r="Y5" s="1968"/>
      <c r="Z5" s="1967"/>
      <c r="AA5" s="2001"/>
      <c r="AB5" s="1994" t="s">
        <v>713</v>
      </c>
      <c r="AC5" s="1996" t="s">
        <v>714</v>
      </c>
      <c r="AD5" s="1994" t="s">
        <v>713</v>
      </c>
      <c r="AE5" s="1673"/>
      <c r="AF5" s="1996" t="s">
        <v>714</v>
      </c>
      <c r="AG5" s="1994" t="s">
        <v>713</v>
      </c>
      <c r="AH5" s="1996" t="s">
        <v>714</v>
      </c>
      <c r="AI5" s="1462"/>
    </row>
    <row r="6" spans="1:35" ht="27" customHeight="1" thickBot="1" x14ac:dyDescent="0.35">
      <c r="A6" s="1827" t="s">
        <v>770</v>
      </c>
      <c r="B6" s="1230"/>
      <c r="C6" s="1231" t="s">
        <v>685</v>
      </c>
      <c r="D6" s="1231" t="s">
        <v>699</v>
      </c>
      <c r="E6" s="1232" t="s">
        <v>688</v>
      </c>
      <c r="F6" s="2003" t="s">
        <v>700</v>
      </c>
      <c r="G6" s="2004"/>
      <c r="H6" s="2005"/>
      <c r="I6" s="2027" t="s">
        <v>816</v>
      </c>
      <c r="J6" s="2028"/>
      <c r="K6" s="1821" t="s">
        <v>799</v>
      </c>
      <c r="L6" s="2030"/>
      <c r="M6" s="2024"/>
      <c r="N6" s="2024"/>
      <c r="O6" s="2030"/>
      <c r="P6" s="2024"/>
      <c r="Q6" s="2024"/>
      <c r="R6" s="2024"/>
      <c r="S6" s="2024"/>
      <c r="T6" s="2024"/>
      <c r="U6" s="2022"/>
      <c r="V6" s="1672" t="s">
        <v>5</v>
      </c>
      <c r="W6" s="1721" t="s">
        <v>688</v>
      </c>
      <c r="X6" s="2003" t="s">
        <v>723</v>
      </c>
      <c r="Y6" s="2004"/>
      <c r="Z6" s="2005"/>
      <c r="AA6" s="2002"/>
      <c r="AB6" s="1995"/>
      <c r="AC6" s="1997"/>
      <c r="AD6" s="1995"/>
      <c r="AE6" s="1674"/>
      <c r="AF6" s="1997"/>
      <c r="AG6" s="1995"/>
      <c r="AH6" s="1997"/>
      <c r="AI6" s="1463" t="s">
        <v>17</v>
      </c>
    </row>
    <row r="7" spans="1:35" ht="27" customHeight="1" x14ac:dyDescent="0.3">
      <c r="A7" s="1262"/>
      <c r="B7" s="1263"/>
      <c r="C7" s="1351"/>
      <c r="D7" s="1351"/>
      <c r="E7" s="1352"/>
      <c r="F7" s="1355" t="s">
        <v>774</v>
      </c>
      <c r="G7" s="1353" t="s">
        <v>14</v>
      </c>
      <c r="H7" s="1715" t="s">
        <v>693</v>
      </c>
      <c r="I7" s="1693" t="s">
        <v>775</v>
      </c>
      <c r="J7" s="1406" t="s">
        <v>815</v>
      </c>
      <c r="K7" s="1806" t="s">
        <v>814</v>
      </c>
      <c r="L7" s="1440" t="s">
        <v>813</v>
      </c>
      <c r="M7" s="1806"/>
      <c r="N7" s="1892" t="s">
        <v>812</v>
      </c>
      <c r="O7" s="1440" t="s">
        <v>819</v>
      </c>
      <c r="P7" s="1806" t="s">
        <v>819</v>
      </c>
      <c r="Q7" s="1806" t="s">
        <v>798</v>
      </c>
      <c r="R7" s="1806" t="s">
        <v>798</v>
      </c>
      <c r="S7" s="1817" t="s">
        <v>812</v>
      </c>
      <c r="T7" s="1806" t="s">
        <v>819</v>
      </c>
      <c r="U7" s="1828" t="s">
        <v>823</v>
      </c>
      <c r="V7" s="1684" t="s">
        <v>5</v>
      </c>
      <c r="W7" s="1771" t="s">
        <v>807</v>
      </c>
      <c r="X7" s="1355" t="s">
        <v>689</v>
      </c>
      <c r="Y7" s="1353" t="s">
        <v>726</v>
      </c>
      <c r="Z7" s="1715" t="s">
        <v>260</v>
      </c>
      <c r="AA7" s="1356"/>
      <c r="AB7" s="1353" t="s">
        <v>715</v>
      </c>
      <c r="AC7" s="1354" t="s">
        <v>719</v>
      </c>
      <c r="AD7" s="1353" t="s">
        <v>715</v>
      </c>
      <c r="AE7" s="1353" t="s">
        <v>765</v>
      </c>
      <c r="AF7" s="1354" t="s">
        <v>719</v>
      </c>
      <c r="AG7" s="1353" t="s">
        <v>715</v>
      </c>
      <c r="AH7" s="1354" t="s">
        <v>719</v>
      </c>
      <c r="AI7" s="1464"/>
    </row>
    <row r="8" spans="1:35" ht="27" customHeight="1" x14ac:dyDescent="0.25">
      <c r="A8" s="1829" t="s">
        <v>638</v>
      </c>
      <c r="B8" s="1343"/>
      <c r="C8" s="187" t="s">
        <v>657</v>
      </c>
      <c r="D8" s="187" t="s">
        <v>702</v>
      </c>
      <c r="E8" s="1344" t="s">
        <v>638</v>
      </c>
      <c r="F8" s="1699" t="s">
        <v>621</v>
      </c>
      <c r="G8" s="1346">
        <v>150</v>
      </c>
      <c r="H8" s="1696">
        <f>G8</f>
        <v>150</v>
      </c>
      <c r="I8" s="1694" t="s">
        <v>778</v>
      </c>
      <c r="J8" s="1811">
        <v>8.5</v>
      </c>
      <c r="K8" s="1863">
        <v>8.75</v>
      </c>
      <c r="L8" s="1878">
        <f t="shared" ref="L8:L18" si="0">K$5-(K8+J8)</f>
        <v>10.375</v>
      </c>
      <c r="M8" s="1731" t="str">
        <f t="shared" ref="M8:M9" si="1">CONCATENATE(ROUNDDOWN(L8,0),"' ",ROUND((L8-ROUNDDOWN(L8,0))*12,1),"""")</f>
        <v>10' 4.5"</v>
      </c>
      <c r="N8" s="1887">
        <f>ROUNDUP(L8*RIGHT($K$6,2),0)</f>
        <v>125</v>
      </c>
      <c r="O8" s="1896">
        <f>$K$5-2.5</f>
        <v>25.125</v>
      </c>
      <c r="P8" s="1822"/>
      <c r="Q8" s="1822"/>
      <c r="R8" s="1882">
        <f>$K$5-T8</f>
        <v>2.5</v>
      </c>
      <c r="S8" s="1822">
        <f>R8*RIGHT($K$6,2)</f>
        <v>30</v>
      </c>
      <c r="T8" s="1866">
        <f>O8</f>
        <v>25.125</v>
      </c>
      <c r="U8" s="1830"/>
      <c r="V8" s="1766">
        <f>H8*V$5</f>
        <v>132</v>
      </c>
      <c r="W8" s="1772">
        <v>83</v>
      </c>
      <c r="X8" s="1781">
        <v>1809</v>
      </c>
      <c r="Y8" s="1348">
        <v>456</v>
      </c>
      <c r="Z8" s="1349">
        <f>X8+Y8</f>
        <v>2265</v>
      </c>
      <c r="AA8" s="1350" t="s">
        <v>706</v>
      </c>
      <c r="AB8" s="1669">
        <v>6400</v>
      </c>
      <c r="AC8" s="1560" t="s">
        <v>717</v>
      </c>
      <c r="AD8" s="1667">
        <v>6400</v>
      </c>
      <c r="AE8" s="1635">
        <f>(AD8/AD9)-1</f>
        <v>0.18716379150435913</v>
      </c>
      <c r="AF8" s="1636" t="s">
        <v>718</v>
      </c>
      <c r="AG8" s="1669">
        <v>6400</v>
      </c>
      <c r="AH8" s="1560" t="s">
        <v>717</v>
      </c>
      <c r="AI8" s="1465" t="s">
        <v>621</v>
      </c>
    </row>
    <row r="9" spans="1:35" ht="27" customHeight="1" x14ac:dyDescent="0.25">
      <c r="A9" s="1831" t="s">
        <v>632</v>
      </c>
      <c r="B9" s="1267"/>
      <c r="C9" s="1301" t="s">
        <v>654</v>
      </c>
      <c r="D9" s="1301" t="s">
        <v>703</v>
      </c>
      <c r="E9" s="1322" t="s">
        <v>632</v>
      </c>
      <c r="F9" s="1700" t="s">
        <v>411</v>
      </c>
      <c r="G9" s="1237">
        <v>190</v>
      </c>
      <c r="H9" s="1696">
        <f t="shared" ref="H9:H10" si="2">G9</f>
        <v>190</v>
      </c>
      <c r="I9" s="1694" t="s">
        <v>778</v>
      </c>
      <c r="J9" s="1811">
        <v>8.5</v>
      </c>
      <c r="K9" s="1863">
        <v>8.75</v>
      </c>
      <c r="L9" s="1878">
        <f t="shared" si="0"/>
        <v>10.375</v>
      </c>
      <c r="M9" s="1731" t="str">
        <f t="shared" si="1"/>
        <v>10' 4.5"</v>
      </c>
      <c r="N9" s="1888">
        <f t="shared" ref="N9:N11" si="3">ROUNDUP(L9*RIGHT($K$6,2),0)</f>
        <v>125</v>
      </c>
      <c r="O9" s="1896">
        <f>$K$5-2.5</f>
        <v>25.125</v>
      </c>
      <c r="P9" s="1822"/>
      <c r="Q9" s="1822"/>
      <c r="R9" s="1882">
        <f t="shared" ref="R9:R11" si="4">$K$5-T9</f>
        <v>2.5</v>
      </c>
      <c r="S9" s="1822">
        <f t="shared" ref="S9:S18" si="5">R9*RIGHT($K$6,2)</f>
        <v>30</v>
      </c>
      <c r="T9" s="1866">
        <f t="shared" ref="T9:T13" si="6">O9</f>
        <v>25.125</v>
      </c>
      <c r="U9" s="1830"/>
      <c r="V9" s="1766">
        <f t="shared" ref="V9:V12" si="7">H9*V$5</f>
        <v>167.2</v>
      </c>
      <c r="W9" s="1772">
        <v>116</v>
      </c>
      <c r="X9" s="1241">
        <v>2532</v>
      </c>
      <c r="Y9" s="1239">
        <v>594</v>
      </c>
      <c r="Z9" s="1240">
        <f>X9+Y9</f>
        <v>3126</v>
      </c>
      <c r="AA9" s="1336" t="s">
        <v>706</v>
      </c>
      <c r="AB9" s="1370">
        <f>$Z8+$Z9</f>
        <v>5391</v>
      </c>
      <c r="AC9" s="1372" t="s">
        <v>716</v>
      </c>
      <c r="AD9" s="1981">
        <f>$Z8+$Z9</f>
        <v>5391</v>
      </c>
      <c r="AE9" s="1982"/>
      <c r="AF9" s="1636" t="s">
        <v>718</v>
      </c>
      <c r="AG9" s="1370">
        <f>$Z8+$Z9</f>
        <v>5391</v>
      </c>
      <c r="AH9" s="1372" t="s">
        <v>716</v>
      </c>
      <c r="AI9" s="1466" t="s">
        <v>411</v>
      </c>
    </row>
    <row r="10" spans="1:35" ht="27" customHeight="1" x14ac:dyDescent="0.3">
      <c r="A10" s="1831" t="s">
        <v>633</v>
      </c>
      <c r="B10" s="1267"/>
      <c r="C10" s="1301" t="s">
        <v>654</v>
      </c>
      <c r="D10" s="1301" t="s">
        <v>703</v>
      </c>
      <c r="E10" s="1322" t="s">
        <v>633</v>
      </c>
      <c r="F10" s="1700" t="s">
        <v>411</v>
      </c>
      <c r="G10" s="1237">
        <v>190</v>
      </c>
      <c r="H10" s="1696">
        <f t="shared" si="2"/>
        <v>190</v>
      </c>
      <c r="I10" s="1694" t="s">
        <v>778</v>
      </c>
      <c r="J10" s="1811">
        <v>8.5</v>
      </c>
      <c r="K10" s="1863">
        <v>8.6</v>
      </c>
      <c r="L10" s="1878">
        <f t="shared" si="0"/>
        <v>10.524999999999999</v>
      </c>
      <c r="M10" s="1731" t="str">
        <f>CONCATENATE(ROUNDDOWN(L10,0),"' ",ROUND((L10-ROUNDDOWN(L10,0))*12,1),"""")</f>
        <v>10' 6.3"</v>
      </c>
      <c r="N10" s="1887">
        <f t="shared" si="3"/>
        <v>127</v>
      </c>
      <c r="O10" s="1896">
        <f>$K$5-2.5</f>
        <v>25.125</v>
      </c>
      <c r="P10" s="1822"/>
      <c r="Q10" s="1822"/>
      <c r="R10" s="1882">
        <f t="shared" si="4"/>
        <v>2.5</v>
      </c>
      <c r="S10" s="1822">
        <f t="shared" si="5"/>
        <v>30</v>
      </c>
      <c r="T10" s="1866">
        <f t="shared" si="6"/>
        <v>25.125</v>
      </c>
      <c r="U10" s="1830"/>
      <c r="V10" s="1766">
        <f t="shared" si="7"/>
        <v>167.2</v>
      </c>
      <c r="W10" s="1772">
        <v>116</v>
      </c>
      <c r="X10" s="1241">
        <v>2532</v>
      </c>
      <c r="Y10" s="1239">
        <v>594</v>
      </c>
      <c r="Z10" s="1240">
        <f>X10+Y10</f>
        <v>3126</v>
      </c>
      <c r="AA10" s="1336" t="s">
        <v>706</v>
      </c>
      <c r="AB10" s="1989">
        <v>13100</v>
      </c>
      <c r="AC10" s="1372" t="s">
        <v>716</v>
      </c>
      <c r="AD10" s="1987">
        <v>12100</v>
      </c>
      <c r="AE10" s="1430"/>
      <c r="AF10" s="1372" t="s">
        <v>716</v>
      </c>
      <c r="AG10" s="1989">
        <v>11700</v>
      </c>
      <c r="AH10" s="1375" t="s">
        <v>720</v>
      </c>
      <c r="AI10" s="1466" t="s">
        <v>411</v>
      </c>
    </row>
    <row r="11" spans="1:35" ht="18" customHeight="1" x14ac:dyDescent="0.3">
      <c r="A11" s="1832" t="s">
        <v>665</v>
      </c>
      <c r="B11" s="1999" t="s">
        <v>663</v>
      </c>
      <c r="C11" s="1302" t="s">
        <v>654</v>
      </c>
      <c r="D11" s="1304" t="s">
        <v>703</v>
      </c>
      <c r="E11" s="1131" t="s">
        <v>665</v>
      </c>
      <c r="F11" s="1724" t="s">
        <v>411</v>
      </c>
      <c r="G11" s="1156">
        <v>190</v>
      </c>
      <c r="H11" s="1309"/>
      <c r="I11" s="1695" t="s">
        <v>778</v>
      </c>
      <c r="J11" s="1812">
        <v>8.5</v>
      </c>
      <c r="K11" s="1862">
        <v>8</v>
      </c>
      <c r="L11" s="1876">
        <f t="shared" si="0"/>
        <v>11.125</v>
      </c>
      <c r="M11" s="1734" t="str">
        <f>CONCATENATE(ROUNDDOWN(L11,0),"' ",ROUND((L11-ROUNDDOWN(L11,0))*12,1),"""")</f>
        <v>11' 1.5"</v>
      </c>
      <c r="N11" s="1889">
        <f t="shared" si="3"/>
        <v>134</v>
      </c>
      <c r="O11" s="1897">
        <f t="shared" ref="O11:O13" si="8">$K$5-2.5</f>
        <v>25.125</v>
      </c>
      <c r="P11" s="1823"/>
      <c r="Q11" s="1823"/>
      <c r="R11" s="1883">
        <f t="shared" si="4"/>
        <v>2.5</v>
      </c>
      <c r="S11" s="1825">
        <f t="shared" si="5"/>
        <v>30</v>
      </c>
      <c r="T11" s="1861">
        <f t="shared" si="6"/>
        <v>25.125</v>
      </c>
      <c r="U11" s="1833"/>
      <c r="V11" s="55"/>
      <c r="W11" s="1773"/>
      <c r="X11" s="706"/>
      <c r="Y11" s="1026"/>
      <c r="Z11" s="1688"/>
      <c r="AA11" s="1324"/>
      <c r="AB11" s="1990"/>
      <c r="AC11" s="1373"/>
      <c r="AD11" s="1988"/>
      <c r="AE11" s="1635">
        <f>(AD10/AD14)-1</f>
        <v>-1.6979445933869575E-2</v>
      </c>
      <c r="AF11" s="1373"/>
      <c r="AG11" s="1990"/>
      <c r="AH11" s="1376"/>
      <c r="AI11" s="1467"/>
    </row>
    <row r="12" spans="1:35" ht="18" customHeight="1" x14ac:dyDescent="0.3">
      <c r="A12" s="1834" t="s">
        <v>634</v>
      </c>
      <c r="B12" s="1999"/>
      <c r="C12" s="1306" t="s">
        <v>655</v>
      </c>
      <c r="D12" s="1306" t="s">
        <v>704</v>
      </c>
      <c r="E12" s="93" t="s">
        <v>634</v>
      </c>
      <c r="F12" s="1701" t="s">
        <v>629</v>
      </c>
      <c r="G12" s="1698">
        <v>260</v>
      </c>
      <c r="H12" s="1697">
        <f>MAX(G12,G11+G13)</f>
        <v>380</v>
      </c>
      <c r="I12" s="278" t="s">
        <v>779</v>
      </c>
      <c r="J12" s="1813">
        <v>13.9</v>
      </c>
      <c r="K12" s="1859">
        <v>8.25</v>
      </c>
      <c r="L12" s="1877">
        <f t="shared" si="0"/>
        <v>5.4750000000000014</v>
      </c>
      <c r="M12" s="1732" t="str">
        <f t="shared" ref="M12:M18" si="9">CONCATENATE(ROUNDDOWN(L12,0),"' ",ROUND((L12-ROUNDDOWN(L12,0))*12,1),"""")</f>
        <v>5' 5.7"</v>
      </c>
      <c r="N12" s="1889">
        <f t="shared" ref="N12:N18" si="10">ROUNDUP(L12*12,0)</f>
        <v>66</v>
      </c>
      <c r="O12" s="1898">
        <f t="shared" si="8"/>
        <v>25.125</v>
      </c>
      <c r="P12" s="166"/>
      <c r="Q12" s="166"/>
      <c r="R12" s="1884">
        <f t="shared" ref="R12:R18" si="11">$K$5-T12</f>
        <v>2.5</v>
      </c>
      <c r="S12" s="166">
        <f t="shared" si="5"/>
        <v>30</v>
      </c>
      <c r="T12" s="1860">
        <f t="shared" si="6"/>
        <v>25.125</v>
      </c>
      <c r="U12" s="1835"/>
      <c r="V12" s="166">
        <f t="shared" si="7"/>
        <v>334.4</v>
      </c>
      <c r="W12" s="1774">
        <v>232</v>
      </c>
      <c r="X12" s="1782">
        <v>5065</v>
      </c>
      <c r="Y12" s="1209">
        <v>992</v>
      </c>
      <c r="Z12" s="1212">
        <f>X12+Y12</f>
        <v>6057</v>
      </c>
      <c r="AA12" s="1338" t="s">
        <v>706</v>
      </c>
      <c r="AB12" s="1990"/>
      <c r="AC12" s="1341" t="s">
        <v>716</v>
      </c>
      <c r="AD12" s="1988"/>
      <c r="AE12" s="1430"/>
      <c r="AF12" s="1341" t="s">
        <v>716</v>
      </c>
      <c r="AG12" s="1990"/>
      <c r="AH12" s="1377" t="s">
        <v>720</v>
      </c>
      <c r="AI12" s="1468" t="s">
        <v>629</v>
      </c>
    </row>
    <row r="13" spans="1:35" ht="18" customHeight="1" x14ac:dyDescent="0.3">
      <c r="A13" s="1836" t="s">
        <v>666</v>
      </c>
      <c r="B13" s="1999"/>
      <c r="C13" s="1302" t="s">
        <v>654</v>
      </c>
      <c r="D13" s="1305" t="s">
        <v>703</v>
      </c>
      <c r="E13" s="1171" t="s">
        <v>666</v>
      </c>
      <c r="F13" s="1699" t="s">
        <v>411</v>
      </c>
      <c r="G13" s="1156">
        <v>190</v>
      </c>
      <c r="H13" s="1703"/>
      <c r="I13" s="1694" t="s">
        <v>778</v>
      </c>
      <c r="J13" s="1811">
        <v>8.5</v>
      </c>
      <c r="K13" s="1863">
        <v>8.25</v>
      </c>
      <c r="L13" s="1878">
        <f t="shared" si="0"/>
        <v>10.875</v>
      </c>
      <c r="M13" s="1731" t="str">
        <f t="shared" si="9"/>
        <v>10' 10.5"</v>
      </c>
      <c r="N13" s="1887">
        <f t="shared" si="10"/>
        <v>131</v>
      </c>
      <c r="O13" s="1896">
        <f t="shared" si="8"/>
        <v>25.125</v>
      </c>
      <c r="P13" s="1822"/>
      <c r="Q13" s="1822"/>
      <c r="R13" s="1882">
        <f t="shared" si="11"/>
        <v>2.5</v>
      </c>
      <c r="S13" s="1822">
        <f t="shared" si="5"/>
        <v>30</v>
      </c>
      <c r="T13" s="1866">
        <f t="shared" si="6"/>
        <v>25.125</v>
      </c>
      <c r="U13" s="1830"/>
      <c r="V13" s="99"/>
      <c r="W13" s="1775"/>
      <c r="X13" s="206"/>
      <c r="Y13" s="17"/>
      <c r="Z13" s="18"/>
      <c r="AA13" s="1326"/>
      <c r="AB13" s="1990"/>
      <c r="AC13" s="1374"/>
      <c r="AD13" s="1988"/>
      <c r="AE13" s="1430"/>
      <c r="AF13" s="1374"/>
      <c r="AG13" s="1990"/>
      <c r="AH13" s="1378"/>
      <c r="AI13" s="1469"/>
    </row>
    <row r="14" spans="1:35" ht="27" customHeight="1" x14ac:dyDescent="0.25">
      <c r="A14" s="1831" t="s">
        <v>635</v>
      </c>
      <c r="B14" s="344"/>
      <c r="C14" s="1301" t="s">
        <v>654</v>
      </c>
      <c r="D14" s="1301" t="s">
        <v>703</v>
      </c>
      <c r="E14" s="1322" t="s">
        <v>635</v>
      </c>
      <c r="F14" s="1700" t="s">
        <v>411</v>
      </c>
      <c r="G14" s="1237">
        <v>190</v>
      </c>
      <c r="H14" s="1696">
        <f t="shared" ref="H14:H18" si="12">G14</f>
        <v>190</v>
      </c>
      <c r="I14" s="1694" t="s">
        <v>778</v>
      </c>
      <c r="J14" s="1811">
        <v>8.5</v>
      </c>
      <c r="K14" s="1863">
        <v>8.35</v>
      </c>
      <c r="L14" s="1878">
        <f t="shared" si="0"/>
        <v>10.774999999999999</v>
      </c>
      <c r="M14" s="1731" t="str">
        <f t="shared" si="9"/>
        <v>10' 9.3"</v>
      </c>
      <c r="N14" s="1887">
        <f t="shared" si="10"/>
        <v>130</v>
      </c>
      <c r="O14" s="1896">
        <f>$K$5-2</f>
        <v>25.625</v>
      </c>
      <c r="P14" s="1822"/>
      <c r="Q14" s="1822"/>
      <c r="R14" s="1882">
        <f t="shared" si="11"/>
        <v>2</v>
      </c>
      <c r="S14" s="1822">
        <f t="shared" si="5"/>
        <v>24</v>
      </c>
      <c r="T14" s="1866">
        <f t="shared" ref="T14:T18" si="13">O14</f>
        <v>25.625</v>
      </c>
      <c r="U14" s="1830"/>
      <c r="V14" s="1766">
        <f t="shared" ref="V14:V18" si="14">H14*V$5</f>
        <v>167.2</v>
      </c>
      <c r="W14" s="1772">
        <v>116</v>
      </c>
      <c r="X14" s="1241">
        <v>2532</v>
      </c>
      <c r="Y14" s="1239">
        <v>594</v>
      </c>
      <c r="Z14" s="1240">
        <f t="shared" ref="Z14:Z18" si="15">X14+Y14</f>
        <v>3126</v>
      </c>
      <c r="AA14" s="1336" t="s">
        <v>706</v>
      </c>
      <c r="AB14" s="1370">
        <f>SUM($Z10:$Z14)</f>
        <v>12309</v>
      </c>
      <c r="AC14" s="1372" t="s">
        <v>716</v>
      </c>
      <c r="AD14" s="1981">
        <f>SUM($Z10:$Z14)</f>
        <v>12309</v>
      </c>
      <c r="AE14" s="1982"/>
      <c r="AF14" s="1372" t="s">
        <v>716</v>
      </c>
      <c r="AG14" s="1370">
        <f>SUM($Z10:$Z14)</f>
        <v>12309</v>
      </c>
      <c r="AH14" s="1375" t="s">
        <v>720</v>
      </c>
      <c r="AI14" s="1466" t="s">
        <v>411</v>
      </c>
    </row>
    <row r="15" spans="1:35" ht="27" customHeight="1" x14ac:dyDescent="0.25">
      <c r="A15" s="1831" t="s">
        <v>636</v>
      </c>
      <c r="B15" s="344"/>
      <c r="C15" s="1301" t="s">
        <v>654</v>
      </c>
      <c r="D15" s="1301" t="s">
        <v>703</v>
      </c>
      <c r="E15" s="1322" t="s">
        <v>636</v>
      </c>
      <c r="F15" s="1700" t="s">
        <v>411</v>
      </c>
      <c r="G15" s="1237">
        <v>190</v>
      </c>
      <c r="H15" s="1696">
        <f t="shared" si="12"/>
        <v>190</v>
      </c>
      <c r="I15" s="1694" t="s">
        <v>778</v>
      </c>
      <c r="J15" s="1811">
        <v>8.5</v>
      </c>
      <c r="K15" s="1863">
        <v>8.35</v>
      </c>
      <c r="L15" s="1878">
        <f t="shared" si="0"/>
        <v>10.774999999999999</v>
      </c>
      <c r="M15" s="1731" t="str">
        <f t="shared" si="9"/>
        <v>10' 9.3"</v>
      </c>
      <c r="N15" s="1887">
        <f t="shared" si="10"/>
        <v>130</v>
      </c>
      <c r="O15" s="1896">
        <f t="shared" ref="O15:O18" si="16">$K$5-2</f>
        <v>25.625</v>
      </c>
      <c r="P15" s="1822"/>
      <c r="Q15" s="1822"/>
      <c r="R15" s="1882">
        <f t="shared" si="11"/>
        <v>2</v>
      </c>
      <c r="S15" s="1822">
        <f t="shared" si="5"/>
        <v>24</v>
      </c>
      <c r="T15" s="1866">
        <f t="shared" si="13"/>
        <v>25.625</v>
      </c>
      <c r="U15" s="1830"/>
      <c r="V15" s="1766">
        <f t="shared" si="14"/>
        <v>167.2</v>
      </c>
      <c r="W15" s="1772">
        <v>116</v>
      </c>
      <c r="X15" s="1241">
        <v>2532</v>
      </c>
      <c r="Y15" s="1239">
        <v>594</v>
      </c>
      <c r="Z15" s="1240">
        <f t="shared" si="15"/>
        <v>3126</v>
      </c>
      <c r="AA15" s="1336" t="s">
        <v>706</v>
      </c>
      <c r="AB15" s="1669">
        <v>7300</v>
      </c>
      <c r="AC15" s="1560" t="s">
        <v>717</v>
      </c>
      <c r="AD15" s="1667">
        <v>5800</v>
      </c>
      <c r="AE15" s="1635">
        <f>(AD15/AD16)-1</f>
        <v>-7.2296865003198985E-2</v>
      </c>
      <c r="AF15" s="1372" t="s">
        <v>716</v>
      </c>
      <c r="AG15" s="1669">
        <v>6400</v>
      </c>
      <c r="AH15" s="1372" t="s">
        <v>716</v>
      </c>
      <c r="AI15" s="1466" t="s">
        <v>411</v>
      </c>
    </row>
    <row r="16" spans="1:35" ht="27" customHeight="1" x14ac:dyDescent="0.25">
      <c r="A16" s="1831" t="s">
        <v>637</v>
      </c>
      <c r="B16" s="344"/>
      <c r="C16" s="1301" t="s">
        <v>654</v>
      </c>
      <c r="D16" s="1301" t="s">
        <v>703</v>
      </c>
      <c r="E16" s="1322" t="s">
        <v>637</v>
      </c>
      <c r="F16" s="1700" t="s">
        <v>411</v>
      </c>
      <c r="G16" s="1237">
        <v>190</v>
      </c>
      <c r="H16" s="1696">
        <f t="shared" si="12"/>
        <v>190</v>
      </c>
      <c r="I16" s="1730" t="s">
        <v>794</v>
      </c>
      <c r="J16" s="1814">
        <v>11.1</v>
      </c>
      <c r="K16" s="1865">
        <v>8.35</v>
      </c>
      <c r="L16" s="1881">
        <f t="shared" si="0"/>
        <v>8.1750000000000007</v>
      </c>
      <c r="M16" s="1733" t="str">
        <f t="shared" si="9"/>
        <v>8' 2.1"</v>
      </c>
      <c r="N16" s="1890">
        <f t="shared" si="10"/>
        <v>99</v>
      </c>
      <c r="O16" s="1899">
        <f t="shared" si="16"/>
        <v>25.625</v>
      </c>
      <c r="P16" s="1824"/>
      <c r="Q16" s="1824"/>
      <c r="R16" s="1885">
        <f t="shared" si="11"/>
        <v>2</v>
      </c>
      <c r="S16" s="1824">
        <f t="shared" si="5"/>
        <v>24</v>
      </c>
      <c r="T16" s="1869">
        <f t="shared" si="13"/>
        <v>25.625</v>
      </c>
      <c r="U16" s="1837"/>
      <c r="V16" s="1766">
        <f t="shared" si="14"/>
        <v>167.2</v>
      </c>
      <c r="W16" s="1772">
        <v>116</v>
      </c>
      <c r="X16" s="1241">
        <v>2532</v>
      </c>
      <c r="Y16" s="1239">
        <v>594</v>
      </c>
      <c r="Z16" s="1240">
        <f t="shared" si="15"/>
        <v>3126</v>
      </c>
      <c r="AA16" s="1336" t="s">
        <v>706</v>
      </c>
      <c r="AB16" s="1370">
        <f>$Z15+$Z16</f>
        <v>6252</v>
      </c>
      <c r="AC16" s="1372" t="s">
        <v>716</v>
      </c>
      <c r="AD16" s="1981">
        <f>$Z15+$Z16</f>
        <v>6252</v>
      </c>
      <c r="AE16" s="1982"/>
      <c r="AF16" s="1372" t="s">
        <v>716</v>
      </c>
      <c r="AG16" s="1370">
        <f>$Z15+$Z16</f>
        <v>6252</v>
      </c>
      <c r="AH16" s="1372" t="s">
        <v>716</v>
      </c>
      <c r="AI16" s="1466" t="s">
        <v>411</v>
      </c>
    </row>
    <row r="17" spans="1:35" ht="27" customHeight="1" x14ac:dyDescent="0.25">
      <c r="A17" s="1831" t="s">
        <v>640</v>
      </c>
      <c r="B17" s="344"/>
      <c r="C17" s="1301" t="s">
        <v>654</v>
      </c>
      <c r="D17" s="1301" t="s">
        <v>703</v>
      </c>
      <c r="E17" s="1322" t="s">
        <v>640</v>
      </c>
      <c r="F17" s="1700" t="s">
        <v>411</v>
      </c>
      <c r="G17" s="1237">
        <v>190</v>
      </c>
      <c r="H17" s="1696">
        <f t="shared" si="12"/>
        <v>190</v>
      </c>
      <c r="I17" s="1694" t="s">
        <v>778</v>
      </c>
      <c r="J17" s="1811">
        <v>8.5</v>
      </c>
      <c r="K17" s="1863">
        <v>8.85</v>
      </c>
      <c r="L17" s="1878">
        <f t="shared" si="0"/>
        <v>10.274999999999999</v>
      </c>
      <c r="M17" s="1731" t="str">
        <f t="shared" si="9"/>
        <v>10' 3.3"</v>
      </c>
      <c r="N17" s="1887">
        <f t="shared" si="10"/>
        <v>124</v>
      </c>
      <c r="O17" s="1896">
        <f t="shared" si="16"/>
        <v>25.625</v>
      </c>
      <c r="P17" s="1822"/>
      <c r="Q17" s="1822"/>
      <c r="R17" s="1882">
        <f t="shared" si="11"/>
        <v>2</v>
      </c>
      <c r="S17" s="1822">
        <f t="shared" si="5"/>
        <v>24</v>
      </c>
      <c r="T17" s="1866">
        <f t="shared" si="13"/>
        <v>25.625</v>
      </c>
      <c r="U17" s="1830"/>
      <c r="V17" s="1766">
        <f t="shared" si="14"/>
        <v>167.2</v>
      </c>
      <c r="W17" s="1772">
        <v>116</v>
      </c>
      <c r="X17" s="1241">
        <v>2532</v>
      </c>
      <c r="Y17" s="1239">
        <v>594</v>
      </c>
      <c r="Z17" s="1240">
        <f t="shared" si="15"/>
        <v>3126</v>
      </c>
      <c r="AA17" s="1336" t="s">
        <v>706</v>
      </c>
      <c r="AB17" s="1669">
        <v>8800</v>
      </c>
      <c r="AC17" s="1403" t="s">
        <v>718</v>
      </c>
      <c r="AD17" s="1667">
        <v>6989</v>
      </c>
      <c r="AE17" s="1635">
        <f>(AD17/AD18)-1</f>
        <v>0.11788227767114523</v>
      </c>
      <c r="AF17" s="1636" t="s">
        <v>718</v>
      </c>
      <c r="AG17" s="1241">
        <v>3100</v>
      </c>
      <c r="AH17" s="1372" t="s">
        <v>716</v>
      </c>
      <c r="AI17" s="1466" t="s">
        <v>411</v>
      </c>
    </row>
    <row r="18" spans="1:35" ht="27" customHeight="1" thickBot="1" x14ac:dyDescent="0.3">
      <c r="A18" s="1838" t="s">
        <v>647</v>
      </c>
      <c r="B18" s="1207"/>
      <c r="C18" s="1303" t="s">
        <v>654</v>
      </c>
      <c r="D18" s="1303" t="s">
        <v>703</v>
      </c>
      <c r="E18" s="1323" t="s">
        <v>647</v>
      </c>
      <c r="F18" s="1702" t="s">
        <v>411</v>
      </c>
      <c r="G18" s="1273">
        <v>190</v>
      </c>
      <c r="H18" s="1696">
        <f t="shared" si="12"/>
        <v>190</v>
      </c>
      <c r="I18" s="1694" t="s">
        <v>778</v>
      </c>
      <c r="J18" s="1815">
        <v>8.5</v>
      </c>
      <c r="K18" s="1863">
        <v>8.9</v>
      </c>
      <c r="L18" s="1880">
        <f t="shared" si="0"/>
        <v>10.225000000000001</v>
      </c>
      <c r="M18" s="1809" t="str">
        <f t="shared" si="9"/>
        <v>10' 2.7"</v>
      </c>
      <c r="N18" s="1891">
        <f t="shared" si="10"/>
        <v>123</v>
      </c>
      <c r="O18" s="1896">
        <f t="shared" si="16"/>
        <v>25.625</v>
      </c>
      <c r="P18" s="1823"/>
      <c r="Q18" s="1823"/>
      <c r="R18" s="1882">
        <f t="shared" si="11"/>
        <v>2</v>
      </c>
      <c r="S18" s="1822">
        <f t="shared" si="5"/>
        <v>24</v>
      </c>
      <c r="T18" s="1866">
        <f t="shared" si="13"/>
        <v>25.625</v>
      </c>
      <c r="U18" s="1833"/>
      <c r="V18" s="1766">
        <f t="shared" si="14"/>
        <v>167.2</v>
      </c>
      <c r="W18" s="1772">
        <v>116</v>
      </c>
      <c r="X18" s="1241">
        <v>2532</v>
      </c>
      <c r="Y18" s="1274">
        <v>594</v>
      </c>
      <c r="Z18" s="1275">
        <f t="shared" si="15"/>
        <v>3126</v>
      </c>
      <c r="AA18" s="1336" t="s">
        <v>706</v>
      </c>
      <c r="AB18" s="1370">
        <f>$Z17+$Z18</f>
        <v>6252</v>
      </c>
      <c r="AC18" s="1403" t="s">
        <v>718</v>
      </c>
      <c r="AD18" s="1981">
        <f>$Z17+$Z18</f>
        <v>6252</v>
      </c>
      <c r="AE18" s="1982"/>
      <c r="AF18" s="1636" t="s">
        <v>718</v>
      </c>
      <c r="AG18" s="1241">
        <v>3400</v>
      </c>
      <c r="AH18" s="1372" t="s">
        <v>716</v>
      </c>
      <c r="AI18" s="1466" t="s">
        <v>411</v>
      </c>
    </row>
    <row r="19" spans="1:35" ht="27" customHeight="1" x14ac:dyDescent="0.25">
      <c r="A19" s="1839"/>
      <c r="B19" s="1264"/>
      <c r="C19" s="1264"/>
      <c r="D19" s="1264"/>
      <c r="E19" s="1276"/>
      <c r="F19" s="1725"/>
      <c r="G19" s="1726"/>
      <c r="H19" s="1689"/>
      <c r="I19" s="1498"/>
      <c r="J19" s="1279"/>
      <c r="K19" s="1279"/>
      <c r="L19" s="1279"/>
      <c r="M19" s="1279"/>
      <c r="N19" s="1279"/>
      <c r="O19" s="1900"/>
      <c r="P19" s="1691"/>
      <c r="Q19" s="1691"/>
      <c r="R19" s="1691"/>
      <c r="S19" s="1691"/>
      <c r="T19" s="1691"/>
      <c r="U19" s="1840"/>
      <c r="V19" s="1691"/>
      <c r="W19" s="1776">
        <f>SUM(W8:W18)</f>
        <v>1127</v>
      </c>
      <c r="X19" s="1783"/>
      <c r="Y19" s="1280"/>
      <c r="Z19" s="1258">
        <f>SUM(Z8:Z18)</f>
        <v>30204</v>
      </c>
      <c r="AA19" s="1327"/>
      <c r="AB19" s="1371"/>
      <c r="AC19" s="1379"/>
      <c r="AD19" s="1359"/>
      <c r="AE19" s="1425"/>
      <c r="AF19" s="1360"/>
      <c r="AG19" s="1359"/>
      <c r="AH19" s="1360"/>
      <c r="AI19" s="1470"/>
    </row>
    <row r="20" spans="1:35" ht="27" customHeight="1" x14ac:dyDescent="0.25">
      <c r="A20" s="1841"/>
      <c r="B20" s="1110"/>
      <c r="C20" s="1110"/>
      <c r="D20" s="1110"/>
      <c r="E20" s="1125"/>
      <c r="F20" s="1340" t="s">
        <v>774</v>
      </c>
      <c r="G20" s="1426" t="s">
        <v>14</v>
      </c>
      <c r="H20" s="1339" t="s">
        <v>693</v>
      </c>
      <c r="I20" s="1692" t="s">
        <v>775</v>
      </c>
      <c r="J20" s="1453" t="s">
        <v>815</v>
      </c>
      <c r="K20" s="1817" t="s">
        <v>814</v>
      </c>
      <c r="L20" s="1818" t="s">
        <v>798</v>
      </c>
      <c r="M20" s="1807"/>
      <c r="N20" s="1807" t="s">
        <v>812</v>
      </c>
      <c r="O20" s="1901" t="s">
        <v>819</v>
      </c>
      <c r="P20" s="1817" t="s">
        <v>819</v>
      </c>
      <c r="Q20" s="1817" t="s">
        <v>798</v>
      </c>
      <c r="R20" s="1817" t="s">
        <v>798</v>
      </c>
      <c r="S20" s="1817" t="s">
        <v>812</v>
      </c>
      <c r="T20" s="1817" t="s">
        <v>819</v>
      </c>
      <c r="U20" s="1868" t="s">
        <v>823</v>
      </c>
      <c r="V20" s="1767" t="s">
        <v>5</v>
      </c>
      <c r="W20" s="1777"/>
      <c r="X20" s="1340" t="s">
        <v>689</v>
      </c>
      <c r="Y20" s="1211" t="s">
        <v>690</v>
      </c>
      <c r="Z20" s="1233" t="s">
        <v>260</v>
      </c>
      <c r="AA20" s="1358"/>
      <c r="AB20" s="1340" t="s">
        <v>715</v>
      </c>
      <c r="AC20" s="1339" t="s">
        <v>719</v>
      </c>
      <c r="AD20" s="1340" t="s">
        <v>715</v>
      </c>
      <c r="AE20" s="1426" t="s">
        <v>765</v>
      </c>
      <c r="AF20" s="1339" t="s">
        <v>719</v>
      </c>
      <c r="AG20" s="1340" t="s">
        <v>715</v>
      </c>
      <c r="AH20" s="1339" t="s">
        <v>719</v>
      </c>
      <c r="AI20" s="1471"/>
    </row>
    <row r="21" spans="1:35" ht="27" customHeight="1" x14ac:dyDescent="0.3">
      <c r="A21" s="1842" t="s">
        <v>646</v>
      </c>
      <c r="B21" s="344"/>
      <c r="C21" s="1301" t="s">
        <v>654</v>
      </c>
      <c r="D21" s="1301" t="s">
        <v>703</v>
      </c>
      <c r="E21" s="1235" t="s">
        <v>646</v>
      </c>
      <c r="F21" s="1700" t="s">
        <v>411</v>
      </c>
      <c r="G21" s="1237">
        <v>190</v>
      </c>
      <c r="H21" s="1696">
        <f t="shared" ref="H21:H23" si="17">G21</f>
        <v>190</v>
      </c>
      <c r="I21" s="1694" t="s">
        <v>778</v>
      </c>
      <c r="J21" s="1811">
        <v>8.5</v>
      </c>
      <c r="K21" s="1863">
        <v>9.25</v>
      </c>
      <c r="L21" s="1878">
        <f t="shared" ref="L21:L33" si="18">K$5-(K21+J21)</f>
        <v>9.875</v>
      </c>
      <c r="M21" s="1731" t="str">
        <f t="shared" ref="M21:M23" si="19">CONCATENATE(ROUNDDOWN(L21,0),"' ",ROUND((L21-ROUNDDOWN(L21,0))*12,1),"""")</f>
        <v>9' 10.5"</v>
      </c>
      <c r="N21" s="1887">
        <f t="shared" ref="N21:N26" si="20">ROUNDUP(L21*12,0)</f>
        <v>119</v>
      </c>
      <c r="O21" s="1896">
        <f t="shared" ref="O21:O23" si="21">$K$5-2</f>
        <v>25.625</v>
      </c>
      <c r="P21" s="1822"/>
      <c r="Q21" s="1822"/>
      <c r="R21" s="1882">
        <f t="shared" ref="R21:R23" si="22">$K$5-T21</f>
        <v>2</v>
      </c>
      <c r="S21" s="1822">
        <f t="shared" ref="S21:S23" si="23">R21*RIGHT($K$6,2)</f>
        <v>24</v>
      </c>
      <c r="T21" s="1866">
        <f t="shared" ref="T21:T23" si="24">O21</f>
        <v>25.625</v>
      </c>
      <c r="U21" s="1830"/>
      <c r="V21" s="1766">
        <f t="shared" ref="V21:V29" si="25">H21*V$5</f>
        <v>167.2</v>
      </c>
      <c r="W21" s="1772">
        <v>116</v>
      </c>
      <c r="X21" s="1241">
        <v>2532</v>
      </c>
      <c r="Y21" s="1239">
        <v>594</v>
      </c>
      <c r="Z21" s="1240">
        <f>X21+Y21</f>
        <v>3126</v>
      </c>
      <c r="AA21" s="1350" t="s">
        <v>706</v>
      </c>
      <c r="AB21" s="1989">
        <v>32550</v>
      </c>
      <c r="AC21" s="1372" t="s">
        <v>716</v>
      </c>
      <c r="AD21" s="1987">
        <v>32500</v>
      </c>
      <c r="AE21" s="1430"/>
      <c r="AF21" s="1372" t="s">
        <v>716</v>
      </c>
      <c r="AG21" s="1989">
        <v>23000</v>
      </c>
      <c r="AH21" s="1398" t="s">
        <v>721</v>
      </c>
      <c r="AI21" s="1466" t="s">
        <v>411</v>
      </c>
    </row>
    <row r="22" spans="1:35" ht="27" customHeight="1" x14ac:dyDescent="0.3">
      <c r="A22" s="1842" t="s">
        <v>641</v>
      </c>
      <c r="B22" s="344"/>
      <c r="C22" s="1301" t="s">
        <v>654</v>
      </c>
      <c r="D22" s="1301" t="s">
        <v>703</v>
      </c>
      <c r="E22" s="1235" t="s">
        <v>641</v>
      </c>
      <c r="F22" s="1700" t="s">
        <v>411</v>
      </c>
      <c r="G22" s="1237">
        <v>190</v>
      </c>
      <c r="H22" s="1696">
        <f t="shared" si="17"/>
        <v>190</v>
      </c>
      <c r="I22" s="1694" t="s">
        <v>778</v>
      </c>
      <c r="J22" s="1811">
        <v>8.5</v>
      </c>
      <c r="K22" s="1863">
        <v>9.75</v>
      </c>
      <c r="L22" s="1878">
        <f t="shared" si="18"/>
        <v>9.375</v>
      </c>
      <c r="M22" s="1731" t="str">
        <f t="shared" si="19"/>
        <v>9' 4.5"</v>
      </c>
      <c r="N22" s="1887">
        <f t="shared" si="20"/>
        <v>113</v>
      </c>
      <c r="O22" s="1896">
        <f t="shared" si="21"/>
        <v>25.625</v>
      </c>
      <c r="P22" s="1822"/>
      <c r="Q22" s="1822"/>
      <c r="R22" s="1882">
        <f t="shared" si="22"/>
        <v>2</v>
      </c>
      <c r="S22" s="1822">
        <f t="shared" si="23"/>
        <v>24</v>
      </c>
      <c r="T22" s="1866">
        <f t="shared" si="24"/>
        <v>25.625</v>
      </c>
      <c r="U22" s="1830"/>
      <c r="V22" s="1766">
        <f t="shared" si="25"/>
        <v>167.2</v>
      </c>
      <c r="W22" s="1772">
        <v>116</v>
      </c>
      <c r="X22" s="1241">
        <v>2532</v>
      </c>
      <c r="Y22" s="1239">
        <v>594</v>
      </c>
      <c r="Z22" s="1240">
        <f>X22+Y22</f>
        <v>3126</v>
      </c>
      <c r="AA22" s="1336" t="s">
        <v>706</v>
      </c>
      <c r="AB22" s="1990"/>
      <c r="AC22" s="1372" t="s">
        <v>716</v>
      </c>
      <c r="AD22" s="1988"/>
      <c r="AE22" s="1430"/>
      <c r="AF22" s="1372" t="s">
        <v>716</v>
      </c>
      <c r="AG22" s="1990"/>
      <c r="AH22" s="1398" t="s">
        <v>721</v>
      </c>
      <c r="AI22" s="1466" t="s">
        <v>411</v>
      </c>
    </row>
    <row r="23" spans="1:35" ht="27" customHeight="1" x14ac:dyDescent="0.3">
      <c r="A23" s="1842" t="s">
        <v>642</v>
      </c>
      <c r="B23" s="344"/>
      <c r="C23" s="1301" t="s">
        <v>654</v>
      </c>
      <c r="D23" s="1301" t="s">
        <v>703</v>
      </c>
      <c r="E23" s="1235" t="s">
        <v>642</v>
      </c>
      <c r="F23" s="1700" t="s">
        <v>411</v>
      </c>
      <c r="G23" s="1243">
        <v>190</v>
      </c>
      <c r="H23" s="1696">
        <f t="shared" si="17"/>
        <v>190</v>
      </c>
      <c r="I23" s="1694" t="s">
        <v>778</v>
      </c>
      <c r="J23" s="1811">
        <v>8.5</v>
      </c>
      <c r="K23" s="1863">
        <v>10.5</v>
      </c>
      <c r="L23" s="1878">
        <f t="shared" si="18"/>
        <v>8.625</v>
      </c>
      <c r="M23" s="1731" t="str">
        <f t="shared" si="19"/>
        <v>8' 7.5"</v>
      </c>
      <c r="N23" s="1887">
        <f t="shared" si="20"/>
        <v>104</v>
      </c>
      <c r="O23" s="1896">
        <f t="shared" si="21"/>
        <v>25.625</v>
      </c>
      <c r="P23" s="1822"/>
      <c r="Q23" s="1822"/>
      <c r="R23" s="1882">
        <f t="shared" si="22"/>
        <v>2</v>
      </c>
      <c r="S23" s="1822">
        <f t="shared" si="23"/>
        <v>24</v>
      </c>
      <c r="T23" s="1866">
        <f t="shared" si="24"/>
        <v>25.625</v>
      </c>
      <c r="U23" s="1830"/>
      <c r="V23" s="1766">
        <f t="shared" si="25"/>
        <v>167.2</v>
      </c>
      <c r="W23" s="1772">
        <v>116</v>
      </c>
      <c r="X23" s="1241">
        <v>2532</v>
      </c>
      <c r="Y23" s="1239">
        <v>594</v>
      </c>
      <c r="Z23" s="1240">
        <f t="shared" ref="Z23:Z27" si="26">X23+Y23</f>
        <v>3126</v>
      </c>
      <c r="AA23" s="1336" t="s">
        <v>706</v>
      </c>
      <c r="AB23" s="1990"/>
      <c r="AC23" s="1372" t="s">
        <v>716</v>
      </c>
      <c r="AD23" s="1988"/>
      <c r="AE23" s="1430"/>
      <c r="AF23" s="1372" t="s">
        <v>716</v>
      </c>
      <c r="AG23" s="1990"/>
      <c r="AH23" s="1398" t="s">
        <v>721</v>
      </c>
      <c r="AI23" s="1466" t="s">
        <v>411</v>
      </c>
    </row>
    <row r="24" spans="1:35" ht="18" customHeight="1" x14ac:dyDescent="0.3">
      <c r="A24" s="1843" t="s">
        <v>772</v>
      </c>
      <c r="B24" s="2006" t="s">
        <v>663</v>
      </c>
      <c r="C24" s="1678" t="s">
        <v>654</v>
      </c>
      <c r="D24" s="1679" t="s">
        <v>703</v>
      </c>
      <c r="E24" s="1245" t="s">
        <v>643</v>
      </c>
      <c r="F24" s="1724" t="s">
        <v>411</v>
      </c>
      <c r="G24" s="1680">
        <v>190</v>
      </c>
      <c r="H24" s="1632"/>
      <c r="I24" s="1695" t="s">
        <v>778</v>
      </c>
      <c r="J24" s="1812">
        <v>8.5</v>
      </c>
      <c r="K24" s="1862">
        <v>10.7</v>
      </c>
      <c r="L24" s="1876">
        <f t="shared" si="18"/>
        <v>8.4250000000000007</v>
      </c>
      <c r="M24" s="1734" t="str">
        <f>CONCATENATE(ROUNDDOWN(L24,0),"' ",ROUND((L24-ROUNDDOWN(L24,0))*12,1),"""")</f>
        <v>8' 5.1"</v>
      </c>
      <c r="N24" s="1893">
        <f t="shared" si="20"/>
        <v>102</v>
      </c>
      <c r="O24" s="1902"/>
      <c r="P24" s="1823"/>
      <c r="Q24" s="1823"/>
      <c r="R24" s="1823"/>
      <c r="S24" s="1823"/>
      <c r="T24" s="1823"/>
      <c r="U24" s="1833"/>
      <c r="V24" s="55"/>
      <c r="W24" s="1773"/>
      <c r="X24" s="1719"/>
      <c r="Y24" s="1423"/>
      <c r="Z24" s="1488"/>
      <c r="AA24" s="1357" t="s">
        <v>706</v>
      </c>
      <c r="AB24" s="1990"/>
      <c r="AC24" s="1372" t="s">
        <v>716</v>
      </c>
      <c r="AD24" s="1988"/>
      <c r="AE24" s="1430"/>
      <c r="AF24" s="1372" t="s">
        <v>716</v>
      </c>
      <c r="AG24" s="1990"/>
      <c r="AH24" s="1398" t="s">
        <v>721</v>
      </c>
      <c r="AI24" s="1466" t="s">
        <v>411</v>
      </c>
    </row>
    <row r="25" spans="1:35" ht="18" customHeight="1" x14ac:dyDescent="0.3">
      <c r="A25" s="1844" t="s">
        <v>644</v>
      </c>
      <c r="B25" s="1999"/>
      <c r="C25" s="1306" t="s">
        <v>655</v>
      </c>
      <c r="D25" s="1306" t="s">
        <v>704</v>
      </c>
      <c r="E25" s="1158" t="s">
        <v>644</v>
      </c>
      <c r="F25" s="1701" t="s">
        <v>629</v>
      </c>
      <c r="G25" s="1723">
        <v>260</v>
      </c>
      <c r="H25" s="1697">
        <f>MAX(G25,G24+G26)</f>
        <v>380</v>
      </c>
      <c r="I25" s="278" t="s">
        <v>779</v>
      </c>
      <c r="J25" s="1813">
        <v>13.9</v>
      </c>
      <c r="K25" s="1859">
        <v>10.75</v>
      </c>
      <c r="L25" s="1877">
        <f t="shared" si="18"/>
        <v>2.9750000000000014</v>
      </c>
      <c r="M25" s="1732" t="str">
        <f t="shared" ref="M25:M33" si="27">CONCATENATE(ROUNDDOWN(L25,0),"' ",ROUND((L25-ROUNDDOWN(L25,0))*12,1),"""")</f>
        <v>2' 11.7"</v>
      </c>
      <c r="N25" s="1889">
        <f t="shared" si="20"/>
        <v>36</v>
      </c>
      <c r="O25" s="1898"/>
      <c r="P25" s="166"/>
      <c r="Q25" s="166"/>
      <c r="R25" s="166"/>
      <c r="S25" s="166"/>
      <c r="T25" s="166"/>
      <c r="U25" s="1835"/>
      <c r="V25" s="166">
        <f t="shared" si="25"/>
        <v>334.4</v>
      </c>
      <c r="W25" s="1774">
        <v>232</v>
      </c>
      <c r="X25" s="1782">
        <v>5065</v>
      </c>
      <c r="Y25" s="1209">
        <v>992</v>
      </c>
      <c r="Z25" s="1212">
        <f>X25+Y25</f>
        <v>6057</v>
      </c>
      <c r="AA25" s="1564"/>
      <c r="AB25" s="1990"/>
      <c r="AC25" s="1372"/>
      <c r="AD25" s="1988"/>
      <c r="AE25" s="1430"/>
      <c r="AF25" s="1372"/>
      <c r="AG25" s="1990"/>
      <c r="AH25" s="1398"/>
      <c r="AI25" s="1468" t="s">
        <v>629</v>
      </c>
    </row>
    <row r="26" spans="1:35" ht="18" customHeight="1" x14ac:dyDescent="0.3">
      <c r="A26" s="1845" t="s">
        <v>771</v>
      </c>
      <c r="B26" s="2008"/>
      <c r="C26" s="1681" t="s">
        <v>654</v>
      </c>
      <c r="D26" s="187" t="s">
        <v>703</v>
      </c>
      <c r="E26" s="1682" t="s">
        <v>644</v>
      </c>
      <c r="F26" s="1699" t="s">
        <v>411</v>
      </c>
      <c r="G26" s="1683">
        <v>190</v>
      </c>
      <c r="H26" s="1347"/>
      <c r="I26" s="1694" t="s">
        <v>778</v>
      </c>
      <c r="J26" s="1811">
        <v>8.5</v>
      </c>
      <c r="K26" s="1863">
        <v>10.25</v>
      </c>
      <c r="L26" s="1878">
        <f t="shared" si="18"/>
        <v>8.875</v>
      </c>
      <c r="M26" s="1731" t="str">
        <f t="shared" si="27"/>
        <v>8' 10.5"</v>
      </c>
      <c r="N26" s="1887">
        <f t="shared" si="20"/>
        <v>107</v>
      </c>
      <c r="O26" s="1896"/>
      <c r="P26" s="1822"/>
      <c r="Q26" s="1822"/>
      <c r="R26" s="1822"/>
      <c r="S26" s="1822"/>
      <c r="T26" s="1822"/>
      <c r="U26" s="1830"/>
      <c r="V26" s="1683"/>
      <c r="W26" s="1775"/>
      <c r="X26" s="1781"/>
      <c r="Y26" s="1348"/>
      <c r="Z26" s="1349"/>
      <c r="AA26" s="1350" t="s">
        <v>706</v>
      </c>
      <c r="AB26" s="1990"/>
      <c r="AC26" s="1372" t="s">
        <v>716</v>
      </c>
      <c r="AD26" s="1988"/>
      <c r="AE26" s="1635">
        <f>(AD21/AD32)-1</f>
        <v>1.983180620057734E-2</v>
      </c>
      <c r="AF26" s="1372" t="s">
        <v>716</v>
      </c>
      <c r="AG26" s="1990"/>
      <c r="AH26" s="1398" t="s">
        <v>721</v>
      </c>
      <c r="AI26" s="1466" t="s">
        <v>411</v>
      </c>
    </row>
    <row r="27" spans="1:35" ht="27" customHeight="1" x14ac:dyDescent="0.3">
      <c r="A27" s="1842" t="s">
        <v>645</v>
      </c>
      <c r="B27" s="344"/>
      <c r="C27" s="1301" t="s">
        <v>654</v>
      </c>
      <c r="D27" s="1301" t="s">
        <v>703</v>
      </c>
      <c r="E27" s="1235" t="s">
        <v>645</v>
      </c>
      <c r="F27" s="1700" t="s">
        <v>411</v>
      </c>
      <c r="G27" s="1244">
        <v>190</v>
      </c>
      <c r="H27" s="1696">
        <f t="shared" ref="H27" si="28">G27</f>
        <v>190</v>
      </c>
      <c r="I27" s="1730" t="s">
        <v>794</v>
      </c>
      <c r="J27" s="1814">
        <v>11.1</v>
      </c>
      <c r="K27" s="1865">
        <v>10.25</v>
      </c>
      <c r="L27" s="1881">
        <f t="shared" si="18"/>
        <v>6.2749999999999986</v>
      </c>
      <c r="M27" s="1733" t="str">
        <f t="shared" si="27"/>
        <v>6' 3.3"</v>
      </c>
      <c r="N27" s="1890">
        <f t="shared" ref="N27:N33" si="29">ROUNDUP(L27*12,0)</f>
        <v>76</v>
      </c>
      <c r="O27" s="1899"/>
      <c r="P27" s="1824"/>
      <c r="Q27" s="1824"/>
      <c r="R27" s="1824"/>
      <c r="S27" s="1824"/>
      <c r="T27" s="1824"/>
      <c r="U27" s="1837"/>
      <c r="V27" s="1766">
        <f t="shared" si="25"/>
        <v>167.2</v>
      </c>
      <c r="W27" s="1772">
        <v>116</v>
      </c>
      <c r="X27" s="1241">
        <v>2532</v>
      </c>
      <c r="Y27" s="1239">
        <v>594</v>
      </c>
      <c r="Z27" s="1240">
        <f t="shared" si="26"/>
        <v>3126</v>
      </c>
      <c r="AA27" s="1336" t="s">
        <v>706</v>
      </c>
      <c r="AB27" s="1990"/>
      <c r="AC27" s="1372" t="s">
        <v>716</v>
      </c>
      <c r="AD27" s="1988"/>
      <c r="AE27" s="1430"/>
      <c r="AF27" s="1372" t="s">
        <v>716</v>
      </c>
      <c r="AG27" s="1990"/>
      <c r="AH27" s="1398" t="s">
        <v>721</v>
      </c>
      <c r="AI27" s="1466" t="s">
        <v>411</v>
      </c>
    </row>
    <row r="28" spans="1:35" ht="18" customHeight="1" x14ac:dyDescent="0.3">
      <c r="A28" s="1832" t="s">
        <v>662</v>
      </c>
      <c r="B28" s="1999" t="s">
        <v>663</v>
      </c>
      <c r="C28" s="1302" t="s">
        <v>654</v>
      </c>
      <c r="D28" s="1304" t="s">
        <v>703</v>
      </c>
      <c r="E28" s="1131" t="s">
        <v>662</v>
      </c>
      <c r="F28" s="1724" t="s">
        <v>411</v>
      </c>
      <c r="G28" s="1156">
        <v>190</v>
      </c>
      <c r="H28" s="1310"/>
      <c r="I28" s="1695" t="s">
        <v>778</v>
      </c>
      <c r="J28" s="1812">
        <v>8.5</v>
      </c>
      <c r="K28" s="1862">
        <v>10</v>
      </c>
      <c r="L28" s="1876">
        <f t="shared" si="18"/>
        <v>9.125</v>
      </c>
      <c r="M28" s="1734" t="str">
        <f>CONCATENATE(ROUNDDOWN(L28,0),"' ",ROUND((L28-ROUNDDOWN(L28,0))*12,1),"""")</f>
        <v>9' 1.5"</v>
      </c>
      <c r="N28" s="1893">
        <f t="shared" si="29"/>
        <v>110</v>
      </c>
      <c r="O28" s="1902"/>
      <c r="P28" s="1823"/>
      <c r="Q28" s="1823"/>
      <c r="R28" s="1823"/>
      <c r="S28" s="1823"/>
      <c r="T28" s="1823"/>
      <c r="U28" s="1833"/>
      <c r="V28" s="55"/>
      <c r="W28" s="1773"/>
      <c r="X28" s="706"/>
      <c r="Y28" s="1026"/>
      <c r="Z28" s="8"/>
      <c r="AA28" s="1325"/>
      <c r="AB28" s="1990"/>
      <c r="AC28" s="1373"/>
      <c r="AD28" s="1988"/>
      <c r="AE28" s="1430"/>
      <c r="AF28" s="1373"/>
      <c r="AG28" s="1990"/>
      <c r="AH28" s="1399"/>
      <c r="AI28" s="1468"/>
    </row>
    <row r="29" spans="1:35" ht="18" customHeight="1" x14ac:dyDescent="0.3">
      <c r="A29" s="1844" t="s">
        <v>648</v>
      </c>
      <c r="B29" s="1999"/>
      <c r="C29" s="171" t="s">
        <v>796</v>
      </c>
      <c r="D29" s="171" t="s">
        <v>708</v>
      </c>
      <c r="E29" s="1158" t="s">
        <v>648</v>
      </c>
      <c r="F29" s="1701" t="s">
        <v>691</v>
      </c>
      <c r="G29" s="1698">
        <v>345</v>
      </c>
      <c r="H29" s="1697">
        <f>MAX(G29,G28+G30)</f>
        <v>380</v>
      </c>
      <c r="I29" s="278" t="s">
        <v>779</v>
      </c>
      <c r="J29" s="1813">
        <v>13.9</v>
      </c>
      <c r="K29" s="1859">
        <v>10</v>
      </c>
      <c r="L29" s="1877">
        <f t="shared" si="18"/>
        <v>3.7250000000000014</v>
      </c>
      <c r="M29" s="1732" t="str">
        <f t="shared" si="27"/>
        <v>3' 8.7"</v>
      </c>
      <c r="N29" s="1889">
        <f t="shared" si="29"/>
        <v>45</v>
      </c>
      <c r="O29" s="1898"/>
      <c r="P29" s="166"/>
      <c r="Q29" s="166"/>
      <c r="R29" s="166"/>
      <c r="S29" s="166"/>
      <c r="T29" s="166"/>
      <c r="U29" s="1835"/>
      <c r="V29" s="166">
        <f t="shared" si="25"/>
        <v>334.4</v>
      </c>
      <c r="W29" s="1774">
        <v>232</v>
      </c>
      <c r="X29" s="1782">
        <v>5065</v>
      </c>
      <c r="Y29" s="1209">
        <v>992</v>
      </c>
      <c r="Z29" s="1212">
        <f>X29+Y29</f>
        <v>6057</v>
      </c>
      <c r="AA29" s="1338" t="s">
        <v>706</v>
      </c>
      <c r="AB29" s="1990"/>
      <c r="AC29" s="1341" t="s">
        <v>716</v>
      </c>
      <c r="AD29" s="1988"/>
      <c r="AE29" s="1430"/>
      <c r="AF29" s="1341" t="s">
        <v>716</v>
      </c>
      <c r="AG29" s="1990"/>
      <c r="AH29" s="1400" t="s">
        <v>721</v>
      </c>
      <c r="AI29" s="1468" t="s">
        <v>691</v>
      </c>
    </row>
    <row r="30" spans="1:35" ht="18" customHeight="1" x14ac:dyDescent="0.3">
      <c r="A30" s="1832" t="s">
        <v>661</v>
      </c>
      <c r="B30" s="1999"/>
      <c r="C30" s="1305" t="s">
        <v>654</v>
      </c>
      <c r="D30" s="1305" t="s">
        <v>703</v>
      </c>
      <c r="E30" s="1131" t="s">
        <v>661</v>
      </c>
      <c r="F30" s="1699" t="s">
        <v>411</v>
      </c>
      <c r="G30" s="1156">
        <v>190</v>
      </c>
      <c r="H30" s="1310"/>
      <c r="I30" s="1694" t="s">
        <v>778</v>
      </c>
      <c r="J30" s="1811">
        <v>8.5</v>
      </c>
      <c r="K30" s="1863">
        <v>10.4</v>
      </c>
      <c r="L30" s="1878">
        <f t="shared" si="18"/>
        <v>8.7250000000000014</v>
      </c>
      <c r="M30" s="1731" t="str">
        <f t="shared" si="27"/>
        <v>8' 8.7"</v>
      </c>
      <c r="N30" s="1887">
        <f t="shared" si="29"/>
        <v>105</v>
      </c>
      <c r="O30" s="1902"/>
      <c r="P30" s="1823"/>
      <c r="Q30" s="1823"/>
      <c r="R30" s="1823"/>
      <c r="S30" s="1823"/>
      <c r="T30" s="1823"/>
      <c r="U30" s="1833"/>
      <c r="V30" s="1698"/>
      <c r="W30" s="1774"/>
      <c r="X30" s="706"/>
      <c r="Y30" s="1026"/>
      <c r="Z30" s="8"/>
      <c r="AA30" s="1325"/>
      <c r="AB30" s="1990"/>
      <c r="AC30" s="1374"/>
      <c r="AD30" s="1988"/>
      <c r="AE30" s="1430"/>
      <c r="AF30" s="1374"/>
      <c r="AG30" s="1990"/>
      <c r="AH30" s="1399"/>
      <c r="AI30" s="1468"/>
    </row>
    <row r="31" spans="1:35" ht="18" customHeight="1" x14ac:dyDescent="0.3">
      <c r="A31" s="1846" t="s">
        <v>660</v>
      </c>
      <c r="B31" s="2006" t="s">
        <v>663</v>
      </c>
      <c r="C31" s="1302" t="s">
        <v>654</v>
      </c>
      <c r="D31" s="1304" t="s">
        <v>703</v>
      </c>
      <c r="E31" s="1245" t="s">
        <v>660</v>
      </c>
      <c r="F31" s="1724" t="s">
        <v>411</v>
      </c>
      <c r="G31" s="1176">
        <v>190</v>
      </c>
      <c r="H31" s="1632"/>
      <c r="I31" s="1695" t="s">
        <v>778</v>
      </c>
      <c r="J31" s="1812">
        <v>8.5</v>
      </c>
      <c r="K31" s="1862">
        <v>10.6</v>
      </c>
      <c r="L31" s="1876">
        <f t="shared" si="18"/>
        <v>8.5249999999999986</v>
      </c>
      <c r="M31" s="1734" t="str">
        <f>CONCATENATE(ROUNDDOWN(L31,0),"' ",ROUND((L31-ROUNDDOWN(L31,0))*12,1),"""")</f>
        <v>8' 6.3"</v>
      </c>
      <c r="N31" s="1893">
        <f t="shared" si="29"/>
        <v>103</v>
      </c>
      <c r="O31" s="1897"/>
      <c r="P31" s="1825"/>
      <c r="Q31" s="1825"/>
      <c r="R31" s="1825"/>
      <c r="S31" s="1825"/>
      <c r="T31" s="1825"/>
      <c r="U31" s="1847"/>
      <c r="V31" s="1685"/>
      <c r="W31" s="1778"/>
      <c r="X31" s="1784"/>
      <c r="Y31" s="1178"/>
      <c r="Z31" s="1179"/>
      <c r="AA31" s="1328"/>
      <c r="AB31" s="267"/>
      <c r="AC31" s="1373"/>
      <c r="AD31" s="267"/>
      <c r="AE31" s="184"/>
      <c r="AF31" s="1373"/>
      <c r="AG31" s="267"/>
      <c r="AH31" s="1401"/>
      <c r="AI31" s="1472"/>
    </row>
    <row r="32" spans="1:35" ht="18" customHeight="1" x14ac:dyDescent="0.3">
      <c r="A32" s="1844" t="s">
        <v>649</v>
      </c>
      <c r="B32" s="1999"/>
      <c r="C32" s="171" t="s">
        <v>797</v>
      </c>
      <c r="D32" s="171" t="s">
        <v>709</v>
      </c>
      <c r="E32" s="1158" t="s">
        <v>649</v>
      </c>
      <c r="F32" s="1701" t="s">
        <v>485</v>
      </c>
      <c r="G32" s="1698">
        <v>516</v>
      </c>
      <c r="H32" s="1697">
        <f>MAX(G32,G31+G33)</f>
        <v>516</v>
      </c>
      <c r="I32" s="278" t="s">
        <v>779</v>
      </c>
      <c r="J32" s="1813">
        <v>13.9</v>
      </c>
      <c r="K32" s="1859">
        <v>10.5</v>
      </c>
      <c r="L32" s="1877">
        <f t="shared" si="18"/>
        <v>3.2250000000000014</v>
      </c>
      <c r="M32" s="1732" t="str">
        <f t="shared" si="27"/>
        <v>3' 2.7"</v>
      </c>
      <c r="N32" s="1889">
        <f t="shared" si="29"/>
        <v>39</v>
      </c>
      <c r="O32" s="1898"/>
      <c r="P32" s="166"/>
      <c r="Q32" s="166"/>
      <c r="R32" s="166"/>
      <c r="S32" s="166"/>
      <c r="T32" s="166"/>
      <c r="U32" s="1835"/>
      <c r="V32" s="166">
        <f t="shared" ref="V32" si="30">H32*V$5</f>
        <v>454.08</v>
      </c>
      <c r="W32" s="1774">
        <v>284</v>
      </c>
      <c r="X32" s="1782">
        <v>6198</v>
      </c>
      <c r="Y32" s="1209">
        <v>1052</v>
      </c>
      <c r="Z32" s="1212">
        <f>X32+Y32</f>
        <v>7250</v>
      </c>
      <c r="AA32" s="1338" t="s">
        <v>706</v>
      </c>
      <c r="AB32" s="1380">
        <f>SUM($Z21:$Z33)</f>
        <v>31868</v>
      </c>
      <c r="AC32" s="1341" t="s">
        <v>716</v>
      </c>
      <c r="AD32" s="1983">
        <f>SUM($Z21:$Z33)</f>
        <v>31868</v>
      </c>
      <c r="AE32" s="1984"/>
      <c r="AF32" s="1341" t="s">
        <v>716</v>
      </c>
      <c r="AG32" s="1380">
        <f>SUM($Z21:$Z33)</f>
        <v>31868</v>
      </c>
      <c r="AH32" s="1400" t="s">
        <v>721</v>
      </c>
      <c r="AI32" s="1468" t="s">
        <v>485</v>
      </c>
    </row>
    <row r="33" spans="1:35" ht="18" customHeight="1" thickBot="1" x14ac:dyDescent="0.35">
      <c r="A33" s="1848" t="s">
        <v>659</v>
      </c>
      <c r="B33" s="2007"/>
      <c r="C33" s="1302" t="s">
        <v>654</v>
      </c>
      <c r="D33" s="1305" t="s">
        <v>703</v>
      </c>
      <c r="E33" s="1247" t="s">
        <v>659</v>
      </c>
      <c r="F33" s="1699" t="s">
        <v>411</v>
      </c>
      <c r="G33" s="1249">
        <v>190</v>
      </c>
      <c r="H33" s="1633"/>
      <c r="I33" s="1694" t="s">
        <v>778</v>
      </c>
      <c r="J33" s="1815">
        <v>8.5</v>
      </c>
      <c r="K33" s="1863">
        <v>9.75</v>
      </c>
      <c r="L33" s="1880">
        <f t="shared" si="18"/>
        <v>9.375</v>
      </c>
      <c r="M33" s="1731" t="str">
        <f t="shared" si="27"/>
        <v>9' 4.5"</v>
      </c>
      <c r="N33" s="1887">
        <f t="shared" si="29"/>
        <v>113</v>
      </c>
      <c r="O33" s="1902"/>
      <c r="P33" s="1823"/>
      <c r="Q33" s="1823"/>
      <c r="R33" s="1823"/>
      <c r="S33" s="1823"/>
      <c r="T33" s="1823"/>
      <c r="U33" s="1833"/>
      <c r="V33" s="1754"/>
      <c r="W33" s="1779"/>
      <c r="X33" s="1785"/>
      <c r="Y33" s="1251"/>
      <c r="Z33" s="723"/>
      <c r="AA33" s="1329"/>
      <c r="AB33" s="1361"/>
      <c r="AC33" s="1374"/>
      <c r="AD33" s="1361"/>
      <c r="AE33" s="184"/>
      <c r="AF33" s="1374"/>
      <c r="AG33" s="1361"/>
      <c r="AH33" s="1402"/>
      <c r="AI33" s="1473"/>
    </row>
    <row r="34" spans="1:35" ht="27" customHeight="1" x14ac:dyDescent="0.3">
      <c r="A34" s="1849"/>
      <c r="B34" s="1253"/>
      <c r="C34" s="1313"/>
      <c r="D34" s="1254"/>
      <c r="E34" s="1255"/>
      <c r="F34" s="1256"/>
      <c r="G34" s="1257"/>
      <c r="H34" s="1258">
        <f>SUM(H21:H33)</f>
        <v>2036</v>
      </c>
      <c r="I34" s="1728"/>
      <c r="J34" s="1808"/>
      <c r="K34" s="1808"/>
      <c r="L34" s="1808"/>
      <c r="M34" s="1808"/>
      <c r="N34" s="1808"/>
      <c r="O34" s="1903"/>
      <c r="P34" s="1729"/>
      <c r="Q34" s="1729"/>
      <c r="R34" s="1729"/>
      <c r="S34" s="1729"/>
      <c r="T34" s="1729"/>
      <c r="U34" s="1867"/>
      <c r="V34" s="1768"/>
      <c r="W34" s="1776">
        <f>SUM(W21:W33)</f>
        <v>1212</v>
      </c>
      <c r="X34" s="1786"/>
      <c r="Y34" s="1259"/>
      <c r="Z34" s="1258">
        <f>SUM(Z21:Z33)</f>
        <v>31868</v>
      </c>
      <c r="AA34" s="1330"/>
      <c r="AB34" s="1362"/>
      <c r="AC34" s="1363"/>
      <c r="AD34" s="1362"/>
      <c r="AE34" s="1429"/>
      <c r="AF34" s="1363"/>
      <c r="AG34" s="1362"/>
      <c r="AH34" s="1363"/>
      <c r="AI34" s="1474"/>
    </row>
    <row r="35" spans="1:35" ht="27" customHeight="1" x14ac:dyDescent="0.3">
      <c r="A35" s="1832"/>
      <c r="B35" s="1208"/>
      <c r="C35" s="1381"/>
      <c r="D35" s="1234"/>
      <c r="E35" s="1131"/>
      <c r="F35" s="1340" t="s">
        <v>774</v>
      </c>
      <c r="G35" s="1426" t="s">
        <v>14</v>
      </c>
      <c r="H35" s="1339" t="s">
        <v>693</v>
      </c>
      <c r="I35" s="1692" t="s">
        <v>775</v>
      </c>
      <c r="J35" s="1453" t="s">
        <v>815</v>
      </c>
      <c r="K35" s="1817" t="s">
        <v>814</v>
      </c>
      <c r="L35" s="1818" t="s">
        <v>798</v>
      </c>
      <c r="M35" s="1807"/>
      <c r="N35" s="1894" t="s">
        <v>812</v>
      </c>
      <c r="O35" s="1901" t="s">
        <v>819</v>
      </c>
      <c r="P35" s="1817" t="s">
        <v>819</v>
      </c>
      <c r="Q35" s="1817" t="s">
        <v>798</v>
      </c>
      <c r="R35" s="1817" t="s">
        <v>798</v>
      </c>
      <c r="S35" s="1817" t="s">
        <v>812</v>
      </c>
      <c r="T35" s="1817" t="s">
        <v>819</v>
      </c>
      <c r="U35" s="1868" t="s">
        <v>823</v>
      </c>
      <c r="V35" s="1767" t="s">
        <v>5</v>
      </c>
      <c r="W35" s="1777"/>
      <c r="X35" s="1340" t="s">
        <v>689</v>
      </c>
      <c r="Y35" s="1211" t="s">
        <v>690</v>
      </c>
      <c r="Z35" s="1233" t="s">
        <v>260</v>
      </c>
      <c r="AA35" s="1333"/>
      <c r="AB35" s="1340" t="s">
        <v>715</v>
      </c>
      <c r="AC35" s="1339" t="s">
        <v>719</v>
      </c>
      <c r="AD35" s="1340" t="s">
        <v>715</v>
      </c>
      <c r="AE35" s="1426" t="s">
        <v>765</v>
      </c>
      <c r="AF35" s="1339" t="s">
        <v>719</v>
      </c>
      <c r="AG35" s="1340" t="s">
        <v>715</v>
      </c>
      <c r="AH35" s="1339" t="s">
        <v>719</v>
      </c>
      <c r="AI35" s="1475"/>
    </row>
    <row r="36" spans="1:35" ht="18" customHeight="1" x14ac:dyDescent="0.3">
      <c r="A36" s="1843" t="s">
        <v>667</v>
      </c>
      <c r="B36" s="2006" t="s">
        <v>663</v>
      </c>
      <c r="C36" s="1302" t="s">
        <v>654</v>
      </c>
      <c r="D36" s="1304" t="s">
        <v>703</v>
      </c>
      <c r="E36" s="1174" t="s">
        <v>667</v>
      </c>
      <c r="F36" s="1724" t="s">
        <v>411</v>
      </c>
      <c r="G36" s="1176">
        <v>190</v>
      </c>
      <c r="H36" s="1177"/>
      <c r="I36" s="1695" t="s">
        <v>778</v>
      </c>
      <c r="J36" s="1812">
        <v>8.5</v>
      </c>
      <c r="K36" s="1862">
        <v>9.8000000000000007</v>
      </c>
      <c r="L36" s="1876">
        <f t="shared" ref="L36:L46" si="31">K$5-(K36+J36)</f>
        <v>9.3249999999999993</v>
      </c>
      <c r="M36" s="1734" t="str">
        <f>CONCATENATE(ROUNDDOWN(L36,0),"' ",ROUND((L36-ROUNDDOWN(L36,0))*12,1),"""")</f>
        <v>9' 3.9"</v>
      </c>
      <c r="N36" s="1893">
        <f t="shared" ref="N36:N46" si="32">ROUNDUP(L36*12,0)</f>
        <v>112</v>
      </c>
      <c r="O36" s="1897">
        <f t="shared" ref="O36:O46" si="33">$K$5</f>
        <v>27.625</v>
      </c>
      <c r="P36" s="1825"/>
      <c r="Q36" s="1825"/>
      <c r="R36" s="1870">
        <f>O36-T36</f>
        <v>0</v>
      </c>
      <c r="S36" s="1825">
        <f t="shared" ref="S36:S46" si="34">R36*RIGHT($K$6,2)</f>
        <v>0</v>
      </c>
      <c r="T36" s="1862">
        <v>27.625</v>
      </c>
      <c r="U36" s="1847"/>
      <c r="V36" s="1685"/>
      <c r="W36" s="1780"/>
      <c r="X36" s="1784"/>
      <c r="Y36" s="1178"/>
      <c r="Z36" s="1179"/>
      <c r="AA36" s="1331"/>
      <c r="AB36" s="1669"/>
      <c r="AC36" s="1382"/>
      <c r="AD36" s="1669"/>
      <c r="AE36" s="1423"/>
      <c r="AF36" s="1382"/>
      <c r="AG36" s="1669"/>
      <c r="AH36" s="1373"/>
      <c r="AI36" s="1476"/>
    </row>
    <row r="37" spans="1:35" ht="18" customHeight="1" x14ac:dyDescent="0.3">
      <c r="A37" s="1844" t="s">
        <v>650</v>
      </c>
      <c r="B37" s="1999"/>
      <c r="C37" s="171" t="s">
        <v>797</v>
      </c>
      <c r="D37" s="171" t="s">
        <v>709</v>
      </c>
      <c r="E37" s="1158" t="s">
        <v>650</v>
      </c>
      <c r="F37" s="1701" t="s">
        <v>485</v>
      </c>
      <c r="G37" s="1698">
        <v>516</v>
      </c>
      <c r="H37" s="1697">
        <f>MAX(G37,G36+G38)</f>
        <v>516</v>
      </c>
      <c r="I37" s="278" t="s">
        <v>779</v>
      </c>
      <c r="J37" s="1813">
        <v>13.9</v>
      </c>
      <c r="K37" s="1859">
        <v>9.9</v>
      </c>
      <c r="L37" s="1877">
        <f t="shared" si="31"/>
        <v>3.8249999999999993</v>
      </c>
      <c r="M37" s="1732" t="str">
        <f t="shared" ref="M37:M46" si="35">CONCATENATE(ROUNDDOWN(L37,0),"' ",ROUND((L37-ROUNDDOWN(L37,0))*12,1),"""")</f>
        <v>3' 9.9"</v>
      </c>
      <c r="N37" s="1889">
        <f t="shared" si="32"/>
        <v>46</v>
      </c>
      <c r="O37" s="1898">
        <f t="shared" si="33"/>
        <v>27.625</v>
      </c>
      <c r="P37" s="166"/>
      <c r="Q37" s="166"/>
      <c r="R37" s="1872">
        <f t="shared" ref="R37:R38" si="36">O37-T37</f>
        <v>1.125</v>
      </c>
      <c r="S37" s="166">
        <f t="shared" si="34"/>
        <v>13.5</v>
      </c>
      <c r="T37" s="1859">
        <v>26.5</v>
      </c>
      <c r="U37" s="1835"/>
      <c r="V37" s="166">
        <f t="shared" ref="V37" si="37">H37*V$5</f>
        <v>454.08</v>
      </c>
      <c r="W37" s="1774">
        <v>315</v>
      </c>
      <c r="X37" s="1782">
        <v>6877</v>
      </c>
      <c r="Y37" s="1209">
        <v>1052</v>
      </c>
      <c r="Z37" s="1212">
        <f>X37+Y37</f>
        <v>7929</v>
      </c>
      <c r="AA37" s="1338" t="s">
        <v>707</v>
      </c>
      <c r="AB37" s="1670">
        <v>8500</v>
      </c>
      <c r="AC37" s="1341" t="s">
        <v>716</v>
      </c>
      <c r="AD37" s="1668">
        <v>7400</v>
      </c>
      <c r="AE37" s="1635">
        <f>(AD37/Z37)-1</f>
        <v>-6.6717114390213106E-2</v>
      </c>
      <c r="AF37" s="1341" t="s">
        <v>716</v>
      </c>
      <c r="AG37" s="1670">
        <v>7400</v>
      </c>
      <c r="AH37" s="1341" t="s">
        <v>716</v>
      </c>
      <c r="AI37" s="1468" t="s">
        <v>485</v>
      </c>
    </row>
    <row r="38" spans="1:35" ht="18" customHeight="1" x14ac:dyDescent="0.3">
      <c r="A38" s="1845" t="s">
        <v>668</v>
      </c>
      <c r="B38" s="2008"/>
      <c r="C38" s="1305" t="s">
        <v>654</v>
      </c>
      <c r="D38" s="1305" t="s">
        <v>703</v>
      </c>
      <c r="E38" s="1130" t="s">
        <v>668</v>
      </c>
      <c r="F38" s="1699" t="s">
        <v>411</v>
      </c>
      <c r="G38" s="1157">
        <v>190</v>
      </c>
      <c r="H38" s="1347"/>
      <c r="I38" s="1694" t="s">
        <v>778</v>
      </c>
      <c r="J38" s="1811">
        <v>8.5</v>
      </c>
      <c r="K38" s="1863">
        <v>9.3000000000000007</v>
      </c>
      <c r="L38" s="1878">
        <f t="shared" si="31"/>
        <v>9.8249999999999993</v>
      </c>
      <c r="M38" s="1731" t="str">
        <f t="shared" si="35"/>
        <v>9' 9.9"</v>
      </c>
      <c r="N38" s="1887">
        <f t="shared" si="32"/>
        <v>118</v>
      </c>
      <c r="O38" s="1896">
        <f t="shared" si="33"/>
        <v>27.625</v>
      </c>
      <c r="P38" s="1822"/>
      <c r="Q38" s="1822"/>
      <c r="R38" s="1871">
        <f t="shared" si="36"/>
        <v>1.125</v>
      </c>
      <c r="S38" s="1822">
        <f t="shared" si="34"/>
        <v>13.5</v>
      </c>
      <c r="T38" s="1863">
        <v>26.5</v>
      </c>
      <c r="U38" s="1830"/>
      <c r="V38" s="1683"/>
      <c r="W38" s="1772"/>
      <c r="X38" s="703"/>
      <c r="Y38" s="1030"/>
      <c r="Z38" s="1482"/>
      <c r="AA38" s="1332"/>
      <c r="AB38" s="1370"/>
      <c r="AC38" s="1383"/>
      <c r="AD38" s="1370"/>
      <c r="AE38" s="1424"/>
      <c r="AF38" s="1383"/>
      <c r="AG38" s="1370"/>
      <c r="AH38" s="1374"/>
      <c r="AI38" s="1477"/>
    </row>
    <row r="39" spans="1:35" ht="18" customHeight="1" x14ac:dyDescent="0.3">
      <c r="A39" s="1832" t="s">
        <v>669</v>
      </c>
      <c r="B39" s="1999" t="s">
        <v>663</v>
      </c>
      <c r="C39" s="1302" t="s">
        <v>654</v>
      </c>
      <c r="D39" s="1304" t="s">
        <v>703</v>
      </c>
      <c r="E39" s="1131" t="s">
        <v>669</v>
      </c>
      <c r="F39" s="1724" t="s">
        <v>411</v>
      </c>
      <c r="G39" s="1156">
        <v>190</v>
      </c>
      <c r="H39" s="1310"/>
      <c r="I39" s="1695" t="s">
        <v>778</v>
      </c>
      <c r="J39" s="1812">
        <v>8.5</v>
      </c>
      <c r="K39" s="1862">
        <v>9.5</v>
      </c>
      <c r="L39" s="1876">
        <f t="shared" si="31"/>
        <v>9.625</v>
      </c>
      <c r="M39" s="1734" t="str">
        <f>CONCATENATE(ROUNDDOWN(L39,0),"' ",ROUND((L39-ROUNDDOWN(L39,0))*12,1),"""")</f>
        <v>9' 7.5"</v>
      </c>
      <c r="N39" s="1893">
        <f t="shared" si="32"/>
        <v>116</v>
      </c>
      <c r="O39" s="1897">
        <f t="shared" si="33"/>
        <v>27.625</v>
      </c>
      <c r="P39" s="1823"/>
      <c r="Q39" s="1823"/>
      <c r="R39" s="1870">
        <f>O39-T39</f>
        <v>0</v>
      </c>
      <c r="S39" s="1825">
        <f t="shared" si="34"/>
        <v>0</v>
      </c>
      <c r="T39" s="1862">
        <v>27.625</v>
      </c>
      <c r="U39" s="1833"/>
      <c r="V39" s="1698"/>
      <c r="W39" s="1774"/>
      <c r="X39" s="706"/>
      <c r="Y39" s="1026"/>
      <c r="Z39" s="8"/>
      <c r="AA39" s="1333"/>
      <c r="AB39" s="267"/>
      <c r="AC39" s="1382"/>
      <c r="AD39" s="267"/>
      <c r="AE39" s="184"/>
      <c r="AF39" s="1382"/>
      <c r="AG39" s="267"/>
      <c r="AH39" s="1373"/>
      <c r="AI39" s="1475"/>
    </row>
    <row r="40" spans="1:35" ht="18" customHeight="1" x14ac:dyDescent="0.3">
      <c r="A40" s="1844" t="s">
        <v>651</v>
      </c>
      <c r="B40" s="1999"/>
      <c r="C40" s="171" t="s">
        <v>797</v>
      </c>
      <c r="D40" s="171" t="s">
        <v>709</v>
      </c>
      <c r="E40" s="1158" t="s">
        <v>651</v>
      </c>
      <c r="F40" s="1701" t="s">
        <v>485</v>
      </c>
      <c r="G40" s="1698">
        <v>516</v>
      </c>
      <c r="H40" s="1697">
        <f>MAX(G40,G39+G41)</f>
        <v>516</v>
      </c>
      <c r="I40" s="278" t="s">
        <v>779</v>
      </c>
      <c r="J40" s="1813">
        <v>13.9</v>
      </c>
      <c r="K40" s="1859">
        <v>9.4</v>
      </c>
      <c r="L40" s="1877">
        <f t="shared" si="31"/>
        <v>4.3249999999999993</v>
      </c>
      <c r="M40" s="1732" t="str">
        <f t="shared" si="35"/>
        <v>4' 3.9"</v>
      </c>
      <c r="N40" s="1889">
        <f t="shared" si="32"/>
        <v>52</v>
      </c>
      <c r="O40" s="1898">
        <f t="shared" si="33"/>
        <v>27.625</v>
      </c>
      <c r="P40" s="166"/>
      <c r="Q40" s="166"/>
      <c r="R40" s="1872">
        <f t="shared" ref="R40:R41" si="38">O40-T40</f>
        <v>3.625</v>
      </c>
      <c r="S40" s="166">
        <f t="shared" si="34"/>
        <v>43.5</v>
      </c>
      <c r="T40" s="1859">
        <v>24</v>
      </c>
      <c r="U40" s="1835"/>
      <c r="V40" s="166">
        <f t="shared" ref="V40" si="39">H40*V$5</f>
        <v>454.08</v>
      </c>
      <c r="W40" s="1774">
        <v>315</v>
      </c>
      <c r="X40" s="1782">
        <v>6877</v>
      </c>
      <c r="Y40" s="1209">
        <v>1052</v>
      </c>
      <c r="Z40" s="1212">
        <f>X40+Y40</f>
        <v>7929</v>
      </c>
      <c r="AA40" s="1338" t="s">
        <v>707</v>
      </c>
      <c r="AB40" s="1670">
        <v>7700</v>
      </c>
      <c r="AC40" s="1341" t="s">
        <v>716</v>
      </c>
      <c r="AD40" s="1668">
        <v>7400</v>
      </c>
      <c r="AE40" s="1635">
        <f>(AD40/Z40)-1</f>
        <v>-6.6717114390213106E-2</v>
      </c>
      <c r="AF40" s="1341" t="s">
        <v>716</v>
      </c>
      <c r="AG40" s="1670">
        <v>7400</v>
      </c>
      <c r="AH40" s="1341" t="s">
        <v>716</v>
      </c>
      <c r="AI40" s="1468" t="s">
        <v>485</v>
      </c>
    </row>
    <row r="41" spans="1:35" ht="18" customHeight="1" x14ac:dyDescent="0.3">
      <c r="A41" s="1832" t="s">
        <v>670</v>
      </c>
      <c r="B41" s="1999"/>
      <c r="C41" s="1305" t="s">
        <v>654</v>
      </c>
      <c r="D41" s="1305" t="s">
        <v>703</v>
      </c>
      <c r="E41" s="1131" t="s">
        <v>670</v>
      </c>
      <c r="F41" s="1699" t="s">
        <v>411</v>
      </c>
      <c r="G41" s="1156">
        <v>190</v>
      </c>
      <c r="H41" s="1310"/>
      <c r="I41" s="1694" t="s">
        <v>778</v>
      </c>
      <c r="J41" s="1811">
        <v>8.5</v>
      </c>
      <c r="K41" s="1863">
        <v>8.6</v>
      </c>
      <c r="L41" s="1878">
        <f t="shared" si="31"/>
        <v>10.524999999999999</v>
      </c>
      <c r="M41" s="1731" t="str">
        <f t="shared" si="35"/>
        <v>10' 6.3"</v>
      </c>
      <c r="N41" s="1887">
        <f t="shared" si="32"/>
        <v>127</v>
      </c>
      <c r="O41" s="1896">
        <f t="shared" si="33"/>
        <v>27.625</v>
      </c>
      <c r="P41" s="1823"/>
      <c r="Q41" s="1823"/>
      <c r="R41" s="1871">
        <f t="shared" si="38"/>
        <v>3.625</v>
      </c>
      <c r="S41" s="1822">
        <f t="shared" si="34"/>
        <v>43.5</v>
      </c>
      <c r="T41" s="1863">
        <v>24</v>
      </c>
      <c r="U41" s="1833"/>
      <c r="V41" s="1698"/>
      <c r="W41" s="1774"/>
      <c r="X41" s="706"/>
      <c r="Y41" s="1026"/>
      <c r="Z41" s="8"/>
      <c r="AA41" s="1333"/>
      <c r="AB41" s="267"/>
      <c r="AC41" s="1383"/>
      <c r="AD41" s="267"/>
      <c r="AE41" s="184"/>
      <c r="AF41" s="1383"/>
      <c r="AG41" s="267"/>
      <c r="AH41" s="1374"/>
      <c r="AI41" s="1475"/>
    </row>
    <row r="42" spans="1:35" ht="18" customHeight="1" x14ac:dyDescent="0.3">
      <c r="A42" s="1843" t="s">
        <v>671</v>
      </c>
      <c r="B42" s="2006" t="s">
        <v>663</v>
      </c>
      <c r="C42" s="1304" t="s">
        <v>654</v>
      </c>
      <c r="D42" s="1304" t="s">
        <v>703</v>
      </c>
      <c r="E42" s="1174" t="s">
        <v>671</v>
      </c>
      <c r="F42" s="1724" t="s">
        <v>411</v>
      </c>
      <c r="G42" s="1176">
        <v>190</v>
      </c>
      <c r="H42" s="1632"/>
      <c r="I42" s="1695" t="s">
        <v>778</v>
      </c>
      <c r="J42" s="1812">
        <v>8.5</v>
      </c>
      <c r="K42" s="1862">
        <v>8.75</v>
      </c>
      <c r="L42" s="1876">
        <f t="shared" si="31"/>
        <v>10.375</v>
      </c>
      <c r="M42" s="1734" t="str">
        <f>CONCATENATE(ROUNDDOWN(L42,0),"' ",ROUND((L42-ROUNDDOWN(L42,0))*12,1),"""")</f>
        <v>10' 4.5"</v>
      </c>
      <c r="N42" s="1893">
        <f t="shared" si="32"/>
        <v>125</v>
      </c>
      <c r="O42" s="1897">
        <f t="shared" si="33"/>
        <v>27.625</v>
      </c>
      <c r="P42" s="1825"/>
      <c r="Q42" s="1825"/>
      <c r="R42" s="1870">
        <f>O42-T42</f>
        <v>2.125</v>
      </c>
      <c r="S42" s="1825">
        <f t="shared" si="34"/>
        <v>25.5</v>
      </c>
      <c r="T42" s="1886">
        <v>25.5</v>
      </c>
      <c r="U42" s="1847"/>
      <c r="V42" s="1685"/>
      <c r="W42" s="1778"/>
      <c r="X42" s="1719"/>
      <c r="Y42" s="1423"/>
      <c r="Z42" s="1488"/>
      <c r="AA42" s="1568"/>
      <c r="AB42" s="1719"/>
      <c r="AC42" s="1561"/>
      <c r="AD42" s="1719"/>
      <c r="AE42" s="1423"/>
      <c r="AF42" s="1561"/>
      <c r="AG42" s="1719"/>
      <c r="AH42" s="1565"/>
      <c r="AI42" s="1476"/>
    </row>
    <row r="43" spans="1:35" ht="18" customHeight="1" x14ac:dyDescent="0.3">
      <c r="A43" s="1844" t="s">
        <v>539</v>
      </c>
      <c r="B43" s="1999"/>
      <c r="C43" s="171" t="s">
        <v>796</v>
      </c>
      <c r="D43" s="171" t="s">
        <v>708</v>
      </c>
      <c r="E43" s="1158" t="s">
        <v>539</v>
      </c>
      <c r="F43" s="1701" t="s">
        <v>691</v>
      </c>
      <c r="G43" s="1698">
        <v>345</v>
      </c>
      <c r="H43" s="1697">
        <f>MAX(G43,G42+G44)</f>
        <v>380</v>
      </c>
      <c r="I43" s="278" t="s">
        <v>779</v>
      </c>
      <c r="J43" s="1813">
        <v>13.9</v>
      </c>
      <c r="K43" s="1859">
        <v>9.5</v>
      </c>
      <c r="L43" s="1877">
        <f t="shared" si="31"/>
        <v>4.2250000000000014</v>
      </c>
      <c r="M43" s="1732" t="str">
        <f t="shared" si="35"/>
        <v>4' 2.7"</v>
      </c>
      <c r="N43" s="1889">
        <f t="shared" si="32"/>
        <v>51</v>
      </c>
      <c r="O43" s="1898">
        <f t="shared" si="33"/>
        <v>27.625</v>
      </c>
      <c r="P43" s="166"/>
      <c r="Q43" s="166"/>
      <c r="R43" s="1872">
        <f t="shared" ref="R43:R44" si="40">O43-T43</f>
        <v>0</v>
      </c>
      <c r="S43" s="166">
        <f t="shared" si="34"/>
        <v>0</v>
      </c>
      <c r="T43" s="1859">
        <v>27.625</v>
      </c>
      <c r="U43" s="1835"/>
      <c r="V43" s="166">
        <f t="shared" ref="V43" si="41">H43*V$5</f>
        <v>334.4</v>
      </c>
      <c r="W43" s="1774">
        <v>232</v>
      </c>
      <c r="X43" s="1782">
        <v>5065</v>
      </c>
      <c r="Y43" s="1209">
        <v>992</v>
      </c>
      <c r="Z43" s="1212">
        <f>X43+Y43</f>
        <v>6057</v>
      </c>
      <c r="AA43" s="1564" t="s">
        <v>706</v>
      </c>
      <c r="AB43" s="1720">
        <v>6200</v>
      </c>
      <c r="AC43" s="1341" t="s">
        <v>716</v>
      </c>
      <c r="AD43" s="1722">
        <v>6400</v>
      </c>
      <c r="AE43" s="1635">
        <f>(AD43/AD44)-1</f>
        <v>5.662869407297344E-2</v>
      </c>
      <c r="AF43" s="1341" t="s">
        <v>716</v>
      </c>
      <c r="AG43" s="1720">
        <v>6200</v>
      </c>
      <c r="AH43" s="1341" t="s">
        <v>716</v>
      </c>
      <c r="AI43" s="1468" t="s">
        <v>691</v>
      </c>
    </row>
    <row r="44" spans="1:35" ht="18" customHeight="1" thickBot="1" x14ac:dyDescent="0.35">
      <c r="A44" s="1850" t="s">
        <v>672</v>
      </c>
      <c r="B44" s="2015"/>
      <c r="C44" s="1790" t="s">
        <v>654</v>
      </c>
      <c r="D44" s="1790" t="s">
        <v>703</v>
      </c>
      <c r="E44" s="1791" t="s">
        <v>672</v>
      </c>
      <c r="F44" s="1792" t="s">
        <v>411</v>
      </c>
      <c r="G44" s="1793">
        <v>190</v>
      </c>
      <c r="H44" s="1794"/>
      <c r="I44" s="1795" t="s">
        <v>778</v>
      </c>
      <c r="J44" s="1816">
        <v>8.5</v>
      </c>
      <c r="K44" s="1864">
        <v>9.4</v>
      </c>
      <c r="L44" s="1879">
        <f t="shared" si="31"/>
        <v>9.7250000000000014</v>
      </c>
      <c r="M44" s="1796" t="str">
        <f t="shared" si="35"/>
        <v>9' 8.7"</v>
      </c>
      <c r="N44" s="1895">
        <f t="shared" si="32"/>
        <v>117</v>
      </c>
      <c r="O44" s="1904">
        <f t="shared" si="33"/>
        <v>27.625</v>
      </c>
      <c r="P44" s="1826"/>
      <c r="Q44" s="1826"/>
      <c r="R44" s="1873">
        <f t="shared" si="40"/>
        <v>2.125</v>
      </c>
      <c r="S44" s="1826">
        <f t="shared" si="34"/>
        <v>25.5</v>
      </c>
      <c r="T44" s="1864">
        <v>25.5</v>
      </c>
      <c r="U44" s="1851"/>
      <c r="V44" s="1797"/>
      <c r="W44" s="1798"/>
      <c r="X44" s="1799"/>
      <c r="Y44" s="1800"/>
      <c r="Z44" s="1801"/>
      <c r="AA44" s="1802"/>
      <c r="AB44" s="1803"/>
      <c r="AC44" s="1804"/>
      <c r="AD44" s="2016">
        <f>$Z43+$Z44</f>
        <v>6057</v>
      </c>
      <c r="AE44" s="2017"/>
      <c r="AF44" s="1804"/>
      <c r="AG44" s="1803"/>
      <c r="AH44" s="1804"/>
      <c r="AI44" s="1805"/>
    </row>
    <row r="45" spans="1:35" ht="27" customHeight="1" thickTop="1" x14ac:dyDescent="0.3">
      <c r="A45" s="1852" t="s">
        <v>652</v>
      </c>
      <c r="B45" s="99"/>
      <c r="C45" s="187" t="s">
        <v>654</v>
      </c>
      <c r="D45" s="187" t="s">
        <v>703</v>
      </c>
      <c r="E45" s="1682" t="s">
        <v>652</v>
      </c>
      <c r="F45" s="1699" t="s">
        <v>411</v>
      </c>
      <c r="G45" s="1683">
        <v>190</v>
      </c>
      <c r="H45" s="1696">
        <f t="shared" ref="H45" si="42">G45</f>
        <v>190</v>
      </c>
      <c r="I45" s="1694" t="s">
        <v>778</v>
      </c>
      <c r="J45" s="1811">
        <v>8.5</v>
      </c>
      <c r="K45" s="1863">
        <v>9.4</v>
      </c>
      <c r="L45" s="1878">
        <f t="shared" si="31"/>
        <v>9.7250000000000014</v>
      </c>
      <c r="M45" s="1731" t="str">
        <f t="shared" si="35"/>
        <v>9' 8.7"</v>
      </c>
      <c r="N45" s="1887">
        <f t="shared" si="32"/>
        <v>117</v>
      </c>
      <c r="O45" s="1896">
        <f t="shared" si="33"/>
        <v>27.625</v>
      </c>
      <c r="P45" s="1822"/>
      <c r="Q45" s="1822"/>
      <c r="R45" s="1871">
        <f>O45-T45</f>
        <v>2.625</v>
      </c>
      <c r="S45" s="1822">
        <f t="shared" si="34"/>
        <v>31.5</v>
      </c>
      <c r="T45" s="1863">
        <v>25</v>
      </c>
      <c r="U45" s="1830"/>
      <c r="V45" s="1766">
        <f t="shared" ref="V45:V46" si="43">H45*V$5</f>
        <v>167.2</v>
      </c>
      <c r="W45" s="1772">
        <v>129</v>
      </c>
      <c r="X45" s="1781">
        <v>2816</v>
      </c>
      <c r="Y45" s="1348">
        <v>594</v>
      </c>
      <c r="Z45" s="1349">
        <f t="shared" ref="Z45:Z46" si="44">X45+Y45</f>
        <v>3410</v>
      </c>
      <c r="AA45" s="1350" t="s">
        <v>707</v>
      </c>
      <c r="AB45" s="1364"/>
      <c r="AC45" s="1787"/>
      <c r="AD45" s="1788">
        <v>3400</v>
      </c>
      <c r="AE45" s="1789">
        <f>(AD45/Z45)-1</f>
        <v>-2.9325513196480912E-3</v>
      </c>
      <c r="AF45" s="1372" t="s">
        <v>716</v>
      </c>
      <c r="AG45" s="1364"/>
      <c r="AH45" s="1787"/>
      <c r="AI45" s="1465" t="s">
        <v>411</v>
      </c>
    </row>
    <row r="46" spans="1:35" ht="27" customHeight="1" thickBot="1" x14ac:dyDescent="0.35">
      <c r="A46" s="1852" t="s">
        <v>653</v>
      </c>
      <c r="B46" s="17"/>
      <c r="C46" s="187" t="s">
        <v>795</v>
      </c>
      <c r="D46" s="1301" t="s">
        <v>703</v>
      </c>
      <c r="E46" s="1235" t="s">
        <v>653</v>
      </c>
      <c r="F46" s="1700" t="s">
        <v>411</v>
      </c>
      <c r="G46" s="1244">
        <v>190</v>
      </c>
      <c r="H46" s="1696">
        <f>G46</f>
        <v>190</v>
      </c>
      <c r="I46" s="1810" t="s">
        <v>778</v>
      </c>
      <c r="J46" s="1815">
        <v>8.5</v>
      </c>
      <c r="K46" s="1863">
        <v>9.6</v>
      </c>
      <c r="L46" s="1880">
        <f t="shared" si="31"/>
        <v>9.5249999999999986</v>
      </c>
      <c r="M46" s="1809" t="str">
        <f t="shared" si="35"/>
        <v>9' 6.3"</v>
      </c>
      <c r="N46" s="1891">
        <f t="shared" si="32"/>
        <v>115</v>
      </c>
      <c r="O46" s="1905">
        <f t="shared" si="33"/>
        <v>27.625</v>
      </c>
      <c r="P46" s="1874"/>
      <c r="Q46" s="1874"/>
      <c r="R46" s="1906">
        <f t="shared" ref="R46" si="45">O46-T46</f>
        <v>3.125</v>
      </c>
      <c r="S46" s="1874">
        <f t="shared" si="34"/>
        <v>37.5</v>
      </c>
      <c r="T46" s="1907">
        <v>24.5</v>
      </c>
      <c r="U46" s="1908"/>
      <c r="V46" s="1766">
        <f t="shared" si="43"/>
        <v>167.2</v>
      </c>
      <c r="W46" s="1772">
        <v>129</v>
      </c>
      <c r="X46" s="1241">
        <v>2532</v>
      </c>
      <c r="Y46" s="1239">
        <v>594</v>
      </c>
      <c r="Z46" s="1240">
        <f t="shared" si="44"/>
        <v>3126</v>
      </c>
      <c r="AA46" s="1336" t="s">
        <v>707</v>
      </c>
      <c r="AB46" s="267"/>
      <c r="AC46" s="1662"/>
      <c r="AD46" s="1713"/>
      <c r="AE46" s="1635"/>
      <c r="AF46" s="1372"/>
      <c r="AG46" s="267"/>
      <c r="AH46" s="1662"/>
      <c r="AI46" s="1465" t="s">
        <v>411</v>
      </c>
    </row>
    <row r="47" spans="1:35" ht="30" customHeight="1" x14ac:dyDescent="0.25">
      <c r="A47" s="1530"/>
      <c r="B47" s="1531"/>
      <c r="C47" s="1532"/>
      <c r="D47" s="1265"/>
      <c r="E47" s="1533"/>
      <c r="F47" s="1256"/>
      <c r="G47" s="1534"/>
      <c r="H47" s="1535"/>
      <c r="I47" s="1534"/>
      <c r="J47" s="1534"/>
      <c r="K47" s="1534"/>
      <c r="L47" s="1534"/>
      <c r="M47" s="1534"/>
      <c r="N47" s="1534"/>
      <c r="O47" s="1534"/>
      <c r="P47" s="1534"/>
      <c r="Q47" s="1534"/>
      <c r="R47" s="1534"/>
      <c r="S47" s="1534"/>
      <c r="T47" s="1534"/>
      <c r="U47" s="1853"/>
      <c r="V47" s="1547" t="s">
        <v>810</v>
      </c>
      <c r="W47" s="1776">
        <f>SUM(W36:W44)</f>
        <v>862</v>
      </c>
      <c r="X47" s="1536"/>
      <c r="Y47" s="1547" t="s">
        <v>738</v>
      </c>
      <c r="Z47" s="1258">
        <f>SUM(Z36:Z44)</f>
        <v>21915</v>
      </c>
      <c r="AA47" s="1548"/>
      <c r="AB47" s="1429"/>
      <c r="AC47" s="1363"/>
      <c r="AD47" s="1429"/>
      <c r="AE47" s="1429"/>
      <c r="AF47" s="1363"/>
      <c r="AG47" s="1429"/>
      <c r="AH47" s="1363"/>
      <c r="AI47" s="1553"/>
    </row>
    <row r="48" spans="1:35" ht="30" customHeight="1" x14ac:dyDescent="0.25">
      <c r="A48" s="1661"/>
      <c r="B48" s="17"/>
      <c r="C48" s="1742" t="s">
        <v>800</v>
      </c>
      <c r="D48" s="1743" t="s">
        <v>802</v>
      </c>
      <c r="E48" s="1737"/>
      <c r="F48" s="1698"/>
      <c r="G48" s="1738"/>
      <c r="H48" s="1738"/>
      <c r="I48" s="1738"/>
      <c r="J48" s="1738"/>
      <c r="K48" s="1738"/>
      <c r="L48" s="1738"/>
      <c r="M48" s="1738"/>
      <c r="N48" s="1738"/>
      <c r="O48" s="1738"/>
      <c r="P48" s="1738"/>
      <c r="Q48" s="1738"/>
      <c r="R48" s="1738"/>
      <c r="S48" s="1738"/>
      <c r="T48" s="1738"/>
      <c r="U48" s="1854"/>
      <c r="V48" s="1738"/>
      <c r="W48" s="1738"/>
      <c r="X48" s="1735"/>
      <c r="Y48" s="1739"/>
      <c r="Z48" s="1740"/>
      <c r="AA48" s="1325"/>
      <c r="AB48" s="184"/>
      <c r="AC48" s="1662"/>
      <c r="AD48" s="184"/>
      <c r="AE48" s="184"/>
      <c r="AF48" s="1662"/>
      <c r="AG48" s="184"/>
      <c r="AH48" s="1662"/>
      <c r="AI48" s="1741"/>
    </row>
    <row r="49" spans="1:35" ht="30" customHeight="1" x14ac:dyDescent="0.25">
      <c r="A49" s="1661"/>
      <c r="B49" s="17"/>
      <c r="C49" s="1736"/>
      <c r="D49" s="1743" t="s">
        <v>801</v>
      </c>
      <c r="E49" s="1737"/>
      <c r="F49" s="1698"/>
      <c r="G49" s="1738"/>
      <c r="H49" s="1738"/>
      <c r="I49" s="1738"/>
      <c r="J49" s="1738"/>
      <c r="K49" s="1738"/>
      <c r="L49" s="1738"/>
      <c r="M49" s="1738"/>
      <c r="N49" s="1738"/>
      <c r="O49" s="1738"/>
      <c r="P49" s="1738"/>
      <c r="Q49" s="1738"/>
      <c r="R49" s="1738"/>
      <c r="S49" s="1738"/>
      <c r="T49" s="1738"/>
      <c r="U49" s="1854"/>
      <c r="V49" s="1738"/>
      <c r="W49" s="1738"/>
      <c r="X49" s="1735"/>
      <c r="Y49" s="1739"/>
      <c r="Z49" s="1740"/>
      <c r="AA49" s="1325"/>
      <c r="AB49" s="184"/>
      <c r="AC49" s="1662"/>
      <c r="AD49" s="184"/>
      <c r="AE49" s="184"/>
      <c r="AF49" s="1662"/>
      <c r="AG49" s="184"/>
      <c r="AH49" s="1662"/>
      <c r="AI49" s="1741"/>
    </row>
    <row r="50" spans="1:35" ht="30" customHeight="1" x14ac:dyDescent="0.25">
      <c r="A50" s="1661"/>
      <c r="B50" s="17"/>
      <c r="C50" s="1736"/>
      <c r="D50" s="1743" t="s">
        <v>803</v>
      </c>
      <c r="E50" s="1737"/>
      <c r="F50" s="1698"/>
      <c r="G50" s="1738"/>
      <c r="H50" s="1738"/>
      <c r="I50" s="1738"/>
      <c r="J50" s="1738"/>
      <c r="K50" s="1738"/>
      <c r="L50" s="1738"/>
      <c r="M50" s="1738"/>
      <c r="N50" s="1738"/>
      <c r="O50" s="1738"/>
      <c r="P50" s="1738"/>
      <c r="Q50" s="1738"/>
      <c r="R50" s="1738"/>
      <c r="S50" s="1738"/>
      <c r="T50" s="1738"/>
      <c r="U50" s="1854"/>
      <c r="V50" s="1738"/>
      <c r="W50" s="1738"/>
      <c r="X50" s="1735"/>
      <c r="Y50" s="1739"/>
      <c r="Z50" s="1740"/>
      <c r="AA50" s="1325"/>
      <c r="AB50" s="184"/>
      <c r="AC50" s="1662"/>
      <c r="AD50" s="184"/>
      <c r="AE50" s="184"/>
      <c r="AF50" s="1662"/>
      <c r="AG50" s="184"/>
      <c r="AH50" s="1662"/>
      <c r="AI50" s="1741"/>
    </row>
    <row r="51" spans="1:35" ht="30" customHeight="1" x14ac:dyDescent="0.25">
      <c r="A51" s="1661"/>
      <c r="B51" s="17"/>
      <c r="C51" s="1736"/>
      <c r="D51" s="1743" t="s">
        <v>805</v>
      </c>
      <c r="E51" s="1737"/>
      <c r="F51" s="1698"/>
      <c r="G51" s="1738"/>
      <c r="H51" s="1738"/>
      <c r="I51" s="1738"/>
      <c r="J51" s="1738"/>
      <c r="K51" s="1738"/>
      <c r="L51" s="1738"/>
      <c r="M51" s="1738"/>
      <c r="N51" s="1738"/>
      <c r="O51" s="1738"/>
      <c r="P51" s="1738"/>
      <c r="Q51" s="1738"/>
      <c r="R51" s="1738"/>
      <c r="S51" s="1738"/>
      <c r="T51" s="1738"/>
      <c r="U51" s="1854"/>
      <c r="V51" s="1738"/>
      <c r="W51" s="1738"/>
      <c r="X51" s="1735"/>
      <c r="Y51" s="1739"/>
      <c r="Z51" s="1740"/>
      <c r="AA51" s="1325"/>
      <c r="AB51" s="184"/>
      <c r="AC51" s="1662"/>
      <c r="AD51" s="184"/>
      <c r="AE51" s="184"/>
      <c r="AF51" s="1662"/>
      <c r="AG51" s="184"/>
      <c r="AH51" s="1662"/>
      <c r="AI51" s="1741"/>
    </row>
    <row r="52" spans="1:35" ht="30" customHeight="1" x14ac:dyDescent="0.25">
      <c r="A52" s="1661"/>
      <c r="B52" s="17"/>
      <c r="C52" s="1736"/>
      <c r="D52" s="1743" t="s">
        <v>804</v>
      </c>
      <c r="E52" s="1737"/>
      <c r="F52" s="1698"/>
      <c r="G52" s="1738"/>
      <c r="H52" s="1738"/>
      <c r="I52" s="1738"/>
      <c r="J52" s="1738"/>
      <c r="K52" s="1738"/>
      <c r="L52" s="1738"/>
      <c r="M52" s="1738"/>
      <c r="N52" s="1738"/>
      <c r="O52" s="1738"/>
      <c r="P52" s="1738"/>
      <c r="Q52" s="1738"/>
      <c r="R52" s="1738"/>
      <c r="S52" s="1738"/>
      <c r="T52" s="1738"/>
      <c r="U52" s="1854"/>
      <c r="V52" s="1738"/>
      <c r="W52" s="1738"/>
      <c r="X52" s="1735"/>
      <c r="Y52" s="1739"/>
      <c r="Z52" s="1740"/>
      <c r="AA52" s="1325"/>
      <c r="AB52" s="184"/>
      <c r="AC52" s="1662"/>
      <c r="AD52" s="184"/>
      <c r="AE52" s="184"/>
      <c r="AF52" s="1662"/>
      <c r="AG52" s="184"/>
      <c r="AH52" s="1662"/>
      <c r="AI52" s="1741"/>
    </row>
    <row r="53" spans="1:35" ht="30" customHeight="1" x14ac:dyDescent="0.25">
      <c r="A53" s="1661"/>
      <c r="B53" s="17"/>
      <c r="C53" s="1736"/>
      <c r="D53" s="1756" t="s">
        <v>806</v>
      </c>
      <c r="E53" s="1757"/>
      <c r="F53" s="1758"/>
      <c r="G53" s="1759"/>
      <c r="H53" s="1759"/>
      <c r="I53" s="1759"/>
      <c r="J53" s="1759"/>
      <c r="K53" s="1759"/>
      <c r="L53" s="1759"/>
      <c r="M53" s="1759"/>
      <c r="N53" s="1759"/>
      <c r="O53" s="1759"/>
      <c r="P53" s="1759"/>
      <c r="Q53" s="1759"/>
      <c r="R53" s="1759"/>
      <c r="S53" s="1759"/>
      <c r="T53" s="1759"/>
      <c r="U53" s="1855"/>
      <c r="V53" s="1738"/>
      <c r="W53" s="1738"/>
      <c r="X53" s="1735"/>
      <c r="Y53" s="1739"/>
      <c r="Z53" s="1740"/>
      <c r="AA53" s="1325"/>
      <c r="AB53" s="184"/>
      <c r="AC53" s="1662"/>
      <c r="AD53" s="184"/>
      <c r="AE53" s="184"/>
      <c r="AF53" s="1662"/>
      <c r="AG53" s="184"/>
      <c r="AH53" s="1662"/>
      <c r="AI53" s="1741"/>
    </row>
    <row r="54" spans="1:35" ht="30" customHeight="1" thickBot="1" x14ac:dyDescent="0.3">
      <c r="A54" s="1856"/>
      <c r="B54" s="1751"/>
      <c r="C54" s="1727"/>
      <c r="D54" s="1752"/>
      <c r="E54" s="1753"/>
      <c r="F54" s="1754"/>
      <c r="G54" s="1755"/>
      <c r="H54" s="1755"/>
      <c r="I54" s="1755"/>
      <c r="J54" s="1755"/>
      <c r="K54" s="1755"/>
      <c r="L54" s="1755"/>
      <c r="M54" s="1755"/>
      <c r="N54" s="1755"/>
      <c r="O54" s="1755"/>
      <c r="P54" s="1755"/>
      <c r="Q54" s="1755"/>
      <c r="R54" s="1755"/>
      <c r="S54" s="1755"/>
      <c r="T54" s="1755"/>
      <c r="U54" s="1875"/>
      <c r="V54" s="1738"/>
      <c r="W54" s="1738"/>
      <c r="X54" s="1735"/>
      <c r="Y54" s="1739"/>
      <c r="Z54" s="1740"/>
      <c r="AA54" s="1325"/>
      <c r="AB54" s="184"/>
      <c r="AC54" s="1662"/>
      <c r="AD54" s="184"/>
      <c r="AE54" s="184"/>
      <c r="AF54" s="1662"/>
      <c r="AG54" s="184"/>
      <c r="AH54" s="1662"/>
      <c r="AI54" s="1741"/>
    </row>
    <row r="55" spans="1:35" ht="30" customHeight="1" thickBot="1" x14ac:dyDescent="0.35">
      <c r="A55" s="1744"/>
      <c r="B55" s="1745"/>
      <c r="C55" s="1746"/>
      <c r="D55" s="1747"/>
      <c r="E55" s="1748"/>
      <c r="F55" s="1749"/>
      <c r="G55" s="1749"/>
      <c r="H55" s="1750"/>
      <c r="I55" s="1750"/>
      <c r="J55" s="1750"/>
      <c r="K55" s="1750"/>
      <c r="L55" s="1750"/>
      <c r="M55" s="1750"/>
      <c r="N55" s="1750"/>
      <c r="O55" s="1750"/>
      <c r="P55" s="1750"/>
      <c r="Q55" s="1750"/>
      <c r="R55" s="1750"/>
      <c r="S55" s="1750"/>
      <c r="T55" s="1750"/>
      <c r="U55" s="1857"/>
      <c r="V55" s="1546"/>
      <c r="W55" s="1546"/>
      <c r="X55" s="1512" t="s">
        <v>722</v>
      </c>
      <c r="Y55" s="1985">
        <f>Z19+Z34+Z47</f>
        <v>83987</v>
      </c>
      <c r="Z55" s="1986"/>
      <c r="AA55" s="1549"/>
      <c r="AB55" s="1544"/>
      <c r="AC55" s="1543"/>
      <c r="AD55" s="1545"/>
      <c r="AE55" s="1545"/>
      <c r="AF55" s="1543"/>
      <c r="AG55" s="1544"/>
      <c r="AH55" s="1543"/>
      <c r="AI55" s="1554"/>
    </row>
    <row r="56" spans="1:35" ht="30" customHeight="1" thickBot="1" x14ac:dyDescent="0.35">
      <c r="A56" s="1522"/>
      <c r="B56" s="1523"/>
      <c r="C56" s="1524"/>
      <c r="D56" s="1525"/>
      <c r="E56" s="1526"/>
      <c r="F56" s="1527"/>
      <c r="G56" s="1527"/>
      <c r="H56" s="1504" t="s">
        <v>739</v>
      </c>
      <c r="I56" s="1503"/>
      <c r="J56" s="1503"/>
      <c r="K56" s="1503"/>
      <c r="L56" s="1503"/>
      <c r="M56" s="1503"/>
      <c r="N56" s="1503"/>
      <c r="O56" s="1503"/>
      <c r="P56" s="1503"/>
      <c r="Q56" s="1503"/>
      <c r="R56" s="1503"/>
      <c r="S56" s="1503"/>
      <c r="T56" s="1503"/>
      <c r="U56" s="1858"/>
      <c r="V56" s="1503"/>
      <c r="W56" s="1503"/>
      <c r="X56" s="1490"/>
      <c r="Y56" s="1528"/>
      <c r="Z56" s="1529"/>
      <c r="AA56" s="1260"/>
      <c r="AB56" s="1529"/>
      <c r="AC56" s="1550">
        <v>33000</v>
      </c>
      <c r="AD56" s="1551"/>
      <c r="AE56" s="1551"/>
      <c r="AF56" s="1550">
        <v>33313</v>
      </c>
      <c r="AG56" s="1552"/>
      <c r="AH56" s="1550">
        <v>20100</v>
      </c>
      <c r="AI56" s="1555"/>
    </row>
    <row r="57" spans="1:35" ht="18" customHeight="1" thickTop="1" x14ac:dyDescent="0.3">
      <c r="A57" s="1219"/>
      <c r="B57" s="1219"/>
      <c r="C57" s="1520"/>
      <c r="D57" s="1219"/>
      <c r="E57" s="1219"/>
      <c r="F57" s="1219"/>
      <c r="G57" s="1219"/>
      <c r="H57" s="1219"/>
      <c r="I57" s="1219"/>
      <c r="J57" s="1219"/>
      <c r="K57" s="1219"/>
      <c r="L57" s="1219"/>
      <c r="M57" s="1219"/>
      <c r="N57" s="1219"/>
      <c r="O57" s="1219"/>
      <c r="P57" s="1219"/>
      <c r="Q57" s="1219"/>
      <c r="R57" s="1219"/>
      <c r="S57" s="1219"/>
      <c r="T57" s="1219"/>
      <c r="U57" s="1219"/>
      <c r="V57" s="1219"/>
      <c r="W57" s="1219"/>
      <c r="X57" s="1219"/>
      <c r="Y57" s="1219"/>
      <c r="Z57" s="1219"/>
      <c r="AA57" s="1219"/>
      <c r="AB57" s="1521"/>
      <c r="AC57" s="1521"/>
      <c r="AD57" s="1521"/>
      <c r="AE57" s="1521"/>
      <c r="AF57" s="1521"/>
      <c r="AG57" s="1521"/>
      <c r="AH57" s="1521"/>
      <c r="AI57" s="1219"/>
    </row>
    <row r="58" spans="1:35" ht="18" customHeight="1" thickBot="1" x14ac:dyDescent="0.35">
      <c r="A58" s="134"/>
      <c r="B58" s="134"/>
      <c r="C58" s="1316"/>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758"/>
      <c r="AC58" s="758"/>
      <c r="AD58" s="758"/>
      <c r="AE58" s="758"/>
      <c r="AF58" s="758"/>
      <c r="AG58" s="758"/>
      <c r="AH58" s="758"/>
      <c r="AI58" s="134"/>
    </row>
    <row r="59" spans="1:35" ht="18" customHeight="1" x14ac:dyDescent="0.3">
      <c r="A59" s="1203" t="s">
        <v>696</v>
      </c>
      <c r="B59" s="607"/>
      <c r="C59" s="1317"/>
      <c r="D59" s="607"/>
      <c r="E59" s="607"/>
      <c r="F59" s="1991"/>
      <c r="G59" s="1992"/>
      <c r="H59" s="1993"/>
      <c r="I59" s="1671"/>
      <c r="J59" s="1671"/>
      <c r="K59" s="1671"/>
      <c r="L59" s="1671"/>
      <c r="M59" s="1677"/>
      <c r="N59" s="1714"/>
      <c r="O59" s="1762"/>
      <c r="P59" s="1762"/>
      <c r="Q59" s="1762"/>
      <c r="R59" s="1762"/>
      <c r="S59" s="1762"/>
      <c r="T59" s="1762"/>
      <c r="U59" s="1762"/>
      <c r="V59" s="1671"/>
      <c r="W59" s="1718"/>
      <c r="X59" s="1991"/>
      <c r="Y59" s="1992"/>
      <c r="Z59" s="1993"/>
      <c r="AA59" s="607"/>
      <c r="AB59" s="1204"/>
      <c r="AC59" s="1204"/>
      <c r="AD59" s="1204"/>
      <c r="AE59" s="1204"/>
      <c r="AF59" s="1204"/>
      <c r="AG59" s="1204"/>
      <c r="AH59" s="1204"/>
      <c r="AI59" s="607"/>
    </row>
    <row r="60" spans="1:35" ht="18" customHeight="1" x14ac:dyDescent="0.3">
      <c r="A60" s="759"/>
      <c r="B60" s="1110"/>
      <c r="C60" s="171"/>
      <c r="D60" s="1110"/>
      <c r="E60" s="604" t="s">
        <v>673</v>
      </c>
      <c r="F60" s="1966"/>
      <c r="G60" s="1968"/>
      <c r="H60" s="1967"/>
      <c r="I60" s="1665"/>
      <c r="J60" s="1665"/>
      <c r="K60" s="1665"/>
      <c r="L60" s="1665"/>
      <c r="M60" s="1675"/>
      <c r="N60" s="1711"/>
      <c r="O60" s="1760"/>
      <c r="P60" s="1760"/>
      <c r="Q60" s="1760"/>
      <c r="R60" s="1760"/>
      <c r="S60" s="1760"/>
      <c r="T60" s="1760"/>
      <c r="U60" s="1760"/>
      <c r="V60" s="1665"/>
      <c r="W60" s="1716"/>
      <c r="X60" s="1966"/>
      <c r="Y60" s="1968"/>
      <c r="Z60" s="1967"/>
      <c r="AA60" s="1110"/>
      <c r="AB60" s="16"/>
      <c r="AC60" s="16"/>
      <c r="AD60" s="16"/>
      <c r="AE60" s="16"/>
      <c r="AF60" s="16"/>
      <c r="AG60" s="16"/>
      <c r="AH60" s="16"/>
      <c r="AI60" s="1110"/>
    </row>
    <row r="61" spans="1:35" ht="18" customHeight="1" x14ac:dyDescent="0.3">
      <c r="A61" s="67"/>
      <c r="B61" s="22"/>
      <c r="C61" s="1318" t="s">
        <v>17</v>
      </c>
      <c r="D61" s="328"/>
      <c r="E61" s="22"/>
      <c r="F61" s="1959"/>
      <c r="G61" s="1971"/>
      <c r="H61" s="1960"/>
      <c r="I61" s="1666"/>
      <c r="J61" s="1666"/>
      <c r="K61" s="1666"/>
      <c r="L61" s="1666"/>
      <c r="M61" s="1676"/>
      <c r="N61" s="1712"/>
      <c r="O61" s="1761"/>
      <c r="P61" s="1761"/>
      <c r="Q61" s="1761"/>
      <c r="R61" s="1761"/>
      <c r="S61" s="1761"/>
      <c r="T61" s="1761"/>
      <c r="U61" s="1761"/>
      <c r="V61" s="1666"/>
      <c r="W61" s="1717"/>
      <c r="X61" s="1959"/>
      <c r="Y61" s="1971"/>
      <c r="Z61" s="1960"/>
      <c r="AA61" s="1110"/>
      <c r="AB61" s="47"/>
      <c r="AC61" s="47"/>
      <c r="AD61" s="47"/>
      <c r="AE61" s="47"/>
      <c r="AF61" s="47"/>
      <c r="AG61" s="47"/>
      <c r="AH61" s="47"/>
      <c r="AI61" s="1110"/>
    </row>
    <row r="62" spans="1:35" ht="27" customHeight="1" x14ac:dyDescent="0.3">
      <c r="A62" s="1132"/>
      <c r="B62" s="1133"/>
      <c r="C62" s="1319" t="s">
        <v>682</v>
      </c>
      <c r="D62" s="1194"/>
      <c r="E62" s="1191">
        <v>50</v>
      </c>
      <c r="F62" s="1195">
        <v>160</v>
      </c>
      <c r="G62" s="1197"/>
      <c r="H62" s="1200"/>
      <c r="I62" s="1686"/>
      <c r="J62" s="1686"/>
      <c r="K62" s="1686"/>
      <c r="L62" s="1686"/>
      <c r="M62" s="1686"/>
      <c r="N62" s="1686"/>
      <c r="O62" s="1686"/>
      <c r="P62" s="1686"/>
      <c r="Q62" s="1686"/>
      <c r="R62" s="1686"/>
      <c r="S62" s="1686"/>
      <c r="T62" s="1686"/>
      <c r="U62" s="1686"/>
      <c r="V62" s="1686"/>
      <c r="W62" s="1686"/>
      <c r="X62" s="1159"/>
      <c r="Y62" s="1160"/>
      <c r="Z62" s="1161"/>
      <c r="AA62" s="55"/>
      <c r="AB62" s="184"/>
      <c r="AC62" s="184"/>
      <c r="AD62" s="184"/>
      <c r="AE62" s="184"/>
      <c r="AF62" s="184"/>
      <c r="AG62" s="184"/>
      <c r="AH62" s="184"/>
      <c r="AI62" s="17"/>
    </row>
    <row r="63" spans="1:35" ht="27" customHeight="1" x14ac:dyDescent="0.3">
      <c r="A63" s="1134"/>
      <c r="B63" s="1135"/>
      <c r="C63" s="1320" t="s">
        <v>682</v>
      </c>
      <c r="D63" s="1196"/>
      <c r="E63" s="1192" t="s">
        <v>674</v>
      </c>
      <c r="F63" s="1151">
        <v>160</v>
      </c>
      <c r="G63" s="1152"/>
      <c r="H63" s="1201"/>
      <c r="I63" s="1147"/>
      <c r="J63" s="1147"/>
      <c r="K63" s="1147"/>
      <c r="L63" s="1147"/>
      <c r="M63" s="1147"/>
      <c r="N63" s="1147"/>
      <c r="O63" s="1147"/>
      <c r="P63" s="1147"/>
      <c r="Q63" s="1147"/>
      <c r="R63" s="1147"/>
      <c r="S63" s="1147"/>
      <c r="T63" s="1147"/>
      <c r="U63" s="1147"/>
      <c r="V63" s="1147"/>
      <c r="W63" s="1147"/>
      <c r="X63" s="1143"/>
      <c r="Y63" s="1141"/>
      <c r="Z63" s="1162"/>
      <c r="AA63" s="1182"/>
      <c r="AB63" s="1183"/>
      <c r="AC63" s="1183"/>
      <c r="AD63" s="1183"/>
      <c r="AE63" s="1183"/>
      <c r="AF63" s="1183"/>
      <c r="AG63" s="1183"/>
      <c r="AH63" s="1183"/>
      <c r="AI63" s="99"/>
    </row>
    <row r="64" spans="1:35" ht="27" customHeight="1" x14ac:dyDescent="0.3">
      <c r="A64" s="1134"/>
      <c r="B64" s="1188"/>
      <c r="C64" s="1320" t="s">
        <v>683</v>
      </c>
      <c r="D64" s="1196"/>
      <c r="E64" s="1192" t="s">
        <v>675</v>
      </c>
      <c r="F64" s="1146">
        <v>188</v>
      </c>
      <c r="G64" s="1147"/>
      <c r="H64" s="1201"/>
      <c r="I64" s="1147"/>
      <c r="J64" s="1147"/>
      <c r="K64" s="1147"/>
      <c r="L64" s="1147"/>
      <c r="M64" s="1147"/>
      <c r="N64" s="1147"/>
      <c r="O64" s="1147"/>
      <c r="P64" s="1147"/>
      <c r="Q64" s="1147"/>
      <c r="R64" s="1147"/>
      <c r="S64" s="1147"/>
      <c r="T64" s="1147"/>
      <c r="U64" s="1147"/>
      <c r="V64" s="1147"/>
      <c r="W64" s="1147"/>
      <c r="X64" s="1189"/>
      <c r="Y64" s="1168"/>
      <c r="Z64" s="1167"/>
      <c r="AA64" s="202"/>
      <c r="AB64" s="1126"/>
      <c r="AC64" s="1126"/>
      <c r="AD64" s="1126"/>
      <c r="AE64" s="1126"/>
      <c r="AF64" s="1126"/>
      <c r="AG64" s="1126"/>
      <c r="AH64" s="1126"/>
      <c r="AI64" s="17"/>
    </row>
    <row r="65" spans="1:35" ht="27" customHeight="1" x14ac:dyDescent="0.3">
      <c r="A65" s="1134"/>
      <c r="B65" s="1135"/>
      <c r="C65" s="1320" t="s">
        <v>686</v>
      </c>
      <c r="D65" s="1196"/>
      <c r="E65" s="1192" t="s">
        <v>676</v>
      </c>
      <c r="F65" s="1151">
        <v>225</v>
      </c>
      <c r="G65" s="1152"/>
      <c r="H65" s="1201"/>
      <c r="I65" s="1147"/>
      <c r="J65" s="1147"/>
      <c r="K65" s="1147"/>
      <c r="L65" s="1147"/>
      <c r="M65" s="1147"/>
      <c r="N65" s="1147"/>
      <c r="O65" s="1147"/>
      <c r="P65" s="1147"/>
      <c r="Q65" s="1147"/>
      <c r="R65" s="1147"/>
      <c r="S65" s="1147"/>
      <c r="T65" s="1147"/>
      <c r="U65" s="1147"/>
      <c r="V65" s="1147"/>
      <c r="W65" s="1147"/>
      <c r="X65" s="1143"/>
      <c r="Y65" s="1141"/>
      <c r="Z65" s="1162"/>
      <c r="AA65" s="1184"/>
      <c r="AB65" s="1127"/>
      <c r="AC65" s="1127"/>
      <c r="AD65" s="1127"/>
      <c r="AE65" s="1127"/>
      <c r="AF65" s="1127"/>
      <c r="AG65" s="1127"/>
      <c r="AH65" s="1127"/>
      <c r="AI65" s="1127"/>
    </row>
    <row r="66" spans="1:35" ht="27" customHeight="1" x14ac:dyDescent="0.3">
      <c r="A66" s="1134"/>
      <c r="B66" s="1135"/>
      <c r="C66" s="1320" t="s">
        <v>683</v>
      </c>
      <c r="D66" s="1196"/>
      <c r="E66" s="1192" t="s">
        <v>677</v>
      </c>
      <c r="F66" s="1151">
        <v>188</v>
      </c>
      <c r="G66" s="1152"/>
      <c r="H66" s="1201"/>
      <c r="I66" s="1147"/>
      <c r="J66" s="1147"/>
      <c r="K66" s="1147"/>
      <c r="L66" s="1147"/>
      <c r="M66" s="1147"/>
      <c r="N66" s="1147"/>
      <c r="O66" s="1147"/>
      <c r="P66" s="1147"/>
      <c r="Q66" s="1147"/>
      <c r="R66" s="1147"/>
      <c r="S66" s="1147"/>
      <c r="T66" s="1147"/>
      <c r="U66" s="1147"/>
      <c r="V66" s="1147"/>
      <c r="W66" s="1147"/>
      <c r="X66" s="1163"/>
      <c r="Y66" s="1138"/>
      <c r="Z66" s="1164"/>
      <c r="AA66" s="1184"/>
      <c r="AB66" s="1127"/>
      <c r="AC66" s="1127"/>
      <c r="AD66" s="1127"/>
      <c r="AE66" s="1127"/>
      <c r="AF66" s="1127"/>
      <c r="AG66" s="1127"/>
      <c r="AH66" s="1127"/>
      <c r="AI66" s="55"/>
    </row>
    <row r="67" spans="1:35" ht="27" customHeight="1" x14ac:dyDescent="0.3">
      <c r="A67" s="1134"/>
      <c r="B67" s="1135"/>
      <c r="C67" s="1320" t="s">
        <v>683</v>
      </c>
      <c r="D67" s="1196"/>
      <c r="E67" s="1192">
        <v>53</v>
      </c>
      <c r="F67" s="1151">
        <v>188</v>
      </c>
      <c r="G67" s="1152"/>
      <c r="H67" s="1201"/>
      <c r="I67" s="1147"/>
      <c r="J67" s="1147"/>
      <c r="K67" s="1147"/>
      <c r="L67" s="1147"/>
      <c r="M67" s="1147"/>
      <c r="N67" s="1147"/>
      <c r="O67" s="1147"/>
      <c r="P67" s="1147"/>
      <c r="Q67" s="1147"/>
      <c r="R67" s="1147"/>
      <c r="S67" s="1147"/>
      <c r="T67" s="1147"/>
      <c r="U67" s="1147"/>
      <c r="V67" s="1147"/>
      <c r="W67" s="1147"/>
      <c r="X67" s="1165"/>
      <c r="Y67" s="1166"/>
      <c r="Z67" s="1167"/>
      <c r="AA67" s="1184"/>
      <c r="AB67" s="184"/>
      <c r="AC67" s="184"/>
      <c r="AD67" s="184"/>
      <c r="AE67" s="184"/>
      <c r="AF67" s="184"/>
      <c r="AG67" s="184"/>
      <c r="AH67" s="184"/>
      <c r="AI67" s="55"/>
    </row>
    <row r="68" spans="1:35" ht="27" customHeight="1" x14ac:dyDescent="0.3">
      <c r="A68" s="1134"/>
      <c r="B68" s="1135"/>
      <c r="C68" s="1320" t="s">
        <v>682</v>
      </c>
      <c r="D68" s="1196"/>
      <c r="E68" s="1192" t="s">
        <v>678</v>
      </c>
      <c r="F68" s="1151">
        <v>160</v>
      </c>
      <c r="G68" s="1152"/>
      <c r="H68" s="1201"/>
      <c r="I68" s="1147"/>
      <c r="J68" s="1147"/>
      <c r="K68" s="1147"/>
      <c r="L68" s="1147"/>
      <c r="M68" s="1147"/>
      <c r="N68" s="1147"/>
      <c r="O68" s="1147"/>
      <c r="P68" s="1147"/>
      <c r="Q68" s="1147"/>
      <c r="R68" s="1147"/>
      <c r="S68" s="1147"/>
      <c r="T68" s="1147"/>
      <c r="U68" s="1147"/>
      <c r="V68" s="1147"/>
      <c r="W68" s="1147"/>
      <c r="X68" s="1165"/>
      <c r="Y68" s="1166"/>
      <c r="Z68" s="1167"/>
      <c r="AA68" s="1185"/>
      <c r="AB68" s="1183"/>
      <c r="AC68" s="1183"/>
      <c r="AD68" s="1183"/>
      <c r="AE68" s="1183"/>
      <c r="AF68" s="1183"/>
      <c r="AG68" s="1183"/>
      <c r="AH68" s="1183"/>
      <c r="AI68" s="60"/>
    </row>
    <row r="69" spans="1:35" ht="27" customHeight="1" x14ac:dyDescent="0.3">
      <c r="A69" s="1134"/>
      <c r="B69" s="1135"/>
      <c r="C69" s="1320" t="s">
        <v>683</v>
      </c>
      <c r="D69" s="1196"/>
      <c r="E69" s="1192" t="s">
        <v>679</v>
      </c>
      <c r="F69" s="1146">
        <v>188</v>
      </c>
      <c r="G69" s="1147"/>
      <c r="H69" s="1148"/>
      <c r="I69" s="1152"/>
      <c r="J69" s="1152"/>
      <c r="K69" s="1152"/>
      <c r="L69" s="1152"/>
      <c r="M69" s="1152"/>
      <c r="N69" s="1152"/>
      <c r="O69" s="1152"/>
      <c r="P69" s="1152"/>
      <c r="Q69" s="1152"/>
      <c r="R69" s="1152"/>
      <c r="S69" s="1152"/>
      <c r="T69" s="1152"/>
      <c r="U69" s="1152"/>
      <c r="V69" s="1152"/>
      <c r="W69" s="1152"/>
      <c r="X69" s="1137"/>
      <c r="Y69" s="1137"/>
      <c r="Z69" s="1145"/>
      <c r="AA69" s="1037"/>
      <c r="AB69" s="1128"/>
      <c r="AC69" s="1128"/>
      <c r="AD69" s="1128"/>
      <c r="AE69" s="1128"/>
      <c r="AF69" s="1128"/>
      <c r="AG69" s="1128"/>
      <c r="AH69" s="1128"/>
      <c r="AI69" s="55"/>
    </row>
    <row r="70" spans="1:35" ht="27" customHeight="1" x14ac:dyDescent="0.3">
      <c r="A70" s="1134"/>
      <c r="B70" s="1135"/>
      <c r="C70" s="1320" t="s">
        <v>686</v>
      </c>
      <c r="D70" s="1196"/>
      <c r="E70" s="1192">
        <v>55</v>
      </c>
      <c r="F70" s="1146">
        <v>225</v>
      </c>
      <c r="G70" s="1147"/>
      <c r="H70" s="1148"/>
      <c r="I70" s="1152"/>
      <c r="J70" s="1152"/>
      <c r="K70" s="1152"/>
      <c r="L70" s="1152"/>
      <c r="M70" s="1152"/>
      <c r="N70" s="1152"/>
      <c r="O70" s="1152"/>
      <c r="P70" s="1152"/>
      <c r="Q70" s="1152"/>
      <c r="R70" s="1152"/>
      <c r="S70" s="1152"/>
      <c r="T70" s="1152"/>
      <c r="U70" s="1152"/>
      <c r="V70" s="1152"/>
      <c r="W70" s="1152"/>
      <c r="X70" s="1137"/>
      <c r="Y70" s="1137"/>
      <c r="Z70" s="1145"/>
      <c r="AA70" s="1044"/>
      <c r="AB70" s="1183"/>
      <c r="AC70" s="1183"/>
      <c r="AD70" s="1183"/>
      <c r="AE70" s="1183"/>
      <c r="AF70" s="1183"/>
      <c r="AG70" s="1183"/>
      <c r="AH70" s="1183"/>
      <c r="AI70" s="1186"/>
    </row>
    <row r="71" spans="1:35" ht="27" customHeight="1" x14ac:dyDescent="0.3">
      <c r="A71" s="1134"/>
      <c r="B71" s="1135"/>
      <c r="C71" s="1320" t="s">
        <v>683</v>
      </c>
      <c r="D71" s="1196"/>
      <c r="E71" s="1192">
        <v>56</v>
      </c>
      <c r="F71" s="1146">
        <v>188</v>
      </c>
      <c r="G71" s="1147"/>
      <c r="H71" s="1148"/>
      <c r="I71" s="1152"/>
      <c r="J71" s="1152"/>
      <c r="K71" s="1152"/>
      <c r="L71" s="1152"/>
      <c r="M71" s="1152"/>
      <c r="N71" s="1152"/>
      <c r="O71" s="1152"/>
      <c r="P71" s="1152"/>
      <c r="Q71" s="1152"/>
      <c r="R71" s="1152"/>
      <c r="S71" s="1152"/>
      <c r="T71" s="1152"/>
      <c r="U71" s="1152"/>
      <c r="V71" s="1152"/>
      <c r="W71" s="1152"/>
      <c r="X71" s="1137"/>
      <c r="Y71" s="1137"/>
      <c r="Z71" s="1136"/>
      <c r="AA71" s="1038"/>
      <c r="AB71" s="184"/>
      <c r="AC71" s="184"/>
      <c r="AD71" s="184"/>
      <c r="AE71" s="184"/>
      <c r="AF71" s="184"/>
      <c r="AG71" s="184"/>
      <c r="AH71" s="184"/>
      <c r="AI71" s="1129"/>
    </row>
    <row r="72" spans="1:35" ht="27" customHeight="1" x14ac:dyDescent="0.3">
      <c r="A72" s="1134"/>
      <c r="B72" s="1135"/>
      <c r="C72" s="1320" t="s">
        <v>684</v>
      </c>
      <c r="D72" s="1196"/>
      <c r="E72" s="1192">
        <v>57</v>
      </c>
      <c r="F72" s="1149">
        <v>247</v>
      </c>
      <c r="G72" s="1150"/>
      <c r="H72" s="1148"/>
      <c r="I72" s="1152"/>
      <c r="J72" s="1152"/>
      <c r="K72" s="1152"/>
      <c r="L72" s="1152"/>
      <c r="M72" s="1152"/>
      <c r="N72" s="1152"/>
      <c r="O72" s="1152"/>
      <c r="P72" s="1152"/>
      <c r="Q72" s="1152"/>
      <c r="R72" s="1152"/>
      <c r="S72" s="1152"/>
      <c r="T72" s="1152"/>
      <c r="U72" s="1152"/>
      <c r="V72" s="1152"/>
      <c r="W72" s="1152"/>
      <c r="X72" s="1139"/>
      <c r="Y72" s="1142"/>
      <c r="Z72" s="1140"/>
      <c r="AA72" s="1187"/>
      <c r="AB72" s="184"/>
      <c r="AC72" s="184"/>
      <c r="AD72" s="184"/>
      <c r="AE72" s="184"/>
      <c r="AF72" s="184"/>
      <c r="AG72" s="184"/>
      <c r="AH72" s="184"/>
      <c r="AI72" s="184"/>
    </row>
    <row r="73" spans="1:35" ht="27" customHeight="1" x14ac:dyDescent="0.3">
      <c r="A73" s="1134"/>
      <c r="B73" s="1135"/>
      <c r="C73" s="1320" t="s">
        <v>682</v>
      </c>
      <c r="D73" s="1196"/>
      <c r="E73" s="1192" t="s">
        <v>680</v>
      </c>
      <c r="F73" s="1149">
        <v>160</v>
      </c>
      <c r="G73" s="1150"/>
      <c r="H73" s="1148"/>
      <c r="I73" s="1152"/>
      <c r="J73" s="1152"/>
      <c r="K73" s="1152"/>
      <c r="L73" s="1152"/>
      <c r="M73" s="1152"/>
      <c r="N73" s="1152"/>
      <c r="O73" s="1152"/>
      <c r="P73" s="1152"/>
      <c r="Q73" s="1152"/>
      <c r="R73" s="1152"/>
      <c r="S73" s="1152"/>
      <c r="T73" s="1152"/>
      <c r="U73" s="1152"/>
      <c r="V73" s="1152"/>
      <c r="W73" s="1152"/>
      <c r="X73" s="1139"/>
      <c r="Y73" s="1142"/>
      <c r="Z73" s="1140"/>
      <c r="AA73" s="1187"/>
      <c r="AB73" s="184"/>
      <c r="AC73" s="184"/>
      <c r="AD73" s="184"/>
      <c r="AE73" s="184"/>
      <c r="AF73" s="184"/>
      <c r="AG73" s="184"/>
      <c r="AH73" s="184"/>
      <c r="AI73" s="184"/>
    </row>
    <row r="74" spans="1:35" ht="27" customHeight="1" x14ac:dyDescent="0.3">
      <c r="A74" s="1134"/>
      <c r="B74" s="1135"/>
      <c r="C74" s="1320" t="s">
        <v>686</v>
      </c>
      <c r="D74" s="1196"/>
      <c r="E74" s="1192" t="s">
        <v>681</v>
      </c>
      <c r="F74" s="1151">
        <v>225</v>
      </c>
      <c r="G74" s="1152"/>
      <c r="H74" s="1148"/>
      <c r="I74" s="1152"/>
      <c r="J74" s="1152"/>
      <c r="K74" s="1152"/>
      <c r="L74" s="1152"/>
      <c r="M74" s="1152"/>
      <c r="N74" s="1152"/>
      <c r="O74" s="1152"/>
      <c r="P74" s="1152"/>
      <c r="Q74" s="1152"/>
      <c r="R74" s="1152"/>
      <c r="S74" s="1152"/>
      <c r="T74" s="1152"/>
      <c r="U74" s="1152"/>
      <c r="V74" s="1152"/>
      <c r="W74" s="1152"/>
      <c r="X74" s="1143"/>
      <c r="Y74" s="1141"/>
      <c r="Z74" s="1140"/>
      <c r="AA74" s="1187"/>
      <c r="AB74" s="184"/>
      <c r="AC74" s="184"/>
      <c r="AD74" s="184"/>
      <c r="AE74" s="184"/>
      <c r="AF74" s="184"/>
      <c r="AG74" s="184"/>
      <c r="AH74" s="184"/>
      <c r="AI74" s="184"/>
    </row>
    <row r="75" spans="1:35" ht="27" customHeight="1" x14ac:dyDescent="0.3">
      <c r="A75" s="1169"/>
      <c r="B75" s="1170"/>
      <c r="C75" s="1321" t="s">
        <v>682</v>
      </c>
      <c r="D75" s="1202"/>
      <c r="E75" s="1193">
        <v>59</v>
      </c>
      <c r="F75" s="1198">
        <v>160</v>
      </c>
      <c r="G75" s="1199"/>
      <c r="H75" s="1181"/>
      <c r="I75" s="1687"/>
      <c r="J75" s="1687"/>
      <c r="K75" s="1687"/>
      <c r="L75" s="1687"/>
      <c r="M75" s="1687"/>
      <c r="N75" s="1687"/>
      <c r="O75" s="1687"/>
      <c r="P75" s="1687"/>
      <c r="Q75" s="1687"/>
      <c r="R75" s="1687"/>
      <c r="S75" s="1687"/>
      <c r="T75" s="1687"/>
      <c r="U75" s="1687"/>
      <c r="V75" s="1687"/>
      <c r="W75" s="1687"/>
      <c r="X75" s="1190"/>
      <c r="Y75" s="1190"/>
      <c r="Z75" s="1180"/>
      <c r="AA75" s="1039"/>
      <c r="AB75" s="57"/>
      <c r="AC75" s="57"/>
      <c r="AD75" s="57"/>
      <c r="AE75" s="57"/>
      <c r="AF75" s="57"/>
      <c r="AG75" s="57"/>
      <c r="AH75" s="57"/>
      <c r="AI75" s="53"/>
    </row>
    <row r="76" spans="1:35" ht="27" customHeight="1" thickBot="1" x14ac:dyDescent="0.35">
      <c r="A76" s="215"/>
      <c r="B76" s="216"/>
      <c r="C76" s="358"/>
      <c r="D76" s="358"/>
      <c r="E76" s="359"/>
      <c r="F76" s="1210">
        <f>SUM(F62:F75)</f>
        <v>2662</v>
      </c>
      <c r="G76" s="1144"/>
      <c r="H76" s="723"/>
      <c r="I76" s="1251"/>
      <c r="J76" s="1251"/>
      <c r="K76" s="1251"/>
      <c r="L76" s="1251"/>
      <c r="M76" s="1251"/>
      <c r="N76" s="1251"/>
      <c r="O76" s="1251"/>
      <c r="P76" s="1251"/>
      <c r="Q76" s="1251"/>
      <c r="R76" s="1251"/>
      <c r="S76" s="1251"/>
      <c r="T76" s="1251"/>
      <c r="U76" s="1251"/>
      <c r="V76" s="1251"/>
      <c r="W76" s="1251"/>
      <c r="X76" s="724"/>
      <c r="Y76" s="358"/>
      <c r="Z76" s="723"/>
      <c r="AA76" s="725"/>
      <c r="AB76" s="758"/>
      <c r="AC76" s="758"/>
      <c r="AD76" s="758"/>
      <c r="AE76" s="758"/>
      <c r="AF76" s="758"/>
      <c r="AG76" s="758"/>
      <c r="AH76" s="758"/>
      <c r="AI76" s="134"/>
    </row>
    <row r="77" spans="1:35" ht="14.4" x14ac:dyDescent="0.3">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35" ht="14.4" x14ac:dyDescent="0.3">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35" ht="14.4" x14ac:dyDescent="0.3">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35" ht="14.4" x14ac:dyDescent="0.3">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4.4" x14ac:dyDescent="0.3">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4.4" x14ac:dyDescent="0.3">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4.4" x14ac:dyDescent="0.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4.4" x14ac:dyDescent="0.3">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4.4" x14ac:dyDescent="0.3">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4.4" x14ac:dyDescent="0.3">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4.4" x14ac:dyDescent="0.3">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4.4" x14ac:dyDescent="0.3">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4.4" x14ac:dyDescent="0.3">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4.4" x14ac:dyDescent="0.3">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4.4" x14ac:dyDescent="0.3">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4.4" x14ac:dyDescent="0.3">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4.4" x14ac:dyDescent="0.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4.4" x14ac:dyDescent="0.3">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4.4" x14ac:dyDescent="0.3">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4.4" x14ac:dyDescent="0.3">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101" spans="5:7" x14ac:dyDescent="0.3">
      <c r="E101" s="19"/>
      <c r="F101" s="19"/>
      <c r="G101" s="19"/>
    </row>
    <row r="102" spans="5:7" x14ac:dyDescent="0.3">
      <c r="E102" s="19"/>
      <c r="F102" s="19"/>
      <c r="G102" s="19"/>
    </row>
    <row r="103" spans="5:7" x14ac:dyDescent="0.3">
      <c r="E103" s="19"/>
      <c r="F103" s="19"/>
      <c r="G103" s="19"/>
    </row>
  </sheetData>
  <mergeCells count="53">
    <mergeCell ref="C3:D3"/>
    <mergeCell ref="F4:H4"/>
    <mergeCell ref="AA4:AA6"/>
    <mergeCell ref="AB4:AC4"/>
    <mergeCell ref="AD4:AF4"/>
    <mergeCell ref="X6:Z6"/>
    <mergeCell ref="I5:J5"/>
    <mergeCell ref="I6:J6"/>
    <mergeCell ref="L5:N6"/>
    <mergeCell ref="I4:J4"/>
    <mergeCell ref="O5:O6"/>
    <mergeCell ref="P5:P6"/>
    <mergeCell ref="Q5:Q6"/>
    <mergeCell ref="T5:T6"/>
    <mergeCell ref="O4:U4"/>
    <mergeCell ref="AG4:AH4"/>
    <mergeCell ref="F5:H5"/>
    <mergeCell ref="X5:Z5"/>
    <mergeCell ref="AB5:AB6"/>
    <mergeCell ref="AC5:AC6"/>
    <mergeCell ref="AD5:AD6"/>
    <mergeCell ref="AF5:AF6"/>
    <mergeCell ref="AG5:AG6"/>
    <mergeCell ref="AH5:AH6"/>
    <mergeCell ref="F6:H6"/>
    <mergeCell ref="U5:U6"/>
    <mergeCell ref="R5:S6"/>
    <mergeCell ref="B28:B30"/>
    <mergeCell ref="B24:B26"/>
    <mergeCell ref="AD9:AE9"/>
    <mergeCell ref="AB10:AB13"/>
    <mergeCell ref="AD10:AD13"/>
    <mergeCell ref="AD16:AE16"/>
    <mergeCell ref="AD18:AE18"/>
    <mergeCell ref="AB21:AB30"/>
    <mergeCell ref="AD21:AD30"/>
    <mergeCell ref="B11:B13"/>
    <mergeCell ref="AD14:AE14"/>
    <mergeCell ref="B31:B33"/>
    <mergeCell ref="AD32:AE32"/>
    <mergeCell ref="B36:B38"/>
    <mergeCell ref="B39:B41"/>
    <mergeCell ref="B42:B44"/>
    <mergeCell ref="AD44:AE44"/>
    <mergeCell ref="AG10:AG13"/>
    <mergeCell ref="AG21:AG30"/>
    <mergeCell ref="F61:H61"/>
    <mergeCell ref="X61:Z61"/>
    <mergeCell ref="Y55:Z55"/>
    <mergeCell ref="F59:H59"/>
    <mergeCell ref="X59:Z59"/>
    <mergeCell ref="F60:H60"/>
    <mergeCell ref="X60:Z60"/>
  </mergeCells>
  <pageMargins left="0.31496062992125984" right="0.31496062992125984" top="0.74803149606299213" bottom="0.74803149606299213" header="0.31496062992125984" footer="0.31496062992125984"/>
  <pageSetup scale="3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C59"/>
  <sheetViews>
    <sheetView zoomScaleNormal="100" workbookViewId="0">
      <pane xSplit="4" ySplit="5" topLeftCell="E6" activePane="bottomRight" state="frozen"/>
      <selection pane="topRight" activeCell="E1" sqref="E1"/>
      <selection pane="bottomLeft" activeCell="A6" sqref="A6"/>
      <selection pane="bottomRight" activeCell="E2" sqref="E2"/>
    </sheetView>
  </sheetViews>
  <sheetFormatPr defaultColWidth="9.109375" defaultRowHeight="13.8" x14ac:dyDescent="0.25"/>
  <cols>
    <col min="1" max="2" width="3.6640625" style="5" customWidth="1"/>
    <col min="3" max="3" width="40.6640625" style="5" customWidth="1"/>
    <col min="4" max="5" width="9.6640625" style="6" customWidth="1"/>
    <col min="6" max="25" width="9.6640625" style="5" customWidth="1"/>
    <col min="26" max="26" width="30.6640625" style="5" customWidth="1"/>
    <col min="27" max="27" width="8.6640625" style="5" customWidth="1"/>
    <col min="28" max="28" width="30.6640625" style="5" customWidth="1"/>
    <col min="29" max="16384" width="9.109375" style="5"/>
  </cols>
  <sheetData>
    <row r="1" spans="1:29" ht="24" customHeight="1" x14ac:dyDescent="0.3">
      <c r="A1" s="25" t="s">
        <v>89</v>
      </c>
      <c r="B1" s="26"/>
      <c r="C1" s="27"/>
      <c r="D1" s="28"/>
      <c r="E1" s="29" t="s">
        <v>786</v>
      </c>
      <c r="F1" s="26"/>
      <c r="G1" s="26"/>
      <c r="H1" s="26"/>
      <c r="I1" s="27"/>
      <c r="J1" s="27"/>
      <c r="K1" s="27"/>
      <c r="L1" s="27"/>
      <c r="M1" s="27"/>
      <c r="N1" s="27"/>
      <c r="O1" s="27"/>
      <c r="P1" s="27"/>
      <c r="Q1" s="27"/>
      <c r="R1" s="27"/>
      <c r="S1" s="27"/>
      <c r="T1" s="27"/>
      <c r="U1" s="27"/>
      <c r="V1" s="27"/>
      <c r="W1" s="27"/>
      <c r="X1" s="27"/>
      <c r="Y1" s="27"/>
      <c r="Z1" s="27"/>
      <c r="AA1" s="27"/>
      <c r="AB1" s="31"/>
    </row>
    <row r="2" spans="1:29" s="19" customFormat="1" ht="24" customHeight="1" x14ac:dyDescent="0.25">
      <c r="A2" s="34"/>
      <c r="B2" s="12"/>
      <c r="C2" s="610" t="str">
        <f>'All Years'!C2</f>
        <v>Fixed Link Calculations Added</v>
      </c>
      <c r="D2" s="604" t="s">
        <v>0</v>
      </c>
      <c r="E2" s="37" t="str">
        <f>'All Years'!E2</f>
        <v>SFO Terminal 1 Reconstruction; Scheme Design Phase</v>
      </c>
      <c r="F2" s="12"/>
      <c r="G2" s="12"/>
      <c r="H2" s="12"/>
      <c r="I2" s="12"/>
      <c r="J2" s="12"/>
      <c r="K2" s="12"/>
      <c r="L2" s="12"/>
      <c r="M2" s="12"/>
      <c r="N2" s="12"/>
      <c r="O2" s="12"/>
      <c r="P2" s="12"/>
      <c r="Q2" s="12"/>
      <c r="R2" s="12"/>
      <c r="S2" s="12"/>
      <c r="T2" s="12"/>
      <c r="U2" s="12"/>
      <c r="V2" s="12"/>
      <c r="W2" s="12"/>
      <c r="X2" s="12"/>
      <c r="Y2" s="12"/>
      <c r="Z2" s="12"/>
      <c r="AA2" s="12"/>
      <c r="AB2" s="38"/>
    </row>
    <row r="3" spans="1:29" s="19" customFormat="1" ht="24" customHeight="1" x14ac:dyDescent="0.25">
      <c r="A3" s="39" t="s">
        <v>10</v>
      </c>
      <c r="B3" s="40"/>
      <c r="C3" s="598">
        <f>'All Years'!C3</f>
        <v>42499</v>
      </c>
      <c r="D3" s="602" t="e">
        <f>#REF!</f>
        <v>#REF!</v>
      </c>
      <c r="E3" s="2050" t="e">
        <f>#REF!</f>
        <v>#REF!</v>
      </c>
      <c r="F3" s="2051"/>
      <c r="G3" s="2048" t="e">
        <f>#REF!</f>
        <v>#REF!</v>
      </c>
      <c r="H3" s="2049"/>
      <c r="I3" s="2052" t="e">
        <f>#REF!</f>
        <v>#REF!</v>
      </c>
      <c r="J3" s="2037"/>
      <c r="K3" s="2040" t="e">
        <f>#REF!</f>
        <v>#REF!</v>
      </c>
      <c r="L3" s="2037"/>
      <c r="M3" s="2036" t="e">
        <f>#REF!</f>
        <v>#REF!</v>
      </c>
      <c r="N3" s="2037"/>
      <c r="O3" s="2040" t="e">
        <f>#REF!</f>
        <v>#REF!</v>
      </c>
      <c r="P3" s="2037"/>
      <c r="Q3" s="2040" t="e">
        <f>#REF!</f>
        <v>#REF!</v>
      </c>
      <c r="R3" s="2037"/>
      <c r="S3" s="2040" t="e">
        <f>#REF!</f>
        <v>#REF!</v>
      </c>
      <c r="T3" s="2037"/>
      <c r="U3" s="2036" t="e">
        <f>#REF!</f>
        <v>#REF!</v>
      </c>
      <c r="V3" s="2037"/>
      <c r="W3" s="2034" t="e">
        <f>#REF!</f>
        <v>#REF!</v>
      </c>
      <c r="X3" s="2035"/>
      <c r="Y3" s="22"/>
      <c r="Z3" s="22"/>
      <c r="AA3" s="75"/>
      <c r="AB3" s="225"/>
    </row>
    <row r="4" spans="1:29" s="19" customFormat="1" ht="45" customHeight="1" thickBot="1" x14ac:dyDescent="0.3">
      <c r="A4" s="261"/>
      <c r="B4" s="260"/>
      <c r="C4" s="611">
        <f>'All Years'!C4</f>
        <v>0</v>
      </c>
      <c r="D4" s="41"/>
      <c r="E4" s="2043" t="e">
        <f>#REF!</f>
        <v>#REF!</v>
      </c>
      <c r="F4" s="2044"/>
      <c r="G4" s="2045" t="e">
        <f>#REF!</f>
        <v>#REF!</v>
      </c>
      <c r="H4" s="2046"/>
      <c r="I4" s="2047" t="e">
        <f>#REF!</f>
        <v>#REF!</v>
      </c>
      <c r="J4" s="2039"/>
      <c r="K4" s="2041" t="e">
        <f>#REF!</f>
        <v>#REF!</v>
      </c>
      <c r="L4" s="2042"/>
      <c r="M4" s="2038" t="e">
        <f>#REF!</f>
        <v>#REF!</v>
      </c>
      <c r="N4" s="2039"/>
      <c r="O4" s="2041" t="e">
        <f>#REF!</f>
        <v>#REF!</v>
      </c>
      <c r="P4" s="2039"/>
      <c r="Q4" s="2041" t="e">
        <f>#REF!</f>
        <v>#REF!</v>
      </c>
      <c r="R4" s="2039"/>
      <c r="S4" s="2041" t="e">
        <f>#REF!</f>
        <v>#REF!</v>
      </c>
      <c r="T4" s="2042"/>
      <c r="U4" s="2038" t="e">
        <f>#REF!</f>
        <v>#REF!</v>
      </c>
      <c r="V4" s="2042"/>
      <c r="W4" s="2038" t="e">
        <f>#REF!</f>
        <v>#REF!</v>
      </c>
      <c r="X4" s="2039"/>
      <c r="Y4" s="12"/>
      <c r="Z4" s="12"/>
      <c r="AA4" s="212"/>
      <c r="AB4" s="262"/>
    </row>
    <row r="5" spans="1:29" s="19" customFormat="1" ht="24" customHeight="1" thickTop="1" x14ac:dyDescent="0.25">
      <c r="A5" s="67"/>
      <c r="B5" s="22"/>
      <c r="C5" s="257"/>
      <c r="D5" s="258"/>
      <c r="E5" s="49" t="s">
        <v>8</v>
      </c>
      <c r="F5" s="50" t="s">
        <v>304</v>
      </c>
      <c r="G5" s="366" t="s">
        <v>8</v>
      </c>
      <c r="H5" s="50" t="s">
        <v>304</v>
      </c>
      <c r="I5" s="356" t="s">
        <v>8</v>
      </c>
      <c r="J5" s="50" t="s">
        <v>304</v>
      </c>
      <c r="K5" s="49" t="s">
        <v>8</v>
      </c>
      <c r="L5" s="50" t="s">
        <v>304</v>
      </c>
      <c r="M5" s="366" t="s">
        <v>8</v>
      </c>
      <c r="N5" s="50" t="s">
        <v>304</v>
      </c>
      <c r="O5" s="49" t="s">
        <v>8</v>
      </c>
      <c r="P5" s="50" t="s">
        <v>304</v>
      </c>
      <c r="Q5" s="49" t="s">
        <v>8</v>
      </c>
      <c r="R5" s="50" t="s">
        <v>304</v>
      </c>
      <c r="S5" s="49" t="s">
        <v>8</v>
      </c>
      <c r="T5" s="50" t="s">
        <v>304</v>
      </c>
      <c r="U5" s="366" t="s">
        <v>8</v>
      </c>
      <c r="V5" s="50" t="s">
        <v>304</v>
      </c>
      <c r="W5" s="366" t="s">
        <v>8</v>
      </c>
      <c r="X5" s="50" t="s">
        <v>304</v>
      </c>
      <c r="Y5" s="279" t="s">
        <v>174</v>
      </c>
      <c r="Z5" s="280"/>
      <c r="AA5" s="281" t="s">
        <v>69</v>
      </c>
      <c r="AB5" s="282"/>
      <c r="AC5" s="80"/>
    </row>
    <row r="6" spans="1:29" s="19" customFormat="1" ht="24" customHeight="1" x14ac:dyDescent="0.25">
      <c r="A6" s="2057" t="s">
        <v>2</v>
      </c>
      <c r="B6" s="2058"/>
      <c r="C6" s="12" t="s">
        <v>317</v>
      </c>
      <c r="D6" s="54" t="s">
        <v>4</v>
      </c>
      <c r="E6" s="355" t="e">
        <f>#REF!</f>
        <v>#REF!</v>
      </c>
      <c r="F6" s="54"/>
      <c r="G6" s="367" t="e">
        <f>#REF!</f>
        <v>#REF!</v>
      </c>
      <c r="H6" s="54"/>
      <c r="I6" s="357" t="e">
        <f>#REF!</f>
        <v>#REF!</v>
      </c>
      <c r="J6" s="54"/>
      <c r="K6" s="367" t="e">
        <f>#REF!</f>
        <v>#REF!</v>
      </c>
      <c r="L6" s="54"/>
      <c r="M6" s="367" t="e">
        <f>#REF!</f>
        <v>#REF!</v>
      </c>
      <c r="N6" s="54"/>
      <c r="O6" s="355" t="e">
        <f>#REF!</f>
        <v>#REF!</v>
      </c>
      <c r="P6" s="54"/>
      <c r="Q6" s="355" t="e">
        <f>#REF!</f>
        <v>#REF!</v>
      </c>
      <c r="R6" s="55"/>
      <c r="S6" s="355" t="e">
        <f>#REF!</f>
        <v>#REF!</v>
      </c>
      <c r="T6" s="55"/>
      <c r="U6" s="367" t="e">
        <f>#REF!</f>
        <v>#REF!</v>
      </c>
      <c r="V6" s="55"/>
      <c r="W6" s="367" t="e">
        <f>#REF!</f>
        <v>#REF!</v>
      </c>
      <c r="X6" s="55"/>
      <c r="Y6" s="283">
        <v>0.05</v>
      </c>
      <c r="Z6" s="47" t="s">
        <v>65</v>
      </c>
      <c r="AA6" s="284">
        <v>1.3</v>
      </c>
      <c r="AB6" s="285" t="s">
        <v>68</v>
      </c>
      <c r="AC6" s="5"/>
    </row>
    <row r="7" spans="1:29" s="19" customFormat="1" ht="24" customHeight="1" x14ac:dyDescent="0.25">
      <c r="A7" s="2057"/>
      <c r="B7" s="2058"/>
      <c r="C7" s="12" t="s">
        <v>6</v>
      </c>
      <c r="D7" s="54" t="s">
        <v>5</v>
      </c>
      <c r="E7" s="331" t="e">
        <f>#REF!</f>
        <v>#REF!</v>
      </c>
      <c r="F7" s="54"/>
      <c r="G7" s="383" t="e">
        <f>#REF!</f>
        <v>#REF!</v>
      </c>
      <c r="H7" s="54"/>
      <c r="I7" s="369" t="e">
        <f>#REF!</f>
        <v>#REF!</v>
      </c>
      <c r="J7" s="54"/>
      <c r="K7" s="383" t="e">
        <f>#REF!</f>
        <v>#REF!</v>
      </c>
      <c r="L7" s="54"/>
      <c r="M7" s="383" t="e">
        <f>#REF!</f>
        <v>#REF!</v>
      </c>
      <c r="N7" s="54"/>
      <c r="O7" s="331" t="e">
        <f>#REF!</f>
        <v>#REF!</v>
      </c>
      <c r="P7" s="54"/>
      <c r="Q7" s="331" t="e">
        <f>#REF!</f>
        <v>#REF!</v>
      </c>
      <c r="R7" s="55"/>
      <c r="S7" s="331" t="e">
        <f>#REF!</f>
        <v>#REF!</v>
      </c>
      <c r="T7" s="55"/>
      <c r="U7" s="383" t="e">
        <f>#REF!</f>
        <v>#REF!</v>
      </c>
      <c r="V7" s="55"/>
      <c r="W7" s="383" t="e">
        <f>#REF!</f>
        <v>#REF!</v>
      </c>
      <c r="X7" s="135"/>
      <c r="Y7" s="283">
        <v>0.08</v>
      </c>
      <c r="Z7" s="47" t="s">
        <v>64</v>
      </c>
      <c r="AA7" s="284">
        <v>2</v>
      </c>
      <c r="AB7" s="285" t="s">
        <v>67</v>
      </c>
      <c r="AC7" s="5"/>
    </row>
    <row r="8" spans="1:29" s="19" customFormat="1" ht="24" customHeight="1" thickBot="1" x14ac:dyDescent="0.3">
      <c r="A8" s="2059"/>
      <c r="B8" s="2060"/>
      <c r="C8" s="22" t="s">
        <v>3</v>
      </c>
      <c r="D8" s="59" t="s">
        <v>5</v>
      </c>
      <c r="E8" s="332" t="e">
        <f>#REF!</f>
        <v>#REF!</v>
      </c>
      <c r="F8" s="59"/>
      <c r="G8" s="384" t="e">
        <f>#REF!</f>
        <v>#REF!</v>
      </c>
      <c r="H8" s="59"/>
      <c r="I8" s="370" t="e">
        <f>#REF!</f>
        <v>#REF!</v>
      </c>
      <c r="J8" s="64"/>
      <c r="K8" s="384" t="e">
        <f>#REF!</f>
        <v>#REF!</v>
      </c>
      <c r="L8" s="59"/>
      <c r="M8" s="384" t="e">
        <f>#REF!</f>
        <v>#REF!</v>
      </c>
      <c r="N8" s="59"/>
      <c r="O8" s="332" t="e">
        <f>#REF!</f>
        <v>#REF!</v>
      </c>
      <c r="P8" s="59"/>
      <c r="Q8" s="332" t="e">
        <f>#REF!</f>
        <v>#REF!</v>
      </c>
      <c r="R8" s="59"/>
      <c r="S8" s="332" t="e">
        <f>#REF!</f>
        <v>#REF!</v>
      </c>
      <c r="T8" s="59"/>
      <c r="U8" s="384" t="e">
        <f>#REF!</f>
        <v>#REF!</v>
      </c>
      <c r="V8" s="59"/>
      <c r="W8" s="384" t="e">
        <f>#REF!</f>
        <v>#REF!</v>
      </c>
      <c r="X8" s="136"/>
      <c r="Y8" s="286">
        <v>0.12</v>
      </c>
      <c r="Z8" s="287" t="s">
        <v>63</v>
      </c>
      <c r="AA8" s="288">
        <v>3</v>
      </c>
      <c r="AB8" s="289" t="s">
        <v>66</v>
      </c>
      <c r="AC8" s="5"/>
    </row>
    <row r="9" spans="1:29" s="19" customFormat="1" ht="24" hidden="1" customHeight="1" thickTop="1" x14ac:dyDescent="0.25">
      <c r="A9" s="52" t="s">
        <v>169</v>
      </c>
      <c r="B9" s="65"/>
      <c r="C9" s="12"/>
      <c r="D9" s="13"/>
      <c r="E9" s="81"/>
      <c r="F9" s="13"/>
      <c r="G9" s="385"/>
      <c r="H9" s="302"/>
      <c r="I9" s="371"/>
      <c r="J9" s="13"/>
      <c r="K9" s="81"/>
      <c r="L9" s="13"/>
      <c r="M9" s="385"/>
      <c r="N9" s="13"/>
      <c r="O9" s="81"/>
      <c r="P9" s="13"/>
      <c r="Q9" s="81"/>
      <c r="R9" s="12"/>
      <c r="S9" s="81"/>
      <c r="T9" s="12"/>
      <c r="U9" s="385"/>
      <c r="V9" s="12"/>
      <c r="W9" s="385"/>
      <c r="X9" s="15"/>
      <c r="Y9" s="11"/>
      <c r="Z9" s="12"/>
      <c r="AA9" s="12"/>
      <c r="AB9" s="38"/>
    </row>
    <row r="10" spans="1:29" s="19" customFormat="1" ht="24" hidden="1" customHeight="1" x14ac:dyDescent="0.25">
      <c r="A10" s="34"/>
      <c r="B10" s="12"/>
      <c r="C10" s="53" t="s">
        <v>42</v>
      </c>
      <c r="D10" s="13" t="s">
        <v>41</v>
      </c>
      <c r="E10" s="263" t="e">
        <f>#REF!</f>
        <v>#REF!</v>
      </c>
      <c r="F10" s="13"/>
      <c r="G10" s="386"/>
      <c r="H10" s="302"/>
      <c r="I10" s="372" t="e">
        <f>#REF!</f>
        <v>#REF!</v>
      </c>
      <c r="J10" s="13"/>
      <c r="K10" s="263" t="e">
        <f>#REF!</f>
        <v>#REF!</v>
      </c>
      <c r="L10" s="13"/>
      <c r="M10" s="386" t="e">
        <f>#REF!</f>
        <v>#REF!</v>
      </c>
      <c r="N10" s="13"/>
      <c r="O10" s="263" t="e">
        <f>#REF!</f>
        <v>#REF!</v>
      </c>
      <c r="P10" s="13"/>
      <c r="Q10" s="263" t="e">
        <f>#REF!</f>
        <v>#REF!</v>
      </c>
      <c r="R10" s="265"/>
      <c r="S10" s="263" t="e">
        <f>#REF!</f>
        <v>#REF!</v>
      </c>
      <c r="T10" s="265"/>
      <c r="U10" s="386" t="e">
        <f>#REF!</f>
        <v>#REF!</v>
      </c>
      <c r="V10" s="265"/>
      <c r="W10" s="386" t="e">
        <f>#REF!</f>
        <v>#REF!</v>
      </c>
      <c r="X10" s="15"/>
      <c r="Y10" s="57" t="s">
        <v>61</v>
      </c>
      <c r="Z10" s="12"/>
      <c r="AA10" s="12"/>
      <c r="AB10" s="38"/>
    </row>
    <row r="11" spans="1:29" s="19" customFormat="1" ht="24" hidden="1" customHeight="1" x14ac:dyDescent="0.25">
      <c r="A11" s="34"/>
      <c r="B11" s="12"/>
      <c r="C11" s="53" t="s">
        <v>170</v>
      </c>
      <c r="D11" s="13" t="s">
        <v>43</v>
      </c>
      <c r="E11" s="148" t="e">
        <f>E$10*$Y11</f>
        <v>#REF!</v>
      </c>
      <c r="F11" s="13"/>
      <c r="G11" s="387"/>
      <c r="H11" s="302"/>
      <c r="I11" s="373" t="e">
        <f>I$10*$Y11</f>
        <v>#REF!</v>
      </c>
      <c r="J11" s="13"/>
      <c r="K11" s="148" t="e">
        <f>K$10*$Y11</f>
        <v>#REF!</v>
      </c>
      <c r="L11" s="13"/>
      <c r="M11" s="387" t="e">
        <f>M$10*$Y11</f>
        <v>#REF!</v>
      </c>
      <c r="N11" s="13"/>
      <c r="O11" s="148" t="e">
        <f>O$10*$Y11</f>
        <v>#REF!</v>
      </c>
      <c r="P11" s="13"/>
      <c r="Q11" s="148" t="e">
        <f>Q$10*$Y11</f>
        <v>#REF!</v>
      </c>
      <c r="R11" s="12"/>
      <c r="S11" s="148" t="e">
        <f>S$10*$Y11</f>
        <v>#REF!</v>
      </c>
      <c r="T11" s="12"/>
      <c r="U11" s="387" t="e">
        <f>U$10*$Y11</f>
        <v>#REF!</v>
      </c>
      <c r="V11" s="12"/>
      <c r="W11" s="387" t="e">
        <f>W$10*$Y11</f>
        <v>#REF!</v>
      </c>
      <c r="X11" s="12"/>
      <c r="Y11" s="82">
        <v>0.55000000000000004</v>
      </c>
      <c r="Z11" s="2073" t="s">
        <v>72</v>
      </c>
      <c r="AA11" s="2073"/>
      <c r="AB11" s="2074"/>
    </row>
    <row r="12" spans="1:29" s="19" customFormat="1" ht="24" hidden="1" customHeight="1" x14ac:dyDescent="0.25">
      <c r="A12" s="34"/>
      <c r="B12" s="22"/>
      <c r="C12" s="58"/>
      <c r="D12" s="220" t="s">
        <v>44</v>
      </c>
      <c r="E12" s="266" t="e">
        <f>E$10*$Y12</f>
        <v>#REF!</v>
      </c>
      <c r="F12" s="347"/>
      <c r="G12" s="388"/>
      <c r="H12" s="389"/>
      <c r="I12" s="374" t="e">
        <f>I$10*$Y12</f>
        <v>#REF!</v>
      </c>
      <c r="J12" s="347"/>
      <c r="K12" s="266" t="e">
        <f>K$10*$Y12</f>
        <v>#REF!</v>
      </c>
      <c r="L12" s="347"/>
      <c r="M12" s="388" t="e">
        <f>M$10*$Y12</f>
        <v>#REF!</v>
      </c>
      <c r="N12" s="347"/>
      <c r="O12" s="266" t="e">
        <f>O$10*$Y12</f>
        <v>#REF!</v>
      </c>
      <c r="P12" s="347"/>
      <c r="Q12" s="266" t="e">
        <f>Q$10*$Y12</f>
        <v>#REF!</v>
      </c>
      <c r="R12" s="22"/>
      <c r="S12" s="266" t="e">
        <f>S$10*$Y12</f>
        <v>#REF!</v>
      </c>
      <c r="T12" s="22"/>
      <c r="U12" s="388" t="e">
        <f>U$10*$Y12</f>
        <v>#REF!</v>
      </c>
      <c r="V12" s="22"/>
      <c r="W12" s="388" t="e">
        <f>W$10*$Y12</f>
        <v>#REF!</v>
      </c>
      <c r="X12" s="22"/>
      <c r="Y12" s="100">
        <v>0.55000000000000004</v>
      </c>
      <c r="Z12" s="2075"/>
      <c r="AA12" s="2075"/>
      <c r="AB12" s="2076"/>
    </row>
    <row r="13" spans="1:29" s="19" customFormat="1" ht="24" hidden="1" customHeight="1" x14ac:dyDescent="0.25">
      <c r="A13" s="34"/>
      <c r="B13" s="173" t="s">
        <v>49</v>
      </c>
      <c r="C13" s="12"/>
      <c r="D13" s="12"/>
      <c r="E13" s="11"/>
      <c r="F13" s="12"/>
      <c r="G13" s="361"/>
      <c r="H13" s="300"/>
      <c r="I13" s="375"/>
      <c r="J13" s="12"/>
      <c r="K13" s="11"/>
      <c r="L13" s="12"/>
      <c r="M13" s="361"/>
      <c r="N13" s="12"/>
      <c r="O13" s="11"/>
      <c r="P13" s="12"/>
      <c r="Q13" s="11"/>
      <c r="R13" s="12"/>
      <c r="S13" s="11"/>
      <c r="T13" s="12"/>
      <c r="U13" s="361"/>
      <c r="V13" s="12"/>
      <c r="W13" s="361"/>
      <c r="X13" s="12"/>
      <c r="Y13" s="11"/>
      <c r="Z13" s="12"/>
      <c r="AA13" s="12"/>
      <c r="AB13" s="38"/>
    </row>
    <row r="14" spans="1:29" s="19" customFormat="1" ht="24" hidden="1" customHeight="1" x14ac:dyDescent="0.25">
      <c r="A14" s="34"/>
      <c r="B14" s="12"/>
      <c r="C14" s="12" t="s">
        <v>46</v>
      </c>
      <c r="D14" s="13" t="s">
        <v>9</v>
      </c>
      <c r="E14" s="268" t="e">
        <f>IF(E11&gt;100,ROUNDUP(1+((E11-100)/200),0),1)</f>
        <v>#REF!</v>
      </c>
      <c r="F14" s="13"/>
      <c r="G14" s="390"/>
      <c r="H14" s="302"/>
      <c r="I14" s="376" t="e">
        <f>IF(I11&gt;100,ROUNDUP(1+((I11-100)/200),0),1)</f>
        <v>#REF!</v>
      </c>
      <c r="J14" s="13"/>
      <c r="K14" s="268" t="e">
        <f>IF(K11&gt;100,ROUNDUP(1+((K11-100)/200),0),1)</f>
        <v>#REF!</v>
      </c>
      <c r="L14" s="13"/>
      <c r="M14" s="390" t="e">
        <f>IF(M11&gt;100,ROUNDUP(1+((M11-100)/200),0),1)</f>
        <v>#REF!</v>
      </c>
      <c r="N14" s="13"/>
      <c r="O14" s="268" t="e">
        <f>IF(O11&gt;100,ROUNDUP(1+((O11-100)/200),0),1)</f>
        <v>#REF!</v>
      </c>
      <c r="P14" s="13"/>
      <c r="Q14" s="268" t="e">
        <f>IF(Q11&gt;100,ROUNDUP(1+((Q11-100)/200),0),1)</f>
        <v>#REF!</v>
      </c>
      <c r="R14" s="269"/>
      <c r="S14" s="268" t="e">
        <f>IF(S11&gt;100,ROUNDUP(1+((S11-100)/200),0),1)</f>
        <v>#REF!</v>
      </c>
      <c r="T14" s="269"/>
      <c r="U14" s="390" t="e">
        <f>IF(U11&gt;100,ROUNDUP(1+((U11-100)/200),0),1)</f>
        <v>#REF!</v>
      </c>
      <c r="V14" s="269"/>
      <c r="W14" s="390" t="e">
        <f>IF(W11&gt;100,ROUNDUP(1+((W11-100)/200),0),1)</f>
        <v>#REF!</v>
      </c>
      <c r="X14" s="12"/>
      <c r="Y14" s="2067" t="s">
        <v>288</v>
      </c>
      <c r="Z14" s="2073"/>
      <c r="AA14" s="2073"/>
      <c r="AB14" s="2074"/>
    </row>
    <row r="15" spans="1:29" s="19" customFormat="1" ht="24" hidden="1" customHeight="1" x14ac:dyDescent="0.25">
      <c r="A15" s="34"/>
      <c r="B15" s="12"/>
      <c r="C15" s="12" t="s">
        <v>47</v>
      </c>
      <c r="D15" s="13" t="s">
        <v>9</v>
      </c>
      <c r="E15" s="268" t="e">
        <f>IF(E11&gt;250,ROUNDUP(5+((E11-250)/250),0),ROUNDUP(E11/50,0))</f>
        <v>#REF!</v>
      </c>
      <c r="F15" s="13"/>
      <c r="G15" s="390"/>
      <c r="H15" s="302"/>
      <c r="I15" s="376" t="e">
        <f>IF(I11&gt;250,ROUNDUP(5+((I11-250)/250),0),ROUNDUP(I11/50,0))</f>
        <v>#REF!</v>
      </c>
      <c r="J15" s="13"/>
      <c r="K15" s="268" t="e">
        <f>IF(K11&gt;250,ROUNDUP(5+((K11-250)/250),0),ROUNDUP(K11/50,0))</f>
        <v>#REF!</v>
      </c>
      <c r="L15" s="13"/>
      <c r="M15" s="390" t="e">
        <f>IF(M11&gt;250,ROUNDUP(5+((M11-250)/250),0),ROUNDUP(M11/50,0))</f>
        <v>#REF!</v>
      </c>
      <c r="N15" s="13"/>
      <c r="O15" s="268" t="e">
        <f>IF(O11&gt;250,ROUNDUP(5+((O11-250)/250),0),ROUNDUP(O11/50,0))</f>
        <v>#REF!</v>
      </c>
      <c r="P15" s="13"/>
      <c r="Q15" s="268" t="e">
        <f>IF(Q11&gt;250,ROUNDUP(5+((Q11-250)/250),0),ROUNDUP(Q11/50,0))</f>
        <v>#REF!</v>
      </c>
      <c r="R15" s="269"/>
      <c r="S15" s="268" t="e">
        <f>IF(S11&gt;250,ROUNDUP(5+((S11-250)/250),0),ROUNDUP(S11/50,0))</f>
        <v>#REF!</v>
      </c>
      <c r="T15" s="269"/>
      <c r="U15" s="390" t="e">
        <f>IF(U11&gt;250,ROUNDUP(5+((U11-250)/250),0),ROUNDUP(U11/50,0))</f>
        <v>#REF!</v>
      </c>
      <c r="V15" s="269"/>
      <c r="W15" s="390" t="e">
        <f>IF(W11&gt;250,ROUNDUP(5+((W11-250)/250),0),ROUNDUP(W11/50,0))</f>
        <v>#REF!</v>
      </c>
      <c r="X15" s="12"/>
      <c r="Y15" s="2077"/>
      <c r="Z15" s="2073"/>
      <c r="AA15" s="2073"/>
      <c r="AB15" s="2074"/>
    </row>
    <row r="16" spans="1:29" s="19" customFormat="1" ht="24" hidden="1" customHeight="1" x14ac:dyDescent="0.25">
      <c r="A16" s="34"/>
      <c r="B16" s="12"/>
      <c r="C16" s="12" t="s">
        <v>48</v>
      </c>
      <c r="D16" s="13" t="s">
        <v>9</v>
      </c>
      <c r="E16" s="268" t="e">
        <f>IF(E12&gt;250,ROUNDUP(6+((E12-250)/100),0),IF(E12&gt;50,ROUNDUP(3+((E12-50)/50),0),ROUNDUP(E12/25,0)))</f>
        <v>#REF!</v>
      </c>
      <c r="F16" s="13"/>
      <c r="G16" s="390"/>
      <c r="H16" s="302"/>
      <c r="I16" s="376" t="e">
        <f>IF(I12&gt;250,ROUNDUP(6+((I12-250)/100),0),IF(I12&gt;50,ROUNDUP(3+((I12-50)/50),0),ROUNDUP(I12/25,0)))</f>
        <v>#REF!</v>
      </c>
      <c r="J16" s="13"/>
      <c r="K16" s="268" t="e">
        <f>IF(K12&gt;250,ROUNDUP(6+((K12-250)/100),0),IF(K12&gt;50,ROUNDUP(3+((K12-50)/50),0),ROUNDUP(K12/25,0)))</f>
        <v>#REF!</v>
      </c>
      <c r="L16" s="13"/>
      <c r="M16" s="390" t="e">
        <f>IF(M12&gt;250,ROUNDUP(6+((M12-250)/100),0),IF(M12&gt;50,ROUNDUP(3+((M12-50)/50),0),ROUNDUP(M12/25,0)))</f>
        <v>#REF!</v>
      </c>
      <c r="N16" s="13"/>
      <c r="O16" s="268" t="e">
        <f>IF(O12&gt;250,ROUNDUP(6+((O12-250)/100),0),IF(O12&gt;50,ROUNDUP(3+((O12-50)/50),0),ROUNDUP(O12/25,0)))</f>
        <v>#REF!</v>
      </c>
      <c r="P16" s="13"/>
      <c r="Q16" s="268" t="e">
        <f>IF(Q12&gt;250,ROUNDUP(6+((Q12-250)/100),0),IF(Q12&gt;50,ROUNDUP(3+((Q12-50)/50),0),ROUNDUP(Q12/25,0)))</f>
        <v>#REF!</v>
      </c>
      <c r="R16" s="269"/>
      <c r="S16" s="268" t="e">
        <f>IF(S12&gt;250,ROUNDUP(6+((S12-250)/100),0),IF(S12&gt;50,ROUNDUP(3+((S12-50)/50),0),ROUNDUP(S12/25,0)))</f>
        <v>#REF!</v>
      </c>
      <c r="T16" s="269"/>
      <c r="U16" s="390" t="e">
        <f>IF(U12&gt;250,ROUNDUP(6+((U12-250)/100),0),IF(U12&gt;50,ROUNDUP(3+((U12-50)/50),0),ROUNDUP(U12/25,0)))</f>
        <v>#REF!</v>
      </c>
      <c r="V16" s="269"/>
      <c r="W16" s="390" t="e">
        <f>IF(W12&gt;250,ROUNDUP(6+((W12-250)/100),0),IF(W12&gt;50,ROUNDUP(3+((W12-50)/50),0),ROUNDUP(W12/25,0)))</f>
        <v>#REF!</v>
      </c>
      <c r="X16" s="12"/>
      <c r="Y16" s="2077"/>
      <c r="Z16" s="2073"/>
      <c r="AA16" s="2073"/>
      <c r="AB16" s="2074"/>
    </row>
    <row r="17" spans="1:28" s="19" customFormat="1" ht="24" hidden="1" customHeight="1" x14ac:dyDescent="0.25">
      <c r="A17" s="34"/>
      <c r="B17" s="173" t="s">
        <v>50</v>
      </c>
      <c r="C17" s="12"/>
      <c r="D17" s="13"/>
      <c r="E17" s="270" t="s">
        <v>62</v>
      </c>
      <c r="F17" s="13"/>
      <c r="G17" s="391"/>
      <c r="H17" s="302"/>
      <c r="I17" s="377"/>
      <c r="J17" s="13"/>
      <c r="K17" s="270"/>
      <c r="L17" s="13"/>
      <c r="M17" s="391"/>
      <c r="N17" s="13"/>
      <c r="O17" s="270"/>
      <c r="P17" s="13"/>
      <c r="Q17" s="270"/>
      <c r="R17" s="12"/>
      <c r="S17" s="270"/>
      <c r="T17" s="12"/>
      <c r="U17" s="391"/>
      <c r="V17" s="12"/>
      <c r="W17" s="391"/>
      <c r="X17" s="15"/>
      <c r="Y17" s="271" t="s">
        <v>171</v>
      </c>
      <c r="Z17" s="12"/>
      <c r="AA17" s="12"/>
      <c r="AB17" s="38"/>
    </row>
    <row r="18" spans="1:28" s="19" customFormat="1" ht="24" hidden="1" customHeight="1" x14ac:dyDescent="0.25">
      <c r="A18" s="34"/>
      <c r="B18" s="12"/>
      <c r="C18" s="12" t="s">
        <v>52</v>
      </c>
      <c r="D18" s="13" t="s">
        <v>41</v>
      </c>
      <c r="E18" s="148" t="e">
        <f>ROUNDUP(E11*$Y$18,0)</f>
        <v>#REF!</v>
      </c>
      <c r="F18" s="13"/>
      <c r="G18" s="387"/>
      <c r="H18" s="302"/>
      <c r="I18" s="373" t="e">
        <f>ROUNDUP(I11*$Y$18,0)</f>
        <v>#REF!</v>
      </c>
      <c r="J18" s="13"/>
      <c r="K18" s="148" t="e">
        <f>ROUNDUP(K11*$Y$18,0)</f>
        <v>#REF!</v>
      </c>
      <c r="L18" s="13"/>
      <c r="M18" s="387" t="e">
        <f>ROUNDUP(M11*$Y$18,0)</f>
        <v>#REF!</v>
      </c>
      <c r="N18" s="13"/>
      <c r="O18" s="148" t="e">
        <f>ROUNDUP(O11*$Y$18,0)</f>
        <v>#REF!</v>
      </c>
      <c r="P18" s="13"/>
      <c r="Q18" s="148" t="e">
        <f>ROUNDUP(Q11*$Y$18,0)</f>
        <v>#REF!</v>
      </c>
      <c r="R18" s="12"/>
      <c r="S18" s="148" t="e">
        <f>ROUNDUP(S11*$Y$18,0)</f>
        <v>#REF!</v>
      </c>
      <c r="T18" s="12"/>
      <c r="U18" s="387" t="e">
        <f>ROUNDUP(U11*$Y$18,0)</f>
        <v>#REF!</v>
      </c>
      <c r="V18" s="12"/>
      <c r="W18" s="387" t="e">
        <f>ROUNDUP(W11*$Y$18,0)</f>
        <v>#REF!</v>
      </c>
      <c r="X18" s="15"/>
      <c r="Y18" s="272">
        <v>6.5000000000000002E-2</v>
      </c>
      <c r="Z18" s="47" t="s">
        <v>57</v>
      </c>
      <c r="AA18" s="12"/>
      <c r="AB18" s="38"/>
    </row>
    <row r="19" spans="1:28" s="19" customFormat="1" ht="24" hidden="1" customHeight="1" x14ac:dyDescent="0.25">
      <c r="A19" s="34"/>
      <c r="B19" s="12"/>
      <c r="C19" s="12" t="s">
        <v>51</v>
      </c>
      <c r="D19" s="13" t="s">
        <v>41</v>
      </c>
      <c r="E19" s="148" t="e">
        <f>ROUNDUP(E12*$Y$18,0)</f>
        <v>#REF!</v>
      </c>
      <c r="F19" s="13"/>
      <c r="G19" s="387"/>
      <c r="H19" s="302"/>
      <c r="I19" s="373" t="e">
        <f>ROUNDUP(I12*$Y$18,0)</f>
        <v>#REF!</v>
      </c>
      <c r="J19" s="13"/>
      <c r="K19" s="148" t="e">
        <f>ROUNDUP(K12*$Y$18,0)</f>
        <v>#REF!</v>
      </c>
      <c r="L19" s="13"/>
      <c r="M19" s="387" t="e">
        <f>ROUNDUP(M12*$Y$18,0)</f>
        <v>#REF!</v>
      </c>
      <c r="N19" s="13"/>
      <c r="O19" s="148" t="e">
        <f>ROUNDUP(O12*$Y$18,0)</f>
        <v>#REF!</v>
      </c>
      <c r="P19" s="13"/>
      <c r="Q19" s="148" t="e">
        <f>ROUNDUP(Q12*$Y$18,0)</f>
        <v>#REF!</v>
      </c>
      <c r="R19" s="12"/>
      <c r="S19" s="148" t="e">
        <f>ROUNDUP(S12*$Y$18,0)</f>
        <v>#REF!</v>
      </c>
      <c r="T19" s="12"/>
      <c r="U19" s="387" t="e">
        <f>ROUNDUP(U12*$Y$18,0)</f>
        <v>#REF!</v>
      </c>
      <c r="V19" s="12"/>
      <c r="W19" s="387" t="e">
        <f>ROUNDUP(W12*$Y$18,0)</f>
        <v>#REF!</v>
      </c>
      <c r="X19" s="15"/>
      <c r="Y19" s="273">
        <v>2</v>
      </c>
      <c r="Z19" s="274" t="s">
        <v>53</v>
      </c>
      <c r="AA19" s="275">
        <v>3</v>
      </c>
      <c r="AB19" s="276" t="s">
        <v>54</v>
      </c>
    </row>
    <row r="20" spans="1:28" s="19" customFormat="1" ht="24" hidden="1" customHeight="1" x14ac:dyDescent="0.25">
      <c r="A20" s="34"/>
      <c r="B20" s="12"/>
      <c r="C20" s="12" t="s">
        <v>55</v>
      </c>
      <c r="D20" s="13" t="s">
        <v>9</v>
      </c>
      <c r="E20" s="148" t="e">
        <f>ROUNDUP(E18/$Y$20,0)</f>
        <v>#REF!</v>
      </c>
      <c r="F20" s="13"/>
      <c r="G20" s="387"/>
      <c r="H20" s="302"/>
      <c r="I20" s="373" t="e">
        <f>ROUNDUP(I18/$Y$20,0)</f>
        <v>#REF!</v>
      </c>
      <c r="J20" s="13"/>
      <c r="K20" s="148" t="e">
        <f>ROUNDUP(K18/$Y$20,0)</f>
        <v>#REF!</v>
      </c>
      <c r="L20" s="13"/>
      <c r="M20" s="387" t="e">
        <f>ROUNDUP(M18/$Y$20,0)</f>
        <v>#REF!</v>
      </c>
      <c r="N20" s="13"/>
      <c r="O20" s="148" t="e">
        <f>ROUNDUP(O18/$Y$20,0)</f>
        <v>#REF!</v>
      </c>
      <c r="P20" s="13"/>
      <c r="Q20" s="148" t="e">
        <f>ROUNDUP(Q18/$Y$20,0)</f>
        <v>#REF!</v>
      </c>
      <c r="R20" s="12"/>
      <c r="S20" s="148" t="e">
        <f>ROUNDUP(S18/$Y$20,0)</f>
        <v>#REF!</v>
      </c>
      <c r="T20" s="12"/>
      <c r="U20" s="387" t="e">
        <f>ROUNDUP(U18/$Y$20,0)</f>
        <v>#REF!</v>
      </c>
      <c r="V20" s="12"/>
      <c r="W20" s="387" t="e">
        <f>ROUNDUP(W18/$Y$20,0)</f>
        <v>#REF!</v>
      </c>
      <c r="X20" s="15"/>
      <c r="Y20" s="273">
        <v>2</v>
      </c>
      <c r="Z20" s="47" t="s">
        <v>286</v>
      </c>
      <c r="AA20" s="12"/>
      <c r="AB20" s="38"/>
    </row>
    <row r="21" spans="1:28" s="19" customFormat="1" ht="24" hidden="1" customHeight="1" x14ac:dyDescent="0.25">
      <c r="A21" s="34"/>
      <c r="B21" s="12"/>
      <c r="C21" s="17" t="s">
        <v>58</v>
      </c>
      <c r="D21" s="13" t="s">
        <v>9</v>
      </c>
      <c r="E21" s="277" t="e">
        <f>ROUNDUP(E20*0.3,0)</f>
        <v>#REF!</v>
      </c>
      <c r="F21" s="13"/>
      <c r="G21" s="392"/>
      <c r="H21" s="302"/>
      <c r="I21" s="378" t="e">
        <f>ROUNDUP(I20*0.3,0)</f>
        <v>#REF!</v>
      </c>
      <c r="J21" s="13"/>
      <c r="K21" s="277" t="e">
        <f>ROUNDUP(K20*0.3,0)</f>
        <v>#REF!</v>
      </c>
      <c r="L21" s="13"/>
      <c r="M21" s="392" t="e">
        <f>ROUNDUP(M20*0.3,0)</f>
        <v>#REF!</v>
      </c>
      <c r="N21" s="13"/>
      <c r="O21" s="277" t="e">
        <f>ROUNDUP(O20*0.3,0)</f>
        <v>#REF!</v>
      </c>
      <c r="P21" s="13"/>
      <c r="Q21" s="277" t="e">
        <f>ROUNDUP(Q20*0.3,0)</f>
        <v>#REF!</v>
      </c>
      <c r="R21" s="212"/>
      <c r="S21" s="277" t="e">
        <f>ROUNDUP(S20*0.3,0)</f>
        <v>#REF!</v>
      </c>
      <c r="T21" s="212"/>
      <c r="U21" s="392" t="e">
        <f>ROUNDUP(U20*0.3,0)</f>
        <v>#REF!</v>
      </c>
      <c r="V21" s="212"/>
      <c r="W21" s="392" t="e">
        <f>ROUNDUP(W20*0.3,0)</f>
        <v>#REF!</v>
      </c>
      <c r="X21" s="15"/>
      <c r="Y21" s="267" t="s">
        <v>70</v>
      </c>
      <c r="Z21" s="12"/>
      <c r="AA21" s="12"/>
      <c r="AB21" s="38"/>
    </row>
    <row r="22" spans="1:28" s="19" customFormat="1" ht="24" hidden="1" customHeight="1" x14ac:dyDescent="0.25">
      <c r="A22" s="34"/>
      <c r="B22" s="12"/>
      <c r="C22" s="17" t="s">
        <v>59</v>
      </c>
      <c r="D22" s="13" t="s">
        <v>9</v>
      </c>
      <c r="E22" s="277" t="e">
        <f>E20-E21</f>
        <v>#REF!</v>
      </c>
      <c r="F22" s="13"/>
      <c r="G22" s="392"/>
      <c r="H22" s="302"/>
      <c r="I22" s="378" t="e">
        <f>I20-I21</f>
        <v>#REF!</v>
      </c>
      <c r="J22" s="13"/>
      <c r="K22" s="277" t="e">
        <f>K20-K21</f>
        <v>#REF!</v>
      </c>
      <c r="L22" s="13"/>
      <c r="M22" s="392" t="e">
        <f>M20-M21</f>
        <v>#REF!</v>
      </c>
      <c r="N22" s="13"/>
      <c r="O22" s="277" t="e">
        <f>O20-O21</f>
        <v>#REF!</v>
      </c>
      <c r="P22" s="13"/>
      <c r="Q22" s="277" t="e">
        <f>Q20-Q21</f>
        <v>#REF!</v>
      </c>
      <c r="R22" s="212"/>
      <c r="S22" s="277" t="e">
        <f>S20-S21</f>
        <v>#REF!</v>
      </c>
      <c r="T22" s="212"/>
      <c r="U22" s="392" t="e">
        <f>U20-U21</f>
        <v>#REF!</v>
      </c>
      <c r="V22" s="212"/>
      <c r="W22" s="392" t="e">
        <f>W20-W21</f>
        <v>#REF!</v>
      </c>
      <c r="X22" s="15"/>
      <c r="Y22" s="278"/>
      <c r="Z22" s="12"/>
      <c r="AA22" s="12"/>
      <c r="AB22" s="38"/>
    </row>
    <row r="23" spans="1:28" s="19" customFormat="1" ht="24" hidden="1" customHeight="1" x14ac:dyDescent="0.25">
      <c r="A23" s="34"/>
      <c r="B23" s="12"/>
      <c r="C23" s="12" t="s">
        <v>56</v>
      </c>
      <c r="D23" s="13" t="s">
        <v>9</v>
      </c>
      <c r="E23" s="277" t="e">
        <f>ROUNDUP(E19/$Y$20,0)</f>
        <v>#REF!</v>
      </c>
      <c r="F23" s="13"/>
      <c r="G23" s="392"/>
      <c r="H23" s="302"/>
      <c r="I23" s="378" t="e">
        <f>ROUNDUP(I19/$Y$20,0)</f>
        <v>#REF!</v>
      </c>
      <c r="J23" s="13"/>
      <c r="K23" s="277" t="e">
        <f>ROUNDUP(K19/$Y$20,0)</f>
        <v>#REF!</v>
      </c>
      <c r="L23" s="13"/>
      <c r="M23" s="392" t="e">
        <f>ROUNDUP(M19/$Y$20,0)</f>
        <v>#REF!</v>
      </c>
      <c r="N23" s="13"/>
      <c r="O23" s="277" t="e">
        <f>ROUNDUP(O19/$Y$20,0)</f>
        <v>#REF!</v>
      </c>
      <c r="P23" s="13"/>
      <c r="Q23" s="277" t="e">
        <f>ROUNDUP(Q19/$Y$20,0)</f>
        <v>#REF!</v>
      </c>
      <c r="R23" s="212"/>
      <c r="S23" s="277" t="e">
        <f>ROUNDUP(S19/$Y$20,0)</f>
        <v>#REF!</v>
      </c>
      <c r="T23" s="212"/>
      <c r="U23" s="392" t="e">
        <f>ROUNDUP(U19/$Y$20,0)</f>
        <v>#REF!</v>
      </c>
      <c r="V23" s="212"/>
      <c r="W23" s="392" t="e">
        <f>ROUNDUP(W19/$Y$20,0)</f>
        <v>#REF!</v>
      </c>
      <c r="X23" s="12"/>
      <c r="Y23" s="3"/>
      <c r="Z23" s="4"/>
      <c r="AA23" s="4"/>
      <c r="AB23" s="32"/>
    </row>
    <row r="24" spans="1:28" s="19" customFormat="1" ht="24" hidden="1" customHeight="1" x14ac:dyDescent="0.25">
      <c r="A24" s="67"/>
      <c r="B24" s="22"/>
      <c r="C24" s="22"/>
      <c r="D24" s="220"/>
      <c r="E24" s="346"/>
      <c r="F24" s="347"/>
      <c r="G24" s="393"/>
      <c r="H24" s="389"/>
      <c r="I24" s="379"/>
      <c r="J24" s="347"/>
      <c r="K24" s="346"/>
      <c r="L24" s="347"/>
      <c r="M24" s="393"/>
      <c r="N24" s="347"/>
      <c r="O24" s="346"/>
      <c r="P24" s="347"/>
      <c r="Q24" s="346"/>
      <c r="R24" s="22"/>
      <c r="S24" s="346"/>
      <c r="T24" s="22"/>
      <c r="U24" s="393"/>
      <c r="V24" s="22"/>
      <c r="W24" s="393"/>
      <c r="X24" s="23"/>
      <c r="Y24" s="21"/>
      <c r="Z24" s="22"/>
      <c r="AA24" s="22"/>
      <c r="AB24" s="42"/>
    </row>
    <row r="25" spans="1:28" s="19" customFormat="1" ht="24" customHeight="1" thickTop="1" thickBot="1" x14ac:dyDescent="0.3">
      <c r="A25" s="52" t="s">
        <v>308</v>
      </c>
      <c r="B25" s="65"/>
      <c r="C25" s="12"/>
      <c r="D25" s="13"/>
      <c r="E25" s="81"/>
      <c r="F25" s="13"/>
      <c r="G25" s="385"/>
      <c r="H25" s="302"/>
      <c r="I25" s="371"/>
      <c r="J25" s="13"/>
      <c r="K25" s="81"/>
      <c r="L25" s="13"/>
      <c r="M25" s="385"/>
      <c r="N25" s="13"/>
      <c r="O25" s="81"/>
      <c r="P25" s="13"/>
      <c r="Q25" s="81"/>
      <c r="R25" s="12"/>
      <c r="S25" s="81"/>
      <c r="T25" s="12"/>
      <c r="U25" s="385"/>
      <c r="V25" s="12"/>
      <c r="W25" s="385"/>
      <c r="X25" s="15"/>
      <c r="Y25" s="11"/>
      <c r="Z25" s="12"/>
      <c r="AA25" s="12"/>
      <c r="AB25" s="38"/>
    </row>
    <row r="26" spans="1:28" s="19" customFormat="1" ht="24" customHeight="1" thickBot="1" x14ac:dyDescent="0.3">
      <c r="A26" s="34"/>
      <c r="B26" s="12"/>
      <c r="C26" s="12" t="s">
        <v>42</v>
      </c>
      <c r="D26" s="13" t="s">
        <v>41</v>
      </c>
      <c r="E26" s="368" t="e">
        <f>#REF!</f>
        <v>#REF!</v>
      </c>
      <c r="F26" s="13"/>
      <c r="G26" s="394" t="e">
        <f>#REF!</f>
        <v>#REF!</v>
      </c>
      <c r="H26" s="302"/>
      <c r="I26" s="380" t="e">
        <f>#REF!</f>
        <v>#REF!</v>
      </c>
      <c r="J26" s="13"/>
      <c r="K26" s="368" t="e">
        <f>#REF!</f>
        <v>#REF!</v>
      </c>
      <c r="L26" s="13"/>
      <c r="M26" s="394" t="e">
        <f>#REF!</f>
        <v>#REF!</v>
      </c>
      <c r="N26" s="13"/>
      <c r="O26" s="368" t="e">
        <f>#REF!</f>
        <v>#REF!</v>
      </c>
      <c r="P26" s="13"/>
      <c r="Q26" s="368" t="e">
        <f>#REF!</f>
        <v>#REF!</v>
      </c>
      <c r="R26" s="265"/>
      <c r="S26" s="368" t="e">
        <f>#REF!</f>
        <v>#REF!</v>
      </c>
      <c r="T26" s="265"/>
      <c r="U26" s="394" t="e">
        <f>#REF!</f>
        <v>#REF!</v>
      </c>
      <c r="V26" s="265"/>
      <c r="W26" s="394" t="e">
        <f>#REF!</f>
        <v>#REF!</v>
      </c>
      <c r="X26" s="15"/>
      <c r="Y26" s="57" t="s">
        <v>172</v>
      </c>
      <c r="Z26" s="12"/>
      <c r="AA26" s="310" t="e">
        <f>#REF!</f>
        <v>#REF!</v>
      </c>
      <c r="AB26" s="309" t="s">
        <v>284</v>
      </c>
    </row>
    <row r="27" spans="1:28" s="19" customFormat="1" ht="24" customHeight="1" x14ac:dyDescent="0.3">
      <c r="A27" s="34"/>
      <c r="B27" s="12"/>
      <c r="C27" s="12" t="s">
        <v>45</v>
      </c>
      <c r="D27" s="13" t="s">
        <v>43</v>
      </c>
      <c r="E27" s="148" t="e">
        <f>E$26*$Y27</f>
        <v>#REF!</v>
      </c>
      <c r="F27" s="13"/>
      <c r="G27" s="387" t="e">
        <f>G$26*$Y27</f>
        <v>#REF!</v>
      </c>
      <c r="H27" s="302"/>
      <c r="I27" s="373" t="e">
        <f>I$26*$Y27</f>
        <v>#REF!</v>
      </c>
      <c r="J27" s="13"/>
      <c r="K27" s="148" t="e">
        <f>K$26*$Y27</f>
        <v>#REF!</v>
      </c>
      <c r="L27" s="13"/>
      <c r="M27" s="387" t="e">
        <f>M$26*$Y27</f>
        <v>#REF!</v>
      </c>
      <c r="N27" s="13"/>
      <c r="O27" s="148" t="e">
        <f>O$26*$Y27</f>
        <v>#REF!</v>
      </c>
      <c r="P27" s="13"/>
      <c r="Q27" s="148" t="e">
        <f>Q$26*$Y27</f>
        <v>#REF!</v>
      </c>
      <c r="R27" s="12"/>
      <c r="S27" s="148" t="e">
        <f>S$26*$Y27</f>
        <v>#REF!</v>
      </c>
      <c r="T27" s="12"/>
      <c r="U27" s="387" t="e">
        <f>U$26*$Y27</f>
        <v>#REF!</v>
      </c>
      <c r="V27" s="12"/>
      <c r="W27" s="387" t="e">
        <f>W$26*$Y27</f>
        <v>#REF!</v>
      </c>
      <c r="X27" s="12"/>
      <c r="Y27" s="103">
        <f>Y11</f>
        <v>0.55000000000000004</v>
      </c>
      <c r="Z27" s="2073" t="s">
        <v>71</v>
      </c>
      <c r="AA27" s="2073"/>
      <c r="AB27" s="2074"/>
    </row>
    <row r="28" spans="1:28" s="19" customFormat="1" ht="24" customHeight="1" x14ac:dyDescent="0.3">
      <c r="A28" s="34"/>
      <c r="B28" s="22"/>
      <c r="C28" s="22"/>
      <c r="D28" s="220" t="s">
        <v>44</v>
      </c>
      <c r="E28" s="266" t="e">
        <f>E$26*$Y28</f>
        <v>#REF!</v>
      </c>
      <c r="F28" s="22"/>
      <c r="G28" s="388" t="e">
        <f>G$26*$Y28</f>
        <v>#REF!</v>
      </c>
      <c r="H28" s="301"/>
      <c r="I28" s="374" t="e">
        <f>I$26*$Y28</f>
        <v>#REF!</v>
      </c>
      <c r="J28" s="22"/>
      <c r="K28" s="266" t="e">
        <f>K$26*$Y28</f>
        <v>#REF!</v>
      </c>
      <c r="L28" s="22"/>
      <c r="M28" s="388" t="e">
        <f>M$26*$Y28</f>
        <v>#REF!</v>
      </c>
      <c r="N28" s="22"/>
      <c r="O28" s="266" t="e">
        <f>O$26*$Y28</f>
        <v>#REF!</v>
      </c>
      <c r="P28" s="22"/>
      <c r="Q28" s="266" t="e">
        <f>Q$26*$Y28</f>
        <v>#REF!</v>
      </c>
      <c r="R28" s="22"/>
      <c r="S28" s="266" t="e">
        <f>S$26*$Y28</f>
        <v>#REF!</v>
      </c>
      <c r="T28" s="22"/>
      <c r="U28" s="388" t="e">
        <f>U$26*$Y28</f>
        <v>#REF!</v>
      </c>
      <c r="V28" s="22"/>
      <c r="W28" s="388" t="e">
        <f>W$26*$Y28</f>
        <v>#REF!</v>
      </c>
      <c r="X28" s="22"/>
      <c r="Y28" s="105">
        <f>Y12</f>
        <v>0.55000000000000004</v>
      </c>
      <c r="Z28" s="2075"/>
      <c r="AA28" s="2075"/>
      <c r="AB28" s="2076"/>
    </row>
    <row r="29" spans="1:28" s="19" customFormat="1" ht="24" customHeight="1" x14ac:dyDescent="0.25">
      <c r="A29" s="34"/>
      <c r="B29" s="173" t="s">
        <v>324</v>
      </c>
      <c r="C29" s="12"/>
      <c r="D29" s="12"/>
      <c r="E29" s="148"/>
      <c r="F29" s="12"/>
      <c r="G29" s="387"/>
      <c r="H29" s="300"/>
      <c r="I29" s="146"/>
      <c r="J29" s="12"/>
      <c r="K29" s="148"/>
      <c r="L29" s="12"/>
      <c r="M29" s="387"/>
      <c r="N29" s="12"/>
      <c r="O29" s="148"/>
      <c r="P29" s="12"/>
      <c r="Q29" s="148"/>
      <c r="R29" s="12"/>
      <c r="S29" s="148"/>
      <c r="T29" s="12"/>
      <c r="U29" s="387"/>
      <c r="V29" s="12"/>
      <c r="W29" s="387"/>
      <c r="X29" s="12"/>
      <c r="Y29" s="469" t="s">
        <v>337</v>
      </c>
      <c r="Z29" s="426"/>
      <c r="AA29" s="426"/>
      <c r="AB29" s="428"/>
    </row>
    <row r="30" spans="1:28" s="19" customFormat="1" ht="24" customHeight="1" x14ac:dyDescent="0.25">
      <c r="A30" s="34"/>
      <c r="B30" s="12"/>
      <c r="C30" s="12" t="s">
        <v>46</v>
      </c>
      <c r="D30" s="13" t="s">
        <v>9</v>
      </c>
      <c r="E30" s="442">
        <v>5</v>
      </c>
      <c r="F30" s="443"/>
      <c r="G30" s="444">
        <v>11</v>
      </c>
      <c r="H30" s="435"/>
      <c r="I30" s="436"/>
      <c r="J30" s="433"/>
      <c r="K30" s="432"/>
      <c r="L30" s="433"/>
      <c r="M30" s="434"/>
      <c r="N30" s="433"/>
      <c r="O30" s="432"/>
      <c r="P30" s="433"/>
      <c r="Q30" s="432"/>
      <c r="R30" s="433"/>
      <c r="S30" s="432"/>
      <c r="T30" s="433"/>
      <c r="U30" s="434"/>
      <c r="V30" s="433"/>
      <c r="W30" s="434"/>
      <c r="X30" s="433"/>
      <c r="Y30" s="181" t="s">
        <v>338</v>
      </c>
      <c r="Z30" s="426"/>
      <c r="AA30" s="426"/>
      <c r="AB30" s="428"/>
    </row>
    <row r="31" spans="1:28" s="19" customFormat="1" ht="24" customHeight="1" x14ac:dyDescent="0.3">
      <c r="A31" s="34"/>
      <c r="B31" s="12"/>
      <c r="C31" s="12" t="s">
        <v>47</v>
      </c>
      <c r="D31" s="13" t="s">
        <v>9</v>
      </c>
      <c r="E31" s="442">
        <v>10</v>
      </c>
      <c r="F31" s="443"/>
      <c r="G31" s="444">
        <v>19</v>
      </c>
      <c r="H31" s="435"/>
      <c r="I31" s="436"/>
      <c r="J31" s="433"/>
      <c r="K31" s="432"/>
      <c r="L31" s="433"/>
      <c r="M31" s="434"/>
      <c r="N31" s="433"/>
      <c r="O31" s="432"/>
      <c r="P31" s="433"/>
      <c r="Q31" s="432"/>
      <c r="R31" s="433"/>
      <c r="S31" s="432"/>
      <c r="T31" s="433"/>
      <c r="U31" s="434"/>
      <c r="V31" s="433"/>
      <c r="W31" s="434"/>
      <c r="X31" s="433"/>
      <c r="Y31" s="1915" t="s">
        <v>339</v>
      </c>
      <c r="Z31" s="1916"/>
      <c r="AA31" s="1916"/>
      <c r="AB31" s="1917"/>
    </row>
    <row r="32" spans="1:28" s="19" customFormat="1" ht="24" customHeight="1" x14ac:dyDescent="0.3">
      <c r="A32" s="34"/>
      <c r="B32" s="12"/>
      <c r="C32" s="12" t="s">
        <v>48</v>
      </c>
      <c r="D32" s="13" t="s">
        <v>9</v>
      </c>
      <c r="E32" s="442">
        <v>9</v>
      </c>
      <c r="F32" s="443"/>
      <c r="G32" s="444">
        <v>20</v>
      </c>
      <c r="H32" s="435"/>
      <c r="I32" s="436"/>
      <c r="J32" s="433"/>
      <c r="K32" s="432"/>
      <c r="L32" s="433"/>
      <c r="M32" s="434"/>
      <c r="N32" s="433"/>
      <c r="O32" s="432"/>
      <c r="P32" s="433"/>
      <c r="Q32" s="432"/>
      <c r="R32" s="433"/>
      <c r="S32" s="432"/>
      <c r="T32" s="433"/>
      <c r="U32" s="434"/>
      <c r="V32" s="433"/>
      <c r="W32" s="434"/>
      <c r="X32" s="433"/>
      <c r="Y32" s="1915"/>
      <c r="Z32" s="1916"/>
      <c r="AA32" s="1916"/>
      <c r="AB32" s="1917"/>
    </row>
    <row r="33" spans="1:28" s="19" customFormat="1" ht="24" customHeight="1" x14ac:dyDescent="0.25">
      <c r="A33" s="34"/>
      <c r="B33" s="12"/>
      <c r="C33" s="12" t="s">
        <v>325</v>
      </c>
      <c r="D33" s="13" t="s">
        <v>9</v>
      </c>
      <c r="E33" s="442">
        <v>1</v>
      </c>
      <c r="F33" s="443"/>
      <c r="G33" s="444">
        <v>3</v>
      </c>
      <c r="H33" s="435"/>
      <c r="I33" s="436"/>
      <c r="J33" s="433"/>
      <c r="K33" s="432"/>
      <c r="L33" s="433"/>
      <c r="M33" s="434"/>
      <c r="N33" s="433"/>
      <c r="O33" s="432"/>
      <c r="P33" s="433"/>
      <c r="Q33" s="432"/>
      <c r="R33" s="433"/>
      <c r="S33" s="432"/>
      <c r="T33" s="433"/>
      <c r="U33" s="434"/>
      <c r="V33" s="433"/>
      <c r="W33" s="434"/>
      <c r="X33" s="433"/>
      <c r="Y33" s="181"/>
      <c r="Z33" s="426"/>
      <c r="AA33" s="426"/>
      <c r="AB33" s="428"/>
    </row>
    <row r="34" spans="1:28" s="19" customFormat="1" ht="24" customHeight="1" x14ac:dyDescent="0.25">
      <c r="A34" s="34"/>
      <c r="B34" s="22"/>
      <c r="C34" s="22" t="s">
        <v>326</v>
      </c>
      <c r="D34" s="425" t="s">
        <v>9</v>
      </c>
      <c r="E34" s="445">
        <v>1</v>
      </c>
      <c r="F34" s="446"/>
      <c r="G34" s="447">
        <v>2</v>
      </c>
      <c r="H34" s="440"/>
      <c r="I34" s="441"/>
      <c r="J34" s="438"/>
      <c r="K34" s="437"/>
      <c r="L34" s="438"/>
      <c r="M34" s="439"/>
      <c r="N34" s="438"/>
      <c r="O34" s="437"/>
      <c r="P34" s="438"/>
      <c r="Q34" s="437"/>
      <c r="R34" s="438"/>
      <c r="S34" s="437"/>
      <c r="T34" s="438"/>
      <c r="U34" s="439"/>
      <c r="V34" s="438"/>
      <c r="W34" s="439"/>
      <c r="X34" s="438"/>
      <c r="Y34" s="345"/>
      <c r="Z34" s="427"/>
      <c r="AA34" s="427"/>
      <c r="AB34" s="429"/>
    </row>
    <row r="35" spans="1:28" s="19" customFormat="1" ht="24" customHeight="1" x14ac:dyDescent="0.25">
      <c r="A35" s="34"/>
      <c r="B35" s="173" t="s">
        <v>60</v>
      </c>
      <c r="C35" s="12"/>
      <c r="D35" s="12"/>
      <c r="E35" s="11"/>
      <c r="F35" s="12"/>
      <c r="G35" s="361"/>
      <c r="H35" s="300"/>
      <c r="I35" s="12"/>
      <c r="J35" s="12"/>
      <c r="K35" s="11"/>
      <c r="L35" s="12"/>
      <c r="M35" s="361"/>
      <c r="N35" s="12"/>
      <c r="O35" s="11"/>
      <c r="P35" s="12"/>
      <c r="Q35" s="11"/>
      <c r="R35" s="12"/>
      <c r="S35" s="11"/>
      <c r="T35" s="12"/>
      <c r="U35" s="361"/>
      <c r="V35" s="12"/>
      <c r="W35" s="361"/>
      <c r="X35" s="12"/>
      <c r="Y35" s="11"/>
      <c r="Z35" s="306"/>
      <c r="AA35" s="306"/>
      <c r="AB35" s="307"/>
    </row>
    <row r="36" spans="1:28" s="19" customFormat="1" ht="24" customHeight="1" x14ac:dyDescent="0.3">
      <c r="A36" s="34"/>
      <c r="B36" s="12"/>
      <c r="C36" s="12" t="s">
        <v>46</v>
      </c>
      <c r="D36" s="13" t="s">
        <v>9</v>
      </c>
      <c r="E36" s="148" t="e">
        <f>IF(E27&gt;100,ROUNDUP(1+((E27-100)/200),0),1)</f>
        <v>#REF!</v>
      </c>
      <c r="F36" s="455" t="e">
        <f>E36*$Y$54</f>
        <v>#REF!</v>
      </c>
      <c r="G36" s="387" t="e">
        <f>IF(G27&gt;100,ROUNDUP(1+((G27-100)/200),0),1)</f>
        <v>#REF!</v>
      </c>
      <c r="H36" s="300"/>
      <c r="I36" s="146" t="e">
        <f>IF(I27&gt;100,ROUNDUP(1+((I27-100)/200),0),1)</f>
        <v>#REF!</v>
      </c>
      <c r="J36" s="12"/>
      <c r="K36" s="148" t="e">
        <f>IF(K27&gt;100,ROUNDUP(1+((K27-100)/200),0),1)</f>
        <v>#REF!</v>
      </c>
      <c r="L36" s="12"/>
      <c r="M36" s="387" t="e">
        <f>IF(M27&gt;100,ROUNDUP(1+((M27-100)/200),0),1)</f>
        <v>#REF!</v>
      </c>
      <c r="N36" s="12"/>
      <c r="O36" s="148" t="e">
        <f>IF(O27&gt;100,ROUNDUP(1+((O27-100)/200),0),1)</f>
        <v>#REF!</v>
      </c>
      <c r="P36" s="12"/>
      <c r="Q36" s="148" t="e">
        <f>IF(Q27&gt;100,ROUNDUP(1+((Q27-100)/200),0),1)</f>
        <v>#REF!</v>
      </c>
      <c r="R36" s="12"/>
      <c r="S36" s="148" t="e">
        <f>IF(S27&gt;100,ROUNDUP(1+((S27-100)/200),0),1)</f>
        <v>#REF!</v>
      </c>
      <c r="T36" s="12"/>
      <c r="U36" s="387" t="e">
        <f>IF(U27&gt;100,ROUNDUP(1+((U27-100)/200),0),1)</f>
        <v>#REF!</v>
      </c>
      <c r="V36" s="12"/>
      <c r="W36" s="387" t="e">
        <f>IF(W27&gt;100,ROUNDUP(1+((W27-100)/200),0),1)</f>
        <v>#REF!</v>
      </c>
      <c r="X36" s="12"/>
      <c r="Y36" s="2067" t="s">
        <v>287</v>
      </c>
      <c r="Z36" s="2068"/>
      <c r="AA36" s="2068"/>
      <c r="AB36" s="2069"/>
    </row>
    <row r="37" spans="1:28" s="19" customFormat="1" ht="24" customHeight="1" x14ac:dyDescent="0.3">
      <c r="A37" s="34"/>
      <c r="B37" s="12"/>
      <c r="C37" s="12" t="s">
        <v>47</v>
      </c>
      <c r="D37" s="13" t="s">
        <v>9</v>
      </c>
      <c r="E37" s="148" t="e">
        <f>IF(E27&gt;250,ROUNDUP(5+((E27-250)/250),0),ROUNDUP(E27/50,0))</f>
        <v>#REF!</v>
      </c>
      <c r="F37" s="455" t="e">
        <f>E37*$Y$54</f>
        <v>#REF!</v>
      </c>
      <c r="G37" s="387" t="e">
        <f>IF(G27&gt;250,ROUNDUP(5+((G27-250)/250),0),ROUNDUP(G27/50,0))</f>
        <v>#REF!</v>
      </c>
      <c r="H37" s="300"/>
      <c r="I37" s="146" t="e">
        <f>IF(I27&gt;250,ROUNDUP(5+((I27-250)/250),0),ROUNDUP(I27/50,0))</f>
        <v>#REF!</v>
      </c>
      <c r="J37" s="12"/>
      <c r="K37" s="148" t="e">
        <f>IF(K27&gt;250,ROUNDUP(5+((K27-250)/250),0),ROUNDUP(K27/50,0))</f>
        <v>#REF!</v>
      </c>
      <c r="L37" s="12"/>
      <c r="M37" s="387" t="e">
        <f>IF(M27&gt;250,ROUNDUP(5+((M27-250)/250),0),ROUNDUP(M27/50,0))</f>
        <v>#REF!</v>
      </c>
      <c r="N37" s="12"/>
      <c r="O37" s="148" t="e">
        <f>IF(O27&gt;250,ROUNDUP(5+((O27-250)/250),0),ROUNDUP(O27/50,0))</f>
        <v>#REF!</v>
      </c>
      <c r="P37" s="12"/>
      <c r="Q37" s="148" t="e">
        <f>IF(Q27&gt;250,ROUNDUP(5+((Q27-250)/250),0),ROUNDUP(Q27/50,0))</f>
        <v>#REF!</v>
      </c>
      <c r="R37" s="12"/>
      <c r="S37" s="148" t="e">
        <f>IF(S27&gt;250,ROUNDUP(5+((S27-250)/250),0),ROUNDUP(S27/50,0))</f>
        <v>#REF!</v>
      </c>
      <c r="T37" s="12"/>
      <c r="U37" s="387" t="e">
        <f>IF(U27&gt;250,ROUNDUP(5+((U27-250)/250),0),ROUNDUP(U27/50,0))</f>
        <v>#REF!</v>
      </c>
      <c r="V37" s="12"/>
      <c r="W37" s="387" t="e">
        <f>IF(W27&gt;250,ROUNDUP(5+((W27-250)/250),0),ROUNDUP(W27/50,0))</f>
        <v>#REF!</v>
      </c>
      <c r="X37" s="12"/>
      <c r="Y37" s="2067"/>
      <c r="Z37" s="2068"/>
      <c r="AA37" s="2068"/>
      <c r="AB37" s="2069"/>
    </row>
    <row r="38" spans="1:28" s="19" customFormat="1" ht="24" customHeight="1" x14ac:dyDescent="0.3">
      <c r="A38" s="34"/>
      <c r="B38" s="22"/>
      <c r="C38" s="22" t="s">
        <v>48</v>
      </c>
      <c r="D38" s="324" t="s">
        <v>9</v>
      </c>
      <c r="E38" s="325" t="e">
        <f>IF(E28&gt;250,ROUNDUP(6+((E28-250)/100),0),IF(E28&gt;50,ROUNDUP(3+((E28-50)/50),0),ROUNDUP(E28/25,0)))</f>
        <v>#REF!</v>
      </c>
      <c r="F38" s="454" t="e">
        <f>E38*$AA54</f>
        <v>#REF!</v>
      </c>
      <c r="G38" s="395" t="e">
        <f>IF(G28&gt;250,ROUNDUP(6+((G28-250)/100),0),IF(G28&gt;50,ROUNDUP(3+((G28-50)/50),0),ROUNDUP(G28/25,0)))</f>
        <v>#REF!</v>
      </c>
      <c r="H38" s="326"/>
      <c r="I38" s="327" t="e">
        <f>IF(I28&gt;250,ROUNDUP(6+((I28-250)/100),0),IF(I28&gt;50,ROUNDUP(3+((I28-50)/50),0),ROUNDUP(I28/25,0)))</f>
        <v>#REF!</v>
      </c>
      <c r="J38" s="328"/>
      <c r="K38" s="325" t="e">
        <f>IF(K28&gt;250,ROUNDUP(6+((K28-250)/100),0),IF(K28&gt;50,ROUNDUP(3+((K28-50)/50),0),ROUNDUP(K28/25,0)))</f>
        <v>#REF!</v>
      </c>
      <c r="L38" s="328"/>
      <c r="M38" s="395" t="e">
        <f>IF(M28&gt;250,ROUNDUP(6+((M28-250)/100),0),IF(M28&gt;50,ROUNDUP(3+((M28-50)/50),0),ROUNDUP(M28/25,0)))</f>
        <v>#REF!</v>
      </c>
      <c r="N38" s="328"/>
      <c r="O38" s="325" t="e">
        <f>IF(O28&gt;250,ROUNDUP(6+((O28-250)/100),0),IF(O28&gt;50,ROUNDUP(3+((O28-50)/50),0),ROUNDUP(O28/25,0)))</f>
        <v>#REF!</v>
      </c>
      <c r="P38" s="328"/>
      <c r="Q38" s="325" t="e">
        <f>IF(Q28&gt;250,ROUNDUP(6+((Q28-250)/100),0),IF(Q28&gt;50,ROUNDUP(3+((Q28-50)/50),0),ROUNDUP(Q28/25,0)))</f>
        <v>#REF!</v>
      </c>
      <c r="R38" s="328"/>
      <c r="S38" s="325" t="e">
        <f>IF(S28&gt;250,ROUNDUP(6+((S28-250)/100),0),IF(S28&gt;50,ROUNDUP(3+((S28-50)/50),0),ROUNDUP(S28/25,0)))</f>
        <v>#REF!</v>
      </c>
      <c r="T38" s="328"/>
      <c r="U38" s="395" t="e">
        <f>IF(U28&gt;250,ROUNDUP(6+((U28-250)/100),0),IF(U28&gt;50,ROUNDUP(3+((U28-50)/50),0),ROUNDUP(U28/25,0)))</f>
        <v>#REF!</v>
      </c>
      <c r="V38" s="328"/>
      <c r="W38" s="395" t="e">
        <f>IF(W28&gt;250,ROUNDUP(6+((W28-250)/100),0),IF(W28&gt;50,ROUNDUP(3+((W28-50)/50),0),ROUNDUP(W28/25,0)))</f>
        <v>#REF!</v>
      </c>
      <c r="X38" s="328"/>
      <c r="Y38" s="2070"/>
      <c r="Z38" s="2071"/>
      <c r="AA38" s="2071"/>
      <c r="AB38" s="2072"/>
    </row>
    <row r="39" spans="1:28" s="19" customFormat="1" ht="24" customHeight="1" x14ac:dyDescent="0.25">
      <c r="A39" s="34"/>
      <c r="B39" s="173" t="s">
        <v>333</v>
      </c>
      <c r="C39" s="12"/>
      <c r="D39" s="13"/>
      <c r="E39" s="81"/>
      <c r="F39" s="12"/>
      <c r="G39" s="361"/>
      <c r="H39" s="300"/>
      <c r="I39" s="12"/>
      <c r="J39" s="15"/>
      <c r="K39" s="11"/>
      <c r="L39" s="12"/>
      <c r="M39" s="361"/>
      <c r="N39" s="12"/>
      <c r="O39" s="11"/>
      <c r="P39" s="12"/>
      <c r="Q39" s="11"/>
      <c r="R39" s="12"/>
      <c r="S39" s="11"/>
      <c r="T39" s="12"/>
      <c r="U39" s="361"/>
      <c r="V39" s="12"/>
      <c r="W39" s="361"/>
      <c r="X39" s="15"/>
      <c r="Y39" s="296" t="s">
        <v>310</v>
      </c>
      <c r="Z39" s="12"/>
      <c r="AA39" s="12"/>
      <c r="AB39" s="38"/>
    </row>
    <row r="40" spans="1:28" s="19" customFormat="1" ht="24" customHeight="1" x14ac:dyDescent="0.25">
      <c r="A40" s="34"/>
      <c r="B40" s="12"/>
      <c r="C40" s="12" t="s">
        <v>290</v>
      </c>
      <c r="D40" s="13" t="s">
        <v>43</v>
      </c>
      <c r="E40" s="148" t="e">
        <f>ROUNDUP(E27*$Y$40,0)</f>
        <v>#REF!</v>
      </c>
      <c r="F40" s="12"/>
      <c r="G40" s="387" t="e">
        <f>ROUNDUP(G27*$Y$40,0)</f>
        <v>#REF!</v>
      </c>
      <c r="H40" s="300"/>
      <c r="I40" s="146" t="e">
        <f>ROUNDUP(I27*$Y$40,0)</f>
        <v>#REF!</v>
      </c>
      <c r="J40" s="15"/>
      <c r="K40" s="148" t="e">
        <f>ROUNDUP(K27*$Y$40,0)</f>
        <v>#REF!</v>
      </c>
      <c r="L40" s="12"/>
      <c r="M40" s="387" t="e">
        <f>ROUNDUP(M27*$Y$40,0)</f>
        <v>#REF!</v>
      </c>
      <c r="N40" s="12"/>
      <c r="O40" s="148" t="e">
        <f>ROUNDUP(O27*$Y$40,0)</f>
        <v>#REF!</v>
      </c>
      <c r="P40" s="12"/>
      <c r="Q40" s="148" t="e">
        <f>ROUNDUP(Q27*$Y$40,0)</f>
        <v>#REF!</v>
      </c>
      <c r="R40" s="12"/>
      <c r="S40" s="148" t="e">
        <f>ROUNDUP(S27*$Y$40,0)</f>
        <v>#REF!</v>
      </c>
      <c r="T40" s="12"/>
      <c r="U40" s="387" t="e">
        <f>ROUNDUP(U27*$Y$40,0)</f>
        <v>#REF!</v>
      </c>
      <c r="V40" s="12"/>
      <c r="W40" s="387" t="e">
        <f>ROUNDUP(W27*$Y$40,0)</f>
        <v>#REF!</v>
      </c>
      <c r="X40" s="15"/>
      <c r="Y40" s="82">
        <v>0.08</v>
      </c>
      <c r="Z40" s="47" t="s">
        <v>311</v>
      </c>
      <c r="AA40" s="12"/>
      <c r="AB40" s="38"/>
    </row>
    <row r="41" spans="1:28" s="19" customFormat="1" ht="24" customHeight="1" x14ac:dyDescent="0.25">
      <c r="A41" s="34"/>
      <c r="B41" s="12"/>
      <c r="C41" s="12" t="s">
        <v>291</v>
      </c>
      <c r="D41" s="13" t="s">
        <v>44</v>
      </c>
      <c r="E41" s="148" t="e">
        <f>ROUNDUP(E28*$Y$40,0)</f>
        <v>#REF!</v>
      </c>
      <c r="F41" s="12"/>
      <c r="G41" s="387" t="e">
        <f>ROUNDUP(G28*$Y$40,0)</f>
        <v>#REF!</v>
      </c>
      <c r="H41" s="300"/>
      <c r="I41" s="146" t="e">
        <f>ROUNDUP(I28*$Y$40,0)</f>
        <v>#REF!</v>
      </c>
      <c r="J41" s="15"/>
      <c r="K41" s="148" t="e">
        <f>ROUNDUP(K28*$Y$40,0)</f>
        <v>#REF!</v>
      </c>
      <c r="L41" s="12"/>
      <c r="M41" s="387" t="e">
        <f>ROUNDUP(M28*$Y$40,0)</f>
        <v>#REF!</v>
      </c>
      <c r="N41" s="12"/>
      <c r="O41" s="148" t="e">
        <f>ROUNDUP(O28*$Y$40,0)</f>
        <v>#REF!</v>
      </c>
      <c r="P41" s="12"/>
      <c r="Q41" s="148" t="e">
        <f>ROUNDUP(Q28*$Y$40,0)</f>
        <v>#REF!</v>
      </c>
      <c r="R41" s="12"/>
      <c r="S41" s="148" t="e">
        <f>ROUNDUP(S28*$Y$40,0)</f>
        <v>#REF!</v>
      </c>
      <c r="T41" s="12"/>
      <c r="U41" s="387" t="e">
        <f>ROUNDUP(U28*$Y$40,0)</f>
        <v>#REF!</v>
      </c>
      <c r="V41" s="12"/>
      <c r="W41" s="387" t="e">
        <f>ROUNDUP(W28*$Y$40,0)</f>
        <v>#REF!</v>
      </c>
      <c r="X41" s="15"/>
      <c r="Y41" s="290"/>
      <c r="Z41" s="308"/>
      <c r="AA41" s="291"/>
      <c r="AB41" s="292"/>
    </row>
    <row r="42" spans="1:28" s="19" customFormat="1" ht="24" customHeight="1" x14ac:dyDescent="0.25">
      <c r="A42" s="34"/>
      <c r="B42" s="12"/>
      <c r="C42" s="12" t="s">
        <v>55</v>
      </c>
      <c r="D42" s="13" t="s">
        <v>309</v>
      </c>
      <c r="E42" s="297" t="e">
        <f>ROUNDUP(E40/$Y$42,0)</f>
        <v>#REF!</v>
      </c>
      <c r="F42" s="337" t="e">
        <f>E42*$Y43</f>
        <v>#REF!</v>
      </c>
      <c r="G42" s="396" t="e">
        <f>ROUNDUP(G40/$Y$42,0)</f>
        <v>#REF!</v>
      </c>
      <c r="H42" s="316" t="e">
        <f>G42*$Y43</f>
        <v>#REF!</v>
      </c>
      <c r="I42" s="298" t="e">
        <f>ROUNDUP(I40/$Y$42,0)</f>
        <v>#REF!</v>
      </c>
      <c r="J42" s="314" t="e">
        <f>I42*$Y43</f>
        <v>#REF!</v>
      </c>
      <c r="K42" s="297" t="e">
        <f>ROUNDUP(K40/$Y$42,0)</f>
        <v>#REF!</v>
      </c>
      <c r="L42" s="381" t="e">
        <f>K42*$Y43</f>
        <v>#REF!</v>
      </c>
      <c r="M42" s="396" t="e">
        <f>ROUNDUP(M40/$Y$42,0)</f>
        <v>#REF!</v>
      </c>
      <c r="N42" s="314" t="e">
        <f>M42*$Y43</f>
        <v>#REF!</v>
      </c>
      <c r="O42" s="297" t="e">
        <f>ROUNDUP(O40/$Y$42,0)</f>
        <v>#REF!</v>
      </c>
      <c r="P42" s="318" t="e">
        <f>O42*$Y43</f>
        <v>#REF!</v>
      </c>
      <c r="Q42" s="297" t="e">
        <f>ROUNDUP(Q40/$Y$42,0)</f>
        <v>#REF!</v>
      </c>
      <c r="R42" s="318" t="e">
        <f>Q42*$Y43</f>
        <v>#REF!</v>
      </c>
      <c r="S42" s="297" t="e">
        <f>ROUNDUP(S40/$Y$42,0)</f>
        <v>#REF!</v>
      </c>
      <c r="T42" s="381" t="e">
        <f>S42*$Y43</f>
        <v>#REF!</v>
      </c>
      <c r="U42" s="396" t="e">
        <f>ROUNDUP(U40/$Y$42,0)</f>
        <v>#REF!</v>
      </c>
      <c r="V42" s="381" t="e">
        <f>U42*$Y43</f>
        <v>#REF!</v>
      </c>
      <c r="W42" s="396" t="e">
        <f>ROUNDUP(W40/$Y$42,0)</f>
        <v>#REF!</v>
      </c>
      <c r="X42" s="314" t="e">
        <f>W42*$Y43</f>
        <v>#REF!</v>
      </c>
      <c r="Y42" s="311">
        <v>2.5</v>
      </c>
      <c r="Z42" s="47" t="s">
        <v>312</v>
      </c>
      <c r="AA42" s="12"/>
      <c r="AB42" s="38"/>
    </row>
    <row r="43" spans="1:28" s="19" customFormat="1" ht="24" customHeight="1" x14ac:dyDescent="0.25">
      <c r="A43" s="34"/>
      <c r="B43" s="12"/>
      <c r="C43" s="17" t="s">
        <v>58</v>
      </c>
      <c r="D43" s="13" t="s">
        <v>9</v>
      </c>
      <c r="E43" s="148" t="e">
        <f>ROUNDUP(E42*0.33,0)</f>
        <v>#REF!</v>
      </c>
      <c r="F43" s="12"/>
      <c r="G43" s="387" t="e">
        <f>ROUNDUP(G42*0.33,0)</f>
        <v>#REF!</v>
      </c>
      <c r="H43" s="300"/>
      <c r="I43" s="146" t="e">
        <f>ROUNDUP(I42*0.33,0)</f>
        <v>#REF!</v>
      </c>
      <c r="J43" s="15"/>
      <c r="K43" s="148" t="e">
        <f>ROUNDUP(K42*0.33,0)</f>
        <v>#REF!</v>
      </c>
      <c r="L43" s="12"/>
      <c r="M43" s="387" t="e">
        <f>ROUNDUP(M42*0.33,0)</f>
        <v>#REF!</v>
      </c>
      <c r="N43" s="15"/>
      <c r="O43" s="148" t="e">
        <f>ROUNDUP(O42*0.33,0)</f>
        <v>#REF!</v>
      </c>
      <c r="P43" s="264"/>
      <c r="Q43" s="148" t="e">
        <f>ROUNDUP(Q42*0.33,0)</f>
        <v>#REF!</v>
      </c>
      <c r="R43" s="264"/>
      <c r="S43" s="148" t="e">
        <f>ROUNDUP(S42*0.33,0)</f>
        <v>#REF!</v>
      </c>
      <c r="T43" s="12"/>
      <c r="U43" s="387" t="e">
        <f>ROUNDUP(U42*0.33,0)</f>
        <v>#REF!</v>
      </c>
      <c r="V43" s="12"/>
      <c r="W43" s="387" t="e">
        <f>ROUNDUP(W42*0.33,0)</f>
        <v>#REF!</v>
      </c>
      <c r="X43" s="15"/>
      <c r="Y43" s="311">
        <v>6.6</v>
      </c>
      <c r="Z43" s="47" t="s">
        <v>313</v>
      </c>
      <c r="AA43" s="313">
        <v>6.6</v>
      </c>
      <c r="AB43" s="309" t="s">
        <v>314</v>
      </c>
    </row>
    <row r="44" spans="1:28" s="19" customFormat="1" ht="24" customHeight="1" x14ac:dyDescent="0.25">
      <c r="A44" s="34"/>
      <c r="B44" s="12"/>
      <c r="C44" s="17" t="s">
        <v>59</v>
      </c>
      <c r="D44" s="13" t="s">
        <v>9</v>
      </c>
      <c r="E44" s="148" t="e">
        <f>E42-E43</f>
        <v>#REF!</v>
      </c>
      <c r="F44" s="12"/>
      <c r="G44" s="387" t="e">
        <f>G42-G43</f>
        <v>#REF!</v>
      </c>
      <c r="H44" s="300"/>
      <c r="I44" s="146" t="e">
        <f>I42-I43</f>
        <v>#REF!</v>
      </c>
      <c r="J44" s="15"/>
      <c r="K44" s="148" t="e">
        <f>K42-K43</f>
        <v>#REF!</v>
      </c>
      <c r="L44" s="12"/>
      <c r="M44" s="387" t="e">
        <f>M42-M43</f>
        <v>#REF!</v>
      </c>
      <c r="N44" s="15"/>
      <c r="O44" s="148" t="e">
        <f>O42-O43</f>
        <v>#REF!</v>
      </c>
      <c r="P44" s="264"/>
      <c r="Q44" s="148" t="e">
        <f>Q42-Q43</f>
        <v>#REF!</v>
      </c>
      <c r="R44" s="264"/>
      <c r="S44" s="148" t="e">
        <f>S42-S43</f>
        <v>#REF!</v>
      </c>
      <c r="T44" s="12"/>
      <c r="U44" s="387" t="e">
        <f>U42-U43</f>
        <v>#REF!</v>
      </c>
      <c r="V44" s="12"/>
      <c r="W44" s="387" t="e">
        <f>W42-W43</f>
        <v>#REF!</v>
      </c>
      <c r="X44" s="15"/>
      <c r="Y44" s="47" t="s">
        <v>173</v>
      </c>
      <c r="Z44" s="47"/>
      <c r="AA44" s="12"/>
      <c r="AB44" s="38"/>
    </row>
    <row r="45" spans="1:28" s="19" customFormat="1" ht="24" customHeight="1" x14ac:dyDescent="0.3">
      <c r="A45" s="34"/>
      <c r="B45" s="22"/>
      <c r="C45" s="22" t="s">
        <v>56</v>
      </c>
      <c r="D45" s="317" t="s">
        <v>309</v>
      </c>
      <c r="E45" s="304" t="e">
        <f>ROUNDUP(E41/$Y$45,0)</f>
        <v>#REF!</v>
      </c>
      <c r="F45" s="456" t="e">
        <f>E45*$AA43</f>
        <v>#REF!</v>
      </c>
      <c r="G45" s="397" t="e">
        <f>ROUNDUP(G41/$Y$45,0)</f>
        <v>#REF!</v>
      </c>
      <c r="H45" s="320" t="e">
        <f>G45*$AA43</f>
        <v>#REF!</v>
      </c>
      <c r="I45" s="305" t="e">
        <f>ROUNDUP(I41/$Y$45,0)</f>
        <v>#REF!</v>
      </c>
      <c r="J45" s="315" t="e">
        <f>I45*$AA43</f>
        <v>#REF!</v>
      </c>
      <c r="K45" s="304" t="e">
        <f>ROUNDUP(K41/$Y$45,0)</f>
        <v>#REF!</v>
      </c>
      <c r="L45" s="399" t="e">
        <f>K45*$AA43</f>
        <v>#REF!</v>
      </c>
      <c r="M45" s="397" t="e">
        <f>ROUNDUP(M41/$Y$45,0)</f>
        <v>#REF!</v>
      </c>
      <c r="N45" s="319" t="e">
        <f>M45*$AA43</f>
        <v>#REF!</v>
      </c>
      <c r="O45" s="304" t="e">
        <f>ROUNDUP(O41/$Y$45,0)</f>
        <v>#REF!</v>
      </c>
      <c r="P45" s="319" t="e">
        <f>O45*$AA43</f>
        <v>#REF!</v>
      </c>
      <c r="Q45" s="304" t="e">
        <f>ROUNDUP(Q41/$Y$45,0)</f>
        <v>#REF!</v>
      </c>
      <c r="R45" s="319" t="e">
        <f>Q45*$AA43</f>
        <v>#REF!</v>
      </c>
      <c r="S45" s="304" t="e">
        <f>ROUNDUP(S41/$Y$45,0)</f>
        <v>#REF!</v>
      </c>
      <c r="T45" s="399" t="e">
        <f>S45*$AA43</f>
        <v>#REF!</v>
      </c>
      <c r="U45" s="397" t="e">
        <f>ROUNDUP(U41/$Y$45,0)</f>
        <v>#REF!</v>
      </c>
      <c r="V45" s="382" t="e">
        <f>U45*$AA43</f>
        <v>#REF!</v>
      </c>
      <c r="W45" s="397" t="e">
        <f>ROUNDUP(W41/$Y$45,0)</f>
        <v>#REF!</v>
      </c>
      <c r="X45" s="315" t="e">
        <f>W45*$AA43</f>
        <v>#REF!</v>
      </c>
      <c r="Y45" s="329">
        <v>2</v>
      </c>
      <c r="Z45" s="257" t="s">
        <v>315</v>
      </c>
      <c r="AA45" s="22"/>
      <c r="AB45" s="42"/>
    </row>
    <row r="46" spans="1:28" s="19" customFormat="1" ht="24" customHeight="1" x14ac:dyDescent="0.3">
      <c r="A46" s="34"/>
      <c r="B46" s="173" t="s">
        <v>334</v>
      </c>
      <c r="C46" s="12"/>
      <c r="D46" s="13"/>
      <c r="E46" s="81"/>
      <c r="F46" s="13"/>
      <c r="G46" s="385"/>
      <c r="H46" s="302"/>
      <c r="I46" s="13"/>
      <c r="J46" s="13"/>
      <c r="K46" s="81"/>
      <c r="L46" s="13"/>
      <c r="M46" s="385"/>
      <c r="N46" s="13"/>
      <c r="O46" s="81"/>
      <c r="P46" s="13"/>
      <c r="Q46" s="81"/>
      <c r="R46" s="13"/>
      <c r="S46" s="81"/>
      <c r="T46" s="13"/>
      <c r="U46" s="385"/>
      <c r="V46" s="13"/>
      <c r="W46" s="385"/>
      <c r="X46" s="13"/>
      <c r="Y46" s="11"/>
      <c r="Z46" s="47"/>
      <c r="AA46" s="12"/>
      <c r="AB46" s="38"/>
    </row>
    <row r="47" spans="1:28" s="19" customFormat="1" ht="24" customHeight="1" x14ac:dyDescent="0.3">
      <c r="A47" s="34"/>
      <c r="B47" s="12"/>
      <c r="C47" s="12" t="s">
        <v>282</v>
      </c>
      <c r="D47" s="13" t="s">
        <v>43</v>
      </c>
      <c r="E47" s="148" t="e">
        <f>ROUNDUP(E27*$Y47,0)</f>
        <v>#REF!</v>
      </c>
      <c r="F47" s="13"/>
      <c r="G47" s="387" t="e">
        <f>ROUNDUP(G27*$Y47,0)</f>
        <v>#REF!</v>
      </c>
      <c r="H47" s="302"/>
      <c r="I47" s="146" t="e">
        <f>ROUNDUP(I27*$Y47,0)</f>
        <v>#REF!</v>
      </c>
      <c r="J47" s="13"/>
      <c r="K47" s="148" t="e">
        <f>ROUNDUP(K27*$Y47,0)</f>
        <v>#REF!</v>
      </c>
      <c r="L47" s="13"/>
      <c r="M47" s="387" t="e">
        <f>ROUNDUP(M27*$Y47,0)</f>
        <v>#REF!</v>
      </c>
      <c r="N47" s="13"/>
      <c r="O47" s="148" t="e">
        <f>ROUNDUP(O27*$Y47,0)</f>
        <v>#REF!</v>
      </c>
      <c r="P47" s="13"/>
      <c r="Q47" s="148" t="e">
        <f>ROUNDUP(Q27*$Y47,0)</f>
        <v>#REF!</v>
      </c>
      <c r="R47" s="13"/>
      <c r="S47" s="148" t="e">
        <f>ROUNDUP(S27*$Y47,0)</f>
        <v>#REF!</v>
      </c>
      <c r="T47" s="13"/>
      <c r="U47" s="387" t="e">
        <f>ROUNDUP(U27*$Y47,0)</f>
        <v>#REF!</v>
      </c>
      <c r="V47" s="13"/>
      <c r="W47" s="387" t="e">
        <f>ROUNDUP(W27*$Y47,0)</f>
        <v>#REF!</v>
      </c>
      <c r="X47" s="13"/>
      <c r="Y47" s="82">
        <v>0.9</v>
      </c>
      <c r="Z47" s="47" t="s">
        <v>293</v>
      </c>
      <c r="AA47" s="12"/>
      <c r="AB47" s="38"/>
    </row>
    <row r="48" spans="1:28" s="19" customFormat="1" ht="24" customHeight="1" x14ac:dyDescent="0.3">
      <c r="A48" s="34"/>
      <c r="B48" s="12"/>
      <c r="C48" s="12" t="s">
        <v>283</v>
      </c>
      <c r="D48" s="13" t="s">
        <v>44</v>
      </c>
      <c r="E48" s="148" t="e">
        <f>ROUNDUP(E28*$Y48,0)</f>
        <v>#REF!</v>
      </c>
      <c r="F48" s="13"/>
      <c r="G48" s="387" t="e">
        <f>ROUNDUP(G28*$Y48,0)</f>
        <v>#REF!</v>
      </c>
      <c r="H48" s="302"/>
      <c r="I48" s="146" t="e">
        <f>ROUNDUP(I28*$Y48,0)</f>
        <v>#REF!</v>
      </c>
      <c r="J48" s="13"/>
      <c r="K48" s="148" t="e">
        <f>ROUNDUP(K28*$Y48,0)</f>
        <v>#REF!</v>
      </c>
      <c r="L48" s="13"/>
      <c r="M48" s="387" t="e">
        <f>ROUNDUP(M28*$Y48,0)</f>
        <v>#REF!</v>
      </c>
      <c r="N48" s="13"/>
      <c r="O48" s="148" t="e">
        <f>ROUNDUP(O28*$Y48,0)</f>
        <v>#REF!</v>
      </c>
      <c r="P48" s="13"/>
      <c r="Q48" s="148" t="e">
        <f>ROUNDUP(Q28*$Y48,0)</f>
        <v>#REF!</v>
      </c>
      <c r="R48" s="13"/>
      <c r="S48" s="148" t="e">
        <f>ROUNDUP(S28*$Y48,0)</f>
        <v>#REF!</v>
      </c>
      <c r="T48" s="13"/>
      <c r="U48" s="387" t="e">
        <f>ROUNDUP(U28*$Y48,0)</f>
        <v>#REF!</v>
      </c>
      <c r="V48" s="13"/>
      <c r="W48" s="387" t="e">
        <f>ROUNDUP(W28*$Y48,0)</f>
        <v>#REF!</v>
      </c>
      <c r="X48" s="13"/>
      <c r="Y48" s="82">
        <v>0.9</v>
      </c>
      <c r="Z48" s="47" t="s">
        <v>294</v>
      </c>
      <c r="AA48" s="12"/>
      <c r="AB48" s="38"/>
    </row>
    <row r="49" spans="1:28" s="19" customFormat="1" ht="24" customHeight="1" x14ac:dyDescent="0.3">
      <c r="A49" s="34"/>
      <c r="B49" s="12"/>
      <c r="C49" s="12" t="s">
        <v>330</v>
      </c>
      <c r="D49" s="13" t="s">
        <v>43</v>
      </c>
      <c r="E49" s="294" t="e">
        <f>ROUNDUP(E47*$Y49/$AA$49,0)</f>
        <v>#REF!</v>
      </c>
      <c r="F49" s="295"/>
      <c r="G49" s="398" t="e">
        <f>ROUNDUP(G47*$Y49/$AA$49,0)</f>
        <v>#REF!</v>
      </c>
      <c r="H49" s="303"/>
      <c r="I49" s="299" t="e">
        <f>ROUNDUP(I47*$Y49/$AA$49,0)</f>
        <v>#REF!</v>
      </c>
      <c r="J49" s="295"/>
      <c r="K49" s="294" t="e">
        <f>ROUNDUP(K47*$Y49/$AA$49,0)</f>
        <v>#REF!</v>
      </c>
      <c r="L49" s="295"/>
      <c r="M49" s="398" t="e">
        <f>ROUNDUP(M47*$Y49/$AA$49,0)</f>
        <v>#REF!</v>
      </c>
      <c r="N49" s="295"/>
      <c r="O49" s="294" t="e">
        <f>ROUNDUP(O47*$Y49/$AA$49,0)</f>
        <v>#REF!</v>
      </c>
      <c r="P49" s="295"/>
      <c r="Q49" s="294" t="e">
        <f>ROUNDUP(Q47*$Y49/$AA$49,0)</f>
        <v>#REF!</v>
      </c>
      <c r="R49" s="295"/>
      <c r="S49" s="294" t="e">
        <f>ROUNDUP(S47*$Y49/$AA$49,0)</f>
        <v>#REF!</v>
      </c>
      <c r="T49" s="295"/>
      <c r="U49" s="398" t="e">
        <f>ROUNDUP(U47*$Y49/$AA$49,0)</f>
        <v>#REF!</v>
      </c>
      <c r="V49" s="295"/>
      <c r="W49" s="398" t="e">
        <f>ROUNDUP(W47*$Y49/$AA$49,0)</f>
        <v>#REF!</v>
      </c>
      <c r="X49" s="295"/>
      <c r="Y49" s="311">
        <v>2</v>
      </c>
      <c r="Z49" s="47" t="s">
        <v>285</v>
      </c>
      <c r="AA49" s="312" t="e">
        <f>AA26</f>
        <v>#REF!</v>
      </c>
      <c r="AB49" s="309" t="s">
        <v>284</v>
      </c>
    </row>
    <row r="50" spans="1:28" s="19" customFormat="1" ht="24" customHeight="1" x14ac:dyDescent="0.3">
      <c r="A50" s="34"/>
      <c r="B50" s="12"/>
      <c r="C50" s="12" t="s">
        <v>331</v>
      </c>
      <c r="D50" s="13" t="s">
        <v>44</v>
      </c>
      <c r="E50" s="294" t="e">
        <f>ROUNDUP(E48*$Y50/$AA$49,0)</f>
        <v>#REF!</v>
      </c>
      <c r="F50" s="295"/>
      <c r="G50" s="398" t="e">
        <f>ROUNDUP(G48*$Y50/$AA$49,0)</f>
        <v>#REF!</v>
      </c>
      <c r="H50" s="303"/>
      <c r="I50" s="448" t="e">
        <f>ROUNDUP(I48*$Y50/$AA$49,0)</f>
        <v>#REF!</v>
      </c>
      <c r="J50" s="295"/>
      <c r="K50" s="294" t="e">
        <f>ROUNDUP(K48*$Y50/$AA$49,0)</f>
        <v>#REF!</v>
      </c>
      <c r="L50" s="295"/>
      <c r="M50" s="398" t="e">
        <f>ROUNDUP(M48*$Y50/$AA$49,0)</f>
        <v>#REF!</v>
      </c>
      <c r="N50" s="295"/>
      <c r="O50" s="294" t="e">
        <f>ROUNDUP(O48*$Y50/$AA$49,0)</f>
        <v>#REF!</v>
      </c>
      <c r="P50" s="295"/>
      <c r="Q50" s="294" t="e">
        <f>ROUNDUP(Q48*$Y50/$AA$49,0)</f>
        <v>#REF!</v>
      </c>
      <c r="R50" s="295"/>
      <c r="S50" s="294" t="e">
        <f>ROUNDUP(S48*$Y50/$AA$49,0)</f>
        <v>#REF!</v>
      </c>
      <c r="T50" s="295"/>
      <c r="U50" s="398" t="e">
        <f>ROUNDUP(U48*$Y50/$AA$49,0)</f>
        <v>#REF!</v>
      </c>
      <c r="V50" s="295"/>
      <c r="W50" s="398" t="e">
        <f>ROUNDUP(W48*$Y50/$AA$49,0)</f>
        <v>#REF!</v>
      </c>
      <c r="X50" s="295"/>
      <c r="Y50" s="311">
        <v>3</v>
      </c>
      <c r="Z50" s="47" t="s">
        <v>285</v>
      </c>
      <c r="AA50" s="12"/>
      <c r="AB50" s="38"/>
    </row>
    <row r="51" spans="1:28" s="19" customFormat="1" ht="24" customHeight="1" x14ac:dyDescent="0.3">
      <c r="A51" s="34"/>
      <c r="B51" s="12"/>
      <c r="C51" s="12" t="s">
        <v>327</v>
      </c>
      <c r="D51" s="13" t="s">
        <v>43</v>
      </c>
      <c r="E51" s="294" t="e">
        <f>ROUNDUP(E49*(1+$Y51),0)</f>
        <v>#REF!</v>
      </c>
      <c r="F51" s="13"/>
      <c r="G51" s="398" t="e">
        <f>ROUNDUP(G49*(1+$Y51),0)</f>
        <v>#REF!</v>
      </c>
      <c r="H51" s="302"/>
      <c r="I51" s="448" t="e">
        <f>ROUNDUP(I49*(1+$Y51),0)</f>
        <v>#REF!</v>
      </c>
      <c r="J51" s="13"/>
      <c r="K51" s="294" t="e">
        <f>ROUNDUP(K49*(1+$Y51),0)</f>
        <v>#REF!</v>
      </c>
      <c r="L51" s="13"/>
      <c r="M51" s="398" t="e">
        <f>ROUNDUP(M49*(1+$Y51),0)</f>
        <v>#REF!</v>
      </c>
      <c r="N51" s="13"/>
      <c r="O51" s="294" t="e">
        <f>ROUNDUP(O49*(1+$Y51),0)</f>
        <v>#REF!</v>
      </c>
      <c r="P51" s="13"/>
      <c r="Q51" s="294" t="e">
        <f>ROUNDUP(Q49*(1+$Y51),0)</f>
        <v>#REF!</v>
      </c>
      <c r="R51" s="13"/>
      <c r="S51" s="294" t="e">
        <f>ROUNDUP(S49*(1+$Y51),0)</f>
        <v>#REF!</v>
      </c>
      <c r="T51" s="13"/>
      <c r="U51" s="398" t="e">
        <f>ROUNDUP(U49*(1+$Y51),0)</f>
        <v>#REF!</v>
      </c>
      <c r="V51" s="13"/>
      <c r="W51" s="398" t="e">
        <f>ROUNDUP(W49*(1+$Y51),0)</f>
        <v>#REF!</v>
      </c>
      <c r="X51" s="13"/>
      <c r="Y51" s="82">
        <v>0.45</v>
      </c>
      <c r="Z51" s="47" t="s">
        <v>332</v>
      </c>
      <c r="AA51" s="12"/>
      <c r="AB51" s="38"/>
    </row>
    <row r="52" spans="1:28" s="19" customFormat="1" ht="24" customHeight="1" x14ac:dyDescent="0.3">
      <c r="A52" s="34"/>
      <c r="B52" s="12"/>
      <c r="C52" s="12" t="s">
        <v>328</v>
      </c>
      <c r="D52" s="13" t="s">
        <v>44</v>
      </c>
      <c r="E52" s="294" t="e">
        <f>ROUNDUP(E50*(1+$Y52),0)</f>
        <v>#REF!</v>
      </c>
      <c r="F52" s="460"/>
      <c r="G52" s="398" t="e">
        <f>ROUNDUP(G50*(1+$Y52),0)</f>
        <v>#REF!</v>
      </c>
      <c r="H52" s="302"/>
      <c r="I52" s="448" t="e">
        <f>ROUNDUP(I50*(1+$Y52),0)</f>
        <v>#REF!</v>
      </c>
      <c r="J52" s="13"/>
      <c r="K52" s="294" t="e">
        <f>ROUNDUP(K50*(1+$Y52),0)</f>
        <v>#REF!</v>
      </c>
      <c r="L52" s="460"/>
      <c r="M52" s="398" t="e">
        <f>ROUNDUP(M50*(1+$Y52),0)</f>
        <v>#REF!</v>
      </c>
      <c r="N52" s="13"/>
      <c r="O52" s="294" t="e">
        <f>ROUNDUP(O50*(1+$Y52),0)</f>
        <v>#REF!</v>
      </c>
      <c r="P52" s="13"/>
      <c r="Q52" s="294" t="e">
        <f>ROUNDUP(Q50*(1+$Y52),0)</f>
        <v>#REF!</v>
      </c>
      <c r="R52" s="13"/>
      <c r="S52" s="294" t="e">
        <f>ROUNDUP(S50*(1+$Y52),0)</f>
        <v>#REF!</v>
      </c>
      <c r="T52" s="460"/>
      <c r="U52" s="398" t="e">
        <f>ROUNDUP(U50*(1+$Y52),0)</f>
        <v>#REF!</v>
      </c>
      <c r="V52" s="460"/>
      <c r="W52" s="398" t="e">
        <f>ROUNDUP(W50*(1+$Y52),0)</f>
        <v>#REF!</v>
      </c>
      <c r="X52" s="13"/>
      <c r="Y52" s="82">
        <v>0.45</v>
      </c>
      <c r="Z52" s="47" t="s">
        <v>332</v>
      </c>
      <c r="AA52" s="12"/>
      <c r="AB52" s="38"/>
    </row>
    <row r="53" spans="1:28" s="19" customFormat="1" ht="24" customHeight="1" x14ac:dyDescent="0.3">
      <c r="A53" s="34"/>
      <c r="B53" s="12"/>
      <c r="C53" s="12" t="s">
        <v>55</v>
      </c>
      <c r="D53" s="13" t="s">
        <v>309</v>
      </c>
      <c r="E53" s="294" t="e">
        <f>ROUNDUP(E51*$Y53/$AA53,0)</f>
        <v>#REF!</v>
      </c>
      <c r="F53" s="455" t="e">
        <f>E53*$Y54</f>
        <v>#REF!</v>
      </c>
      <c r="G53" s="398" t="e">
        <f>ROUNDUP(G51*$Y53/$AA53,0)</f>
        <v>#REF!</v>
      </c>
      <c r="H53" s="457" t="e">
        <f>G53*$Y54</f>
        <v>#REF!</v>
      </c>
      <c r="I53" s="448" t="e">
        <f>ROUNDUP(I51*$Y53/$AA53,0)</f>
        <v>#REF!</v>
      </c>
      <c r="J53" s="337" t="e">
        <f>I53*$Y54</f>
        <v>#REF!</v>
      </c>
      <c r="K53" s="294" t="e">
        <f>ROUNDUP(K51*$Y53/$AA53,0)</f>
        <v>#REF!</v>
      </c>
      <c r="L53" s="455" t="e">
        <f>K53*$Y54</f>
        <v>#REF!</v>
      </c>
      <c r="M53" s="398" t="e">
        <f>ROUNDUP(M51*$Y53/$AA53,0)</f>
        <v>#REF!</v>
      </c>
      <c r="N53" s="337" t="e">
        <f>M53*$Y54</f>
        <v>#REF!</v>
      </c>
      <c r="O53" s="294" t="e">
        <f>ROUNDUP(O51*$Y53/$AA53,0)</f>
        <v>#REF!</v>
      </c>
      <c r="P53" s="337" t="e">
        <f>O53*$Y54</f>
        <v>#REF!</v>
      </c>
      <c r="Q53" s="294" t="e">
        <f>ROUNDUP(Q51*$Y53/$AA53,0)</f>
        <v>#REF!</v>
      </c>
      <c r="R53" s="337" t="e">
        <f>Q53*$Y54</f>
        <v>#REF!</v>
      </c>
      <c r="S53" s="294" t="e">
        <f>ROUNDUP(S51*$Y53/$AA53,0)</f>
        <v>#REF!</v>
      </c>
      <c r="T53" s="455" t="e">
        <f>S53*$Y54</f>
        <v>#REF!</v>
      </c>
      <c r="U53" s="398" t="e">
        <f>ROUNDUP(U51*$Y53/$AA53,0)</f>
        <v>#REF!</v>
      </c>
      <c r="V53" s="455" t="e">
        <f>U53*$Y54</f>
        <v>#REF!</v>
      </c>
      <c r="W53" s="398" t="e">
        <f>ROUNDUP(W51*$Y53/$AA53,0)</f>
        <v>#REF!</v>
      </c>
      <c r="X53" s="337" t="e">
        <f>W53*$Y54</f>
        <v>#REF!</v>
      </c>
      <c r="Y53" s="82">
        <v>0.75</v>
      </c>
      <c r="Z53" s="47" t="s">
        <v>335</v>
      </c>
      <c r="AA53" s="449">
        <v>0.75</v>
      </c>
      <c r="AB53" s="309" t="s">
        <v>336</v>
      </c>
    </row>
    <row r="54" spans="1:28" s="19" customFormat="1" ht="24" customHeight="1" x14ac:dyDescent="0.3">
      <c r="A54" s="34"/>
      <c r="B54" s="12"/>
      <c r="C54" s="17" t="s">
        <v>58</v>
      </c>
      <c r="D54" s="13" t="s">
        <v>9</v>
      </c>
      <c r="E54" s="148" t="e">
        <f>ROUNDUP(E53*0.33,0)</f>
        <v>#REF!</v>
      </c>
      <c r="F54" s="460"/>
      <c r="G54" s="387" t="e">
        <f>ROUNDUP(G53*0.33,0)</f>
        <v>#REF!</v>
      </c>
      <c r="H54" s="302"/>
      <c r="I54" s="373" t="e">
        <f>ROUNDUP(I53*0.33,0)</f>
        <v>#REF!</v>
      </c>
      <c r="J54" s="13"/>
      <c r="K54" s="148" t="e">
        <f>ROUNDUP(K53*0.33,0)</f>
        <v>#REF!</v>
      </c>
      <c r="L54" s="460"/>
      <c r="M54" s="387" t="e">
        <f>ROUNDUP(M53*0.33,0)</f>
        <v>#REF!</v>
      </c>
      <c r="N54" s="13"/>
      <c r="O54" s="148" t="e">
        <f>ROUNDUP(O53*0.33,0)</f>
        <v>#REF!</v>
      </c>
      <c r="P54" s="13"/>
      <c r="Q54" s="148" t="e">
        <f>ROUNDUP(Q53*0.33,0)</f>
        <v>#REF!</v>
      </c>
      <c r="R54" s="13"/>
      <c r="S54" s="148" t="e">
        <f>ROUNDUP(S53*0.33,0)</f>
        <v>#REF!</v>
      </c>
      <c r="T54" s="460"/>
      <c r="U54" s="387" t="e">
        <f>ROUNDUP(U53*0.33,0)</f>
        <v>#REF!</v>
      </c>
      <c r="V54" s="460"/>
      <c r="W54" s="387" t="e">
        <f>ROUNDUP(W53*0.33,0)</f>
        <v>#REF!</v>
      </c>
      <c r="X54" s="13"/>
      <c r="Y54" s="451">
        <f>Y43</f>
        <v>6.6</v>
      </c>
      <c r="Z54" s="47" t="s">
        <v>313</v>
      </c>
      <c r="AA54" s="452">
        <f>AA43</f>
        <v>6.6</v>
      </c>
      <c r="AB54" s="309" t="s">
        <v>314</v>
      </c>
    </row>
    <row r="55" spans="1:28" s="19" customFormat="1" ht="24" customHeight="1" x14ac:dyDescent="0.3">
      <c r="A55" s="34"/>
      <c r="B55" s="12"/>
      <c r="C55" s="17" t="s">
        <v>59</v>
      </c>
      <c r="D55" s="13" t="s">
        <v>9</v>
      </c>
      <c r="E55" s="148" t="e">
        <f>E53-E54</f>
        <v>#REF!</v>
      </c>
      <c r="F55" s="460"/>
      <c r="G55" s="387" t="e">
        <f>G53-G54</f>
        <v>#REF!</v>
      </c>
      <c r="H55" s="302"/>
      <c r="I55" s="373" t="e">
        <f>I53-I54</f>
        <v>#REF!</v>
      </c>
      <c r="J55" s="13"/>
      <c r="K55" s="148" t="e">
        <f>K53-K54</f>
        <v>#REF!</v>
      </c>
      <c r="L55" s="460"/>
      <c r="M55" s="387" t="e">
        <f>M53-M54</f>
        <v>#REF!</v>
      </c>
      <c r="N55" s="13"/>
      <c r="O55" s="148" t="e">
        <f>O53-O54</f>
        <v>#REF!</v>
      </c>
      <c r="P55" s="13"/>
      <c r="Q55" s="148" t="e">
        <f>Q53-Q54</f>
        <v>#REF!</v>
      </c>
      <c r="R55" s="13"/>
      <c r="S55" s="148" t="e">
        <f>S53-S54</f>
        <v>#REF!</v>
      </c>
      <c r="T55" s="460"/>
      <c r="U55" s="387" t="e">
        <f>U53-U54</f>
        <v>#REF!</v>
      </c>
      <c r="V55" s="460"/>
      <c r="W55" s="387" t="e">
        <f>W53-W54</f>
        <v>#REF!</v>
      </c>
      <c r="X55" s="13"/>
      <c r="Y55" s="450" t="s">
        <v>173</v>
      </c>
      <c r="Z55" s="47"/>
      <c r="AA55" s="12"/>
      <c r="AB55" s="38"/>
    </row>
    <row r="56" spans="1:28" s="19" customFormat="1" ht="24" customHeight="1" x14ac:dyDescent="0.3">
      <c r="A56" s="34"/>
      <c r="B56" s="12"/>
      <c r="C56" s="22" t="s">
        <v>56</v>
      </c>
      <c r="D56" s="317" t="s">
        <v>309</v>
      </c>
      <c r="E56" s="453" t="e">
        <f>ROUNDUP(E52*$Y56/$AA56,0)</f>
        <v>#REF!</v>
      </c>
      <c r="F56" s="454" t="e">
        <f>E56*$AA54</f>
        <v>#REF!</v>
      </c>
      <c r="G56" s="461" t="e">
        <f>ROUNDUP(G52*$Y56/$AA56,0)</f>
        <v>#REF!</v>
      </c>
      <c r="H56" s="458" t="e">
        <f>G56*$AA54</f>
        <v>#REF!</v>
      </c>
      <c r="I56" s="459" t="e">
        <f>ROUNDUP(I52*$Y56/$AA56,0)</f>
        <v>#REF!</v>
      </c>
      <c r="J56" s="462" t="e">
        <f>I56*$AA54</f>
        <v>#REF!</v>
      </c>
      <c r="K56" s="453" t="e">
        <f>ROUNDUP(K52*$Y56/$AA56,0)</f>
        <v>#REF!</v>
      </c>
      <c r="L56" s="454" t="e">
        <f>K56*$AA54</f>
        <v>#REF!</v>
      </c>
      <c r="M56" s="461" t="e">
        <f>ROUNDUP(M52*$Y56/$AA56,0)</f>
        <v>#REF!</v>
      </c>
      <c r="N56" s="462" t="e">
        <f>M56*$AA54</f>
        <v>#REF!</v>
      </c>
      <c r="O56" s="453" t="e">
        <f>ROUNDUP(O52*$Y56/$AA56,0)</f>
        <v>#REF!</v>
      </c>
      <c r="P56" s="462" t="e">
        <f>O56*$AA54</f>
        <v>#REF!</v>
      </c>
      <c r="Q56" s="453" t="e">
        <f>ROUNDUP(Q52*$Y56/$AA56,0)</f>
        <v>#REF!</v>
      </c>
      <c r="R56" s="462" t="e">
        <f>Q56*$AA54</f>
        <v>#REF!</v>
      </c>
      <c r="S56" s="453" t="e">
        <f>ROUNDUP(S52*$Y56/$AA56,0)</f>
        <v>#REF!</v>
      </c>
      <c r="T56" s="454" t="e">
        <f>S56*$AA54</f>
        <v>#REF!</v>
      </c>
      <c r="U56" s="461" t="e">
        <f>ROUNDUP(U52*$Y56/$AA56,0)</f>
        <v>#REF!</v>
      </c>
      <c r="V56" s="454" t="e">
        <f>U56*$AA54</f>
        <v>#REF!</v>
      </c>
      <c r="W56" s="461" t="e">
        <f>ROUNDUP(W52*$Y56/$AA56,0)</f>
        <v>#REF!</v>
      </c>
      <c r="X56" s="462" t="e">
        <f>W56*$AA54</f>
        <v>#REF!</v>
      </c>
      <c r="Y56" s="82">
        <v>0.67</v>
      </c>
      <c r="Z56" s="47" t="s">
        <v>335</v>
      </c>
      <c r="AA56" s="449">
        <v>0.75</v>
      </c>
      <c r="AB56" s="309" t="s">
        <v>336</v>
      </c>
    </row>
    <row r="57" spans="1:28" s="19" customFormat="1" ht="24" customHeight="1" x14ac:dyDescent="0.3">
      <c r="A57" s="34"/>
      <c r="B57" s="12"/>
      <c r="C57" s="200" t="s">
        <v>329</v>
      </c>
      <c r="D57" s="295" t="s">
        <v>316</v>
      </c>
      <c r="E57" s="81"/>
      <c r="F57" s="400" t="e">
        <f>MAX(SUM(F36:F38),F42+F45,F53+F56)</f>
        <v>#REF!</v>
      </c>
      <c r="G57" s="385"/>
      <c r="H57" s="401" t="e">
        <f>H42+H45</f>
        <v>#REF!</v>
      </c>
      <c r="I57" s="13"/>
      <c r="J57" s="400" t="e">
        <f>J42+J45</f>
        <v>#REF!</v>
      </c>
      <c r="K57" s="81"/>
      <c r="L57" s="400" t="e">
        <f>L42+L45</f>
        <v>#REF!</v>
      </c>
      <c r="M57" s="385"/>
      <c r="N57" s="400" t="e">
        <f>N42+N45</f>
        <v>#REF!</v>
      </c>
      <c r="O57" s="81"/>
      <c r="P57" s="400" t="e">
        <f>P42+P45</f>
        <v>#REF!</v>
      </c>
      <c r="Q57" s="81"/>
      <c r="R57" s="400" t="e">
        <f>R42+R45</f>
        <v>#REF!</v>
      </c>
      <c r="S57" s="81"/>
      <c r="T57" s="400" t="e">
        <f>T42+T45</f>
        <v>#REF!</v>
      </c>
      <c r="U57" s="385"/>
      <c r="V57" s="400" t="e">
        <f>V42+V45</f>
        <v>#REF!</v>
      </c>
      <c r="W57" s="385"/>
      <c r="X57" s="400" t="e">
        <f>X42+X45</f>
        <v>#REF!</v>
      </c>
      <c r="Y57" s="11"/>
      <c r="Z57" s="12"/>
      <c r="AA57" s="12"/>
      <c r="AB57" s="38"/>
    </row>
    <row r="58" spans="1:28" s="19" customFormat="1" ht="24" customHeight="1" x14ac:dyDescent="0.3">
      <c r="A58" s="34"/>
      <c r="B58" s="12"/>
      <c r="C58" s="12" t="s">
        <v>292</v>
      </c>
      <c r="D58" s="13"/>
      <c r="E58" s="2061" t="e">
        <f t="shared" ref="E58:I58" si="0">E3</f>
        <v>#REF!</v>
      </c>
      <c r="F58" s="2062"/>
      <c r="G58" s="2063" t="e">
        <f t="shared" si="0"/>
        <v>#REF!</v>
      </c>
      <c r="H58" s="2062"/>
      <c r="I58" s="2064" t="e">
        <f t="shared" si="0"/>
        <v>#REF!</v>
      </c>
      <c r="J58" s="2065"/>
      <c r="K58" s="2053" t="e">
        <f>K3</f>
        <v>#REF!</v>
      </c>
      <c r="L58" s="2066"/>
      <c r="M58" s="2055" t="e">
        <f>M3</f>
        <v>#REF!</v>
      </c>
      <c r="N58" s="2056"/>
      <c r="O58" s="2053" t="e">
        <f>O3</f>
        <v>#REF!</v>
      </c>
      <c r="P58" s="2054"/>
      <c r="Q58" s="2053" t="e">
        <f t="shared" ref="Q58" si="1">Q3</f>
        <v>#REF!</v>
      </c>
      <c r="R58" s="2054"/>
      <c r="S58" s="2053" t="e">
        <f t="shared" ref="S58" si="2">S3</f>
        <v>#REF!</v>
      </c>
      <c r="T58" s="2054"/>
      <c r="U58" s="2055" t="e">
        <f>U3</f>
        <v>#REF!</v>
      </c>
      <c r="V58" s="2056"/>
      <c r="W58" s="2055" t="e">
        <f>W3</f>
        <v>#REF!</v>
      </c>
      <c r="X58" s="2056"/>
      <c r="Y58" s="11"/>
      <c r="Z58" s="12"/>
      <c r="AA58" s="12"/>
      <c r="AB58" s="38"/>
    </row>
    <row r="59" spans="1:28" s="19" customFormat="1" ht="24" customHeight="1" thickBot="1" x14ac:dyDescent="0.35">
      <c r="A59" s="242"/>
      <c r="B59" s="134"/>
      <c r="C59" s="134"/>
      <c r="D59" s="293"/>
      <c r="E59" s="293"/>
      <c r="F59" s="134"/>
      <c r="G59" s="134"/>
      <c r="H59" s="134"/>
      <c r="I59" s="134"/>
      <c r="J59" s="134"/>
      <c r="K59" s="134"/>
      <c r="L59" s="134"/>
      <c r="M59" s="134"/>
      <c r="N59" s="134"/>
      <c r="O59" s="134"/>
      <c r="P59" s="134"/>
      <c r="Q59" s="134"/>
      <c r="R59" s="134"/>
      <c r="S59" s="134"/>
      <c r="T59" s="134"/>
      <c r="U59" s="134"/>
      <c r="V59" s="134"/>
      <c r="W59" s="134"/>
      <c r="X59" s="134"/>
      <c r="Y59" s="134"/>
      <c r="Z59" s="134"/>
      <c r="AA59" s="134"/>
      <c r="AB59" s="71"/>
    </row>
  </sheetData>
  <mergeCells count="36">
    <mergeCell ref="W58:X58"/>
    <mergeCell ref="Y36:AB38"/>
    <mergeCell ref="U4:V4"/>
    <mergeCell ref="U58:V58"/>
    <mergeCell ref="Z27:AB28"/>
    <mergeCell ref="Z11:AB12"/>
    <mergeCell ref="Y14:AB16"/>
    <mergeCell ref="Y31:AB32"/>
    <mergeCell ref="A6:B8"/>
    <mergeCell ref="E58:F58"/>
    <mergeCell ref="G58:H58"/>
    <mergeCell ref="I58:J58"/>
    <mergeCell ref="K58:L58"/>
    <mergeCell ref="O58:P58"/>
    <mergeCell ref="Q58:R58"/>
    <mergeCell ref="S58:T58"/>
    <mergeCell ref="M58:N58"/>
    <mergeCell ref="K3:L3"/>
    <mergeCell ref="K4:L4"/>
    <mergeCell ref="O3:P3"/>
    <mergeCell ref="O4:P4"/>
    <mergeCell ref="M3:N3"/>
    <mergeCell ref="M4:N4"/>
    <mergeCell ref="E4:F4"/>
    <mergeCell ref="G4:H4"/>
    <mergeCell ref="I4:J4"/>
    <mergeCell ref="G3:H3"/>
    <mergeCell ref="E3:F3"/>
    <mergeCell ref="I3:J3"/>
    <mergeCell ref="W3:X3"/>
    <mergeCell ref="U3:V3"/>
    <mergeCell ref="W4:X4"/>
    <mergeCell ref="Q3:R3"/>
    <mergeCell ref="Q4:R4"/>
    <mergeCell ref="S3:T3"/>
    <mergeCell ref="S4:T4"/>
  </mergeCells>
  <printOptions horizontalCentered="1"/>
  <pageMargins left="0.39370078740157483" right="0.39370078740157483" top="0.39370078740157483" bottom="0.59055118110236227" header="0.23622047244094491" footer="0.23622047244094491"/>
  <pageSetup paperSize="8" scale="58" orientation="landscape" horizontalDpi="1200" verticalDpi="1200" r:id="rId1"/>
  <headerFooter>
    <oddFooter>&amp;L&amp;F&amp;C&amp;A&amp;RPrinted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All Years</vt:lpstr>
      <vt:lpstr>Reference Aircraft</vt:lpstr>
      <vt:lpstr>Gate Seating Base</vt:lpstr>
      <vt:lpstr>Gate Seating High</vt:lpstr>
      <vt:lpstr>Optimum LoS Analysis</vt:lpstr>
      <vt:lpstr>Comparisons 10th Edn</vt:lpstr>
      <vt:lpstr>Comparisons 9th Edn</vt:lpstr>
      <vt:lpstr>Gate Parameters</vt:lpstr>
      <vt:lpstr>Toilets</vt:lpstr>
      <vt:lpstr>Concourse Op1</vt:lpstr>
      <vt:lpstr>Concourse Op2</vt:lpstr>
      <vt:lpstr>Concourse Op3</vt:lpstr>
      <vt:lpstr>Concourse Op4</vt:lpstr>
      <vt:lpstr>Prog Layout</vt:lpstr>
      <vt:lpstr>Gate Allocation</vt:lpstr>
      <vt:lpstr>REVISIONS</vt:lpstr>
    </vt:vector>
  </TitlesOfParts>
  <Company>Woods Bagot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Spencer</dc:creator>
  <cp:lastModifiedBy>Luis Jaggy</cp:lastModifiedBy>
  <cp:lastPrinted>2016-04-29T01:20:09Z</cp:lastPrinted>
  <dcterms:created xsi:type="dcterms:W3CDTF">2012-07-06T01:49:23Z</dcterms:created>
  <dcterms:modified xsi:type="dcterms:W3CDTF">2016-05-11T01:08:47Z</dcterms:modified>
</cp:coreProperties>
</file>