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195" yWindow="315" windowWidth="15675" windowHeight="14070" tabRatio="900" firstSheet="1" activeTab="7"/>
  </bookViews>
  <sheets>
    <sheet name="Departure Lounge 2027" sheetId="1" r:id="rId1"/>
    <sheet name="Boarding Zones 2027" sheetId="20" r:id="rId2"/>
    <sheet name="Pax Profile A" sheetId="5" r:id="rId3"/>
    <sheet name="Pax Profile B" sheetId="16" r:id="rId4"/>
    <sheet name="Pax Profile C" sheetId="17" r:id="rId5"/>
    <sheet name="Pax Profile D" sheetId="19" r:id="rId6"/>
    <sheet name="Lookup Tables" sheetId="4" r:id="rId7"/>
    <sheet name="All Aircraft" sheetId="15" r:id="rId8"/>
    <sheet name="Sheet1" sheetId="21" r:id="rId9"/>
  </sheets>
  <definedNames>
    <definedName name="Aircraft">'Lookup Tables'!$A$55:$E$68</definedName>
    <definedName name="Airlines">'Lookup Tables'!$G$23:$H$48</definedName>
    <definedName name="All_Aircraft">'All Aircraft'!$A$3:$F$336</definedName>
    <definedName name="Boarding">'Lookup Tables'!$K$23:$N$38</definedName>
    <definedName name="Destinations">'Lookup Tables'!$A$7:$B$47</definedName>
    <definedName name="Flux.Constantly">0</definedName>
    <definedName name="Flux.DataHasHeaders">1</definedName>
    <definedName name="_xlnm.Print_Area" localSheetId="2">'Pax Profile A'!$A$1:$AS$38</definedName>
    <definedName name="Revision">'Lookup Tables'!$F$6:$H$19</definedName>
  </definedNames>
  <calcPr calcId="145621"/>
</workbook>
</file>

<file path=xl/calcChain.xml><?xml version="1.0" encoding="utf-8"?>
<calcChain xmlns="http://schemas.openxmlformats.org/spreadsheetml/2006/main">
  <c r="B65" i="4" l="1"/>
  <c r="C65" i="4"/>
  <c r="B66" i="4"/>
  <c r="C66" i="4"/>
  <c r="D62" i="4"/>
  <c r="C62" i="4"/>
  <c r="B62" i="4"/>
  <c r="D56" i="4"/>
  <c r="C56" i="4"/>
  <c r="B56" i="4"/>
  <c r="C44" i="21" l="1"/>
  <c r="L5" i="20" l="1"/>
  <c r="M14" i="20"/>
  <c r="J88" i="21" l="1"/>
  <c r="K88" i="21" s="1"/>
  <c r="C88" i="21"/>
  <c r="J87" i="21"/>
  <c r="K87" i="21" s="1"/>
  <c r="C87" i="21"/>
  <c r="J86" i="21"/>
  <c r="K86" i="21" s="1"/>
  <c r="J85" i="21"/>
  <c r="K85" i="21" s="1"/>
  <c r="C85" i="21"/>
  <c r="J84" i="21"/>
  <c r="K84" i="21" s="1"/>
  <c r="C84" i="21"/>
  <c r="J83" i="21"/>
  <c r="K83" i="21" s="1"/>
  <c r="C83" i="21"/>
  <c r="K82" i="21"/>
  <c r="C82" i="21"/>
  <c r="J81" i="21"/>
  <c r="K81" i="21" s="1"/>
  <c r="C81" i="21"/>
  <c r="J80" i="21"/>
  <c r="K80" i="21" s="1"/>
  <c r="C80" i="21"/>
  <c r="J79" i="21"/>
  <c r="K79" i="21" s="1"/>
  <c r="C79" i="21"/>
  <c r="J78" i="21"/>
  <c r="K78" i="21" s="1"/>
  <c r="J77" i="21"/>
  <c r="K77" i="21" s="1"/>
  <c r="C77" i="21"/>
  <c r="J76" i="21"/>
  <c r="K76" i="21" s="1"/>
  <c r="C76" i="21"/>
  <c r="J70" i="21"/>
  <c r="K70" i="21" s="1"/>
  <c r="C70" i="21"/>
  <c r="J69" i="21"/>
  <c r="K69" i="21" s="1"/>
  <c r="C69" i="21"/>
  <c r="J68" i="21"/>
  <c r="K68" i="21" s="1"/>
  <c r="J67" i="21"/>
  <c r="K67" i="21" s="1"/>
  <c r="C67" i="21"/>
  <c r="J66" i="21"/>
  <c r="K66" i="21" s="1"/>
  <c r="C66" i="21"/>
  <c r="J64" i="21"/>
  <c r="K64" i="21" s="1"/>
  <c r="C64" i="21"/>
  <c r="K63" i="21"/>
  <c r="C63" i="21"/>
  <c r="J61" i="21"/>
  <c r="K61" i="21" s="1"/>
  <c r="C61" i="21"/>
  <c r="J59" i="21"/>
  <c r="K59" i="21" s="1"/>
  <c r="C59" i="21"/>
  <c r="J58" i="21"/>
  <c r="K58" i="21" s="1"/>
  <c r="C58" i="21"/>
  <c r="J55" i="21"/>
  <c r="K55" i="21" s="1"/>
  <c r="J54" i="21"/>
  <c r="K54" i="21" s="1"/>
  <c r="C54" i="21"/>
  <c r="J53" i="21"/>
  <c r="K53" i="21" s="1"/>
  <c r="C53" i="21"/>
  <c r="J47" i="21"/>
  <c r="K47" i="21" s="1"/>
  <c r="C47" i="21"/>
  <c r="J46" i="21"/>
  <c r="K46" i="21" s="1"/>
  <c r="C46" i="21"/>
  <c r="J45" i="21"/>
  <c r="K45" i="21" s="1"/>
  <c r="J44" i="21"/>
  <c r="K44" i="21" s="1"/>
  <c r="J43" i="21"/>
  <c r="K43" i="21" s="1"/>
  <c r="C43" i="21"/>
  <c r="J41" i="21"/>
  <c r="K41" i="21" s="1"/>
  <c r="C41" i="21"/>
  <c r="K40" i="21"/>
  <c r="C40" i="21"/>
  <c r="J38" i="21"/>
  <c r="K38" i="21" s="1"/>
  <c r="J36" i="21"/>
  <c r="K36" i="21" s="1"/>
  <c r="C36" i="21"/>
  <c r="J35" i="21"/>
  <c r="K35" i="21" s="1"/>
  <c r="C35" i="21"/>
  <c r="J32" i="21"/>
  <c r="K32" i="21" s="1"/>
  <c r="J31" i="21"/>
  <c r="K31" i="21" s="1"/>
  <c r="C31" i="21"/>
  <c r="J30" i="21"/>
  <c r="K30" i="21" s="1"/>
  <c r="C30" i="21"/>
  <c r="E3" i="21"/>
  <c r="F3" i="21" s="1"/>
  <c r="C3" i="21"/>
  <c r="J24" i="21"/>
  <c r="K24" i="21" s="1"/>
  <c r="C24" i="21"/>
  <c r="J23" i="21"/>
  <c r="K23" i="21" s="1"/>
  <c r="C23" i="21"/>
  <c r="J22" i="21"/>
  <c r="J21" i="21"/>
  <c r="C21" i="21"/>
  <c r="J20" i="21"/>
  <c r="C20" i="21"/>
  <c r="J19" i="21"/>
  <c r="J18" i="21"/>
  <c r="C18" i="21"/>
  <c r="K17" i="21"/>
  <c r="C17" i="21"/>
  <c r="J16" i="21"/>
  <c r="K16" i="21" s="1"/>
  <c r="C16" i="21"/>
  <c r="J15" i="21"/>
  <c r="K15" i="21" s="1"/>
  <c r="J14" i="21"/>
  <c r="J13" i="21"/>
  <c r="K13" i="21" s="1"/>
  <c r="C13" i="21"/>
  <c r="J12" i="21"/>
  <c r="C12" i="21"/>
  <c r="J10" i="21"/>
  <c r="J9" i="21"/>
  <c r="K9" i="21" s="1"/>
  <c r="J8" i="21"/>
  <c r="K8" i="21" s="1"/>
  <c r="C8" i="21"/>
  <c r="J7" i="21"/>
  <c r="K7" i="21" s="1"/>
  <c r="C7" i="21"/>
  <c r="C2" i="21" l="1"/>
  <c r="K12" i="21"/>
  <c r="K10" i="21"/>
  <c r="K14" i="21"/>
  <c r="K20" i="21"/>
  <c r="K21" i="21"/>
  <c r="K18" i="21"/>
  <c r="K19" i="21"/>
  <c r="K22" i="21"/>
  <c r="A4" i="20"/>
  <c r="AR37" i="19"/>
  <c r="CA26" i="20"/>
  <c r="CA25" i="20"/>
  <c r="CA24" i="20"/>
  <c r="CA23" i="20"/>
  <c r="CA22" i="20"/>
  <c r="CA21" i="20"/>
  <c r="CA20" i="20"/>
  <c r="CA19" i="20"/>
  <c r="CA18" i="20"/>
  <c r="CA17" i="20"/>
  <c r="CA16" i="20"/>
  <c r="CA15" i="20"/>
  <c r="CA14" i="20"/>
  <c r="CA13" i="20"/>
  <c r="CA12" i="20"/>
  <c r="CA11" i="20"/>
  <c r="L24" i="20"/>
  <c r="O91" i="20" l="1"/>
  <c r="I19" i="20"/>
  <c r="N4" i="20"/>
  <c r="K22" i="1"/>
  <c r="L26" i="20"/>
  <c r="J26" i="20"/>
  <c r="L25" i="20"/>
  <c r="J25" i="20"/>
  <c r="J24" i="20"/>
  <c r="L23" i="20"/>
  <c r="J23" i="20"/>
  <c r="L22" i="20"/>
  <c r="J22" i="20"/>
  <c r="L21" i="20"/>
  <c r="J21" i="20"/>
  <c r="L20" i="20"/>
  <c r="J20" i="20"/>
  <c r="L19" i="20"/>
  <c r="J19" i="20"/>
  <c r="L18" i="20"/>
  <c r="J18" i="20"/>
  <c r="L17" i="20"/>
  <c r="J17" i="20"/>
  <c r="L16" i="20"/>
  <c r="J16" i="20"/>
  <c r="L15" i="20"/>
  <c r="J15" i="20"/>
  <c r="L14" i="20"/>
  <c r="J14" i="20"/>
  <c r="L13" i="20"/>
  <c r="J13" i="20"/>
  <c r="L12" i="20"/>
  <c r="J12" i="20"/>
  <c r="F26" i="20"/>
  <c r="E26" i="20"/>
  <c r="D26" i="20"/>
  <c r="F25" i="20"/>
  <c r="E25" i="20"/>
  <c r="D25" i="20"/>
  <c r="F24" i="20"/>
  <c r="E24" i="20"/>
  <c r="D24" i="20"/>
  <c r="F23" i="20"/>
  <c r="E23" i="20"/>
  <c r="D23" i="20"/>
  <c r="F22" i="20"/>
  <c r="E22" i="20"/>
  <c r="D22" i="20"/>
  <c r="F21" i="20"/>
  <c r="E21" i="20"/>
  <c r="D21" i="20"/>
  <c r="F20" i="20"/>
  <c r="E20" i="20"/>
  <c r="D20" i="20"/>
  <c r="F19" i="20"/>
  <c r="E19" i="20"/>
  <c r="D19" i="20"/>
  <c r="F18" i="20"/>
  <c r="E18" i="20"/>
  <c r="D18" i="20"/>
  <c r="F17" i="20"/>
  <c r="E17" i="20"/>
  <c r="D17" i="20"/>
  <c r="F16" i="20"/>
  <c r="E16" i="20"/>
  <c r="D16" i="20"/>
  <c r="F15" i="20"/>
  <c r="E15" i="20"/>
  <c r="D15" i="20"/>
  <c r="F14" i="20"/>
  <c r="E14" i="20"/>
  <c r="D14" i="20"/>
  <c r="F13" i="20"/>
  <c r="E13" i="20"/>
  <c r="D13" i="20"/>
  <c r="F12" i="20"/>
  <c r="E12" i="20"/>
  <c r="D12" i="20"/>
  <c r="B26" i="20"/>
  <c r="A26" i="20"/>
  <c r="B25" i="20"/>
  <c r="A25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L11" i="20"/>
  <c r="J11" i="20"/>
  <c r="F11" i="20"/>
  <c r="E11" i="20"/>
  <c r="D11" i="20"/>
  <c r="B11" i="20"/>
  <c r="A11" i="20"/>
  <c r="C19" i="20" l="1"/>
  <c r="M19" i="20"/>
  <c r="N19" i="20" s="1"/>
  <c r="AI19" i="20" s="1"/>
  <c r="AL19" i="20" l="1"/>
  <c r="AB19" i="20"/>
  <c r="AF19" i="20"/>
  <c r="Y19" i="20"/>
  <c r="V19" i="20"/>
  <c r="AK19" i="20"/>
  <c r="AH19" i="20"/>
  <c r="AA19" i="20"/>
  <c r="AE19" i="20"/>
  <c r="AJ19" i="20"/>
  <c r="AC19" i="20"/>
  <c r="Z19" i="20"/>
  <c r="X19" i="20"/>
  <c r="AG19" i="20"/>
  <c r="AD19" i="20"/>
  <c r="W19" i="20"/>
  <c r="M33" i="19" l="1"/>
  <c r="N31" i="19"/>
  <c r="AB35" i="19"/>
  <c r="K19" i="1"/>
  <c r="L19" i="1" s="1"/>
  <c r="C19" i="1"/>
  <c r="U19" i="1" l="1"/>
  <c r="W19" i="1"/>
  <c r="T19" i="1"/>
  <c r="V19" i="1"/>
  <c r="L14" i="1" l="1"/>
  <c r="K13" i="1"/>
  <c r="L13" i="1" s="1"/>
  <c r="G108" i="20"/>
  <c r="G105" i="20"/>
  <c r="G102" i="20"/>
  <c r="G99" i="20"/>
  <c r="G96" i="20"/>
  <c r="G93" i="20"/>
  <c r="O2" i="20"/>
  <c r="E3" i="20"/>
  <c r="C2" i="20" s="1"/>
  <c r="C3" i="20"/>
  <c r="I22" i="20"/>
  <c r="I26" i="20"/>
  <c r="I25" i="20"/>
  <c r="I21" i="20"/>
  <c r="I20" i="20"/>
  <c r="I24" i="20"/>
  <c r="I23" i="20"/>
  <c r="I18" i="20"/>
  <c r="I17" i="20"/>
  <c r="I16" i="20"/>
  <c r="I15" i="20"/>
  <c r="I14" i="20"/>
  <c r="I13" i="20"/>
  <c r="I12" i="20"/>
  <c r="I11" i="20"/>
  <c r="N58" i="20"/>
  <c r="N55" i="20"/>
  <c r="BZ53" i="20"/>
  <c r="BY53" i="20"/>
  <c r="BX53" i="20"/>
  <c r="BL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BZ52" i="20"/>
  <c r="BY52" i="20"/>
  <c r="BX52" i="20"/>
  <c r="BL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49" i="20"/>
  <c r="C49" i="20"/>
  <c r="M48" i="20"/>
  <c r="N48" i="20" s="1"/>
  <c r="C48" i="20"/>
  <c r="M47" i="20"/>
  <c r="N47" i="20" s="1"/>
  <c r="M46" i="20"/>
  <c r="N46" i="20" s="1"/>
  <c r="M45" i="20"/>
  <c r="N45" i="20" s="1"/>
  <c r="C45" i="20"/>
  <c r="M44" i="20"/>
  <c r="N44" i="20" s="1"/>
  <c r="C44" i="20"/>
  <c r="M42" i="20"/>
  <c r="N42" i="20" s="1"/>
  <c r="C42" i="20"/>
  <c r="M41" i="20"/>
  <c r="N41" i="20" s="1"/>
  <c r="M40" i="20"/>
  <c r="N40" i="20" s="1"/>
  <c r="M39" i="20"/>
  <c r="N39" i="20" s="1"/>
  <c r="M38" i="20"/>
  <c r="N38" i="20" s="1"/>
  <c r="M37" i="20"/>
  <c r="N37" i="20" s="1"/>
  <c r="M36" i="20"/>
  <c r="N36" i="20" s="1"/>
  <c r="C36" i="20"/>
  <c r="M35" i="20"/>
  <c r="N35" i="20" s="1"/>
  <c r="C35" i="20"/>
  <c r="M34" i="20"/>
  <c r="N34" i="20" s="1"/>
  <c r="C34" i="20"/>
  <c r="M33" i="20"/>
  <c r="N33" i="20" s="1"/>
  <c r="C33" i="20"/>
  <c r="N32" i="20"/>
  <c r="C32" i="20"/>
  <c r="M31" i="20"/>
  <c r="N31" i="20" s="1"/>
  <c r="M30" i="20"/>
  <c r="N30" i="20" s="1"/>
  <c r="M29" i="20"/>
  <c r="N29" i="20" s="1"/>
  <c r="C29" i="20"/>
  <c r="M28" i="20"/>
  <c r="N28" i="20" s="1"/>
  <c r="C28" i="20"/>
  <c r="M27" i="20"/>
  <c r="N27" i="20" s="1"/>
  <c r="C27" i="20"/>
  <c r="M26" i="20"/>
  <c r="N26" i="20" s="1"/>
  <c r="BV26" i="20" s="1"/>
  <c r="C26" i="20"/>
  <c r="M25" i="20"/>
  <c r="N25" i="20" s="1"/>
  <c r="M24" i="20"/>
  <c r="N24" i="20" s="1"/>
  <c r="C24" i="20"/>
  <c r="M23" i="20"/>
  <c r="N23" i="20" s="1"/>
  <c r="AO23" i="20" s="1"/>
  <c r="C23" i="20"/>
  <c r="N22" i="20"/>
  <c r="M21" i="20"/>
  <c r="N21" i="20" s="1"/>
  <c r="C21" i="20"/>
  <c r="N20" i="20"/>
  <c r="C20" i="20"/>
  <c r="M18" i="20"/>
  <c r="M17" i="20"/>
  <c r="M16" i="20"/>
  <c r="C16" i="20"/>
  <c r="M15" i="20"/>
  <c r="N15" i="20" s="1"/>
  <c r="C15" i="20"/>
  <c r="M13" i="20"/>
  <c r="N13" i="20" s="1"/>
  <c r="M12" i="20"/>
  <c r="N12" i="20" s="1"/>
  <c r="M11" i="20"/>
  <c r="C11" i="20"/>
  <c r="M10" i="20"/>
  <c r="N10" i="20" s="1"/>
  <c r="C10" i="20"/>
  <c r="M9" i="20"/>
  <c r="N9" i="20" s="1"/>
  <c r="C9" i="20"/>
  <c r="M8" i="20"/>
  <c r="N8" i="20" s="1"/>
  <c r="M7" i="20"/>
  <c r="N7" i="20" s="1"/>
  <c r="P6" i="20"/>
  <c r="X54" i="20" l="1"/>
  <c r="X57" i="20" s="1"/>
  <c r="X58" i="20" s="1"/>
  <c r="AV54" i="20"/>
  <c r="AV57" i="20" s="1"/>
  <c r="P54" i="20"/>
  <c r="P57" i="20" s="1"/>
  <c r="P58" i="20" s="1"/>
  <c r="AN54" i="20"/>
  <c r="AN57" i="20" s="1"/>
  <c r="AN59" i="20" s="1"/>
  <c r="BY54" i="20"/>
  <c r="BY57" i="20" s="1"/>
  <c r="BY59" i="20" s="1"/>
  <c r="F3" i="20"/>
  <c r="O54" i="20"/>
  <c r="O57" i="20" s="1"/>
  <c r="O58" i="20" s="1"/>
  <c r="S54" i="20"/>
  <c r="S57" i="20" s="1"/>
  <c r="S58" i="20" s="1"/>
  <c r="W54" i="20"/>
  <c r="W57" i="20" s="1"/>
  <c r="W58" i="20" s="1"/>
  <c r="AA54" i="20"/>
  <c r="AA57" i="20" s="1"/>
  <c r="AA58" i="20" s="1"/>
  <c r="AE54" i="20"/>
  <c r="AE57" i="20" s="1"/>
  <c r="AI54" i="20"/>
  <c r="AI57" i="20" s="1"/>
  <c r="AI59" i="20" s="1"/>
  <c r="AM54" i="20"/>
  <c r="AM57" i="20" s="1"/>
  <c r="AQ54" i="20"/>
  <c r="AQ57" i="20" s="1"/>
  <c r="AQ59" i="20" s="1"/>
  <c r="AU54" i="20"/>
  <c r="AU55" i="20" s="1"/>
  <c r="AY54" i="20"/>
  <c r="AY57" i="20" s="1"/>
  <c r="AY59" i="20" s="1"/>
  <c r="BX54" i="20"/>
  <c r="BX57" i="20" s="1"/>
  <c r="Q6" i="20"/>
  <c r="P91" i="20"/>
  <c r="AF54" i="20"/>
  <c r="AF57" i="20" s="1"/>
  <c r="AF59" i="20" s="1"/>
  <c r="U13" i="20"/>
  <c r="Q13" i="20"/>
  <c r="S13" i="20"/>
  <c r="O13" i="20"/>
  <c r="R13" i="20"/>
  <c r="P13" i="20"/>
  <c r="V13" i="20"/>
  <c r="T13" i="20"/>
  <c r="X15" i="20"/>
  <c r="T15" i="20"/>
  <c r="P15" i="20"/>
  <c r="Z15" i="20"/>
  <c r="V15" i="20"/>
  <c r="R15" i="20"/>
  <c r="Y15" i="20"/>
  <c r="Q15" i="20"/>
  <c r="W15" i="20"/>
  <c r="O15" i="20"/>
  <c r="U15" i="20"/>
  <c r="AA15" i="20"/>
  <c r="S15" i="20"/>
  <c r="T54" i="20"/>
  <c r="T55" i="20" s="1"/>
  <c r="AB54" i="20"/>
  <c r="AB55" i="20" s="1"/>
  <c r="AJ54" i="20"/>
  <c r="AJ55" i="20" s="1"/>
  <c r="AZ54" i="20"/>
  <c r="AZ55" i="20" s="1"/>
  <c r="Q54" i="20"/>
  <c r="Q55" i="20" s="1"/>
  <c r="U54" i="20"/>
  <c r="U55" i="20" s="1"/>
  <c r="Y54" i="20"/>
  <c r="Y55" i="20" s="1"/>
  <c r="AC54" i="20"/>
  <c r="AC55" i="20" s="1"/>
  <c r="AG54" i="20"/>
  <c r="AG55" i="20" s="1"/>
  <c r="AK54" i="20"/>
  <c r="AK57" i="20" s="1"/>
  <c r="AO54" i="20"/>
  <c r="AO55" i="20" s="1"/>
  <c r="AS54" i="20"/>
  <c r="AS57" i="20" s="1"/>
  <c r="AW54" i="20"/>
  <c r="AW55" i="20" s="1"/>
  <c r="BA54" i="20"/>
  <c r="BA55" i="20" s="1"/>
  <c r="BZ54" i="20"/>
  <c r="BZ57" i="20" s="1"/>
  <c r="BZ58" i="20" s="1"/>
  <c r="AR54" i="20"/>
  <c r="AR55" i="20" s="1"/>
  <c r="AV55" i="20"/>
  <c r="S12" i="20"/>
  <c r="AT23" i="20"/>
  <c r="AI23" i="20"/>
  <c r="O12" i="20"/>
  <c r="AM22" i="20"/>
  <c r="BN26" i="20"/>
  <c r="R12" i="20"/>
  <c r="AF22" i="20"/>
  <c r="AQ22" i="20"/>
  <c r="BO26" i="20"/>
  <c r="AG22" i="20"/>
  <c r="AR22" i="20"/>
  <c r="BT26" i="20"/>
  <c r="BT108" i="20" s="1"/>
  <c r="AK22" i="20"/>
  <c r="BH26" i="20"/>
  <c r="BB25" i="20"/>
  <c r="AX25" i="20"/>
  <c r="AT25" i="20"/>
  <c r="AP25" i="20"/>
  <c r="BC25" i="20"/>
  <c r="AW25" i="20"/>
  <c r="AR25" i="20"/>
  <c r="BE25" i="20"/>
  <c r="AY25" i="20"/>
  <c r="AQ25" i="20"/>
  <c r="AV25" i="20"/>
  <c r="BA25" i="20"/>
  <c r="AZ25" i="20"/>
  <c r="AS25" i="20"/>
  <c r="BD25" i="20"/>
  <c r="AO25" i="20"/>
  <c r="AU25" i="20"/>
  <c r="BR102" i="20"/>
  <c r="BC99" i="20"/>
  <c r="AB99" i="20"/>
  <c r="AB102" i="20"/>
  <c r="AL102" i="20"/>
  <c r="Q99" i="20"/>
  <c r="BF102" i="20"/>
  <c r="BW99" i="20"/>
  <c r="AQ99" i="20"/>
  <c r="BY93" i="20"/>
  <c r="W99" i="20"/>
  <c r="P102" i="20"/>
  <c r="AM20" i="20"/>
  <c r="AI20" i="20"/>
  <c r="AE20" i="20"/>
  <c r="AA20" i="20"/>
  <c r="W20" i="20"/>
  <c r="AK20" i="20"/>
  <c r="AF20" i="20"/>
  <c r="Z20" i="20"/>
  <c r="AD20" i="20"/>
  <c r="AH20" i="20"/>
  <c r="X20" i="20"/>
  <c r="AL20" i="20"/>
  <c r="AG20" i="20"/>
  <c r="AB20" i="20"/>
  <c r="AJ20" i="20"/>
  <c r="Y20" i="20"/>
  <c r="AC20" i="20"/>
  <c r="AT24" i="20"/>
  <c r="AP24" i="20"/>
  <c r="AL24" i="20"/>
  <c r="AH24" i="20"/>
  <c r="AS24" i="20"/>
  <c r="AN24" i="20"/>
  <c r="AI24" i="20"/>
  <c r="AW24" i="20"/>
  <c r="AQ24" i="20"/>
  <c r="AJ24" i="20"/>
  <c r="AO24" i="20"/>
  <c r="AG24" i="20"/>
  <c r="AU24" i="20"/>
  <c r="AR24" i="20"/>
  <c r="AK24" i="20"/>
  <c r="AV24" i="20"/>
  <c r="AM24" i="20"/>
  <c r="AV23" i="20"/>
  <c r="AR23" i="20"/>
  <c r="AN23" i="20"/>
  <c r="AJ23" i="20"/>
  <c r="AF23" i="20"/>
  <c r="AK23" i="20"/>
  <c r="AU23" i="20"/>
  <c r="BU26" i="20"/>
  <c r="BU108" i="20" s="1"/>
  <c r="BQ26" i="20"/>
  <c r="BQ108" i="20" s="1"/>
  <c r="BM26" i="20"/>
  <c r="BI26" i="20"/>
  <c r="BW26" i="20"/>
  <c r="BW108" i="20" s="1"/>
  <c r="BR26" i="20"/>
  <c r="BR108" i="20" s="1"/>
  <c r="BL26" i="20"/>
  <c r="BV108" i="20"/>
  <c r="BX102" i="20"/>
  <c r="BT102" i="20"/>
  <c r="BP102" i="20"/>
  <c r="BL102" i="20"/>
  <c r="BH102" i="20"/>
  <c r="BD102" i="20"/>
  <c r="AZ102" i="20"/>
  <c r="AV102" i="20"/>
  <c r="AR102" i="20"/>
  <c r="AN102" i="20"/>
  <c r="AJ102" i="20"/>
  <c r="AF102" i="20"/>
  <c r="BY99" i="20"/>
  <c r="BU99" i="20"/>
  <c r="BQ99" i="20"/>
  <c r="BM99" i="20"/>
  <c r="BI99" i="20"/>
  <c r="BE99" i="20"/>
  <c r="BA99" i="20"/>
  <c r="AW99" i="20"/>
  <c r="AS99" i="20"/>
  <c r="AO99" i="20"/>
  <c r="AK99" i="20"/>
  <c r="AG99" i="20"/>
  <c r="BW93" i="20"/>
  <c r="BS93" i="20"/>
  <c r="AC102" i="20"/>
  <c r="Y102" i="20"/>
  <c r="U102" i="20"/>
  <c r="Q102" i="20"/>
  <c r="Z99" i="20"/>
  <c r="BY102" i="20"/>
  <c r="BU102" i="20"/>
  <c r="BQ102" i="20"/>
  <c r="BM102" i="20"/>
  <c r="BI102" i="20"/>
  <c r="BE102" i="20"/>
  <c r="BA102" i="20"/>
  <c r="AW102" i="20"/>
  <c r="AS102" i="20"/>
  <c r="AO102" i="20"/>
  <c r="AK102" i="20"/>
  <c r="AG102" i="20"/>
  <c r="BZ99" i="20"/>
  <c r="BV99" i="20"/>
  <c r="BR99" i="20"/>
  <c r="BN99" i="20"/>
  <c r="BJ99" i="20"/>
  <c r="BF99" i="20"/>
  <c r="BB99" i="20"/>
  <c r="AX99" i="20"/>
  <c r="AT99" i="20"/>
  <c r="AP99" i="20"/>
  <c r="AL99" i="20"/>
  <c r="AH99" i="20"/>
  <c r="AD99" i="20"/>
  <c r="BX93" i="20"/>
  <c r="BT93" i="20"/>
  <c r="BP93" i="20"/>
  <c r="BS102" i="20"/>
  <c r="BK102" i="20"/>
  <c r="BC102" i="20"/>
  <c r="AU102" i="20"/>
  <c r="AM102" i="20"/>
  <c r="AE102" i="20"/>
  <c r="BT99" i="20"/>
  <c r="BL99" i="20"/>
  <c r="BD99" i="20"/>
  <c r="AV99" i="20"/>
  <c r="AN99" i="20"/>
  <c r="AF99" i="20"/>
  <c r="BV93" i="20"/>
  <c r="AA102" i="20"/>
  <c r="V102" i="20"/>
  <c r="AC99" i="20"/>
  <c r="X99" i="20"/>
  <c r="BW102" i="20"/>
  <c r="BO102" i="20"/>
  <c r="BG102" i="20"/>
  <c r="AY102" i="20"/>
  <c r="AQ102" i="20"/>
  <c r="AI102" i="20"/>
  <c r="BX99" i="20"/>
  <c r="BP99" i="20"/>
  <c r="BH99" i="20"/>
  <c r="AZ99" i="20"/>
  <c r="AR99" i="20"/>
  <c r="AJ99" i="20"/>
  <c r="BZ93" i="20"/>
  <c r="BR93" i="20"/>
  <c r="X102" i="20"/>
  <c r="S102" i="20"/>
  <c r="AA99" i="20"/>
  <c r="V99" i="20"/>
  <c r="R99" i="20"/>
  <c r="O102" i="20"/>
  <c r="BZ102" i="20"/>
  <c r="BJ102" i="20"/>
  <c r="AT102" i="20"/>
  <c r="AD102" i="20"/>
  <c r="BK99" i="20"/>
  <c r="AU99" i="20"/>
  <c r="AE99" i="20"/>
  <c r="T102" i="20"/>
  <c r="BN102" i="20"/>
  <c r="AX102" i="20"/>
  <c r="AH102" i="20"/>
  <c r="BO99" i="20"/>
  <c r="AY99" i="20"/>
  <c r="AI99" i="20"/>
  <c r="BQ93" i="20"/>
  <c r="W102" i="20"/>
  <c r="Y99" i="20"/>
  <c r="S99" i="20"/>
  <c r="P99" i="20"/>
  <c r="O99" i="20"/>
  <c r="Q12" i="20"/>
  <c r="AE22" i="20"/>
  <c r="AJ22" i="20"/>
  <c r="AO22" i="20"/>
  <c r="AH23" i="20"/>
  <c r="AM23" i="20"/>
  <c r="AS23" i="20"/>
  <c r="BK26" i="20"/>
  <c r="BS26" i="20"/>
  <c r="BS108" i="20" s="1"/>
  <c r="U99" i="20"/>
  <c r="Z102" i="20"/>
  <c r="BU93" i="20"/>
  <c r="AM99" i="20"/>
  <c r="BS99" i="20"/>
  <c r="BB102" i="20"/>
  <c r="AP23" i="20"/>
  <c r="AT22" i="20"/>
  <c r="AP22" i="20"/>
  <c r="AL22" i="20"/>
  <c r="AH22" i="20"/>
  <c r="AD22" i="20"/>
  <c r="P12" i="20"/>
  <c r="T12" i="20"/>
  <c r="AI22" i="20"/>
  <c r="AN22" i="20"/>
  <c r="AS22" i="20"/>
  <c r="AG23" i="20"/>
  <c r="AL23" i="20"/>
  <c r="AQ23" i="20"/>
  <c r="BJ26" i="20"/>
  <c r="BP26" i="20"/>
  <c r="BX26" i="20"/>
  <c r="BX108" i="20" s="1"/>
  <c r="T99" i="20"/>
  <c r="R102" i="20"/>
  <c r="BG99" i="20"/>
  <c r="AP102" i="20"/>
  <c r="BV102" i="20"/>
  <c r="AA21" i="20"/>
  <c r="AE21" i="20"/>
  <c r="AI21" i="20"/>
  <c r="AM21" i="20"/>
  <c r="AB21" i="20"/>
  <c r="AF21" i="20"/>
  <c r="AJ21" i="20"/>
  <c r="AN21" i="20"/>
  <c r="Y21" i="20"/>
  <c r="AC21" i="20"/>
  <c r="AG21" i="20"/>
  <c r="AK21" i="20"/>
  <c r="AO21" i="20"/>
  <c r="Z21" i="20"/>
  <c r="AD21" i="20"/>
  <c r="AH21" i="20"/>
  <c r="AL21" i="20"/>
  <c r="N17" i="20"/>
  <c r="N14" i="20"/>
  <c r="N11" i="20"/>
  <c r="N16" i="20"/>
  <c r="N18" i="20"/>
  <c r="AV59" i="20"/>
  <c r="AV58" i="20"/>
  <c r="R54" i="20"/>
  <c r="V54" i="20"/>
  <c r="Z54" i="20"/>
  <c r="AD54" i="20"/>
  <c r="AH54" i="20"/>
  <c r="AL54" i="20"/>
  <c r="AP54" i="20"/>
  <c r="AT54" i="20"/>
  <c r="AX54" i="20"/>
  <c r="BL54" i="20"/>
  <c r="AI58" i="20"/>
  <c r="E6" i="19"/>
  <c r="G6" i="19" s="1"/>
  <c r="L37" i="19"/>
  <c r="K37" i="19"/>
  <c r="J37" i="19"/>
  <c r="I37" i="19"/>
  <c r="O31" i="19"/>
  <c r="I27" i="19"/>
  <c r="J27" i="19" s="1"/>
  <c r="H25" i="19"/>
  <c r="E25" i="19"/>
  <c r="AC23" i="19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H22" i="19"/>
  <c r="H20" i="19"/>
  <c r="E20" i="19"/>
  <c r="H18" i="19"/>
  <c r="H16" i="19"/>
  <c r="H14" i="19"/>
  <c r="E14" i="19"/>
  <c r="H12" i="19"/>
  <c r="H9" i="19"/>
  <c r="E9" i="19"/>
  <c r="H7" i="19"/>
  <c r="AQ6" i="19"/>
  <c r="AP6" i="19" s="1"/>
  <c r="AO6" i="19" s="1"/>
  <c r="AN6" i="19" s="1"/>
  <c r="AM6" i="19" s="1"/>
  <c r="AL6" i="19" s="1"/>
  <c r="AK6" i="19" s="1"/>
  <c r="AJ6" i="19" s="1"/>
  <c r="AI6" i="19" s="1"/>
  <c r="AH6" i="19" s="1"/>
  <c r="AG6" i="19" s="1"/>
  <c r="AF6" i="19" s="1"/>
  <c r="AE6" i="19" s="1"/>
  <c r="AD6" i="19" s="1"/>
  <c r="AC6" i="19" s="1"/>
  <c r="AB6" i="19" s="1"/>
  <c r="AA6" i="19" s="1"/>
  <c r="Z6" i="19" s="1"/>
  <c r="Y6" i="19" s="1"/>
  <c r="X6" i="19" s="1"/>
  <c r="W6" i="19" s="1"/>
  <c r="V6" i="19" s="1"/>
  <c r="U6" i="19" s="1"/>
  <c r="T6" i="19" s="1"/>
  <c r="S6" i="19" s="1"/>
  <c r="R6" i="19" s="1"/>
  <c r="Q6" i="19" s="1"/>
  <c r="P6" i="19" s="1"/>
  <c r="O6" i="19" s="1"/>
  <c r="N6" i="19" s="1"/>
  <c r="M6" i="19" s="1"/>
  <c r="L6" i="19" s="1"/>
  <c r="K6" i="19" s="1"/>
  <c r="J6" i="19" s="1"/>
  <c r="I6" i="19" s="1"/>
  <c r="D3" i="19"/>
  <c r="C3" i="19"/>
  <c r="I2" i="19"/>
  <c r="AN58" i="20" l="1"/>
  <c r="AE55" i="20"/>
  <c r="AF58" i="20"/>
  <c r="O55" i="20"/>
  <c r="AF55" i="20"/>
  <c r="AU57" i="20"/>
  <c r="AU58" i="20" s="1"/>
  <c r="BY55" i="20"/>
  <c r="AI55" i="20"/>
  <c r="AY58" i="20"/>
  <c r="BZ55" i="20"/>
  <c r="S55" i="20"/>
  <c r="AN55" i="20"/>
  <c r="Q57" i="20"/>
  <c r="Q58" i="20" s="1"/>
  <c r="BY58" i="20"/>
  <c r="AC57" i="20"/>
  <c r="AC59" i="20" s="1"/>
  <c r="X55" i="20"/>
  <c r="BX55" i="20"/>
  <c r="P55" i="20"/>
  <c r="AY55" i="20"/>
  <c r="AQ58" i="20"/>
  <c r="E17" i="19"/>
  <c r="N17" i="19" s="1"/>
  <c r="N33" i="19" s="1"/>
  <c r="AR34" i="19"/>
  <c r="AR36" i="19"/>
  <c r="AR32" i="19"/>
  <c r="AR38" i="19"/>
  <c r="AA59" i="20"/>
  <c r="AM55" i="20"/>
  <c r="W55" i="20"/>
  <c r="AO57" i="20"/>
  <c r="AO59" i="20" s="1"/>
  <c r="AK55" i="20"/>
  <c r="AA55" i="20"/>
  <c r="AQ55" i="20"/>
  <c r="AJ57" i="20"/>
  <c r="AJ58" i="20" s="1"/>
  <c r="BA57" i="20"/>
  <c r="BA59" i="20" s="1"/>
  <c r="AB57" i="20"/>
  <c r="AB58" i="20" s="1"/>
  <c r="T57" i="20"/>
  <c r="T58" i="20" s="1"/>
  <c r="AW57" i="20"/>
  <c r="AW59" i="20" s="1"/>
  <c r="AG57" i="20"/>
  <c r="AG59" i="20" s="1"/>
  <c r="R6" i="20"/>
  <c r="Q91" i="20"/>
  <c r="Y57" i="20"/>
  <c r="Y58" i="20" s="1"/>
  <c r="AR57" i="20"/>
  <c r="AS55" i="20"/>
  <c r="X16" i="20"/>
  <c r="X105" i="20" s="1"/>
  <c r="T16" i="20"/>
  <c r="T105" i="20" s="1"/>
  <c r="P16" i="20"/>
  <c r="P108" i="20" s="1"/>
  <c r="Z16" i="20"/>
  <c r="Z105" i="20" s="1"/>
  <c r="V16" i="20"/>
  <c r="V105" i="20" s="1"/>
  <c r="R16" i="20"/>
  <c r="R105" i="20" s="1"/>
  <c r="Y16" i="20"/>
  <c r="Q16" i="20"/>
  <c r="Q105" i="20" s="1"/>
  <c r="W16" i="20"/>
  <c r="W105" i="20" s="1"/>
  <c r="O16" i="20"/>
  <c r="O105" i="20" s="1"/>
  <c r="U16" i="20"/>
  <c r="U108" i="20" s="1"/>
  <c r="AA16" i="20"/>
  <c r="S16" i="20"/>
  <c r="S108" i="20" s="1"/>
  <c r="V14" i="20"/>
  <c r="R14" i="20"/>
  <c r="X14" i="20"/>
  <c r="T14" i="20"/>
  <c r="P14" i="20"/>
  <c r="W14" i="20"/>
  <c r="O14" i="20"/>
  <c r="U14" i="20"/>
  <c r="S14" i="20"/>
  <c r="Y14" i="20"/>
  <c r="Q14" i="20"/>
  <c r="AJ18" i="20"/>
  <c r="AF18" i="20"/>
  <c r="AB18" i="20"/>
  <c r="X18" i="20"/>
  <c r="T18" i="20"/>
  <c r="AI18" i="20"/>
  <c r="AE18" i="20"/>
  <c r="AA18" i="20"/>
  <c r="W18" i="20"/>
  <c r="AH18" i="20"/>
  <c r="AD18" i="20"/>
  <c r="Z18" i="20"/>
  <c r="V18" i="20"/>
  <c r="AC18" i="20"/>
  <c r="Y18" i="20"/>
  <c r="U18" i="20"/>
  <c r="AG18" i="20"/>
  <c r="AB17" i="20"/>
  <c r="X17" i="20"/>
  <c r="T17" i="20"/>
  <c r="P17" i="20"/>
  <c r="AA17" i="20"/>
  <c r="W17" i="20"/>
  <c r="S17" i="20"/>
  <c r="O17" i="20"/>
  <c r="Z17" i="20"/>
  <c r="V17" i="20"/>
  <c r="R17" i="20"/>
  <c r="Y17" i="20"/>
  <c r="U17" i="20"/>
  <c r="Q17" i="20"/>
  <c r="L102" i="20"/>
  <c r="L99" i="20"/>
  <c r="AZ57" i="20"/>
  <c r="AZ58" i="20" s="1"/>
  <c r="U57" i="20"/>
  <c r="U58" i="20" s="1"/>
  <c r="V108" i="20"/>
  <c r="R108" i="20"/>
  <c r="O108" i="20"/>
  <c r="Q108" i="20"/>
  <c r="T108" i="20"/>
  <c r="R55" i="20"/>
  <c r="R57" i="20"/>
  <c r="R58" i="20" s="1"/>
  <c r="AU59" i="20"/>
  <c r="AD55" i="20"/>
  <c r="AD57" i="20"/>
  <c r="AK59" i="20"/>
  <c r="AK58" i="20"/>
  <c r="AS59" i="20"/>
  <c r="AS58" i="20"/>
  <c r="BL55" i="20"/>
  <c r="BL57" i="20"/>
  <c r="AL55" i="20"/>
  <c r="AL57" i="20"/>
  <c r="V55" i="20"/>
  <c r="V57" i="20"/>
  <c r="V58" i="20" s="1"/>
  <c r="AM59" i="20"/>
  <c r="AM58" i="20"/>
  <c r="AX55" i="20"/>
  <c r="AX57" i="20"/>
  <c r="AH55" i="20"/>
  <c r="AH57" i="20"/>
  <c r="AT55" i="20"/>
  <c r="AT57" i="20"/>
  <c r="BX59" i="20"/>
  <c r="BX58" i="20"/>
  <c r="AE59" i="20"/>
  <c r="AE58" i="20"/>
  <c r="AP55" i="20"/>
  <c r="AP57" i="20"/>
  <c r="Z55" i="20"/>
  <c r="Z57" i="20"/>
  <c r="J28" i="19"/>
  <c r="K27" i="19"/>
  <c r="E10" i="19"/>
  <c r="E8" i="19"/>
  <c r="I28" i="19"/>
  <c r="I38" i="19"/>
  <c r="AU22" i="20"/>
  <c r="K38" i="19"/>
  <c r="N32" i="19"/>
  <c r="E19" i="19"/>
  <c r="AV22" i="20"/>
  <c r="E21" i="19"/>
  <c r="P31" i="19"/>
  <c r="O32" i="19"/>
  <c r="E13" i="19"/>
  <c r="E15" i="19"/>
  <c r="E24" i="19"/>
  <c r="E26" i="19"/>
  <c r="AQ26" i="19" s="1"/>
  <c r="J38" i="19"/>
  <c r="L38" i="19"/>
  <c r="M37" i="19"/>
  <c r="M38" i="19" s="1"/>
  <c r="M34" i="19"/>
  <c r="X17" i="19" l="1"/>
  <c r="P17" i="19"/>
  <c r="W17" i="19"/>
  <c r="AO58" i="20"/>
  <c r="AA17" i="19"/>
  <c r="T17" i="19"/>
  <c r="AG17" i="19"/>
  <c r="AE17" i="19"/>
  <c r="U17" i="19"/>
  <c r="AC17" i="19"/>
  <c r="AJ59" i="20"/>
  <c r="Y59" i="20"/>
  <c r="BA58" i="20"/>
  <c r="V17" i="19"/>
  <c r="Y17" i="19"/>
  <c r="AW58" i="20"/>
  <c r="R17" i="19"/>
  <c r="AJ17" i="19"/>
  <c r="AI17" i="19"/>
  <c r="AF17" i="19"/>
  <c r="AD17" i="19"/>
  <c r="Z17" i="19"/>
  <c r="O17" i="19"/>
  <c r="O33" i="19" s="1"/>
  <c r="AB17" i="19"/>
  <c r="Q17" i="19"/>
  <c r="AH17" i="19"/>
  <c r="S17" i="19"/>
  <c r="AC58" i="20"/>
  <c r="AZ59" i="20"/>
  <c r="AB59" i="20"/>
  <c r="S105" i="20"/>
  <c r="P105" i="20"/>
  <c r="AG58" i="20"/>
  <c r="S6" i="20"/>
  <c r="R91" i="20"/>
  <c r="Y105" i="20"/>
  <c r="AA105" i="20"/>
  <c r="U105" i="20"/>
  <c r="AR59" i="20"/>
  <c r="AR58" i="20"/>
  <c r="Y93" i="20"/>
  <c r="Z58" i="20"/>
  <c r="Z59" i="20"/>
  <c r="AX58" i="20"/>
  <c r="AX59" i="20"/>
  <c r="AP58" i="20"/>
  <c r="AP59" i="20"/>
  <c r="AT58" i="20"/>
  <c r="AT59" i="20"/>
  <c r="AH58" i="20"/>
  <c r="AH59" i="20"/>
  <c r="AL58" i="20"/>
  <c r="AL59" i="20"/>
  <c r="BL58" i="20"/>
  <c r="BL59" i="20"/>
  <c r="AD59" i="20"/>
  <c r="AD58" i="20"/>
  <c r="N34" i="19"/>
  <c r="N37" i="19"/>
  <c r="N38" i="19" s="1"/>
  <c r="AD10" i="19"/>
  <c r="Z10" i="19"/>
  <c r="V10" i="19"/>
  <c r="AB10" i="19"/>
  <c r="W10" i="19"/>
  <c r="AF10" i="19"/>
  <c r="U10" i="19"/>
  <c r="AE10" i="19"/>
  <c r="T10" i="19"/>
  <c r="AC10" i="19"/>
  <c r="X10" i="19"/>
  <c r="AA10" i="19"/>
  <c r="Y10" i="19"/>
  <c r="AB36" i="19"/>
  <c r="AW22" i="20" s="1"/>
  <c r="K28" i="19"/>
  <c r="AG15" i="19"/>
  <c r="AC15" i="19"/>
  <c r="Y15" i="19"/>
  <c r="U15" i="19"/>
  <c r="Q15" i="19"/>
  <c r="AD15" i="19"/>
  <c r="Z15" i="19"/>
  <c r="V15" i="19"/>
  <c r="R15" i="19"/>
  <c r="AA15" i="19"/>
  <c r="S15" i="19"/>
  <c r="AF15" i="19"/>
  <c r="P15" i="19"/>
  <c r="AE15" i="19"/>
  <c r="W15" i="19"/>
  <c r="AB15" i="19"/>
  <c r="T15" i="19"/>
  <c r="X15" i="19"/>
  <c r="O15" i="19"/>
  <c r="AF19" i="19"/>
  <c r="AB19" i="19"/>
  <c r="X19" i="19"/>
  <c r="T19" i="19"/>
  <c r="AG19" i="19"/>
  <c r="AC19" i="19"/>
  <c r="Y19" i="19"/>
  <c r="U19" i="19"/>
  <c r="Q19" i="19"/>
  <c r="AA19" i="19"/>
  <c r="S19" i="19"/>
  <c r="AE19" i="19"/>
  <c r="AD19" i="19"/>
  <c r="V19" i="19"/>
  <c r="Z19" i="19"/>
  <c r="R19" i="19"/>
  <c r="W19" i="19"/>
  <c r="AB13" i="19"/>
  <c r="X13" i="19"/>
  <c r="T13" i="19"/>
  <c r="AC13" i="19"/>
  <c r="Y13" i="19"/>
  <c r="U13" i="19"/>
  <c r="Q13" i="19"/>
  <c r="M13" i="19"/>
  <c r="V13" i="19"/>
  <c r="O13" i="19"/>
  <c r="S13" i="19"/>
  <c r="Z13" i="19"/>
  <c r="L13" i="19"/>
  <c r="L27" i="19" s="1"/>
  <c r="W13" i="19"/>
  <c r="P13" i="19"/>
  <c r="AA13" i="19"/>
  <c r="N13" i="19"/>
  <c r="R13" i="19"/>
  <c r="AN21" i="19"/>
  <c r="AO21" i="19"/>
  <c r="AM21" i="19"/>
  <c r="AL21" i="19"/>
  <c r="Z8" i="19"/>
  <c r="V8" i="19"/>
  <c r="R8" i="19"/>
  <c r="N8" i="19"/>
  <c r="J8" i="19"/>
  <c r="M8" i="19"/>
  <c r="W8" i="19"/>
  <c r="Q8" i="19"/>
  <c r="L8" i="19"/>
  <c r="U8" i="19"/>
  <c r="P8" i="19"/>
  <c r="K8" i="19"/>
  <c r="Y8" i="19"/>
  <c r="T8" i="19"/>
  <c r="O8" i="19"/>
  <c r="I8" i="19"/>
  <c r="X8" i="19"/>
  <c r="S8" i="19"/>
  <c r="AP26" i="19"/>
  <c r="AO26" i="19"/>
  <c r="AN26" i="19"/>
  <c r="AO24" i="19"/>
  <c r="AK24" i="19"/>
  <c r="AG24" i="19"/>
  <c r="AC24" i="19"/>
  <c r="AC35" i="19" s="1"/>
  <c r="AP24" i="19"/>
  <c r="AL24" i="19"/>
  <c r="AH24" i="19"/>
  <c r="AD24" i="19"/>
  <c r="AI24" i="19"/>
  <c r="AF24" i="19"/>
  <c r="AE24" i="19"/>
  <c r="AJ24" i="19"/>
  <c r="AN24" i="19"/>
  <c r="AM24" i="19"/>
  <c r="P32" i="19"/>
  <c r="P33" i="19" l="1"/>
  <c r="Q33" i="19" s="1"/>
  <c r="R33" i="19" s="1"/>
  <c r="S33" i="19" s="1"/>
  <c r="T33" i="19" s="1"/>
  <c r="U33" i="19" s="1"/>
  <c r="V33" i="19" s="1"/>
  <c r="W33" i="19" s="1"/>
  <c r="X33" i="19" s="1"/>
  <c r="Y33" i="19" s="1"/>
  <c r="Z33" i="19" s="1"/>
  <c r="AA33" i="19" s="1"/>
  <c r="AB33" i="19" s="1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H17" i="19"/>
  <c r="AD35" i="19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AO35" i="19" s="1"/>
  <c r="AP35" i="19" s="1"/>
  <c r="AQ35" i="19" s="1"/>
  <c r="H26" i="19"/>
  <c r="T6" i="20"/>
  <c r="S91" i="20"/>
  <c r="H19" i="19"/>
  <c r="M27" i="19"/>
  <c r="L28" i="19"/>
  <c r="O34" i="19"/>
  <c r="O37" i="19"/>
  <c r="O38" i="19" s="1"/>
  <c r="I11" i="19"/>
  <c r="J11" i="19" s="1"/>
  <c r="K11" i="19" s="1"/>
  <c r="L11" i="19" s="1"/>
  <c r="M11" i="19" s="1"/>
  <c r="N11" i="19" s="1"/>
  <c r="O11" i="19" s="1"/>
  <c r="P11" i="19" s="1"/>
  <c r="Q11" i="19" s="1"/>
  <c r="R11" i="19" s="1"/>
  <c r="S11" i="19" s="1"/>
  <c r="T11" i="19" s="1"/>
  <c r="U11" i="19" s="1"/>
  <c r="V11" i="19" s="1"/>
  <c r="W11" i="19" s="1"/>
  <c r="X11" i="19" s="1"/>
  <c r="Y11" i="19" s="1"/>
  <c r="Z11" i="19" s="1"/>
  <c r="AA11" i="19" s="1"/>
  <c r="AB11" i="19" s="1"/>
  <c r="AC11" i="19" s="1"/>
  <c r="AD11" i="19" s="1"/>
  <c r="AE11" i="19" s="1"/>
  <c r="AF11" i="19" s="1"/>
  <c r="I29" i="19"/>
  <c r="H8" i="19"/>
  <c r="E11" i="19"/>
  <c r="C10" i="19"/>
  <c r="Q31" i="19"/>
  <c r="H21" i="19"/>
  <c r="H13" i="19"/>
  <c r="AC36" i="19"/>
  <c r="AX22" i="20" s="1"/>
  <c r="H24" i="19"/>
  <c r="H15" i="19"/>
  <c r="H10" i="19"/>
  <c r="U6" i="20" l="1"/>
  <c r="T91" i="20"/>
  <c r="Q32" i="19"/>
  <c r="R31" i="19"/>
  <c r="I30" i="19"/>
  <c r="J29" i="19"/>
  <c r="P37" i="19"/>
  <c r="P34" i="19"/>
  <c r="AD36" i="19"/>
  <c r="AY22" i="20" s="1"/>
  <c r="M28" i="19"/>
  <c r="N27" i="19"/>
  <c r="V6" i="20" l="1"/>
  <c r="U91" i="20"/>
  <c r="Q37" i="19"/>
  <c r="Q38" i="19" s="1"/>
  <c r="Q34" i="19"/>
  <c r="K29" i="19"/>
  <c r="J30" i="19"/>
  <c r="N28" i="19"/>
  <c r="O27" i="19"/>
  <c r="AE36" i="19"/>
  <c r="AZ22" i="20" s="1"/>
  <c r="P38" i="19"/>
  <c r="S31" i="19"/>
  <c r="R32" i="19"/>
  <c r="W6" i="20" l="1"/>
  <c r="V91" i="20"/>
  <c r="P27" i="19"/>
  <c r="O28" i="19"/>
  <c r="T31" i="19"/>
  <c r="S32" i="19"/>
  <c r="AF36" i="19"/>
  <c r="BA22" i="20" s="1"/>
  <c r="K30" i="19"/>
  <c r="L29" i="19"/>
  <c r="R34" i="19"/>
  <c r="R37" i="19"/>
  <c r="R38" i="19" s="1"/>
  <c r="X6" i="20" l="1"/>
  <c r="W91" i="20"/>
  <c r="S34" i="19"/>
  <c r="S37" i="19"/>
  <c r="S38" i="19" s="1"/>
  <c r="T32" i="19"/>
  <c r="U31" i="19"/>
  <c r="M29" i="19"/>
  <c r="L30" i="19"/>
  <c r="AG36" i="19"/>
  <c r="BB22" i="20" s="1"/>
  <c r="Q27" i="19"/>
  <c r="P28" i="19"/>
  <c r="Y6" i="20" l="1"/>
  <c r="X91" i="20"/>
  <c r="Q28" i="19"/>
  <c r="R27" i="19"/>
  <c r="M30" i="19"/>
  <c r="N29" i="19"/>
  <c r="AH36" i="19"/>
  <c r="BC22" i="20" s="1"/>
  <c r="T37" i="19"/>
  <c r="T38" i="19" s="1"/>
  <c r="T34" i="19"/>
  <c r="U32" i="19"/>
  <c r="V31" i="19"/>
  <c r="Z6" i="20" l="1"/>
  <c r="Y91" i="20"/>
  <c r="R28" i="19"/>
  <c r="S27" i="19"/>
  <c r="W31" i="19"/>
  <c r="V32" i="19"/>
  <c r="AI36" i="19"/>
  <c r="BD22" i="20" s="1"/>
  <c r="U37" i="19"/>
  <c r="U38" i="19" s="1"/>
  <c r="U34" i="19"/>
  <c r="N30" i="19"/>
  <c r="O29" i="19"/>
  <c r="AA6" i="20" l="1"/>
  <c r="Z91" i="20"/>
  <c r="T27" i="19"/>
  <c r="S28" i="19"/>
  <c r="O30" i="19"/>
  <c r="P29" i="19"/>
  <c r="V34" i="19"/>
  <c r="V37" i="19"/>
  <c r="V38" i="19" s="1"/>
  <c r="X31" i="19"/>
  <c r="W32" i="19"/>
  <c r="AJ36" i="19"/>
  <c r="BE22" i="20" s="1"/>
  <c r="AB6" i="20" l="1"/>
  <c r="AA91" i="20"/>
  <c r="Q29" i="19"/>
  <c r="P30" i="19"/>
  <c r="W34" i="19"/>
  <c r="W37" i="19"/>
  <c r="W38" i="19" s="1"/>
  <c r="X32" i="19"/>
  <c r="Y31" i="19"/>
  <c r="AK36" i="19"/>
  <c r="BF22" i="20" s="1"/>
  <c r="U27" i="19"/>
  <c r="T28" i="19"/>
  <c r="AC6" i="20" l="1"/>
  <c r="AB91" i="20"/>
  <c r="U28" i="19"/>
  <c r="V27" i="19"/>
  <c r="X37" i="19"/>
  <c r="X38" i="19" s="1"/>
  <c r="X34" i="19"/>
  <c r="Y32" i="19"/>
  <c r="Z31" i="19"/>
  <c r="AL36" i="19"/>
  <c r="BG22" i="20" s="1"/>
  <c r="R29" i="19"/>
  <c r="Q30" i="19"/>
  <c r="AD6" i="20" l="1"/>
  <c r="AC91" i="20"/>
  <c r="Z32" i="19"/>
  <c r="AA31" i="19"/>
  <c r="S29" i="19"/>
  <c r="R30" i="19"/>
  <c r="V28" i="19"/>
  <c r="W27" i="19"/>
  <c r="AM36" i="19"/>
  <c r="BH22" i="20" s="1"/>
  <c r="Y37" i="19"/>
  <c r="Y38" i="19" s="1"/>
  <c r="Y34" i="19"/>
  <c r="AE6" i="20" l="1"/>
  <c r="AD91" i="20"/>
  <c r="AN36" i="19"/>
  <c r="BI22" i="20" s="1"/>
  <c r="AB31" i="19"/>
  <c r="AA32" i="19"/>
  <c r="S30" i="19"/>
  <c r="T29" i="19"/>
  <c r="W28" i="19"/>
  <c r="X27" i="19"/>
  <c r="Z34" i="19"/>
  <c r="Z37" i="19"/>
  <c r="Z38" i="19" s="1"/>
  <c r="AF6" i="20" l="1"/>
  <c r="AE91" i="20"/>
  <c r="AC31" i="19"/>
  <c r="AB32" i="19"/>
  <c r="AA34" i="19"/>
  <c r="AA37" i="19"/>
  <c r="AA38" i="19" s="1"/>
  <c r="T30" i="19"/>
  <c r="U29" i="19"/>
  <c r="AO36" i="19"/>
  <c r="BJ22" i="20" s="1"/>
  <c r="Y27" i="19"/>
  <c r="X28" i="19"/>
  <c r="AG6" i="20" l="1"/>
  <c r="AF91" i="20"/>
  <c r="V29" i="19"/>
  <c r="U30" i="19"/>
  <c r="Z27" i="19"/>
  <c r="Y28" i="19"/>
  <c r="AP36" i="19"/>
  <c r="BK22" i="20" s="1"/>
  <c r="AB37" i="19"/>
  <c r="AB38" i="19" s="1"/>
  <c r="AB34" i="19"/>
  <c r="AC32" i="19"/>
  <c r="AD31" i="19"/>
  <c r="AH6" i="20" l="1"/>
  <c r="AG91" i="20"/>
  <c r="W29" i="19"/>
  <c r="V30" i="19"/>
  <c r="AC37" i="19"/>
  <c r="AC38" i="19" s="1"/>
  <c r="AC34" i="19"/>
  <c r="AD32" i="19"/>
  <c r="AE31" i="19"/>
  <c r="AF31" i="19" s="1"/>
  <c r="Z28" i="19"/>
  <c r="AA27" i="19"/>
  <c r="AQ36" i="19"/>
  <c r="BL22" i="20" s="1"/>
  <c r="F35" i="19"/>
  <c r="D36" i="19"/>
  <c r="AI6" i="20" l="1"/>
  <c r="AH91" i="20"/>
  <c r="AA28" i="19"/>
  <c r="AB27" i="19"/>
  <c r="W30" i="19"/>
  <c r="X29" i="19"/>
  <c r="AE32" i="19"/>
  <c r="AD34" i="19"/>
  <c r="AD37" i="19"/>
  <c r="AD38" i="19" s="1"/>
  <c r="AJ6" i="20" l="1"/>
  <c r="AI91" i="20"/>
  <c r="AE34" i="19"/>
  <c r="AE37" i="19"/>
  <c r="AE38" i="19" s="1"/>
  <c r="Y29" i="19"/>
  <c r="X30" i="19"/>
  <c r="AG31" i="19"/>
  <c r="AF32" i="19"/>
  <c r="AC27" i="19"/>
  <c r="AB28" i="19"/>
  <c r="AK6" i="20" l="1"/>
  <c r="AJ91" i="20"/>
  <c r="AD27" i="19"/>
  <c r="AC28" i="19"/>
  <c r="Y30" i="19"/>
  <c r="Z29" i="19"/>
  <c r="AG32" i="19"/>
  <c r="AH31" i="19"/>
  <c r="AF37" i="19"/>
  <c r="AF38" i="19" s="1"/>
  <c r="AF34" i="19"/>
  <c r="AL6" i="20" l="1"/>
  <c r="AK91" i="20"/>
  <c r="AG37" i="19"/>
  <c r="AG38" i="19" s="1"/>
  <c r="AG34" i="19"/>
  <c r="AD28" i="19"/>
  <c r="AE27" i="19"/>
  <c r="AA29" i="19"/>
  <c r="Z30" i="19"/>
  <c r="AI31" i="19"/>
  <c r="AH32" i="19"/>
  <c r="AM6" i="20" l="1"/>
  <c r="AL91" i="20"/>
  <c r="AF27" i="19"/>
  <c r="AE28" i="19"/>
  <c r="AH34" i="19"/>
  <c r="AH37" i="19"/>
  <c r="AH38" i="19" s="1"/>
  <c r="AJ31" i="19"/>
  <c r="AI32" i="19"/>
  <c r="AA30" i="19"/>
  <c r="AB29" i="19"/>
  <c r="AN6" i="20" l="1"/>
  <c r="AM91" i="20"/>
  <c r="AC29" i="19"/>
  <c r="AB30" i="19"/>
  <c r="AG27" i="19"/>
  <c r="AF28" i="19"/>
  <c r="AI34" i="19"/>
  <c r="AI37" i="19"/>
  <c r="AI38" i="19" s="1"/>
  <c r="AJ32" i="19"/>
  <c r="AK31" i="19"/>
  <c r="AO6" i="20" l="1"/>
  <c r="AN91" i="20"/>
  <c r="AK32" i="19"/>
  <c r="AL31" i="19"/>
  <c r="AD29" i="19"/>
  <c r="AC30" i="19"/>
  <c r="AJ37" i="19"/>
  <c r="AJ38" i="19" s="1"/>
  <c r="AJ34" i="19"/>
  <c r="AG28" i="19"/>
  <c r="AH27" i="19"/>
  <c r="AP6" i="20" l="1"/>
  <c r="AO91" i="20"/>
  <c r="AH28" i="19"/>
  <c r="D28" i="19"/>
  <c r="AD30" i="19"/>
  <c r="AE29" i="19"/>
  <c r="AK37" i="19"/>
  <c r="AK38" i="19" s="1"/>
  <c r="AK34" i="19"/>
  <c r="AM31" i="19"/>
  <c r="AL32" i="19"/>
  <c r="AQ6" i="20" l="1"/>
  <c r="AP91" i="20"/>
  <c r="AL34" i="19"/>
  <c r="AL37" i="19"/>
  <c r="AL38" i="19" s="1"/>
  <c r="AN31" i="19"/>
  <c r="AM32" i="19"/>
  <c r="AE30" i="19"/>
  <c r="AF29" i="19"/>
  <c r="AR6" i="20" l="1"/>
  <c r="AQ91" i="20"/>
  <c r="AN32" i="19"/>
  <c r="AO31" i="19"/>
  <c r="AG29" i="19"/>
  <c r="AF30" i="19"/>
  <c r="AM34" i="19"/>
  <c r="AM37" i="19"/>
  <c r="AM38" i="19" s="1"/>
  <c r="AS6" i="20" l="1"/>
  <c r="AR91" i="20"/>
  <c r="AH29" i="19"/>
  <c r="AG30" i="19"/>
  <c r="AN37" i="19"/>
  <c r="AN38" i="19" s="1"/>
  <c r="AN34" i="19"/>
  <c r="AO32" i="19"/>
  <c r="AP31" i="19"/>
  <c r="AT6" i="20" l="1"/>
  <c r="AS91" i="20"/>
  <c r="AO37" i="19"/>
  <c r="AO38" i="19" s="1"/>
  <c r="AO34" i="19"/>
  <c r="AP32" i="19"/>
  <c r="AQ31" i="19"/>
  <c r="AH30" i="19"/>
  <c r="AI29" i="19"/>
  <c r="AU6" i="20" l="1"/>
  <c r="AT91" i="20"/>
  <c r="AQ32" i="19"/>
  <c r="D32" i="19"/>
  <c r="AI30" i="19"/>
  <c r="AJ29" i="19"/>
  <c r="AK29" i="19" s="1"/>
  <c r="AK30" i="19" s="1"/>
  <c r="AP34" i="19"/>
  <c r="AP37" i="19"/>
  <c r="AP38" i="19" s="1"/>
  <c r="AV6" i="20" l="1"/>
  <c r="AU91" i="20"/>
  <c r="AJ30" i="19"/>
  <c r="D30" i="19"/>
  <c r="AQ34" i="19"/>
  <c r="AQ37" i="19"/>
  <c r="D34" i="19"/>
  <c r="F33" i="19"/>
  <c r="AW6" i="20" l="1"/>
  <c r="AV91" i="20"/>
  <c r="AQ38" i="19"/>
  <c r="F37" i="19"/>
  <c r="D35" i="19" s="1"/>
  <c r="AX6" i="20" l="1"/>
  <c r="AW91" i="20"/>
  <c r="D33" i="19"/>
  <c r="AY6" i="20" l="1"/>
  <c r="AX91" i="20"/>
  <c r="K17" i="1"/>
  <c r="L17" i="1" s="1"/>
  <c r="AZ6" i="20" l="1"/>
  <c r="AY91" i="20"/>
  <c r="M17" i="1"/>
  <c r="L22" i="1"/>
  <c r="BA6" i="20" l="1"/>
  <c r="AZ91" i="20"/>
  <c r="AE22" i="1"/>
  <c r="BJ22" i="1"/>
  <c r="AX22" i="1"/>
  <c r="AP22" i="1"/>
  <c r="BE22" i="1"/>
  <c r="AS22" i="1"/>
  <c r="AK22" i="1"/>
  <c r="AC22" i="1"/>
  <c r="BH22" i="1"/>
  <c r="BD22" i="1"/>
  <c r="AZ22" i="1"/>
  <c r="AV22" i="1"/>
  <c r="AR22" i="1"/>
  <c r="AN22" i="1"/>
  <c r="AJ22" i="1"/>
  <c r="AF22" i="1"/>
  <c r="AB22" i="1"/>
  <c r="BG22" i="1"/>
  <c r="BC22" i="1"/>
  <c r="AY22" i="1"/>
  <c r="AU22" i="1"/>
  <c r="AQ22" i="1"/>
  <c r="AM22" i="1"/>
  <c r="AI22" i="1"/>
  <c r="BK22" i="1"/>
  <c r="BF22" i="1"/>
  <c r="BB22" i="1"/>
  <c r="AT22" i="1"/>
  <c r="AL22" i="1"/>
  <c r="AH22" i="1"/>
  <c r="AD22" i="1"/>
  <c r="BI22" i="1"/>
  <c r="BA22" i="1"/>
  <c r="AW22" i="1"/>
  <c r="AO22" i="1"/>
  <c r="AG22" i="1"/>
  <c r="AR37" i="17"/>
  <c r="L37" i="17"/>
  <c r="K37" i="17"/>
  <c r="J37" i="17"/>
  <c r="I37" i="17"/>
  <c r="AR37" i="16"/>
  <c r="L37" i="16"/>
  <c r="K37" i="16"/>
  <c r="J37" i="16"/>
  <c r="I37" i="16"/>
  <c r="AR37" i="5"/>
  <c r="L37" i="5"/>
  <c r="K37" i="5"/>
  <c r="J37" i="5"/>
  <c r="I37" i="5"/>
  <c r="BB6" i="20" l="1"/>
  <c r="BA91" i="20"/>
  <c r="C2" i="1"/>
  <c r="C2" i="19" s="1"/>
  <c r="Y35" i="17"/>
  <c r="Z35" i="17" s="1"/>
  <c r="AA35" i="17" s="1"/>
  <c r="M33" i="17"/>
  <c r="M37" i="17" s="1"/>
  <c r="N31" i="17"/>
  <c r="O31" i="17" s="1"/>
  <c r="P31" i="17" s="1"/>
  <c r="I27" i="17"/>
  <c r="Y35" i="16"/>
  <c r="Z35" i="16" s="1"/>
  <c r="M33" i="16"/>
  <c r="M37" i="16" s="1"/>
  <c r="N31" i="16"/>
  <c r="O31" i="16" s="1"/>
  <c r="P31" i="16" s="1"/>
  <c r="I27" i="16"/>
  <c r="J27" i="16" s="1"/>
  <c r="K27" i="16" s="1"/>
  <c r="Y35" i="5"/>
  <c r="Z35" i="5" s="1"/>
  <c r="M33" i="5"/>
  <c r="M37" i="5" s="1"/>
  <c r="I27" i="5"/>
  <c r="J27" i="5" s="1"/>
  <c r="K27" i="5" s="1"/>
  <c r="E22" i="5"/>
  <c r="E9" i="16"/>
  <c r="H25" i="17"/>
  <c r="E25" i="17"/>
  <c r="AC23" i="17"/>
  <c r="AD23" i="17" s="1"/>
  <c r="AE23" i="17" s="1"/>
  <c r="AF23" i="17" s="1"/>
  <c r="AG23" i="17" s="1"/>
  <c r="AH23" i="17" s="1"/>
  <c r="AI23" i="17" s="1"/>
  <c r="AJ23" i="17" s="1"/>
  <c r="AK23" i="17" s="1"/>
  <c r="AL23" i="17" s="1"/>
  <c r="AM23" i="17" s="1"/>
  <c r="AN23" i="17" s="1"/>
  <c r="AO23" i="17" s="1"/>
  <c r="AP23" i="17" s="1"/>
  <c r="H22" i="17"/>
  <c r="H20" i="17"/>
  <c r="E20" i="17"/>
  <c r="H18" i="17"/>
  <c r="H16" i="17"/>
  <c r="H14" i="17"/>
  <c r="E14" i="17"/>
  <c r="H12" i="17"/>
  <c r="H9" i="17"/>
  <c r="E9" i="17"/>
  <c r="H7" i="17"/>
  <c r="AQ6" i="17"/>
  <c r="AP6" i="17" s="1"/>
  <c r="AO6" i="17" s="1"/>
  <c r="AN6" i="17" s="1"/>
  <c r="AM6" i="17" s="1"/>
  <c r="AL6" i="17" s="1"/>
  <c r="AK6" i="17" s="1"/>
  <c r="AJ6" i="17" s="1"/>
  <c r="AI6" i="17" s="1"/>
  <c r="AH6" i="17" s="1"/>
  <c r="AG6" i="17" s="1"/>
  <c r="AF6" i="17" s="1"/>
  <c r="AE6" i="17" s="1"/>
  <c r="AD6" i="17" s="1"/>
  <c r="AC6" i="17" s="1"/>
  <c r="AB6" i="17" s="1"/>
  <c r="AA6" i="17" s="1"/>
  <c r="Z6" i="17" s="1"/>
  <c r="Y6" i="17" s="1"/>
  <c r="X6" i="17" s="1"/>
  <c r="W6" i="17" s="1"/>
  <c r="V6" i="17" s="1"/>
  <c r="U6" i="17" s="1"/>
  <c r="T6" i="17" s="1"/>
  <c r="S6" i="17" s="1"/>
  <c r="R6" i="17" s="1"/>
  <c r="Q6" i="17" s="1"/>
  <c r="P6" i="17" s="1"/>
  <c r="O6" i="17" s="1"/>
  <c r="N6" i="17" s="1"/>
  <c r="M6" i="17" s="1"/>
  <c r="L6" i="17" s="1"/>
  <c r="K6" i="17" s="1"/>
  <c r="J6" i="17" s="1"/>
  <c r="I6" i="17" s="1"/>
  <c r="E6" i="17"/>
  <c r="G6" i="17" s="1"/>
  <c r="D3" i="17"/>
  <c r="C3" i="17"/>
  <c r="I2" i="17"/>
  <c r="AQ6" i="16"/>
  <c r="AP6" i="16" s="1"/>
  <c r="AO6" i="16" s="1"/>
  <c r="AN6" i="16" s="1"/>
  <c r="AM6" i="16" s="1"/>
  <c r="BC6" i="20" l="1"/>
  <c r="BB91" i="20"/>
  <c r="AR32" i="17"/>
  <c r="AR36" i="17"/>
  <c r="I28" i="17"/>
  <c r="N32" i="17"/>
  <c r="L38" i="17"/>
  <c r="J38" i="17"/>
  <c r="O32" i="17"/>
  <c r="AR34" i="17"/>
  <c r="Z36" i="17"/>
  <c r="M38" i="17"/>
  <c r="K38" i="17"/>
  <c r="I38" i="17"/>
  <c r="P32" i="17"/>
  <c r="M34" i="17"/>
  <c r="AR38" i="17"/>
  <c r="J27" i="17"/>
  <c r="AA36" i="17"/>
  <c r="AB35" i="17"/>
  <c r="E19" i="17"/>
  <c r="E15" i="17"/>
  <c r="S15" i="17" s="1"/>
  <c r="E24" i="17"/>
  <c r="E8" i="17"/>
  <c r="E10" i="17"/>
  <c r="E13" i="17"/>
  <c r="E26" i="17"/>
  <c r="E17" i="17"/>
  <c r="N17" i="17" s="1"/>
  <c r="N33" i="17" s="1"/>
  <c r="N37" i="17" s="1"/>
  <c r="N38" i="17" s="1"/>
  <c r="E21" i="17"/>
  <c r="C2" i="17"/>
  <c r="BD6" i="20" l="1"/>
  <c r="BC91" i="20"/>
  <c r="BZ26" i="20"/>
  <c r="AX23" i="20"/>
  <c r="BO23" i="20"/>
  <c r="BO93" i="20" s="1"/>
  <c r="X11" i="20"/>
  <c r="X93" i="20" s="1"/>
  <c r="AW23" i="20"/>
  <c r="BY26" i="20"/>
  <c r="N34" i="17"/>
  <c r="Z19" i="17"/>
  <c r="AD19" i="17"/>
  <c r="AB15" i="17"/>
  <c r="AF19" i="17"/>
  <c r="V19" i="17"/>
  <c r="W19" i="17"/>
  <c r="AA19" i="17"/>
  <c r="AC19" i="17"/>
  <c r="T19" i="17"/>
  <c r="Q19" i="17"/>
  <c r="Q31" i="17" s="1"/>
  <c r="Q32" i="17" s="1"/>
  <c r="U19" i="17"/>
  <c r="AG19" i="17"/>
  <c r="S19" i="17"/>
  <c r="X19" i="17"/>
  <c r="AE19" i="17"/>
  <c r="R19" i="17"/>
  <c r="Y19" i="17"/>
  <c r="AB19" i="17"/>
  <c r="W15" i="17"/>
  <c r="AG15" i="17"/>
  <c r="P15" i="17"/>
  <c r="Q15" i="17"/>
  <c r="R15" i="17"/>
  <c r="K27" i="17"/>
  <c r="J28" i="17"/>
  <c r="AA15" i="17"/>
  <c r="X15" i="17"/>
  <c r="U15" i="17"/>
  <c r="Z15" i="17"/>
  <c r="O15" i="17"/>
  <c r="AF15" i="17"/>
  <c r="AC15" i="17"/>
  <c r="AD15" i="17"/>
  <c r="AB36" i="17"/>
  <c r="AE15" i="17"/>
  <c r="T15" i="17"/>
  <c r="Y15" i="17"/>
  <c r="V15" i="17"/>
  <c r="AN21" i="17"/>
  <c r="AO21" i="17"/>
  <c r="AM21" i="17"/>
  <c r="AL21" i="17"/>
  <c r="AO26" i="17"/>
  <c r="AQ26" i="17"/>
  <c r="AP26" i="17"/>
  <c r="AN26" i="17"/>
  <c r="Y8" i="17"/>
  <c r="U8" i="17"/>
  <c r="Q8" i="17"/>
  <c r="M8" i="17"/>
  <c r="I8" i="17"/>
  <c r="X8" i="17"/>
  <c r="T8" i="17"/>
  <c r="P8" i="17"/>
  <c r="L8" i="17"/>
  <c r="W8" i="17"/>
  <c r="S8" i="17"/>
  <c r="K8" i="17"/>
  <c r="Z8" i="17"/>
  <c r="R8" i="17"/>
  <c r="J8" i="17"/>
  <c r="O8" i="17"/>
  <c r="N8" i="17"/>
  <c r="V8" i="17"/>
  <c r="AO24" i="17"/>
  <c r="AK24" i="17"/>
  <c r="AG24" i="17"/>
  <c r="AC24" i="17"/>
  <c r="AC35" i="17" s="1"/>
  <c r="AP24" i="17"/>
  <c r="AJ24" i="17"/>
  <c r="AE24" i="17"/>
  <c r="AN24" i="17"/>
  <c r="AI24" i="17"/>
  <c r="AD24" i="17"/>
  <c r="AM24" i="17"/>
  <c r="AH24" i="17"/>
  <c r="AL24" i="17"/>
  <c r="AF24" i="17"/>
  <c r="AI17" i="17"/>
  <c r="AE17" i="17"/>
  <c r="AA17" i="17"/>
  <c r="W17" i="17"/>
  <c r="S17" i="17"/>
  <c r="AF17" i="17"/>
  <c r="Z17" i="17"/>
  <c r="U17" i="17"/>
  <c r="P17" i="17"/>
  <c r="AJ17" i="17"/>
  <c r="AD17" i="17"/>
  <c r="Y17" i="17"/>
  <c r="T17" i="17"/>
  <c r="O17" i="17"/>
  <c r="O33" i="17" s="1"/>
  <c r="AG17" i="17"/>
  <c r="V17" i="17"/>
  <c r="AB17" i="17"/>
  <c r="Q17" i="17"/>
  <c r="AH17" i="17"/>
  <c r="X17" i="17"/>
  <c r="AC17" i="17"/>
  <c r="R17" i="17"/>
  <c r="AC13" i="17"/>
  <c r="Y13" i="17"/>
  <c r="U13" i="17"/>
  <c r="Q13" i="17"/>
  <c r="M13" i="17"/>
  <c r="AB13" i="17"/>
  <c r="X13" i="17"/>
  <c r="T13" i="17"/>
  <c r="P13" i="17"/>
  <c r="L13" i="17"/>
  <c r="W13" i="17"/>
  <c r="O13" i="17"/>
  <c r="AA13" i="17"/>
  <c r="S13" i="17"/>
  <c r="Z13" i="17"/>
  <c r="R13" i="17"/>
  <c r="V13" i="17"/>
  <c r="N13" i="17"/>
  <c r="AC10" i="17"/>
  <c r="Y10" i="17"/>
  <c r="U10" i="17"/>
  <c r="AF10" i="17"/>
  <c r="AB10" i="17"/>
  <c r="X10" i="17"/>
  <c r="T10" i="17"/>
  <c r="Z10" i="17"/>
  <c r="AD10" i="17"/>
  <c r="V10" i="17"/>
  <c r="AA10" i="17"/>
  <c r="W10" i="17"/>
  <c r="AE10" i="17"/>
  <c r="BE6" i="20" l="1"/>
  <c r="BD91" i="20"/>
  <c r="BY108" i="20"/>
  <c r="BY105" i="20"/>
  <c r="BZ108" i="20"/>
  <c r="BZ105" i="20"/>
  <c r="AY23" i="20"/>
  <c r="P33" i="17"/>
  <c r="P37" i="17" s="1"/>
  <c r="P38" i="17" s="1"/>
  <c r="R31" i="17"/>
  <c r="H19" i="17"/>
  <c r="O37" i="17"/>
  <c r="O34" i="17"/>
  <c r="E11" i="17"/>
  <c r="I29" i="17"/>
  <c r="L27" i="17"/>
  <c r="K28" i="17"/>
  <c r="H15" i="17"/>
  <c r="AD35" i="17"/>
  <c r="AC36" i="17"/>
  <c r="H10" i="17"/>
  <c r="H21" i="17"/>
  <c r="H17" i="17"/>
  <c r="H13" i="17"/>
  <c r="H24" i="17"/>
  <c r="I11" i="17"/>
  <c r="J11" i="17" s="1"/>
  <c r="K11" i="17" s="1"/>
  <c r="L11" i="17" s="1"/>
  <c r="M11" i="17" s="1"/>
  <c r="N11" i="17" s="1"/>
  <c r="O11" i="17" s="1"/>
  <c r="P11" i="17" s="1"/>
  <c r="Q11" i="17" s="1"/>
  <c r="R11" i="17" s="1"/>
  <c r="S11" i="17" s="1"/>
  <c r="T11" i="17" s="1"/>
  <c r="U11" i="17" s="1"/>
  <c r="V11" i="17" s="1"/>
  <c r="W11" i="17" s="1"/>
  <c r="X11" i="17" s="1"/>
  <c r="Y11" i="17" s="1"/>
  <c r="Z11" i="17" s="1"/>
  <c r="AA11" i="17" s="1"/>
  <c r="AB11" i="17" s="1"/>
  <c r="AC11" i="17" s="1"/>
  <c r="AD11" i="17" s="1"/>
  <c r="AE11" i="17" s="1"/>
  <c r="AF11" i="17" s="1"/>
  <c r="H8" i="17"/>
  <c r="C10" i="17"/>
  <c r="H26" i="17"/>
  <c r="E6" i="16"/>
  <c r="G6" i="16" s="1"/>
  <c r="H25" i="16"/>
  <c r="E25" i="16"/>
  <c r="AA23" i="16"/>
  <c r="AB23" i="16" s="1"/>
  <c r="AC23" i="16" s="1"/>
  <c r="AD23" i="16" s="1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H22" i="16"/>
  <c r="H20" i="16"/>
  <c r="E20" i="16"/>
  <c r="H18" i="16"/>
  <c r="H16" i="16"/>
  <c r="H14" i="16"/>
  <c r="E14" i="16"/>
  <c r="H12" i="16"/>
  <c r="H9" i="16"/>
  <c r="H7" i="16"/>
  <c r="AL6" i="16"/>
  <c r="AK6" i="16" s="1"/>
  <c r="AJ6" i="16" s="1"/>
  <c r="AI6" i="16" s="1"/>
  <c r="AH6" i="16" s="1"/>
  <c r="AG6" i="16" s="1"/>
  <c r="AF6" i="16" s="1"/>
  <c r="AE6" i="16" s="1"/>
  <c r="AD6" i="16" s="1"/>
  <c r="AC6" i="16" s="1"/>
  <c r="AB6" i="16" s="1"/>
  <c r="AA6" i="16" s="1"/>
  <c r="Z6" i="16" s="1"/>
  <c r="Y6" i="16" s="1"/>
  <c r="X6" i="16" s="1"/>
  <c r="W6" i="16" s="1"/>
  <c r="V6" i="16" s="1"/>
  <c r="U6" i="16" s="1"/>
  <c r="T6" i="16" s="1"/>
  <c r="S6" i="16" s="1"/>
  <c r="R6" i="16" s="1"/>
  <c r="Q6" i="16" s="1"/>
  <c r="P6" i="16" s="1"/>
  <c r="O6" i="16" s="1"/>
  <c r="N6" i="16" s="1"/>
  <c r="M6" i="16" s="1"/>
  <c r="L6" i="16" s="1"/>
  <c r="K6" i="16" s="1"/>
  <c r="J6" i="16" s="1"/>
  <c r="I6" i="16" s="1"/>
  <c r="D3" i="16"/>
  <c r="C3" i="16"/>
  <c r="I2" i="16"/>
  <c r="BF6" i="20" l="1"/>
  <c r="BE91" i="20"/>
  <c r="AZ23" i="20"/>
  <c r="S31" i="17"/>
  <c r="T31" i="17" s="1"/>
  <c r="P34" i="17"/>
  <c r="Q33" i="17"/>
  <c r="Q37" i="17" s="1"/>
  <c r="Q38" i="17" s="1"/>
  <c r="R32" i="17"/>
  <c r="I38" i="16"/>
  <c r="K38" i="16"/>
  <c r="AR36" i="16"/>
  <c r="AR32" i="16"/>
  <c r="M38" i="16"/>
  <c r="J38" i="16"/>
  <c r="L38" i="16"/>
  <c r="Z36" i="16"/>
  <c r="AR38" i="16"/>
  <c r="N32" i="16"/>
  <c r="I28" i="16"/>
  <c r="AR34" i="16"/>
  <c r="O32" i="16"/>
  <c r="P32" i="16"/>
  <c r="M34" i="16"/>
  <c r="J28" i="16"/>
  <c r="K28" i="16"/>
  <c r="O38" i="17"/>
  <c r="I30" i="17"/>
  <c r="J29" i="17"/>
  <c r="L28" i="17"/>
  <c r="M27" i="17"/>
  <c r="AD36" i="17"/>
  <c r="AE35" i="17"/>
  <c r="E24" i="16"/>
  <c r="E19" i="16"/>
  <c r="E13" i="16"/>
  <c r="E21" i="16"/>
  <c r="E17" i="16"/>
  <c r="N17" i="16" s="1"/>
  <c r="N33" i="16" s="1"/>
  <c r="N37" i="16" s="1"/>
  <c r="N38" i="16" s="1"/>
  <c r="E15" i="16"/>
  <c r="E8" i="16"/>
  <c r="E26" i="16"/>
  <c r="E10" i="16"/>
  <c r="H25" i="5"/>
  <c r="AQ26" i="16" l="1"/>
  <c r="AM26" i="16"/>
  <c r="AP26" i="16"/>
  <c r="AL26" i="16"/>
  <c r="AO26" i="16"/>
  <c r="AN26" i="16"/>
  <c r="AT15" i="20"/>
  <c r="BC18" i="20"/>
  <c r="AN24" i="16"/>
  <c r="AJ24" i="16"/>
  <c r="AM24" i="16"/>
  <c r="AI24" i="16"/>
  <c r="AO24" i="16"/>
  <c r="AG24" i="16"/>
  <c r="AP24" i="16"/>
  <c r="AL24" i="16"/>
  <c r="AH24" i="16"/>
  <c r="AK24" i="16"/>
  <c r="AO21" i="16"/>
  <c r="AK21" i="16"/>
  <c r="AN21" i="16"/>
  <c r="AM21" i="16"/>
  <c r="AL21" i="16"/>
  <c r="AB15" i="20"/>
  <c r="AK18" i="20"/>
  <c r="BG6" i="20"/>
  <c r="BF91" i="20"/>
  <c r="BA23" i="20"/>
  <c r="S32" i="17"/>
  <c r="N34" i="16"/>
  <c r="R33" i="17"/>
  <c r="R37" i="17" s="1"/>
  <c r="R38" i="17" s="1"/>
  <c r="Q34" i="17"/>
  <c r="AG19" i="16"/>
  <c r="AC19" i="16"/>
  <c r="Y19" i="16"/>
  <c r="U19" i="16"/>
  <c r="Q19" i="16"/>
  <c r="Q31" i="16" s="1"/>
  <c r="AF19" i="16"/>
  <c r="AB19" i="16"/>
  <c r="X19" i="16"/>
  <c r="AE19" i="16"/>
  <c r="AA19" i="16"/>
  <c r="W19" i="16"/>
  <c r="S19" i="16"/>
  <c r="AD19" i="16"/>
  <c r="Z19" i="16"/>
  <c r="V19" i="16"/>
  <c r="R19" i="16"/>
  <c r="T19" i="16"/>
  <c r="AG17" i="16"/>
  <c r="AC17" i="16"/>
  <c r="Y17" i="16"/>
  <c r="U17" i="16"/>
  <c r="Q17" i="16"/>
  <c r="AJ17" i="16"/>
  <c r="AB17" i="16"/>
  <c r="X17" i="16"/>
  <c r="P17" i="16"/>
  <c r="AI17" i="16"/>
  <c r="AE17" i="16"/>
  <c r="AA17" i="16"/>
  <c r="W17" i="16"/>
  <c r="S17" i="16"/>
  <c r="O17" i="16"/>
  <c r="O33" i="16" s="1"/>
  <c r="AH17" i="16"/>
  <c r="AD17" i="16"/>
  <c r="Z17" i="16"/>
  <c r="V17" i="16"/>
  <c r="R17" i="16"/>
  <c r="AF17" i="16"/>
  <c r="T17" i="16"/>
  <c r="J30" i="17"/>
  <c r="K29" i="17"/>
  <c r="AC13" i="16"/>
  <c r="Y13" i="16"/>
  <c r="U13" i="16"/>
  <c r="Q13" i="16"/>
  <c r="M13" i="16"/>
  <c r="AB13" i="16"/>
  <c r="X13" i="16"/>
  <c r="T13" i="16"/>
  <c r="P13" i="16"/>
  <c r="L13" i="16"/>
  <c r="L27" i="16" s="1"/>
  <c r="V13" i="16"/>
  <c r="N13" i="16"/>
  <c r="AA13" i="16"/>
  <c r="W13" i="16"/>
  <c r="S13" i="16"/>
  <c r="O13" i="16"/>
  <c r="Z13" i="16"/>
  <c r="R13" i="16"/>
  <c r="AD15" i="16"/>
  <c r="Z15" i="16"/>
  <c r="V15" i="16"/>
  <c r="R15" i="16"/>
  <c r="AG15" i="16"/>
  <c r="AC15" i="16"/>
  <c r="Y15" i="16"/>
  <c r="U15" i="16"/>
  <c r="Q15" i="16"/>
  <c r="AA15" i="16"/>
  <c r="W15" i="16"/>
  <c r="O15" i="16"/>
  <c r="AF15" i="16"/>
  <c r="AB15" i="16"/>
  <c r="X15" i="16"/>
  <c r="T15" i="16"/>
  <c r="P15" i="16"/>
  <c r="AE15" i="16"/>
  <c r="S15" i="16"/>
  <c r="M28" i="17"/>
  <c r="N27" i="17"/>
  <c r="AE36" i="17"/>
  <c r="AF35" i="17"/>
  <c r="T32" i="17"/>
  <c r="U31" i="17"/>
  <c r="AF10" i="16"/>
  <c r="AB10" i="16"/>
  <c r="X10" i="16"/>
  <c r="T10" i="16"/>
  <c r="AE10" i="16"/>
  <c r="AA10" i="16"/>
  <c r="W10" i="16"/>
  <c r="AD10" i="16"/>
  <c r="Z10" i="16"/>
  <c r="V10" i="16"/>
  <c r="AC10" i="16"/>
  <c r="Y10" i="16"/>
  <c r="U10" i="16"/>
  <c r="W8" i="16"/>
  <c r="S8" i="16"/>
  <c r="O8" i="16"/>
  <c r="K8" i="16"/>
  <c r="Z8" i="16"/>
  <c r="V8" i="16"/>
  <c r="R8" i="16"/>
  <c r="N8" i="16"/>
  <c r="J8" i="16"/>
  <c r="Y8" i="16"/>
  <c r="U8" i="16"/>
  <c r="Q8" i="16"/>
  <c r="M8" i="16"/>
  <c r="I8" i="16"/>
  <c r="X8" i="16"/>
  <c r="T8" i="16"/>
  <c r="P8" i="16"/>
  <c r="L8" i="16"/>
  <c r="AD24" i="16"/>
  <c r="AE24" i="16"/>
  <c r="AB24" i="16"/>
  <c r="AF24" i="16"/>
  <c r="AC24" i="16"/>
  <c r="AA24" i="16"/>
  <c r="AA35" i="16" s="1"/>
  <c r="H16" i="5"/>
  <c r="AA23" i="5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D3" i="5"/>
  <c r="I2" i="5"/>
  <c r="E14" i="5"/>
  <c r="H14" i="5"/>
  <c r="H12" i="5"/>
  <c r="H9" i="5"/>
  <c r="E9" i="5"/>
  <c r="K47" i="1"/>
  <c r="K46" i="1"/>
  <c r="K45" i="1"/>
  <c r="K44" i="1"/>
  <c r="K42" i="1"/>
  <c r="K40" i="1"/>
  <c r="K38" i="1"/>
  <c r="K36" i="1"/>
  <c r="K35" i="1"/>
  <c r="K34" i="1"/>
  <c r="K33" i="1"/>
  <c r="K29" i="1"/>
  <c r="K28" i="1"/>
  <c r="K27" i="1"/>
  <c r="K26" i="1"/>
  <c r="K25" i="1"/>
  <c r="K24" i="1"/>
  <c r="K23" i="1"/>
  <c r="K21" i="1"/>
  <c r="K18" i="1"/>
  <c r="K16" i="1"/>
  <c r="K15" i="1"/>
  <c r="K12" i="1"/>
  <c r="K11" i="1"/>
  <c r="K10" i="1"/>
  <c r="K9" i="1"/>
  <c r="K8" i="1"/>
  <c r="C2" i="16"/>
  <c r="F3" i="1"/>
  <c r="E3" i="19" s="1"/>
  <c r="F3" i="4"/>
  <c r="F2" i="4"/>
  <c r="A102" i="15"/>
  <c r="A33" i="15"/>
  <c r="A31" i="15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C11" i="21" l="1"/>
  <c r="C9" i="21"/>
  <c r="C32" i="21"/>
  <c r="C55" i="21"/>
  <c r="C78" i="21"/>
  <c r="C43" i="20"/>
  <c r="C47" i="20"/>
  <c r="C40" i="20"/>
  <c r="C12" i="20"/>
  <c r="C37" i="20"/>
  <c r="C14" i="20"/>
  <c r="C31" i="20"/>
  <c r="C41" i="20"/>
  <c r="C14" i="1"/>
  <c r="C46" i="20"/>
  <c r="C38" i="20"/>
  <c r="C30" i="20"/>
  <c r="C61" i="4"/>
  <c r="C64" i="4"/>
  <c r="B64" i="4"/>
  <c r="C6" i="19" s="1"/>
  <c r="B61" i="4"/>
  <c r="BH6" i="20"/>
  <c r="BG91" i="20"/>
  <c r="BB23" i="20"/>
  <c r="R34" i="17"/>
  <c r="S33" i="17"/>
  <c r="S34" i="17" s="1"/>
  <c r="AB35" i="16"/>
  <c r="AA36" i="16"/>
  <c r="I11" i="16"/>
  <c r="J11" i="16" s="1"/>
  <c r="K11" i="16" s="1"/>
  <c r="L11" i="16" s="1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X11" i="16" s="1"/>
  <c r="Y11" i="16" s="1"/>
  <c r="Z11" i="16" s="1"/>
  <c r="AA11" i="16" s="1"/>
  <c r="AB11" i="16" s="1"/>
  <c r="AC11" i="16" s="1"/>
  <c r="AD11" i="16" s="1"/>
  <c r="AE11" i="16" s="1"/>
  <c r="AF11" i="16" s="1"/>
  <c r="I29" i="16"/>
  <c r="E11" i="16"/>
  <c r="Q32" i="16"/>
  <c r="R31" i="16"/>
  <c r="O37" i="16"/>
  <c r="P33" i="16"/>
  <c r="O34" i="16"/>
  <c r="K30" i="17"/>
  <c r="L29" i="17"/>
  <c r="L28" i="16"/>
  <c r="M27" i="16"/>
  <c r="E3" i="16"/>
  <c r="E3" i="17"/>
  <c r="O27" i="17"/>
  <c r="N28" i="17"/>
  <c r="U32" i="17"/>
  <c r="V31" i="17"/>
  <c r="AF36" i="17"/>
  <c r="AG35" i="17"/>
  <c r="C10" i="16"/>
  <c r="H21" i="16"/>
  <c r="H19" i="16"/>
  <c r="H8" i="16"/>
  <c r="H17" i="16"/>
  <c r="H10" i="16"/>
  <c r="H15" i="16"/>
  <c r="H26" i="16"/>
  <c r="H13" i="16"/>
  <c r="H24" i="16"/>
  <c r="G9" i="21" l="1"/>
  <c r="G32" i="21"/>
  <c r="G12" i="20"/>
  <c r="AC15" i="20"/>
  <c r="AL18" i="20"/>
  <c r="BI6" i="20"/>
  <c r="BH91" i="20"/>
  <c r="T33" i="17"/>
  <c r="T37" i="17" s="1"/>
  <c r="T38" i="17" s="1"/>
  <c r="S37" i="17"/>
  <c r="S38" i="17" s="1"/>
  <c r="BC23" i="20"/>
  <c r="P37" i="16"/>
  <c r="P38" i="16" s="1"/>
  <c r="Q33" i="16"/>
  <c r="P34" i="16"/>
  <c r="O38" i="16"/>
  <c r="I30" i="16"/>
  <c r="J29" i="16"/>
  <c r="S31" i="16"/>
  <c r="R32" i="16"/>
  <c r="AC35" i="16"/>
  <c r="AB36" i="16"/>
  <c r="L30" i="17"/>
  <c r="M29" i="17"/>
  <c r="N27" i="16"/>
  <c r="M28" i="16"/>
  <c r="O28" i="17"/>
  <c r="P27" i="17"/>
  <c r="W31" i="17"/>
  <c r="V32" i="17"/>
  <c r="AH35" i="17"/>
  <c r="AG36" i="17"/>
  <c r="K7" i="1"/>
  <c r="L7" i="1" s="1"/>
  <c r="C63" i="4"/>
  <c r="C60" i="4"/>
  <c r="C59" i="4"/>
  <c r="C58" i="4"/>
  <c r="C57" i="4"/>
  <c r="C55" i="4"/>
  <c r="E6" i="5"/>
  <c r="D63" i="4"/>
  <c r="K48" i="1"/>
  <c r="L48" i="1" s="1"/>
  <c r="D57" i="4"/>
  <c r="D55" i="4"/>
  <c r="C6" i="5"/>
  <c r="B63" i="4"/>
  <c r="B60" i="4"/>
  <c r="B59" i="4"/>
  <c r="C6" i="16" s="1"/>
  <c r="B58" i="4"/>
  <c r="B57" i="4"/>
  <c r="B55" i="4"/>
  <c r="A103" i="15"/>
  <c r="C25" i="1" s="1"/>
  <c r="A104" i="15"/>
  <c r="L49" i="1"/>
  <c r="L47" i="1"/>
  <c r="L46" i="1"/>
  <c r="L45" i="1"/>
  <c r="L44" i="1"/>
  <c r="L42" i="1"/>
  <c r="L40" i="1"/>
  <c r="L38" i="1"/>
  <c r="L36" i="1"/>
  <c r="L35" i="1"/>
  <c r="L34" i="1"/>
  <c r="L33" i="1"/>
  <c r="L32" i="1"/>
  <c r="L29" i="1"/>
  <c r="L28" i="1"/>
  <c r="L27" i="1"/>
  <c r="L26" i="1"/>
  <c r="L25" i="1"/>
  <c r="L16" i="1"/>
  <c r="L15" i="1"/>
  <c r="L12" i="1"/>
  <c r="L11" i="1"/>
  <c r="L10" i="1"/>
  <c r="L9" i="1"/>
  <c r="L8" i="1"/>
  <c r="C49" i="1"/>
  <c r="C48" i="1"/>
  <c r="C47" i="1"/>
  <c r="C46" i="1"/>
  <c r="C45" i="1"/>
  <c r="C44" i="1"/>
  <c r="C43" i="1"/>
  <c r="C42" i="1"/>
  <c r="C41" i="1"/>
  <c r="C40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4" i="1"/>
  <c r="C23" i="1"/>
  <c r="C21" i="1"/>
  <c r="C20" i="1"/>
  <c r="C16" i="1"/>
  <c r="C15" i="1"/>
  <c r="C12" i="1"/>
  <c r="C11" i="1"/>
  <c r="C10" i="1"/>
  <c r="C9" i="1"/>
  <c r="C39" i="1" l="1"/>
  <c r="B67" i="4"/>
  <c r="C18" i="1"/>
  <c r="G27" i="1"/>
  <c r="G88" i="21"/>
  <c r="G67" i="21"/>
  <c r="G70" i="21"/>
  <c r="G24" i="21"/>
  <c r="G85" i="21"/>
  <c r="G47" i="21"/>
  <c r="G32" i="20"/>
  <c r="G44" i="20"/>
  <c r="G27" i="20"/>
  <c r="G34" i="1"/>
  <c r="G80" i="21"/>
  <c r="G40" i="21"/>
  <c r="G21" i="21"/>
  <c r="G13" i="21"/>
  <c r="G12" i="21"/>
  <c r="G17" i="21"/>
  <c r="G63" i="21"/>
  <c r="G35" i="21"/>
  <c r="G18" i="21"/>
  <c r="G79" i="21"/>
  <c r="G53" i="21"/>
  <c r="G16" i="21"/>
  <c r="G82" i="21"/>
  <c r="G58" i="21"/>
  <c r="G30" i="21"/>
  <c r="G76" i="21"/>
  <c r="G7" i="21"/>
  <c r="G41" i="21"/>
  <c r="G64" i="21"/>
  <c r="G36" i="21"/>
  <c r="G83" i="21"/>
  <c r="G59" i="21"/>
  <c r="G44" i="21"/>
  <c r="G19" i="20"/>
  <c r="G19" i="1"/>
  <c r="G24" i="20"/>
  <c r="G15" i="20"/>
  <c r="G34" i="20"/>
  <c r="G20" i="20"/>
  <c r="G21" i="20"/>
  <c r="G9" i="20"/>
  <c r="G49" i="20"/>
  <c r="G33" i="20"/>
  <c r="G16" i="20"/>
  <c r="G10" i="20"/>
  <c r="K43" i="1"/>
  <c r="L43" i="1" s="1"/>
  <c r="J11" i="21"/>
  <c r="K11" i="21" s="1"/>
  <c r="M43" i="20"/>
  <c r="N43" i="20" s="1"/>
  <c r="G43" i="1"/>
  <c r="G11" i="21"/>
  <c r="G14" i="20"/>
  <c r="G43" i="20"/>
  <c r="C67" i="4"/>
  <c r="C45" i="21"/>
  <c r="C18" i="20"/>
  <c r="C39" i="20"/>
  <c r="C22" i="20"/>
  <c r="C10" i="21"/>
  <c r="C13" i="20"/>
  <c r="C17" i="20"/>
  <c r="C22" i="21"/>
  <c r="C38" i="21"/>
  <c r="C68" i="21"/>
  <c r="C17" i="1"/>
  <c r="C19" i="21"/>
  <c r="C25" i="20"/>
  <c r="C22" i="1"/>
  <c r="C14" i="21"/>
  <c r="C15" i="21"/>
  <c r="C13" i="1"/>
  <c r="C86" i="21"/>
  <c r="G30" i="1"/>
  <c r="G41" i="20"/>
  <c r="G30" i="20"/>
  <c r="G46" i="1"/>
  <c r="G47" i="20"/>
  <c r="G46" i="20"/>
  <c r="G38" i="20"/>
  <c r="G48" i="1"/>
  <c r="G48" i="20"/>
  <c r="G31" i="1"/>
  <c r="G40" i="20"/>
  <c r="G37" i="20"/>
  <c r="G31" i="20"/>
  <c r="G42" i="1"/>
  <c r="G54" i="21"/>
  <c r="G31" i="21"/>
  <c r="G77" i="21"/>
  <c r="G46" i="21"/>
  <c r="G66" i="21"/>
  <c r="G84" i="21"/>
  <c r="G69" i="21"/>
  <c r="G43" i="21"/>
  <c r="G23" i="21"/>
  <c r="G87" i="21"/>
  <c r="G20" i="21"/>
  <c r="G61" i="21"/>
  <c r="G8" i="21"/>
  <c r="G81" i="21"/>
  <c r="G23" i="20"/>
  <c r="G11" i="20"/>
  <c r="G36" i="20"/>
  <c r="G28" i="20"/>
  <c r="G8" i="20"/>
  <c r="G45" i="20"/>
  <c r="G29" i="20"/>
  <c r="G42" i="20"/>
  <c r="G26" i="20"/>
  <c r="G35" i="20"/>
  <c r="G7" i="20"/>
  <c r="C8" i="1"/>
  <c r="C7" i="20"/>
  <c r="C8" i="20"/>
  <c r="C6" i="17"/>
  <c r="G12" i="1"/>
  <c r="G55" i="21"/>
  <c r="G78" i="21"/>
  <c r="T34" i="17"/>
  <c r="BQ26" i="1" s="1"/>
  <c r="U33" i="17"/>
  <c r="U37" i="17" s="1"/>
  <c r="AD15" i="20"/>
  <c r="AM18" i="20"/>
  <c r="BJ6" i="20"/>
  <c r="BI91" i="20"/>
  <c r="BD23" i="20"/>
  <c r="T31" i="16"/>
  <c r="S32" i="16"/>
  <c r="J30" i="16"/>
  <c r="K29" i="16"/>
  <c r="Q37" i="16"/>
  <c r="R33" i="16"/>
  <c r="Q34" i="16"/>
  <c r="BI26" i="1"/>
  <c r="BG26" i="1"/>
  <c r="BF26" i="1"/>
  <c r="BH26" i="1"/>
  <c r="BK26" i="1"/>
  <c r="BJ26" i="1"/>
  <c r="BM26" i="1"/>
  <c r="BL26" i="1"/>
  <c r="BN26" i="1"/>
  <c r="BO26" i="1"/>
  <c r="AD35" i="16"/>
  <c r="AC36" i="16"/>
  <c r="BP26" i="1"/>
  <c r="M30" i="17"/>
  <c r="N29" i="17"/>
  <c r="O27" i="16"/>
  <c r="N28" i="16"/>
  <c r="V11" i="1"/>
  <c r="N15" i="1"/>
  <c r="AR15" i="1"/>
  <c r="M15" i="1"/>
  <c r="O15" i="1"/>
  <c r="P15" i="1"/>
  <c r="P28" i="17"/>
  <c r="Q27" i="17"/>
  <c r="AH36" i="17"/>
  <c r="AI35" i="17"/>
  <c r="X31" i="17"/>
  <c r="W32" i="17"/>
  <c r="K30" i="1"/>
  <c r="L30" i="1" s="1"/>
  <c r="K41" i="1"/>
  <c r="L41" i="1" s="1"/>
  <c r="K37" i="1"/>
  <c r="L37" i="1" s="1"/>
  <c r="K31" i="1"/>
  <c r="L31" i="1" s="1"/>
  <c r="K39" i="1"/>
  <c r="L39" i="1" s="1"/>
  <c r="C68" i="4"/>
  <c r="B68" i="4"/>
  <c r="G33" i="1"/>
  <c r="L18" i="1"/>
  <c r="L24" i="1"/>
  <c r="L20" i="1"/>
  <c r="G36" i="1"/>
  <c r="L21" i="1"/>
  <c r="L23" i="1"/>
  <c r="G11" i="1"/>
  <c r="G24" i="1"/>
  <c r="G41" i="1"/>
  <c r="G7" i="1"/>
  <c r="G28" i="1"/>
  <c r="G37" i="1"/>
  <c r="G49" i="1"/>
  <c r="G15" i="1"/>
  <c r="G44" i="1"/>
  <c r="G9" i="1"/>
  <c r="G20" i="1"/>
  <c r="G32" i="1"/>
  <c r="G40" i="1"/>
  <c r="C7" i="1"/>
  <c r="G10" i="1"/>
  <c r="G16" i="1"/>
  <c r="G23" i="1"/>
  <c r="G35" i="1"/>
  <c r="G47" i="1"/>
  <c r="G8" i="1"/>
  <c r="G29" i="1"/>
  <c r="G45" i="1"/>
  <c r="G21" i="1"/>
  <c r="G26" i="1"/>
  <c r="G38" i="1"/>
  <c r="G39" i="1" l="1"/>
  <c r="G14" i="21"/>
  <c r="G17" i="20"/>
  <c r="G39" i="20"/>
  <c r="G17" i="1"/>
  <c r="G25" i="1"/>
  <c r="G38" i="21"/>
  <c r="G15" i="21"/>
  <c r="G45" i="21"/>
  <c r="G68" i="21"/>
  <c r="G22" i="21"/>
  <c r="G86" i="21"/>
  <c r="G19" i="21"/>
  <c r="G10" i="21"/>
  <c r="G13" i="1"/>
  <c r="G25" i="20"/>
  <c r="G13" i="20"/>
  <c r="G22" i="20"/>
  <c r="G18" i="20"/>
  <c r="G22" i="1"/>
  <c r="G18" i="1"/>
  <c r="V33" i="17"/>
  <c r="V37" i="17" s="1"/>
  <c r="V38" i="17" s="1"/>
  <c r="U34" i="17"/>
  <c r="AD18" i="1" s="1"/>
  <c r="AE15" i="20"/>
  <c r="AN18" i="20"/>
  <c r="BK6" i="20"/>
  <c r="BJ91" i="20"/>
  <c r="BE23" i="20"/>
  <c r="Q15" i="1"/>
  <c r="AD36" i="16"/>
  <c r="AE35" i="16"/>
  <c r="K30" i="16"/>
  <c r="L29" i="16"/>
  <c r="U38" i="17"/>
  <c r="R37" i="16"/>
  <c r="R38" i="16" s="1"/>
  <c r="S33" i="16"/>
  <c r="R34" i="16"/>
  <c r="Q38" i="16"/>
  <c r="T32" i="16"/>
  <c r="U31" i="16"/>
  <c r="O29" i="17"/>
  <c r="N30" i="17"/>
  <c r="O28" i="16"/>
  <c r="P27" i="16"/>
  <c r="AM23" i="1"/>
  <c r="AI23" i="1"/>
  <c r="AE23" i="1"/>
  <c r="AL23" i="1"/>
  <c r="AH23" i="1"/>
  <c r="AD23" i="1"/>
  <c r="AO23" i="1"/>
  <c r="AK23" i="1"/>
  <c r="AG23" i="1"/>
  <c r="BM23" i="1"/>
  <c r="AN23" i="1"/>
  <c r="AJ23" i="1"/>
  <c r="AF23" i="1"/>
  <c r="AA18" i="1"/>
  <c r="W18" i="1"/>
  <c r="S18" i="1"/>
  <c r="Z18" i="1"/>
  <c r="V18" i="1"/>
  <c r="R18" i="1"/>
  <c r="AC18" i="1"/>
  <c r="Y18" i="1"/>
  <c r="U18" i="1"/>
  <c r="BA18" i="1"/>
  <c r="AB18" i="1"/>
  <c r="X18" i="1"/>
  <c r="T18" i="1"/>
  <c r="R27" i="17"/>
  <c r="Q28" i="17"/>
  <c r="X32" i="17"/>
  <c r="Y31" i="17"/>
  <c r="AI36" i="17"/>
  <c r="AJ35" i="17"/>
  <c r="W33" i="17" l="1"/>
  <c r="W37" i="17" s="1"/>
  <c r="V34" i="17"/>
  <c r="AE18" i="1" s="1"/>
  <c r="AP23" i="1"/>
  <c r="BR26" i="1"/>
  <c r="AF15" i="20"/>
  <c r="AO18" i="20"/>
  <c r="BL6" i="20"/>
  <c r="BK91" i="20"/>
  <c r="BF23" i="20"/>
  <c r="O11" i="20"/>
  <c r="O93" i="20" s="1"/>
  <c r="R15" i="1"/>
  <c r="V31" i="16"/>
  <c r="U32" i="16"/>
  <c r="S37" i="16"/>
  <c r="S38" i="16" s="1"/>
  <c r="S34" i="16"/>
  <c r="T33" i="16"/>
  <c r="AE36" i="16"/>
  <c r="AF35" i="16"/>
  <c r="M29" i="16"/>
  <c r="L30" i="16"/>
  <c r="P29" i="17"/>
  <c r="O30" i="17"/>
  <c r="P28" i="16"/>
  <c r="Q27" i="16"/>
  <c r="R28" i="17"/>
  <c r="S27" i="17"/>
  <c r="AJ36" i="17"/>
  <c r="AK35" i="17"/>
  <c r="Y32" i="17"/>
  <c r="Z31" i="17"/>
  <c r="W34" i="17" l="1"/>
  <c r="BT26" i="1" s="1"/>
  <c r="X33" i="17"/>
  <c r="X37" i="17" s="1"/>
  <c r="X38" i="17" s="1"/>
  <c r="AQ23" i="1"/>
  <c r="BS26" i="1"/>
  <c r="AG15" i="20"/>
  <c r="AP18" i="20"/>
  <c r="BM6" i="20"/>
  <c r="BL91" i="20"/>
  <c r="BG23" i="20"/>
  <c r="P11" i="20"/>
  <c r="P93" i="20" s="1"/>
  <c r="S15" i="1"/>
  <c r="N29" i="16"/>
  <c r="M30" i="16"/>
  <c r="T37" i="16"/>
  <c r="U33" i="16"/>
  <c r="T34" i="16"/>
  <c r="V32" i="16"/>
  <c r="W31" i="16"/>
  <c r="W38" i="17"/>
  <c r="AF36" i="16"/>
  <c r="AG35" i="16"/>
  <c r="Q29" i="17"/>
  <c r="P30" i="17"/>
  <c r="R27" i="16"/>
  <c r="Q28" i="16"/>
  <c r="S28" i="17"/>
  <c r="T27" i="17"/>
  <c r="AL35" i="17"/>
  <c r="AK36" i="17"/>
  <c r="AA31" i="17"/>
  <c r="Z32" i="17"/>
  <c r="Y33" i="17" l="1"/>
  <c r="Y37" i="17" s="1"/>
  <c r="Y38" i="17" s="1"/>
  <c r="X34" i="17"/>
  <c r="BU26" i="1" s="1"/>
  <c r="AF18" i="1"/>
  <c r="AR23" i="1"/>
  <c r="AH15" i="20"/>
  <c r="AQ18" i="20"/>
  <c r="BN6" i="20"/>
  <c r="BM91" i="20"/>
  <c r="BH23" i="20"/>
  <c r="Q11" i="20"/>
  <c r="Q93" i="20" s="1"/>
  <c r="T15" i="1"/>
  <c r="AH35" i="16"/>
  <c r="AG36" i="16"/>
  <c r="T38" i="16"/>
  <c r="N30" i="16"/>
  <c r="O29" i="16"/>
  <c r="W32" i="16"/>
  <c r="X31" i="16"/>
  <c r="U37" i="16"/>
  <c r="U38" i="16" s="1"/>
  <c r="V33" i="16"/>
  <c r="U34" i="16"/>
  <c r="R29" i="17"/>
  <c r="Q30" i="17"/>
  <c r="S27" i="16"/>
  <c r="R28" i="16"/>
  <c r="T28" i="17"/>
  <c r="U27" i="17"/>
  <c r="AA32" i="17"/>
  <c r="AB31" i="17"/>
  <c r="AL36" i="17"/>
  <c r="AM35" i="17"/>
  <c r="E3" i="5"/>
  <c r="AG18" i="1" l="1"/>
  <c r="AS23" i="1"/>
  <c r="Z33" i="17"/>
  <c r="Z37" i="17" s="1"/>
  <c r="Z38" i="17" s="1"/>
  <c r="Y34" i="17"/>
  <c r="AT23" i="1" s="1"/>
  <c r="AI15" i="20"/>
  <c r="AR18" i="20"/>
  <c r="BO6" i="20"/>
  <c r="BN91" i="20"/>
  <c r="BI23" i="20"/>
  <c r="BI93" i="20" s="1"/>
  <c r="R11" i="20"/>
  <c r="R93" i="20" s="1"/>
  <c r="U15" i="1"/>
  <c r="V37" i="16"/>
  <c r="V38" i="16" s="1"/>
  <c r="W33" i="16"/>
  <c r="V34" i="16"/>
  <c r="AH36" i="16"/>
  <c r="AI35" i="16"/>
  <c r="X32" i="16"/>
  <c r="Y31" i="16"/>
  <c r="O30" i="16"/>
  <c r="P29" i="16"/>
  <c r="R30" i="17"/>
  <c r="S29" i="17"/>
  <c r="T27" i="16"/>
  <c r="S28" i="16"/>
  <c r="V27" i="17"/>
  <c r="U28" i="17"/>
  <c r="AM36" i="17"/>
  <c r="AN35" i="17"/>
  <c r="AB32" i="17"/>
  <c r="AC31" i="17"/>
  <c r="B3" i="4"/>
  <c r="B2" i="4"/>
  <c r="BV26" i="1" l="1"/>
  <c r="AA33" i="17"/>
  <c r="AA37" i="17" s="1"/>
  <c r="AA38" i="17" s="1"/>
  <c r="Z34" i="17"/>
  <c r="BW26" i="1" s="1"/>
  <c r="BW50" i="1" s="1"/>
  <c r="AH18" i="1"/>
  <c r="AJ15" i="20"/>
  <c r="AS18" i="20"/>
  <c r="BP6" i="20"/>
  <c r="BO91" i="20"/>
  <c r="BJ23" i="20"/>
  <c r="BJ93" i="20" s="1"/>
  <c r="S11" i="20"/>
  <c r="S93" i="20" s="1"/>
  <c r="V15" i="1"/>
  <c r="Z31" i="16"/>
  <c r="Y32" i="16"/>
  <c r="W37" i="16"/>
  <c r="W38" i="16" s="1"/>
  <c r="W34" i="16"/>
  <c r="X33" i="16"/>
  <c r="Q29" i="16"/>
  <c r="P30" i="16"/>
  <c r="AI36" i="16"/>
  <c r="AJ35" i="16"/>
  <c r="T29" i="17"/>
  <c r="S30" i="17"/>
  <c r="U27" i="16"/>
  <c r="T28" i="16"/>
  <c r="V28" i="17"/>
  <c r="W27" i="17"/>
  <c r="AN36" i="17"/>
  <c r="AO35" i="17"/>
  <c r="AC32" i="17"/>
  <c r="AD31" i="17"/>
  <c r="L58" i="1"/>
  <c r="E20" i="5"/>
  <c r="AI18" i="1" l="1"/>
  <c r="AU23" i="1"/>
  <c r="AA34" i="17"/>
  <c r="BX26" i="1" s="1"/>
  <c r="BX50" i="1" s="1"/>
  <c r="AB33" i="17"/>
  <c r="AB37" i="17" s="1"/>
  <c r="AB38" i="17" s="1"/>
  <c r="AK15" i="20"/>
  <c r="AT18" i="20"/>
  <c r="BQ6" i="20"/>
  <c r="BP91" i="20"/>
  <c r="BK23" i="20"/>
  <c r="BK93" i="20" s="1"/>
  <c r="T11" i="20"/>
  <c r="T93" i="20" s="1"/>
  <c r="BY50" i="20"/>
  <c r="BY64" i="20"/>
  <c r="BY61" i="20"/>
  <c r="W15" i="1"/>
  <c r="AJ36" i="16"/>
  <c r="AK35" i="16"/>
  <c r="X37" i="16"/>
  <c r="X38" i="16" s="1"/>
  <c r="X34" i="16"/>
  <c r="Y33" i="16"/>
  <c r="Q30" i="16"/>
  <c r="R29" i="16"/>
  <c r="AA31" i="16"/>
  <c r="Z32" i="16"/>
  <c r="U29" i="17"/>
  <c r="T30" i="17"/>
  <c r="V27" i="16"/>
  <c r="U28" i="16"/>
  <c r="W28" i="17"/>
  <c r="X27" i="17"/>
  <c r="AE31" i="17"/>
  <c r="AD32" i="17"/>
  <c r="AP35" i="17"/>
  <c r="AO36" i="17"/>
  <c r="L55" i="1"/>
  <c r="AC33" i="17" l="1"/>
  <c r="AC37" i="17" s="1"/>
  <c r="AC38" i="17" s="1"/>
  <c r="AB34" i="17"/>
  <c r="AW23" i="1" s="1"/>
  <c r="AJ18" i="1"/>
  <c r="AV23" i="1"/>
  <c r="AL15" i="20"/>
  <c r="AU18" i="20"/>
  <c r="BR6" i="20"/>
  <c r="BQ91" i="20"/>
  <c r="BL23" i="20"/>
  <c r="BL93" i="20" s="1"/>
  <c r="U11" i="20"/>
  <c r="U93" i="20" s="1"/>
  <c r="BZ64" i="20"/>
  <c r="BZ61" i="20"/>
  <c r="BZ50" i="20"/>
  <c r="X15" i="1"/>
  <c r="Y37" i="16"/>
  <c r="Y38" i="16" s="1"/>
  <c r="Y34" i="16"/>
  <c r="Z33" i="16"/>
  <c r="S29" i="16"/>
  <c r="R30" i="16"/>
  <c r="AL35" i="16"/>
  <c r="AK36" i="16"/>
  <c r="AB31" i="16"/>
  <c r="AA32" i="16"/>
  <c r="V29" i="17"/>
  <c r="U30" i="17"/>
  <c r="W27" i="16"/>
  <c r="V28" i="16"/>
  <c r="X28" i="17"/>
  <c r="Y27" i="17"/>
  <c r="AP36" i="17"/>
  <c r="AQ35" i="17"/>
  <c r="AF31" i="17"/>
  <c r="AE32" i="17"/>
  <c r="H22" i="5"/>
  <c r="H20" i="5"/>
  <c r="H18" i="5"/>
  <c r="H7" i="5"/>
  <c r="AQ6" i="5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G6" i="5"/>
  <c r="C3" i="5"/>
  <c r="C2" i="5"/>
  <c r="AJ6" i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D33" i="17" l="1"/>
  <c r="AD37" i="17" s="1"/>
  <c r="AD38" i="17" s="1"/>
  <c r="AC34" i="17"/>
  <c r="AX23" i="1" s="1"/>
  <c r="AK18" i="1"/>
  <c r="AM15" i="20"/>
  <c r="AV18" i="20"/>
  <c r="BS6" i="20"/>
  <c r="BR91" i="20"/>
  <c r="BM23" i="20"/>
  <c r="V11" i="20"/>
  <c r="V93" i="20" s="1"/>
  <c r="Y15" i="1"/>
  <c r="AQ36" i="17"/>
  <c r="F35" i="17"/>
  <c r="D36" i="17"/>
  <c r="S30" i="16"/>
  <c r="T29" i="16"/>
  <c r="M38" i="5"/>
  <c r="J38" i="5"/>
  <c r="I38" i="5"/>
  <c r="AR38" i="5"/>
  <c r="K38" i="5"/>
  <c r="L38" i="5"/>
  <c r="Z37" i="16"/>
  <c r="Z38" i="16" s="1"/>
  <c r="Z34" i="16"/>
  <c r="AA33" i="16"/>
  <c r="AB32" i="16"/>
  <c r="AC31" i="16"/>
  <c r="AM35" i="16"/>
  <c r="AL36" i="16"/>
  <c r="J28" i="5"/>
  <c r="I28" i="5"/>
  <c r="V30" i="17"/>
  <c r="W29" i="17"/>
  <c r="W28" i="16"/>
  <c r="X27" i="16"/>
  <c r="Z27" i="17"/>
  <c r="Y28" i="17"/>
  <c r="AF32" i="17"/>
  <c r="AG31" i="17"/>
  <c r="AR34" i="5"/>
  <c r="AR36" i="5"/>
  <c r="AR32" i="5"/>
  <c r="E26" i="5"/>
  <c r="AL26" i="5" s="1"/>
  <c r="Z36" i="5"/>
  <c r="E15" i="5"/>
  <c r="E13" i="5"/>
  <c r="E10" i="5"/>
  <c r="AZ6" i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E19" i="5"/>
  <c r="E21" i="5"/>
  <c r="AK21" i="5" s="1"/>
  <c r="E17" i="5"/>
  <c r="E8" i="5"/>
  <c r="E24" i="5"/>
  <c r="AA24" i="5" s="1"/>
  <c r="AA35" i="5" s="1"/>
  <c r="AE33" i="17" l="1"/>
  <c r="AE37" i="17" s="1"/>
  <c r="AE38" i="17" s="1"/>
  <c r="AD34" i="17"/>
  <c r="AM18" i="1" s="1"/>
  <c r="AL18" i="1"/>
  <c r="BE19" i="20"/>
  <c r="BM22" i="20"/>
  <c r="BM93" i="20" s="1"/>
  <c r="AO13" i="20"/>
  <c r="AT16" i="20"/>
  <c r="AR14" i="20"/>
  <c r="AU17" i="20"/>
  <c r="AM19" i="20"/>
  <c r="W13" i="20"/>
  <c r="W108" i="20" s="1"/>
  <c r="AC17" i="20"/>
  <c r="AB16" i="20"/>
  <c r="AB105" i="20" s="1"/>
  <c r="Z14" i="20"/>
  <c r="Z93" i="20" s="1"/>
  <c r="AN15" i="20"/>
  <c r="AW18" i="20"/>
  <c r="BT6" i="20"/>
  <c r="BS91" i="20"/>
  <c r="BC19" i="1"/>
  <c r="AM13" i="1"/>
  <c r="AP14" i="1"/>
  <c r="AS17" i="1"/>
  <c r="AM12" i="20"/>
  <c r="BP24" i="20"/>
  <c r="BP108" i="20" s="1"/>
  <c r="BH21" i="20"/>
  <c r="BH93" i="20" s="1"/>
  <c r="BX25" i="20"/>
  <c r="BX105" i="20" s="1"/>
  <c r="BF20" i="20"/>
  <c r="BN23" i="20"/>
  <c r="BN93" i="20" s="1"/>
  <c r="W11" i="20"/>
  <c r="W93" i="20" s="1"/>
  <c r="AN20" i="20"/>
  <c r="U12" i="20"/>
  <c r="AP21" i="20"/>
  <c r="BF25" i="20"/>
  <c r="AX24" i="20"/>
  <c r="AJ17" i="5"/>
  <c r="N17" i="5"/>
  <c r="N33" i="5" s="1"/>
  <c r="N37" i="5" s="1"/>
  <c r="N38" i="5" s="1"/>
  <c r="AK12" i="1"/>
  <c r="Z15" i="1"/>
  <c r="BD20" i="1"/>
  <c r="AM36" i="16"/>
  <c r="AN35" i="16"/>
  <c r="AY23" i="1"/>
  <c r="AA37" i="16"/>
  <c r="AA38" i="16" s="1"/>
  <c r="AB33" i="16"/>
  <c r="AA34" i="16"/>
  <c r="T30" i="16"/>
  <c r="U29" i="16"/>
  <c r="AD31" i="16"/>
  <c r="AC32" i="16"/>
  <c r="AL21" i="5"/>
  <c r="AM21" i="5"/>
  <c r="AN21" i="5"/>
  <c r="AO21" i="5"/>
  <c r="X29" i="17"/>
  <c r="W30" i="17"/>
  <c r="Y27" i="16"/>
  <c r="X28" i="16"/>
  <c r="Z28" i="17"/>
  <c r="AA27" i="17"/>
  <c r="AG32" i="17"/>
  <c r="AH31" i="17"/>
  <c r="AE34" i="17"/>
  <c r="O13" i="5"/>
  <c r="N13" i="5"/>
  <c r="L13" i="5"/>
  <c r="M13" i="5"/>
  <c r="AN26" i="5"/>
  <c r="AO26" i="5"/>
  <c r="AP26" i="5"/>
  <c r="AQ26" i="5"/>
  <c r="AA36" i="5"/>
  <c r="AN25" i="1"/>
  <c r="AF24" i="1"/>
  <c r="X21" i="1"/>
  <c r="V20" i="1"/>
  <c r="AM26" i="5"/>
  <c r="BV25" i="1"/>
  <c r="BV50" i="1" s="1"/>
  <c r="BF21" i="1"/>
  <c r="BN24" i="1"/>
  <c r="AR16" i="1"/>
  <c r="AO25" i="1"/>
  <c r="AG24" i="1"/>
  <c r="W20" i="1"/>
  <c r="Y21" i="1"/>
  <c r="AM25" i="1"/>
  <c r="AE24" i="1"/>
  <c r="W21" i="1"/>
  <c r="U20" i="1"/>
  <c r="X17" i="5"/>
  <c r="T17" i="5"/>
  <c r="P17" i="5"/>
  <c r="Y17" i="5"/>
  <c r="U17" i="5"/>
  <c r="Q17" i="5"/>
  <c r="W17" i="5"/>
  <c r="S17" i="5"/>
  <c r="O17" i="5"/>
  <c r="V17" i="5"/>
  <c r="R17" i="5"/>
  <c r="W13" i="5"/>
  <c r="S13" i="5"/>
  <c r="U13" i="5"/>
  <c r="T13" i="5"/>
  <c r="V13" i="5"/>
  <c r="R13" i="5"/>
  <c r="AB10" i="5"/>
  <c r="X10" i="5"/>
  <c r="T10" i="5"/>
  <c r="AE10" i="5"/>
  <c r="AA10" i="5"/>
  <c r="W10" i="5"/>
  <c r="AD10" i="5"/>
  <c r="Z10" i="5"/>
  <c r="V10" i="5"/>
  <c r="AC10" i="5"/>
  <c r="Y10" i="5"/>
  <c r="U10" i="5"/>
  <c r="AC24" i="5"/>
  <c r="AL24" i="5"/>
  <c r="AH24" i="5"/>
  <c r="AD24" i="5"/>
  <c r="AN24" i="5"/>
  <c r="AJ24" i="5"/>
  <c r="AF24" i="5"/>
  <c r="AM24" i="5"/>
  <c r="AI24" i="5"/>
  <c r="AE24" i="5"/>
  <c r="AB24" i="5"/>
  <c r="AB35" i="5" s="1"/>
  <c r="AK24" i="5"/>
  <c r="AG24" i="5"/>
  <c r="V19" i="5"/>
  <c r="AG19" i="5"/>
  <c r="U19" i="5"/>
  <c r="AF19" i="5"/>
  <c r="AB19" i="5"/>
  <c r="X19" i="5"/>
  <c r="T19" i="5"/>
  <c r="AE19" i="5"/>
  <c r="AA19" i="5"/>
  <c r="W19" i="5"/>
  <c r="S19" i="5"/>
  <c r="N31" i="5"/>
  <c r="N32" i="5" s="1"/>
  <c r="AD19" i="5"/>
  <c r="Z19" i="5"/>
  <c r="R19" i="5"/>
  <c r="AC19" i="5"/>
  <c r="Y19" i="5"/>
  <c r="Q19" i="5"/>
  <c r="AA17" i="5"/>
  <c r="Z17" i="5"/>
  <c r="AC13" i="5"/>
  <c r="Y13" i="5"/>
  <c r="Q13" i="5"/>
  <c r="AB13" i="5"/>
  <c r="X13" i="5"/>
  <c r="P13" i="5"/>
  <c r="AA13" i="5"/>
  <c r="Z13" i="5"/>
  <c r="AG15" i="5"/>
  <c r="AC15" i="5"/>
  <c r="Y15" i="5"/>
  <c r="U15" i="5"/>
  <c r="Q15" i="5"/>
  <c r="AF15" i="5"/>
  <c r="AB15" i="5"/>
  <c r="X15" i="5"/>
  <c r="T15" i="5"/>
  <c r="P15" i="5"/>
  <c r="AE15" i="5"/>
  <c r="AA15" i="5"/>
  <c r="W15" i="5"/>
  <c r="S15" i="5"/>
  <c r="O15" i="5"/>
  <c r="AD15" i="5"/>
  <c r="Z15" i="5"/>
  <c r="V15" i="5"/>
  <c r="R15" i="5"/>
  <c r="AF10" i="5"/>
  <c r="X8" i="5"/>
  <c r="T8" i="5"/>
  <c r="P8" i="5"/>
  <c r="L8" i="5"/>
  <c r="W8" i="5"/>
  <c r="S8" i="5"/>
  <c r="O8" i="5"/>
  <c r="K8" i="5"/>
  <c r="Z8" i="5"/>
  <c r="V8" i="5"/>
  <c r="R8" i="5"/>
  <c r="N8" i="5"/>
  <c r="J8" i="5"/>
  <c r="Y8" i="5"/>
  <c r="U8" i="5"/>
  <c r="Q8" i="5"/>
  <c r="M8" i="5"/>
  <c r="I8" i="5"/>
  <c r="I29" i="5" s="1"/>
  <c r="BK6" i="1"/>
  <c r="BL6" i="1" s="1"/>
  <c r="BM6" i="1" s="1"/>
  <c r="BN6" i="1" s="1"/>
  <c r="BO6" i="1" s="1"/>
  <c r="BP6" i="1" s="1"/>
  <c r="BQ6" i="1" s="1"/>
  <c r="AG17" i="5"/>
  <c r="AC17" i="5"/>
  <c r="AE17" i="5"/>
  <c r="AI17" i="5"/>
  <c r="AD17" i="5"/>
  <c r="AH17" i="5"/>
  <c r="AB17" i="5"/>
  <c r="AF17" i="5"/>
  <c r="AO24" i="5"/>
  <c r="AP24" i="5"/>
  <c r="AF33" i="17" l="1"/>
  <c r="AF37" i="17" s="1"/>
  <c r="AF38" i="17" s="1"/>
  <c r="AN19" i="20"/>
  <c r="X13" i="20"/>
  <c r="X108" i="20" s="1"/>
  <c r="AA14" i="20"/>
  <c r="AA93" i="20" s="1"/>
  <c r="AD17" i="20"/>
  <c r="AC16" i="20"/>
  <c r="AC105" i="20" s="1"/>
  <c r="AO15" i="20"/>
  <c r="AX18" i="20"/>
  <c r="BU6" i="20"/>
  <c r="BT91" i="20"/>
  <c r="AX108" i="20"/>
  <c r="BG25" i="20"/>
  <c r="V12" i="20"/>
  <c r="AY24" i="20"/>
  <c r="AY108" i="20" s="1"/>
  <c r="AO20" i="20"/>
  <c r="AQ21" i="20"/>
  <c r="O33" i="5"/>
  <c r="P33" i="5" s="1"/>
  <c r="AA15" i="1"/>
  <c r="BX64" i="20"/>
  <c r="BX50" i="20"/>
  <c r="BX61" i="20"/>
  <c r="AN36" i="16"/>
  <c r="AO35" i="16"/>
  <c r="AC35" i="5"/>
  <c r="AZ23" i="1"/>
  <c r="AN18" i="1"/>
  <c r="AD32" i="16"/>
  <c r="AE31" i="16"/>
  <c r="AB37" i="16"/>
  <c r="AB38" i="16" s="1"/>
  <c r="AB34" i="16"/>
  <c r="AC33" i="16"/>
  <c r="V29" i="16"/>
  <c r="U30" i="16"/>
  <c r="X30" i="17"/>
  <c r="Y29" i="17"/>
  <c r="Z27" i="16"/>
  <c r="Y28" i="16"/>
  <c r="AA28" i="17"/>
  <c r="AB27" i="17"/>
  <c r="AI31" i="17"/>
  <c r="AH32" i="17"/>
  <c r="H26" i="5"/>
  <c r="E11" i="5"/>
  <c r="AB36" i="5"/>
  <c r="H17" i="5"/>
  <c r="I11" i="5"/>
  <c r="J11" i="5" s="1"/>
  <c r="K11" i="5" s="1"/>
  <c r="L11" i="5" s="1"/>
  <c r="M11" i="5" s="1"/>
  <c r="N11" i="5" s="1"/>
  <c r="O11" i="5" s="1"/>
  <c r="P11" i="5" s="1"/>
  <c r="Q11" i="5" s="1"/>
  <c r="R11" i="5" s="1"/>
  <c r="S11" i="5" s="1"/>
  <c r="T11" i="5" s="1"/>
  <c r="U11" i="5" s="1"/>
  <c r="V11" i="5" s="1"/>
  <c r="W11" i="5" s="1"/>
  <c r="X11" i="5" s="1"/>
  <c r="Y11" i="5" s="1"/>
  <c r="Z11" i="5" s="1"/>
  <c r="AA11" i="5" s="1"/>
  <c r="AB11" i="5" s="1"/>
  <c r="AC11" i="5" s="1"/>
  <c r="AD11" i="5" s="1"/>
  <c r="AE11" i="5" s="1"/>
  <c r="AF11" i="5" s="1"/>
  <c r="L27" i="5"/>
  <c r="K28" i="5"/>
  <c r="O31" i="5"/>
  <c r="H13" i="5"/>
  <c r="H15" i="5"/>
  <c r="H10" i="5"/>
  <c r="BR6" i="1"/>
  <c r="BS6" i="1" s="1"/>
  <c r="BT6" i="1" s="1"/>
  <c r="BU6" i="1" s="1"/>
  <c r="BV6" i="1" s="1"/>
  <c r="BW6" i="1" s="1"/>
  <c r="BX6" i="1" s="1"/>
  <c r="H21" i="5"/>
  <c r="H8" i="5"/>
  <c r="H19" i="5"/>
  <c r="H24" i="5"/>
  <c r="AF34" i="17" l="1"/>
  <c r="BA23" i="1" s="1"/>
  <c r="AG33" i="17"/>
  <c r="AG37" i="17" s="1"/>
  <c r="AG38" i="17" s="1"/>
  <c r="P31" i="5"/>
  <c r="O32" i="5"/>
  <c r="AO19" i="20"/>
  <c r="Y13" i="20"/>
  <c r="Y108" i="20" s="1"/>
  <c r="AB14" i="20"/>
  <c r="AB93" i="20" s="1"/>
  <c r="AE17" i="20"/>
  <c r="AD16" i="20"/>
  <c r="AP15" i="20"/>
  <c r="AY18" i="20"/>
  <c r="BV6" i="20"/>
  <c r="BU91" i="20"/>
  <c r="O37" i="5"/>
  <c r="O38" i="5" s="1"/>
  <c r="BH25" i="20"/>
  <c r="BH105" i="20" s="1"/>
  <c r="AR21" i="20"/>
  <c r="AD105" i="20"/>
  <c r="AP20" i="20"/>
  <c r="W12" i="20"/>
  <c r="AZ24" i="20"/>
  <c r="AZ108" i="20" s="1"/>
  <c r="AB15" i="1"/>
  <c r="AD35" i="5"/>
  <c r="AE35" i="5" s="1"/>
  <c r="AF35" i="5" s="1"/>
  <c r="AG35" i="5" s="1"/>
  <c r="AH35" i="5" s="1"/>
  <c r="AI35" i="5" s="1"/>
  <c r="AJ35" i="5" s="1"/>
  <c r="AK35" i="5" s="1"/>
  <c r="AL35" i="5" s="1"/>
  <c r="AM35" i="5" s="1"/>
  <c r="AN35" i="5" s="1"/>
  <c r="AO35" i="5" s="1"/>
  <c r="AP35" i="5" s="1"/>
  <c r="AQ35" i="5" s="1"/>
  <c r="W29" i="16"/>
  <c r="V30" i="16"/>
  <c r="AF31" i="16"/>
  <c r="AE32" i="16"/>
  <c r="AP35" i="16"/>
  <c r="AO36" i="16"/>
  <c r="AC37" i="16"/>
  <c r="AC38" i="16" s="1"/>
  <c r="AC34" i="16"/>
  <c r="AD33" i="16"/>
  <c r="Q33" i="5"/>
  <c r="P37" i="5"/>
  <c r="P38" i="5" s="1"/>
  <c r="Z29" i="17"/>
  <c r="Y30" i="17"/>
  <c r="AA27" i="16"/>
  <c r="Z28" i="16"/>
  <c r="AB28" i="17"/>
  <c r="AC27" i="17"/>
  <c r="AI32" i="17"/>
  <c r="AJ31" i="17"/>
  <c r="AC36" i="5"/>
  <c r="AP25" i="1"/>
  <c r="AH24" i="1"/>
  <c r="X20" i="1"/>
  <c r="Z21" i="1"/>
  <c r="J29" i="5"/>
  <c r="I30" i="5"/>
  <c r="M34" i="5"/>
  <c r="L28" i="5"/>
  <c r="M27" i="5"/>
  <c r="AO18" i="1" l="1"/>
  <c r="AG34" i="17"/>
  <c r="BB23" i="1" s="1"/>
  <c r="AH33" i="17"/>
  <c r="AH37" i="17" s="1"/>
  <c r="AH38" i="17" s="1"/>
  <c r="Q31" i="5"/>
  <c r="P32" i="5"/>
  <c r="AP19" i="20"/>
  <c r="Z13" i="20"/>
  <c r="Z108" i="20" s="1"/>
  <c r="AF17" i="20"/>
  <c r="AC14" i="20"/>
  <c r="AC93" i="20" s="1"/>
  <c r="AE16" i="20"/>
  <c r="AE105" i="20" s="1"/>
  <c r="AQ15" i="20"/>
  <c r="AZ18" i="20"/>
  <c r="BW6" i="20"/>
  <c r="BV91" i="20"/>
  <c r="X19" i="1"/>
  <c r="N17" i="1"/>
  <c r="BA24" i="20"/>
  <c r="BA108" i="20" s="1"/>
  <c r="AQ20" i="20"/>
  <c r="BI25" i="20"/>
  <c r="BI105" i="20" s="1"/>
  <c r="X12" i="20"/>
  <c r="AS21" i="20"/>
  <c r="AC15" i="1"/>
  <c r="M16" i="1"/>
  <c r="D36" i="5"/>
  <c r="F35" i="5"/>
  <c r="AQ35" i="16"/>
  <c r="AP36" i="16"/>
  <c r="W30" i="16"/>
  <c r="X29" i="16"/>
  <c r="R33" i="5"/>
  <c r="Q37" i="5"/>
  <c r="Q38" i="5" s="1"/>
  <c r="AD37" i="16"/>
  <c r="AD38" i="16" s="1"/>
  <c r="AD34" i="16"/>
  <c r="AE33" i="16"/>
  <c r="AF32" i="16"/>
  <c r="AG31" i="16"/>
  <c r="Z30" i="17"/>
  <c r="AA29" i="17"/>
  <c r="AA28" i="16"/>
  <c r="AB27" i="16"/>
  <c r="AC28" i="17"/>
  <c r="AD27" i="17"/>
  <c r="AJ32" i="17"/>
  <c r="AK31" i="17"/>
  <c r="AQ25" i="1"/>
  <c r="AI24" i="1"/>
  <c r="AA21" i="1"/>
  <c r="Y20" i="1"/>
  <c r="AD36" i="5"/>
  <c r="K29" i="5"/>
  <c r="J30" i="5"/>
  <c r="N34" i="5"/>
  <c r="N27" i="5"/>
  <c r="M28" i="5"/>
  <c r="AP18" i="1" l="1"/>
  <c r="AH34" i="17"/>
  <c r="AI33" i="17"/>
  <c r="AI37" i="17" s="1"/>
  <c r="AI38" i="17" s="1"/>
  <c r="R31" i="5"/>
  <c r="Q32" i="5"/>
  <c r="AQ19" i="20"/>
  <c r="AA13" i="20"/>
  <c r="AA108" i="20" s="1"/>
  <c r="AF16" i="20"/>
  <c r="AF105" i="20" s="1"/>
  <c r="AD14" i="20"/>
  <c r="AD93" i="20" s="1"/>
  <c r="AG17" i="20"/>
  <c r="AR15" i="20"/>
  <c r="AR93" i="20" s="1"/>
  <c r="BA18" i="20"/>
  <c r="BX6" i="20"/>
  <c r="BW91" i="20"/>
  <c r="Y19" i="1"/>
  <c r="O17" i="1"/>
  <c r="BJ25" i="20"/>
  <c r="BJ105" i="20" s="1"/>
  <c r="BB24" i="20"/>
  <c r="BB108" i="20" s="1"/>
  <c r="Y12" i="20"/>
  <c r="AT21" i="20"/>
  <c r="AR20" i="20"/>
  <c r="AD15" i="1"/>
  <c r="N16" i="1"/>
  <c r="AQ36" i="16"/>
  <c r="D36" i="16"/>
  <c r="F35" i="16"/>
  <c r="BC23" i="1"/>
  <c r="AQ18" i="1"/>
  <c r="AH31" i="16"/>
  <c r="AG32" i="16"/>
  <c r="Y29" i="16"/>
  <c r="X30" i="16"/>
  <c r="S33" i="5"/>
  <c r="R37" i="5"/>
  <c r="R38" i="5" s="1"/>
  <c r="AE37" i="16"/>
  <c r="AE38" i="16" s="1"/>
  <c r="AF33" i="16"/>
  <c r="AE34" i="16"/>
  <c r="AA30" i="17"/>
  <c r="AB29" i="17"/>
  <c r="AB28" i="16"/>
  <c r="AC27" i="16"/>
  <c r="AD28" i="17"/>
  <c r="AE27" i="17"/>
  <c r="AK32" i="17"/>
  <c r="AL31" i="17"/>
  <c r="AE36" i="5"/>
  <c r="AR25" i="1"/>
  <c r="AJ24" i="1"/>
  <c r="AB21" i="1"/>
  <c r="Z20" i="1"/>
  <c r="K30" i="5"/>
  <c r="L29" i="5"/>
  <c r="O27" i="5"/>
  <c r="N28" i="5"/>
  <c r="O34" i="5"/>
  <c r="AJ33" i="17" l="1"/>
  <c r="AJ37" i="17" s="1"/>
  <c r="AJ38" i="17" s="1"/>
  <c r="AI34" i="17"/>
  <c r="M11" i="1" s="1"/>
  <c r="S31" i="5"/>
  <c r="R32" i="5"/>
  <c r="AR19" i="20"/>
  <c r="AB13" i="20"/>
  <c r="AB108" i="20" s="1"/>
  <c r="AG16" i="20"/>
  <c r="AG105" i="20" s="1"/>
  <c r="AE14" i="20"/>
  <c r="AE93" i="20" s="1"/>
  <c r="AH17" i="20"/>
  <c r="AS15" i="20"/>
  <c r="AS93" i="20" s="1"/>
  <c r="BB18" i="20"/>
  <c r="BY6" i="20"/>
  <c r="BX91" i="20"/>
  <c r="AT93" i="20"/>
  <c r="AT105" i="20"/>
  <c r="Z19" i="1"/>
  <c r="M14" i="1"/>
  <c r="P17" i="1"/>
  <c r="Z12" i="20"/>
  <c r="BC24" i="20"/>
  <c r="BC108" i="20" s="1"/>
  <c r="BK25" i="20"/>
  <c r="BK105" i="20" s="1"/>
  <c r="AU21" i="20"/>
  <c r="AS20" i="20"/>
  <c r="AE15" i="1"/>
  <c r="O16" i="1"/>
  <c r="Z29" i="16"/>
  <c r="Y30" i="16"/>
  <c r="T33" i="5"/>
  <c r="S37" i="5"/>
  <c r="S38" i="5" s="1"/>
  <c r="AF37" i="16"/>
  <c r="AF38" i="16" s="1"/>
  <c r="AG33" i="16"/>
  <c r="AF34" i="16"/>
  <c r="BD23" i="1"/>
  <c r="AR18" i="1"/>
  <c r="AI31" i="16"/>
  <c r="AH32" i="16"/>
  <c r="AC29" i="17"/>
  <c r="AB30" i="17"/>
  <c r="AD27" i="16"/>
  <c r="AC28" i="16"/>
  <c r="AE28" i="17"/>
  <c r="AF27" i="17"/>
  <c r="AJ34" i="17"/>
  <c r="AM31" i="17"/>
  <c r="AL32" i="17"/>
  <c r="AC21" i="1"/>
  <c r="AS25" i="1"/>
  <c r="AK24" i="1"/>
  <c r="AA20" i="1"/>
  <c r="AF36" i="5"/>
  <c r="D32" i="16"/>
  <c r="M29" i="5"/>
  <c r="L30" i="5"/>
  <c r="P27" i="5"/>
  <c r="O28" i="5"/>
  <c r="P34" i="5"/>
  <c r="AK33" i="17" l="1"/>
  <c r="AK37" i="17" s="1"/>
  <c r="AK38" i="17" s="1"/>
  <c r="T31" i="5"/>
  <c r="S32" i="5"/>
  <c r="AS19" i="20"/>
  <c r="AC13" i="20"/>
  <c r="AC108" i="20" s="1"/>
  <c r="AH16" i="20"/>
  <c r="AH105" i="20" s="1"/>
  <c r="AF14" i="20"/>
  <c r="AF93" i="20" s="1"/>
  <c r="AI17" i="20"/>
  <c r="BZ6" i="20"/>
  <c r="BZ91" i="20" s="1"/>
  <c r="BY91" i="20"/>
  <c r="AU93" i="20"/>
  <c r="AU105" i="20"/>
  <c r="AA19" i="1"/>
  <c r="N14" i="1"/>
  <c r="Q17" i="1"/>
  <c r="AT20" i="20"/>
  <c r="BD24" i="20"/>
  <c r="BD108" i="20" s="1"/>
  <c r="AA12" i="20"/>
  <c r="BL25" i="20"/>
  <c r="BL105" i="20" s="1"/>
  <c r="AV21" i="20"/>
  <c r="AF15" i="1"/>
  <c r="P16" i="1"/>
  <c r="AI32" i="16"/>
  <c r="AJ31" i="16"/>
  <c r="AG37" i="16"/>
  <c r="AG38" i="16" s="1"/>
  <c r="AG34" i="16"/>
  <c r="AH33" i="16"/>
  <c r="U33" i="5"/>
  <c r="T37" i="5"/>
  <c r="T38" i="5" s="1"/>
  <c r="N11" i="1"/>
  <c r="AS18" i="1"/>
  <c r="BE23" i="1"/>
  <c r="AA29" i="16"/>
  <c r="Z30" i="16"/>
  <c r="AC30" i="17"/>
  <c r="AD29" i="17"/>
  <c r="AD28" i="16"/>
  <c r="AE27" i="16"/>
  <c r="AF28" i="17"/>
  <c r="AG27" i="17"/>
  <c r="AK34" i="17"/>
  <c r="AN31" i="17"/>
  <c r="AM32" i="17"/>
  <c r="AG36" i="5"/>
  <c r="AT25" i="1"/>
  <c r="AD21" i="1"/>
  <c r="AL24" i="1"/>
  <c r="AB20" i="1"/>
  <c r="M30" i="5"/>
  <c r="N29" i="5"/>
  <c r="Q34" i="5"/>
  <c r="Q27" i="5"/>
  <c r="P28" i="5"/>
  <c r="AL33" i="17" l="1"/>
  <c r="AL37" i="17" s="1"/>
  <c r="AL38" i="17" s="1"/>
  <c r="U31" i="5"/>
  <c r="T32" i="5"/>
  <c r="AT19" i="20"/>
  <c r="AD13" i="20"/>
  <c r="AD108" i="20" s="1"/>
  <c r="AJ17" i="20"/>
  <c r="AG14" i="20"/>
  <c r="AG93" i="20" s="1"/>
  <c r="AI16" i="20"/>
  <c r="AI105" i="20" s="1"/>
  <c r="AV93" i="20"/>
  <c r="AV105" i="20"/>
  <c r="AB19" i="1"/>
  <c r="O14" i="1"/>
  <c r="R17" i="1"/>
  <c r="AU20" i="20"/>
  <c r="AB12" i="20"/>
  <c r="BM25" i="20"/>
  <c r="BM105" i="20" s="1"/>
  <c r="BE24" i="20"/>
  <c r="BE108" i="20" s="1"/>
  <c r="AW21" i="20"/>
  <c r="AG15" i="1"/>
  <c r="Q16" i="1"/>
  <c r="O11" i="1"/>
  <c r="BF23" i="1"/>
  <c r="AT18" i="1"/>
  <c r="V33" i="5"/>
  <c r="U37" i="5"/>
  <c r="U38" i="5" s="1"/>
  <c r="AA30" i="16"/>
  <c r="AB29" i="16"/>
  <c r="AH37" i="16"/>
  <c r="AH38" i="16" s="1"/>
  <c r="AH34" i="16"/>
  <c r="AI33" i="16"/>
  <c r="AJ32" i="16"/>
  <c r="AK31" i="16"/>
  <c r="AD30" i="17"/>
  <c r="AE29" i="17"/>
  <c r="AE28" i="16"/>
  <c r="AF27" i="16"/>
  <c r="AH27" i="17"/>
  <c r="AH28" i="17" s="1"/>
  <c r="AG28" i="17"/>
  <c r="AN32" i="17"/>
  <c r="AO31" i="17"/>
  <c r="AL34" i="17"/>
  <c r="AM33" i="17"/>
  <c r="AM37" i="17" s="1"/>
  <c r="AM38" i="17" s="1"/>
  <c r="AU25" i="1"/>
  <c r="AM24" i="1"/>
  <c r="AE21" i="1"/>
  <c r="AC20" i="1"/>
  <c r="AH36" i="5"/>
  <c r="O29" i="5"/>
  <c r="N30" i="5"/>
  <c r="R27" i="5"/>
  <c r="Q28" i="5"/>
  <c r="R34" i="5"/>
  <c r="V31" i="5" l="1"/>
  <c r="U32" i="5"/>
  <c r="AU19" i="20"/>
  <c r="AE13" i="20"/>
  <c r="AE108" i="20" s="1"/>
  <c r="AJ16" i="20"/>
  <c r="AJ105" i="20" s="1"/>
  <c r="AK17" i="20"/>
  <c r="AH14" i="20"/>
  <c r="AH93" i="20" s="1"/>
  <c r="AW93" i="20"/>
  <c r="AW105" i="20"/>
  <c r="AC19" i="1"/>
  <c r="P14" i="1"/>
  <c r="M13" i="1"/>
  <c r="S17" i="1"/>
  <c r="AV20" i="20"/>
  <c r="BF24" i="20"/>
  <c r="BF108" i="20" s="1"/>
  <c r="BN25" i="20"/>
  <c r="BN105" i="20" s="1"/>
  <c r="AC12" i="20"/>
  <c r="AX21" i="20"/>
  <c r="AH15" i="1"/>
  <c r="R16" i="1"/>
  <c r="AI37" i="16"/>
  <c r="AI38" i="16" s="1"/>
  <c r="AJ33" i="16"/>
  <c r="AI34" i="16"/>
  <c r="D28" i="17"/>
  <c r="AK32" i="16"/>
  <c r="AL31" i="16"/>
  <c r="AC29" i="16"/>
  <c r="AB30" i="16"/>
  <c r="W33" i="5"/>
  <c r="V37" i="5"/>
  <c r="V38" i="5" s="1"/>
  <c r="P11" i="1"/>
  <c r="BG23" i="1"/>
  <c r="AU18" i="1"/>
  <c r="AF29" i="17"/>
  <c r="AE30" i="17"/>
  <c r="AF28" i="16"/>
  <c r="AG27" i="16"/>
  <c r="AN33" i="17"/>
  <c r="AN37" i="17" s="1"/>
  <c r="AN38" i="17" s="1"/>
  <c r="AM34" i="17"/>
  <c r="AO32" i="17"/>
  <c r="AP31" i="17"/>
  <c r="AI36" i="5"/>
  <c r="AV25" i="1"/>
  <c r="AN24" i="1"/>
  <c r="AF21" i="1"/>
  <c r="AD20" i="1"/>
  <c r="P29" i="5"/>
  <c r="O30" i="5"/>
  <c r="S27" i="5"/>
  <c r="R28" i="5"/>
  <c r="S34" i="5"/>
  <c r="W31" i="5" l="1"/>
  <c r="V32" i="5"/>
  <c r="AV19" i="20"/>
  <c r="AF13" i="20"/>
  <c r="AF108" i="20" s="1"/>
  <c r="AK16" i="20"/>
  <c r="AK105" i="20" s="1"/>
  <c r="AL17" i="20"/>
  <c r="AI14" i="20"/>
  <c r="AI93" i="20" s="1"/>
  <c r="AX93" i="20"/>
  <c r="AX105" i="20"/>
  <c r="AD19" i="1"/>
  <c r="Q14" i="1"/>
  <c r="N13" i="1"/>
  <c r="T17" i="1"/>
  <c r="AY21" i="20"/>
  <c r="AW20" i="20"/>
  <c r="AD12" i="20"/>
  <c r="BO25" i="20"/>
  <c r="BO105" i="20" s="1"/>
  <c r="BG24" i="20"/>
  <c r="BG108" i="20" s="1"/>
  <c r="AO108" i="20"/>
  <c r="AI15" i="1"/>
  <c r="S16" i="1"/>
  <c r="Q11" i="1"/>
  <c r="BH23" i="1"/>
  <c r="AV18" i="1"/>
  <c r="AD29" i="16"/>
  <c r="AC30" i="16"/>
  <c r="AM31" i="16"/>
  <c r="AL32" i="16"/>
  <c r="AJ37" i="16"/>
  <c r="AJ38" i="16" s="1"/>
  <c r="AK33" i="16"/>
  <c r="AJ34" i="16"/>
  <c r="X33" i="5"/>
  <c r="W37" i="5"/>
  <c r="W38" i="5" s="1"/>
  <c r="AG29" i="17"/>
  <c r="AF30" i="17"/>
  <c r="AH27" i="16"/>
  <c r="AH28" i="16" s="1"/>
  <c r="AG28" i="16"/>
  <c r="AO33" i="17"/>
  <c r="AO37" i="17" s="1"/>
  <c r="AO38" i="17" s="1"/>
  <c r="AN34" i="17"/>
  <c r="AQ31" i="17"/>
  <c r="AP32" i="17"/>
  <c r="AO24" i="1"/>
  <c r="AE20" i="1"/>
  <c r="AW25" i="1"/>
  <c r="AG21" i="1"/>
  <c r="AJ36" i="5"/>
  <c r="Q29" i="5"/>
  <c r="P30" i="5"/>
  <c r="T34" i="5"/>
  <c r="T27" i="5"/>
  <c r="S28" i="5"/>
  <c r="X31" i="5" l="1"/>
  <c r="W32" i="5"/>
  <c r="AW19" i="20"/>
  <c r="AG13" i="20"/>
  <c r="AG108" i="20" s="1"/>
  <c r="AJ14" i="20"/>
  <c r="AJ93" i="20" s="1"/>
  <c r="AM17" i="20"/>
  <c r="AL16" i="20"/>
  <c r="AL105" i="20" s="1"/>
  <c r="AY93" i="20"/>
  <c r="AY105" i="20"/>
  <c r="AE19" i="1"/>
  <c r="R14" i="1"/>
  <c r="O13" i="1"/>
  <c r="U17" i="1"/>
  <c r="AE12" i="20"/>
  <c r="BP25" i="20"/>
  <c r="BP105" i="20" s="1"/>
  <c r="AX20" i="20"/>
  <c r="BH24" i="20"/>
  <c r="BH108" i="20" s="1"/>
  <c r="AZ21" i="20"/>
  <c r="AP108" i="20"/>
  <c r="M12" i="1"/>
  <c r="AJ15" i="1"/>
  <c r="AQ32" i="17"/>
  <c r="D32" i="17"/>
  <c r="T16" i="1"/>
  <c r="AN31" i="16"/>
  <c r="AM32" i="16"/>
  <c r="R11" i="1"/>
  <c r="BI23" i="1"/>
  <c r="AW18" i="1"/>
  <c r="AK37" i="16"/>
  <c r="AK38" i="16" s="1"/>
  <c r="AK34" i="16"/>
  <c r="AL33" i="16"/>
  <c r="AD30" i="16"/>
  <c r="AE29" i="16"/>
  <c r="Y33" i="5"/>
  <c r="X37" i="5"/>
  <c r="X38" i="5" s="1"/>
  <c r="AH29" i="17"/>
  <c r="AG30" i="17"/>
  <c r="AO34" i="17"/>
  <c r="AP33" i="17"/>
  <c r="AP37" i="17" s="1"/>
  <c r="AP38" i="17" s="1"/>
  <c r="AX25" i="1"/>
  <c r="AP24" i="1"/>
  <c r="AF20" i="1"/>
  <c r="AH21" i="1"/>
  <c r="AK36" i="5"/>
  <c r="R29" i="5"/>
  <c r="Q30" i="5"/>
  <c r="U27" i="5"/>
  <c r="T28" i="5"/>
  <c r="U34" i="5"/>
  <c r="Y31" i="5" l="1"/>
  <c r="X32" i="5"/>
  <c r="AX19" i="20"/>
  <c r="AH13" i="20"/>
  <c r="AH108" i="20" s="1"/>
  <c r="AM16" i="20"/>
  <c r="AM105" i="20" s="1"/>
  <c r="AK14" i="20"/>
  <c r="AK93" i="20" s="1"/>
  <c r="AN17" i="20"/>
  <c r="AZ93" i="20"/>
  <c r="AZ105" i="20"/>
  <c r="AF19" i="1"/>
  <c r="P13" i="1"/>
  <c r="S14" i="1"/>
  <c r="V17" i="1"/>
  <c r="BI24" i="20"/>
  <c r="BI108" i="20" s="1"/>
  <c r="AY20" i="20"/>
  <c r="BA21" i="20"/>
  <c r="BQ25" i="20"/>
  <c r="BQ105" i="20" s="1"/>
  <c r="AF12" i="20"/>
  <c r="AQ108" i="20"/>
  <c r="O50" i="20"/>
  <c r="O64" i="20"/>
  <c r="O61" i="20"/>
  <c r="N12" i="1"/>
  <c r="AK15" i="1"/>
  <c r="U16" i="1"/>
  <c r="Z33" i="5"/>
  <c r="Y37" i="5"/>
  <c r="Y38" i="5" s="1"/>
  <c r="AE30" i="16"/>
  <c r="AF29" i="16"/>
  <c r="S11" i="1"/>
  <c r="BJ23" i="1"/>
  <c r="AX18" i="1"/>
  <c r="AL37" i="16"/>
  <c r="AL38" i="16" s="1"/>
  <c r="AL34" i="16"/>
  <c r="AM33" i="16"/>
  <c r="AN32" i="16"/>
  <c r="AO31" i="16"/>
  <c r="AH30" i="17"/>
  <c r="AI29" i="17"/>
  <c r="AP34" i="17"/>
  <c r="AQ33" i="17"/>
  <c r="AY25" i="1"/>
  <c r="AQ24" i="1"/>
  <c r="AI21" i="1"/>
  <c r="AG20" i="1"/>
  <c r="M64" i="1"/>
  <c r="AL36" i="5"/>
  <c r="D28" i="16"/>
  <c r="S29" i="5"/>
  <c r="R30" i="5"/>
  <c r="V27" i="5"/>
  <c r="U28" i="5"/>
  <c r="V34" i="5"/>
  <c r="Z31" i="5" l="1"/>
  <c r="Y32" i="5"/>
  <c r="AY19" i="20"/>
  <c r="AI13" i="20"/>
  <c r="AI108" i="20" s="1"/>
  <c r="AN16" i="20"/>
  <c r="AN105" i="20" s="1"/>
  <c r="AL14" i="20"/>
  <c r="AL93" i="20" s="1"/>
  <c r="AO17" i="20"/>
  <c r="BA93" i="20"/>
  <c r="BA105" i="20"/>
  <c r="AG19" i="1"/>
  <c r="T14" i="1"/>
  <c r="Q13" i="1"/>
  <c r="W17" i="1"/>
  <c r="AG12" i="20"/>
  <c r="BB21" i="20"/>
  <c r="AZ20" i="20"/>
  <c r="BJ24" i="20"/>
  <c r="BJ108" i="20" s="1"/>
  <c r="BR25" i="20"/>
  <c r="BR105" i="20" s="1"/>
  <c r="AR108" i="20"/>
  <c r="O12" i="1"/>
  <c r="AL15" i="1"/>
  <c r="P64" i="20"/>
  <c r="P65" i="20" s="1"/>
  <c r="P50" i="20"/>
  <c r="P61" i="20"/>
  <c r="O62" i="20"/>
  <c r="O65" i="20"/>
  <c r="V16" i="1"/>
  <c r="AQ34" i="17"/>
  <c r="AQ37" i="17"/>
  <c r="F33" i="17"/>
  <c r="D34" i="17"/>
  <c r="AM37" i="16"/>
  <c r="AM38" i="16" s="1"/>
  <c r="AN33" i="16"/>
  <c r="AM34" i="16"/>
  <c r="T11" i="1"/>
  <c r="BK23" i="1"/>
  <c r="AY18" i="1"/>
  <c r="AG29" i="16"/>
  <c r="AF30" i="16"/>
  <c r="AP31" i="16"/>
  <c r="AO32" i="16"/>
  <c r="AA33" i="5"/>
  <c r="Z37" i="5"/>
  <c r="Z38" i="5" s="1"/>
  <c r="AI30" i="17"/>
  <c r="AJ29" i="17"/>
  <c r="AJ30" i="17" s="1"/>
  <c r="M65" i="1"/>
  <c r="M50" i="1"/>
  <c r="M61" i="1"/>
  <c r="AM36" i="5"/>
  <c r="AZ25" i="1"/>
  <c r="AR24" i="1"/>
  <c r="AJ21" i="1"/>
  <c r="AH20" i="1"/>
  <c r="N64" i="1"/>
  <c r="N65" i="1" s="1"/>
  <c r="M52" i="1"/>
  <c r="M53" i="1"/>
  <c r="T29" i="5"/>
  <c r="S30" i="5"/>
  <c r="W34" i="5"/>
  <c r="W27" i="5"/>
  <c r="V28" i="5"/>
  <c r="Z32" i="5" l="1"/>
  <c r="AA31" i="5"/>
  <c r="AZ19" i="20"/>
  <c r="AJ13" i="20"/>
  <c r="AJ108" i="20" s="1"/>
  <c r="AM14" i="20"/>
  <c r="AM93" i="20" s="1"/>
  <c r="AO16" i="20"/>
  <c r="AO105" i="20" s="1"/>
  <c r="AP17" i="20"/>
  <c r="BB93" i="20"/>
  <c r="BB105" i="20"/>
  <c r="AH19" i="1"/>
  <c r="U14" i="1"/>
  <c r="R13" i="1"/>
  <c r="X17" i="1"/>
  <c r="BC21" i="20"/>
  <c r="BA20" i="20"/>
  <c r="BK24" i="20"/>
  <c r="BK108" i="20" s="1"/>
  <c r="AH12" i="20"/>
  <c r="BS25" i="20"/>
  <c r="BS105" i="20" s="1"/>
  <c r="AS108" i="20"/>
  <c r="Q61" i="20"/>
  <c r="Q64" i="20"/>
  <c r="Q50" i="20"/>
  <c r="AM15" i="1"/>
  <c r="P62" i="20"/>
  <c r="P12" i="1"/>
  <c r="W16" i="1"/>
  <c r="AB33" i="5"/>
  <c r="AA37" i="5"/>
  <c r="AA38" i="5" s="1"/>
  <c r="AH29" i="16"/>
  <c r="AG30" i="16"/>
  <c r="AN37" i="16"/>
  <c r="AN38" i="16" s="1"/>
  <c r="AO33" i="16"/>
  <c r="AN34" i="16"/>
  <c r="AQ38" i="17"/>
  <c r="F37" i="17"/>
  <c r="D35" i="17" s="1"/>
  <c r="AQ31" i="16"/>
  <c r="AQ32" i="16" s="1"/>
  <c r="AP32" i="16"/>
  <c r="U11" i="1"/>
  <c r="AZ18" i="1"/>
  <c r="BL23" i="1"/>
  <c r="N50" i="1"/>
  <c r="N61" i="1"/>
  <c r="N62" i="1" s="1"/>
  <c r="M62" i="1"/>
  <c r="D30" i="17"/>
  <c r="M54" i="1"/>
  <c r="M55" i="1" s="1"/>
  <c r="BA25" i="1"/>
  <c r="AK21" i="1"/>
  <c r="O64" i="1"/>
  <c r="O65" i="1" s="1"/>
  <c r="AS24" i="1"/>
  <c r="AI20" i="1"/>
  <c r="AN36" i="5"/>
  <c r="N53" i="1"/>
  <c r="N52" i="1"/>
  <c r="U29" i="5"/>
  <c r="T30" i="5"/>
  <c r="X27" i="5"/>
  <c r="W28" i="5"/>
  <c r="X34" i="5"/>
  <c r="AB31" i="5" l="1"/>
  <c r="AA32" i="5"/>
  <c r="BA19" i="20"/>
  <c r="AK13" i="20"/>
  <c r="AK108" i="20" s="1"/>
  <c r="AN14" i="20"/>
  <c r="AN93" i="20" s="1"/>
  <c r="AP16" i="20"/>
  <c r="AP105" i="20" s="1"/>
  <c r="AQ17" i="20"/>
  <c r="BC93" i="20"/>
  <c r="BC105" i="20"/>
  <c r="AI19" i="1"/>
  <c r="V14" i="1"/>
  <c r="S13" i="1"/>
  <c r="Y17" i="1"/>
  <c r="AI12" i="20"/>
  <c r="BT25" i="20"/>
  <c r="BT105" i="20" s="1"/>
  <c r="BB20" i="20"/>
  <c r="BD21" i="20"/>
  <c r="BL24" i="20"/>
  <c r="BL108" i="20" s="1"/>
  <c r="AT108" i="20"/>
  <c r="R50" i="20"/>
  <c r="R64" i="20"/>
  <c r="R65" i="20" s="1"/>
  <c r="R61" i="20"/>
  <c r="Q65" i="20"/>
  <c r="Q62" i="20"/>
  <c r="AN15" i="1"/>
  <c r="Q12" i="1"/>
  <c r="X16" i="1"/>
  <c r="AO37" i="16"/>
  <c r="AO38" i="16" s="1"/>
  <c r="AP33" i="16"/>
  <c r="AO34" i="16"/>
  <c r="D33" i="17"/>
  <c r="AH30" i="16"/>
  <c r="AI29" i="16"/>
  <c r="AC33" i="5"/>
  <c r="AB37" i="5"/>
  <c r="AB38" i="5" s="1"/>
  <c r="O50" i="1"/>
  <c r="O61" i="1"/>
  <c r="M57" i="1"/>
  <c r="M58" i="1" s="1"/>
  <c r="P64" i="1"/>
  <c r="BB25" i="1"/>
  <c r="AL21" i="1"/>
  <c r="AJ20" i="1"/>
  <c r="AT24" i="1"/>
  <c r="AO36" i="5"/>
  <c r="AQ36" i="5"/>
  <c r="N54" i="1"/>
  <c r="O52" i="1"/>
  <c r="O53" i="1"/>
  <c r="V29" i="5"/>
  <c r="U30" i="5"/>
  <c r="Y27" i="5"/>
  <c r="X28" i="5"/>
  <c r="Y34" i="5"/>
  <c r="BX61" i="1"/>
  <c r="BX64" i="1"/>
  <c r="AC31" i="5" l="1"/>
  <c r="AB32" i="5"/>
  <c r="BB19" i="20"/>
  <c r="AL13" i="20"/>
  <c r="AL108" i="20" s="1"/>
  <c r="AR17" i="20"/>
  <c r="AQ16" i="20"/>
  <c r="AQ105" i="20" s="1"/>
  <c r="AO14" i="20"/>
  <c r="AO93" i="20" s="1"/>
  <c r="BD19" i="20"/>
  <c r="AN13" i="20"/>
  <c r="AN108" i="20" s="1"/>
  <c r="AS16" i="20"/>
  <c r="AS105" i="20" s="1"/>
  <c r="AT17" i="20"/>
  <c r="AQ14" i="20"/>
  <c r="AQ93" i="20" s="1"/>
  <c r="BD93" i="20"/>
  <c r="BD105" i="20"/>
  <c r="AJ19" i="1"/>
  <c r="W14" i="1"/>
  <c r="T13" i="1"/>
  <c r="Z17" i="1"/>
  <c r="BM24" i="20"/>
  <c r="BM108" i="20" s="1"/>
  <c r="BE21" i="20"/>
  <c r="AJ12" i="20"/>
  <c r="BU25" i="20"/>
  <c r="BU105" i="20" s="1"/>
  <c r="BC20" i="20"/>
  <c r="AU108" i="20"/>
  <c r="AL12" i="20"/>
  <c r="BE20" i="20"/>
  <c r="BO24" i="20"/>
  <c r="BO108" i="20" s="1"/>
  <c r="BW25" i="20"/>
  <c r="BW105" i="20" s="1"/>
  <c r="BG21" i="20"/>
  <c r="AW108" i="20"/>
  <c r="AO15" i="1"/>
  <c r="R62" i="20"/>
  <c r="S64" i="20"/>
  <c r="S61" i="20"/>
  <c r="S50" i="20"/>
  <c r="R12" i="1"/>
  <c r="Y16" i="1"/>
  <c r="AI30" i="16"/>
  <c r="AJ29" i="16"/>
  <c r="AJ30" i="16" s="1"/>
  <c r="AP37" i="16"/>
  <c r="AP38" i="16" s="1"/>
  <c r="AQ33" i="16"/>
  <c r="AP34" i="16"/>
  <c r="AD33" i="5"/>
  <c r="AC37" i="5"/>
  <c r="AC38" i="5" s="1"/>
  <c r="P65" i="1"/>
  <c r="P50" i="1"/>
  <c r="P61" i="1"/>
  <c r="O62" i="1"/>
  <c r="BC25" i="1"/>
  <c r="AU24" i="1"/>
  <c r="AM21" i="1"/>
  <c r="AK20" i="1"/>
  <c r="Q64" i="1"/>
  <c r="AP36" i="5"/>
  <c r="O54" i="1"/>
  <c r="O55" i="1" s="1"/>
  <c r="P52" i="1"/>
  <c r="P53" i="1"/>
  <c r="N55" i="1"/>
  <c r="N57" i="1"/>
  <c r="N58" i="1" s="1"/>
  <c r="W29" i="5"/>
  <c r="V30" i="5"/>
  <c r="Z34" i="5"/>
  <c r="Z27" i="5"/>
  <c r="Y28" i="5"/>
  <c r="AD31" i="5" l="1"/>
  <c r="AC32" i="5"/>
  <c r="BC19" i="20"/>
  <c r="AM13" i="20"/>
  <c r="AM108" i="20" s="1"/>
  <c r="AR16" i="20"/>
  <c r="AR105" i="20" s="1"/>
  <c r="AP14" i="20"/>
  <c r="AP93" i="20" s="1"/>
  <c r="AS17" i="20"/>
  <c r="BE93" i="20"/>
  <c r="BE105" i="20"/>
  <c r="BG93" i="20"/>
  <c r="BG105" i="20"/>
  <c r="AK19" i="1"/>
  <c r="X14" i="1"/>
  <c r="U13" i="1"/>
  <c r="AA17" i="1"/>
  <c r="BD20" i="20"/>
  <c r="BV25" i="20"/>
  <c r="BV105" i="20" s="1"/>
  <c r="AK12" i="20"/>
  <c r="BF21" i="20"/>
  <c r="BN24" i="20"/>
  <c r="BN108" i="20" s="1"/>
  <c r="AV108" i="20"/>
  <c r="S62" i="20"/>
  <c r="S65" i="20"/>
  <c r="S12" i="1"/>
  <c r="AP15" i="1"/>
  <c r="T64" i="20"/>
  <c r="T65" i="20" s="1"/>
  <c r="T50" i="20"/>
  <c r="T61" i="20"/>
  <c r="Z16" i="1"/>
  <c r="AE33" i="5"/>
  <c r="AD37" i="5"/>
  <c r="AD38" i="5" s="1"/>
  <c r="AQ34" i="16"/>
  <c r="AQ37" i="16"/>
  <c r="D34" i="16"/>
  <c r="F33" i="16"/>
  <c r="Q65" i="1"/>
  <c r="Q50" i="1"/>
  <c r="Q61" i="1"/>
  <c r="P62" i="1"/>
  <c r="BD25" i="1"/>
  <c r="AV24" i="1"/>
  <c r="AN21" i="1"/>
  <c r="AL20" i="1"/>
  <c r="R64" i="1"/>
  <c r="O57" i="1"/>
  <c r="O58" i="1" s="1"/>
  <c r="P54" i="1"/>
  <c r="P57" i="1" s="1"/>
  <c r="P58" i="1" s="1"/>
  <c r="Q53" i="1"/>
  <c r="Q52" i="1"/>
  <c r="D30" i="16"/>
  <c r="X29" i="5"/>
  <c r="W30" i="5"/>
  <c r="AA27" i="5"/>
  <c r="Z28" i="5"/>
  <c r="AA34" i="5"/>
  <c r="AE31" i="5" l="1"/>
  <c r="AD32" i="5"/>
  <c r="BF93" i="20"/>
  <c r="L93" i="20" s="1"/>
  <c r="BF105" i="20"/>
  <c r="L105" i="20" s="1"/>
  <c r="AL19" i="1"/>
  <c r="Y14" i="1"/>
  <c r="V13" i="1"/>
  <c r="AB17" i="1"/>
  <c r="L108" i="20"/>
  <c r="T62" i="20"/>
  <c r="T12" i="1"/>
  <c r="AQ15" i="1"/>
  <c r="U64" i="20"/>
  <c r="U61" i="20"/>
  <c r="U50" i="20"/>
  <c r="AA16" i="1"/>
  <c r="AQ38" i="16"/>
  <c r="F37" i="16"/>
  <c r="D35" i="16" s="1"/>
  <c r="AF33" i="5"/>
  <c r="AE37" i="5"/>
  <c r="AE38" i="5" s="1"/>
  <c r="R65" i="1"/>
  <c r="R50" i="1"/>
  <c r="R61" i="1"/>
  <c r="R62" i="1" s="1"/>
  <c r="Q62" i="1"/>
  <c r="BE25" i="1"/>
  <c r="S64" i="1"/>
  <c r="AW24" i="1"/>
  <c r="AM20" i="1"/>
  <c r="AO21" i="1"/>
  <c r="Q54" i="1"/>
  <c r="Q57" i="1" s="1"/>
  <c r="Q58" i="1" s="1"/>
  <c r="P55" i="1"/>
  <c r="R53" i="1"/>
  <c r="R52" i="1"/>
  <c r="Y29" i="5"/>
  <c r="X30" i="5"/>
  <c r="AB27" i="5"/>
  <c r="AA28" i="5"/>
  <c r="AB34" i="5"/>
  <c r="BV61" i="1"/>
  <c r="BW61" i="1"/>
  <c r="AF31" i="5" l="1"/>
  <c r="AE32" i="5"/>
  <c r="AM19" i="1"/>
  <c r="W13" i="1"/>
  <c r="Z14" i="1"/>
  <c r="AC17" i="1"/>
  <c r="U12" i="1"/>
  <c r="U65" i="20"/>
  <c r="V64" i="20"/>
  <c r="V50" i="20"/>
  <c r="V61" i="20"/>
  <c r="U62" i="20"/>
  <c r="AB16" i="1"/>
  <c r="D33" i="16"/>
  <c r="AG33" i="5"/>
  <c r="AF37" i="5"/>
  <c r="AF38" i="5" s="1"/>
  <c r="S65" i="1"/>
  <c r="S50" i="1"/>
  <c r="S61" i="1"/>
  <c r="S62" i="1" s="1"/>
  <c r="T64" i="1"/>
  <c r="T65" i="1" s="1"/>
  <c r="BF25" i="1"/>
  <c r="AX24" i="1"/>
  <c r="AN20" i="1"/>
  <c r="AP21" i="1"/>
  <c r="Q55" i="1"/>
  <c r="R54" i="1"/>
  <c r="R57" i="1" s="1"/>
  <c r="R58" i="1" s="1"/>
  <c r="S53" i="1"/>
  <c r="S52" i="1"/>
  <c r="Z29" i="5"/>
  <c r="Y30" i="5"/>
  <c r="AC27" i="5"/>
  <c r="AB28" i="5"/>
  <c r="AC34" i="5"/>
  <c r="BX53" i="1"/>
  <c r="BX52" i="1"/>
  <c r="BW64" i="1"/>
  <c r="BV64" i="1"/>
  <c r="AG31" i="5" l="1"/>
  <c r="AF32" i="5"/>
  <c r="AN19" i="1"/>
  <c r="AA14" i="1"/>
  <c r="X13" i="1"/>
  <c r="AD17" i="1"/>
  <c r="V62" i="20"/>
  <c r="V12" i="1"/>
  <c r="V65" i="20"/>
  <c r="W64" i="20"/>
  <c r="W50" i="20"/>
  <c r="W61" i="20"/>
  <c r="AC16" i="1"/>
  <c r="AH33" i="5"/>
  <c r="AG37" i="5"/>
  <c r="AG38" i="5" s="1"/>
  <c r="T50" i="1"/>
  <c r="T61" i="1"/>
  <c r="T62" i="1" s="1"/>
  <c r="BG25" i="1"/>
  <c r="AY24" i="1"/>
  <c r="AQ21" i="1"/>
  <c r="AO20" i="1"/>
  <c r="U64" i="1"/>
  <c r="U65" i="1" s="1"/>
  <c r="S54" i="1"/>
  <c r="S57" i="1" s="1"/>
  <c r="S58" i="1" s="1"/>
  <c r="R55" i="1"/>
  <c r="T52" i="1"/>
  <c r="T53" i="1"/>
  <c r="AA29" i="5"/>
  <c r="Z30" i="5"/>
  <c r="AD34" i="5"/>
  <c r="AD27" i="5"/>
  <c r="AC28" i="5"/>
  <c r="BX54" i="1"/>
  <c r="BX57" i="1" s="1"/>
  <c r="BX58" i="1" s="1"/>
  <c r="BV53" i="1"/>
  <c r="BV52" i="1"/>
  <c r="BW53" i="1"/>
  <c r="BW52" i="1"/>
  <c r="AG32" i="5" l="1"/>
  <c r="AH31" i="5"/>
  <c r="AO19" i="1"/>
  <c r="AB14" i="1"/>
  <c r="Y13" i="1"/>
  <c r="AE17" i="1"/>
  <c r="X50" i="20"/>
  <c r="X61" i="20"/>
  <c r="X64" i="20"/>
  <c r="W12" i="1"/>
  <c r="W62" i="20"/>
  <c r="W65" i="20"/>
  <c r="AD16" i="1"/>
  <c r="AI33" i="5"/>
  <c r="AH37" i="5"/>
  <c r="AH38" i="5" s="1"/>
  <c r="U50" i="1"/>
  <c r="U61" i="1"/>
  <c r="U62" i="1" s="1"/>
  <c r="BH25" i="1"/>
  <c r="AZ24" i="1"/>
  <c r="AR21" i="1"/>
  <c r="AP20" i="1"/>
  <c r="V64" i="1"/>
  <c r="V65" i="1" s="1"/>
  <c r="T54" i="1"/>
  <c r="T57" i="1" s="1"/>
  <c r="T58" i="1" s="1"/>
  <c r="S55" i="1"/>
  <c r="U53" i="1"/>
  <c r="U52" i="1"/>
  <c r="AB29" i="5"/>
  <c r="AA30" i="5"/>
  <c r="AE34" i="5"/>
  <c r="AE27" i="5"/>
  <c r="AD28" i="5"/>
  <c r="BX55" i="1"/>
  <c r="BW54" i="1"/>
  <c r="BV54" i="1"/>
  <c r="AH32" i="5" l="1"/>
  <c r="AI31" i="5"/>
  <c r="AP19" i="1"/>
  <c r="AC14" i="1"/>
  <c r="Z13" i="1"/>
  <c r="AF17" i="1"/>
  <c r="X65" i="20"/>
  <c r="X12" i="1"/>
  <c r="X62" i="20"/>
  <c r="Y64" i="20"/>
  <c r="Y50" i="20"/>
  <c r="Y61" i="20"/>
  <c r="AE16" i="1"/>
  <c r="AJ33" i="5"/>
  <c r="AI37" i="5"/>
  <c r="AI38" i="5" s="1"/>
  <c r="V50" i="1"/>
  <c r="V61" i="1"/>
  <c r="V62" i="1" s="1"/>
  <c r="AS21" i="1"/>
  <c r="W64" i="1"/>
  <c r="W65" i="1" s="1"/>
  <c r="BA24" i="1"/>
  <c r="AQ20" i="1"/>
  <c r="BI25" i="1"/>
  <c r="T55" i="1"/>
  <c r="U54" i="1"/>
  <c r="U55" i="1" s="1"/>
  <c r="V52" i="1"/>
  <c r="V53" i="1"/>
  <c r="AC29" i="5"/>
  <c r="AB30" i="5"/>
  <c r="AF34" i="5"/>
  <c r="AF27" i="5"/>
  <c r="AE28" i="5"/>
  <c r="BW55" i="1"/>
  <c r="BW57" i="1"/>
  <c r="BV55" i="1"/>
  <c r="BV57" i="1"/>
  <c r="AJ31" i="5" l="1"/>
  <c r="AI32" i="5"/>
  <c r="AQ19" i="1"/>
  <c r="AD14" i="1"/>
  <c r="AA13" i="1"/>
  <c r="AG17" i="1"/>
  <c r="Y65" i="20"/>
  <c r="Y12" i="1"/>
  <c r="Z64" i="20"/>
  <c r="Z61" i="20"/>
  <c r="Z62" i="20" s="1"/>
  <c r="Z50" i="20"/>
  <c r="Y62" i="20"/>
  <c r="AF16" i="1"/>
  <c r="AK33" i="5"/>
  <c r="AJ37" i="5"/>
  <c r="AJ38" i="5" s="1"/>
  <c r="W50" i="1"/>
  <c r="W61" i="1"/>
  <c r="W62" i="1" s="1"/>
  <c r="U57" i="1"/>
  <c r="U58" i="1" s="1"/>
  <c r="X50" i="1"/>
  <c r="BJ25" i="1"/>
  <c r="AT21" i="1"/>
  <c r="BB24" i="1"/>
  <c r="AR20" i="1"/>
  <c r="V54" i="1"/>
  <c r="V57" i="1" s="1"/>
  <c r="V58" i="1" s="1"/>
  <c r="W52" i="1"/>
  <c r="W53" i="1"/>
  <c r="AC30" i="5"/>
  <c r="AD29" i="5"/>
  <c r="AG34" i="5"/>
  <c r="AG27" i="5"/>
  <c r="AH27" i="5" s="1"/>
  <c r="AH28" i="5" s="1"/>
  <c r="AF28" i="5"/>
  <c r="BV58" i="1"/>
  <c r="BV59" i="1"/>
  <c r="BW58" i="1"/>
  <c r="BW59" i="1"/>
  <c r="AK31" i="5" l="1"/>
  <c r="AJ32" i="5"/>
  <c r="AR19" i="1"/>
  <c r="AB13" i="1"/>
  <c r="AE14" i="1"/>
  <c r="AH17" i="1"/>
  <c r="AA61" i="20"/>
  <c r="AA64" i="20"/>
  <c r="AA50" i="20"/>
  <c r="Z12" i="1"/>
  <c r="Z65" i="20"/>
  <c r="AG16" i="1"/>
  <c r="AL33" i="5"/>
  <c r="AK37" i="5"/>
  <c r="AK38" i="5" s="1"/>
  <c r="V55" i="1"/>
  <c r="BK25" i="1"/>
  <c r="BC24" i="1"/>
  <c r="AU21" i="1"/>
  <c r="AS20" i="1"/>
  <c r="Y50" i="1"/>
  <c r="W54" i="1"/>
  <c r="W57" i="1" s="1"/>
  <c r="X64" i="1"/>
  <c r="X61" i="1"/>
  <c r="AE29" i="5"/>
  <c r="AD30" i="5"/>
  <c r="AH34" i="5"/>
  <c r="AG28" i="5"/>
  <c r="D28" i="5"/>
  <c r="AL31" i="5" l="1"/>
  <c r="AK32" i="5"/>
  <c r="AS19" i="1"/>
  <c r="AC13" i="1"/>
  <c r="AF14" i="1"/>
  <c r="AI17" i="1"/>
  <c r="AA12" i="1"/>
  <c r="AA65" i="20"/>
  <c r="AB61" i="20"/>
  <c r="AB50" i="20"/>
  <c r="AB64" i="20"/>
  <c r="AA62" i="20"/>
  <c r="AH16" i="1"/>
  <c r="AM33" i="5"/>
  <c r="AL37" i="5"/>
  <c r="AL38" i="5" s="1"/>
  <c r="BL25" i="1"/>
  <c r="BD24" i="1"/>
  <c r="AV21" i="1"/>
  <c r="AT20" i="1"/>
  <c r="Z50" i="1"/>
  <c r="AR53" i="1"/>
  <c r="AR52" i="1"/>
  <c r="W55" i="1"/>
  <c r="Y61" i="1"/>
  <c r="Y64" i="1"/>
  <c r="X65" i="1"/>
  <c r="W58" i="1"/>
  <c r="W59" i="1"/>
  <c r="X62" i="1"/>
  <c r="X53" i="1"/>
  <c r="X52" i="1"/>
  <c r="AE30" i="5"/>
  <c r="AF29" i="5"/>
  <c r="AI34" i="5"/>
  <c r="AL32" i="5" l="1"/>
  <c r="AM31" i="5"/>
  <c r="AT19" i="1"/>
  <c r="AG14" i="1"/>
  <c r="AD13" i="1"/>
  <c r="AJ17" i="1"/>
  <c r="AB62" i="20"/>
  <c r="AB12" i="1"/>
  <c r="AB65" i="20"/>
  <c r="AC50" i="20"/>
  <c r="AC64" i="20"/>
  <c r="AC61" i="20"/>
  <c r="AI16" i="1"/>
  <c r="AN33" i="5"/>
  <c r="AM37" i="5"/>
  <c r="AM38" i="5" s="1"/>
  <c r="AR54" i="1"/>
  <c r="AR55" i="1" s="1"/>
  <c r="AA50" i="1"/>
  <c r="BE24" i="1"/>
  <c r="AU20" i="1"/>
  <c r="AW21" i="1"/>
  <c r="BM25" i="1"/>
  <c r="AS53" i="1"/>
  <c r="AS52" i="1"/>
  <c r="X54" i="1"/>
  <c r="X57" i="1" s="1"/>
  <c r="Z64" i="1"/>
  <c r="Z61" i="1"/>
  <c r="Y62" i="1"/>
  <c r="Y52" i="1"/>
  <c r="Y53" i="1"/>
  <c r="Y65" i="1"/>
  <c r="AF30" i="5"/>
  <c r="AG29" i="5"/>
  <c r="AJ34" i="5"/>
  <c r="AN31" i="5" l="1"/>
  <c r="AM32" i="5"/>
  <c r="AU19" i="1"/>
  <c r="AH14" i="1"/>
  <c r="AE13" i="1"/>
  <c r="AK17" i="1"/>
  <c r="AD64" i="20"/>
  <c r="AD50" i="20"/>
  <c r="AD61" i="20"/>
  <c r="AC62" i="20"/>
  <c r="AC12" i="1"/>
  <c r="AC65" i="20"/>
  <c r="AJ16" i="1"/>
  <c r="AO33" i="5"/>
  <c r="AN37" i="5"/>
  <c r="AN38" i="5" s="1"/>
  <c r="AS54" i="1"/>
  <c r="AS55" i="1" s="1"/>
  <c r="AR57" i="1"/>
  <c r="AR59" i="1" s="1"/>
  <c r="AT53" i="1"/>
  <c r="AT52" i="1"/>
  <c r="AB50" i="1"/>
  <c r="BN25" i="1"/>
  <c r="BN50" i="1" s="1"/>
  <c r="BF24" i="1"/>
  <c r="AV20" i="1"/>
  <c r="AX21" i="1"/>
  <c r="Y54" i="1"/>
  <c r="Y57" i="1" s="1"/>
  <c r="X55" i="1"/>
  <c r="Z62" i="1"/>
  <c r="AA64" i="1"/>
  <c r="AA61" i="1"/>
  <c r="Z65" i="1"/>
  <c r="Z53" i="1"/>
  <c r="Z52" i="1"/>
  <c r="X58" i="1"/>
  <c r="X59" i="1"/>
  <c r="AG30" i="5"/>
  <c r="AH29" i="5"/>
  <c r="AK34" i="5"/>
  <c r="AO31" i="5" l="1"/>
  <c r="AN32" i="5"/>
  <c r="AV19" i="1"/>
  <c r="AI14" i="1"/>
  <c r="AF13" i="1"/>
  <c r="AL17" i="1"/>
  <c r="AD62" i="20"/>
  <c r="BH50" i="20"/>
  <c r="BH61" i="20"/>
  <c r="BH64" i="20"/>
  <c r="AD12" i="1"/>
  <c r="AE64" i="20"/>
  <c r="AE61" i="20"/>
  <c r="AE50" i="20"/>
  <c r="BP50" i="20"/>
  <c r="BP64" i="20"/>
  <c r="BP61" i="20"/>
  <c r="AD65" i="20"/>
  <c r="AK16" i="1"/>
  <c r="AP33" i="5"/>
  <c r="AO37" i="5"/>
  <c r="AO38" i="5" s="1"/>
  <c r="AS57" i="1"/>
  <c r="AS58" i="1" s="1"/>
  <c r="AT54" i="1"/>
  <c r="AT55" i="1" s="1"/>
  <c r="AR58" i="1"/>
  <c r="BF50" i="1"/>
  <c r="BF61" i="1"/>
  <c r="BF64" i="1"/>
  <c r="AU52" i="1"/>
  <c r="AU53" i="1"/>
  <c r="BO25" i="1"/>
  <c r="BO50" i="1" s="1"/>
  <c r="BG24" i="1"/>
  <c r="AY21" i="1"/>
  <c r="AW20" i="1"/>
  <c r="AC50" i="1"/>
  <c r="Y55" i="1"/>
  <c r="Z54" i="1"/>
  <c r="Z55" i="1" s="1"/>
  <c r="AI53" i="1"/>
  <c r="AI52" i="1"/>
  <c r="AB61" i="1"/>
  <c r="AB64" i="1"/>
  <c r="AA62" i="1"/>
  <c r="AA65" i="1"/>
  <c r="BN64" i="1"/>
  <c r="BN61" i="1"/>
  <c r="AA52" i="1"/>
  <c r="AA53" i="1"/>
  <c r="Y59" i="1"/>
  <c r="Y58" i="1"/>
  <c r="AH30" i="5"/>
  <c r="AI29" i="5"/>
  <c r="AL34" i="5"/>
  <c r="AP31" i="5" l="1"/>
  <c r="AO32" i="5"/>
  <c r="AW19" i="1"/>
  <c r="AG13" i="1"/>
  <c r="AJ14" i="1"/>
  <c r="AM17" i="1"/>
  <c r="BI61" i="20"/>
  <c r="BI64" i="20"/>
  <c r="BI50" i="20"/>
  <c r="AE62" i="20"/>
  <c r="AF61" i="20"/>
  <c r="AF64" i="20"/>
  <c r="AF50" i="20"/>
  <c r="AE12" i="1"/>
  <c r="AE65" i="20"/>
  <c r="BQ64" i="20"/>
  <c r="BQ61" i="20"/>
  <c r="BQ50" i="20"/>
  <c r="AL16" i="1"/>
  <c r="AQ33" i="5"/>
  <c r="AP37" i="5"/>
  <c r="AP38" i="5" s="1"/>
  <c r="AQ53" i="1"/>
  <c r="AQ52" i="1"/>
  <c r="AS59" i="1"/>
  <c r="AT57" i="1"/>
  <c r="AT58" i="1" s="1"/>
  <c r="AU54" i="1"/>
  <c r="AU55" i="1" s="1"/>
  <c r="AV52" i="1"/>
  <c r="AV53" i="1"/>
  <c r="BP25" i="1"/>
  <c r="BP50" i="1" s="1"/>
  <c r="BH24" i="1"/>
  <c r="AZ21" i="1"/>
  <c r="AX20" i="1"/>
  <c r="AD50" i="1"/>
  <c r="BG50" i="1"/>
  <c r="BG64" i="1"/>
  <c r="BG61" i="1"/>
  <c r="Z57" i="1"/>
  <c r="Z58" i="1" s="1"/>
  <c r="AI54" i="1"/>
  <c r="AI55" i="1" s="1"/>
  <c r="AA54" i="1"/>
  <c r="AA55" i="1" s="1"/>
  <c r="BO64" i="1"/>
  <c r="BO61" i="1"/>
  <c r="AB53" i="1"/>
  <c r="AB52" i="1"/>
  <c r="AB65" i="1"/>
  <c r="AJ52" i="1"/>
  <c r="AJ53" i="1"/>
  <c r="AB62" i="1"/>
  <c r="AC64" i="1"/>
  <c r="AC61" i="1"/>
  <c r="AJ29" i="5"/>
  <c r="AJ30" i="5" s="1"/>
  <c r="AI30" i="5"/>
  <c r="AM34" i="5"/>
  <c r="AQ31" i="5" l="1"/>
  <c r="AQ32" i="5" s="1"/>
  <c r="AP32" i="5"/>
  <c r="AX19" i="1"/>
  <c r="AK14" i="1"/>
  <c r="AH13" i="1"/>
  <c r="AN17" i="1"/>
  <c r="BR61" i="20"/>
  <c r="BR50" i="20"/>
  <c r="BR64" i="20"/>
  <c r="AF62" i="20"/>
  <c r="AF65" i="20"/>
  <c r="BJ61" i="20"/>
  <c r="BJ64" i="20"/>
  <c r="BJ50" i="20"/>
  <c r="AF12" i="1"/>
  <c r="AG50" i="20"/>
  <c r="AG64" i="20"/>
  <c r="AG61" i="20"/>
  <c r="AM16" i="1"/>
  <c r="AQ37" i="5"/>
  <c r="F33" i="5"/>
  <c r="AQ34" i="5"/>
  <c r="AQ54" i="1"/>
  <c r="AQ57" i="1" s="1"/>
  <c r="AT59" i="1"/>
  <c r="AU57" i="1"/>
  <c r="AU59" i="1" s="1"/>
  <c r="BH50" i="1"/>
  <c r="BH61" i="1"/>
  <c r="BH64" i="1"/>
  <c r="AE50" i="1"/>
  <c r="BQ25" i="1"/>
  <c r="BQ50" i="1" s="1"/>
  <c r="BA21" i="1"/>
  <c r="BI24" i="1"/>
  <c r="AY20" i="1"/>
  <c r="AW53" i="1"/>
  <c r="AW52" i="1"/>
  <c r="AV54" i="1"/>
  <c r="Z59" i="1"/>
  <c r="AI57" i="1"/>
  <c r="AI59" i="1" s="1"/>
  <c r="AB54" i="1"/>
  <c r="AB55" i="1" s="1"/>
  <c r="AA57" i="1"/>
  <c r="AA58" i="1" s="1"/>
  <c r="AJ54" i="1"/>
  <c r="AJ57" i="1" s="1"/>
  <c r="AK53" i="1"/>
  <c r="AK52" i="1"/>
  <c r="AC62" i="1"/>
  <c r="AD64" i="1"/>
  <c r="AD65" i="1" s="1"/>
  <c r="AD61" i="1"/>
  <c r="AC52" i="1"/>
  <c r="AC53" i="1"/>
  <c r="AC65" i="1"/>
  <c r="BP64" i="1"/>
  <c r="BP61" i="1"/>
  <c r="D30" i="5"/>
  <c r="AN34" i="5"/>
  <c r="D32" i="5" l="1"/>
  <c r="AY19" i="1"/>
  <c r="AY50" i="1" s="1"/>
  <c r="AL14" i="1"/>
  <c r="AI13" i="1"/>
  <c r="AO17" i="1"/>
  <c r="BB19" i="1"/>
  <c r="AL13" i="1"/>
  <c r="AO14" i="1"/>
  <c r="AR17" i="1"/>
  <c r="BS64" i="20"/>
  <c r="BS61" i="20"/>
  <c r="BS50" i="20"/>
  <c r="AG65" i="20"/>
  <c r="BK64" i="20"/>
  <c r="BK50" i="20"/>
  <c r="BK61" i="20"/>
  <c r="AH64" i="20"/>
  <c r="AH50" i="20"/>
  <c r="AH61" i="20"/>
  <c r="AG12" i="1"/>
  <c r="AJ12" i="1"/>
  <c r="AG62" i="20"/>
  <c r="BA64" i="20"/>
  <c r="BA50" i="20"/>
  <c r="BA61" i="20"/>
  <c r="AU58" i="1"/>
  <c r="AN16" i="1"/>
  <c r="BM24" i="1"/>
  <c r="AQ16" i="1"/>
  <c r="BE21" i="1"/>
  <c r="BU25" i="1"/>
  <c r="BC20" i="1"/>
  <c r="AQ38" i="5"/>
  <c r="F37" i="5"/>
  <c r="D35" i="5" s="1"/>
  <c r="AQ55" i="1"/>
  <c r="AQ59" i="1"/>
  <c r="AQ58" i="1"/>
  <c r="AW54" i="1"/>
  <c r="AW57" i="1" s="1"/>
  <c r="AX53" i="1"/>
  <c r="AX52" i="1"/>
  <c r="BI50" i="1"/>
  <c r="BI61" i="1"/>
  <c r="BI64" i="1"/>
  <c r="AF50" i="1"/>
  <c r="BR25" i="1"/>
  <c r="BR50" i="1" s="1"/>
  <c r="BB21" i="1"/>
  <c r="BJ24" i="1"/>
  <c r="AZ20" i="1"/>
  <c r="AV55" i="1"/>
  <c r="AV57" i="1"/>
  <c r="AK54" i="1"/>
  <c r="AK55" i="1" s="1"/>
  <c r="AB57" i="1"/>
  <c r="AB58" i="1" s="1"/>
  <c r="AI58" i="1"/>
  <c r="AC54" i="1"/>
  <c r="AC55" i="1" s="1"/>
  <c r="AA59" i="1"/>
  <c r="AJ55" i="1"/>
  <c r="AD53" i="1"/>
  <c r="AD52" i="1"/>
  <c r="BQ61" i="1"/>
  <c r="BQ64" i="1"/>
  <c r="AD62" i="1"/>
  <c r="AE61" i="1"/>
  <c r="AE64" i="1"/>
  <c r="AL52" i="1"/>
  <c r="AL53" i="1"/>
  <c r="AJ59" i="1"/>
  <c r="AJ58" i="1"/>
  <c r="AO34" i="5"/>
  <c r="AY64" i="1" l="1"/>
  <c r="AY61" i="1"/>
  <c r="AZ19" i="1"/>
  <c r="AZ61" i="1" s="1"/>
  <c r="AM14" i="1"/>
  <c r="AJ13" i="1"/>
  <c r="AP17" i="1"/>
  <c r="BO64" i="20"/>
  <c r="BO50" i="20"/>
  <c r="BO61" i="20"/>
  <c r="BL64" i="20"/>
  <c r="BL50" i="20"/>
  <c r="BL61" i="20"/>
  <c r="BT64" i="20"/>
  <c r="BT61" i="20"/>
  <c r="BT50" i="20"/>
  <c r="BE61" i="20"/>
  <c r="AH12" i="1"/>
  <c r="BW61" i="20"/>
  <c r="BW64" i="20"/>
  <c r="BW50" i="20"/>
  <c r="BE50" i="20"/>
  <c r="AL61" i="20"/>
  <c r="AL64" i="20"/>
  <c r="AL50" i="20"/>
  <c r="AW64" i="20"/>
  <c r="AW61" i="20"/>
  <c r="AW50" i="20"/>
  <c r="AS50" i="20"/>
  <c r="AS64" i="20"/>
  <c r="AS61" i="20"/>
  <c r="BG50" i="20"/>
  <c r="BG61" i="20"/>
  <c r="BG64" i="20"/>
  <c r="BB61" i="20"/>
  <c r="BB64" i="20"/>
  <c r="BB50" i="20"/>
  <c r="AM64" i="20"/>
  <c r="AM61" i="20"/>
  <c r="AM50" i="20"/>
  <c r="AH65" i="20"/>
  <c r="AZ61" i="20"/>
  <c r="AZ64" i="20"/>
  <c r="AZ50" i="20"/>
  <c r="AP50" i="20"/>
  <c r="AP64" i="20"/>
  <c r="AP61" i="20"/>
  <c r="AT50" i="20"/>
  <c r="AT64" i="20"/>
  <c r="AT61" i="20"/>
  <c r="AI61" i="20"/>
  <c r="AI50" i="20"/>
  <c r="AI64" i="20"/>
  <c r="AH62" i="20"/>
  <c r="AL61" i="1"/>
  <c r="AR64" i="1"/>
  <c r="AR50" i="1"/>
  <c r="AR61" i="1"/>
  <c r="AU64" i="1"/>
  <c r="AU50" i="1"/>
  <c r="AU61" i="1"/>
  <c r="AX61" i="1"/>
  <c r="AX50" i="1"/>
  <c r="AX64" i="1"/>
  <c r="AO16" i="1"/>
  <c r="AO50" i="1" s="1"/>
  <c r="BE50" i="1"/>
  <c r="BE64" i="1"/>
  <c r="BE61" i="1"/>
  <c r="D33" i="5"/>
  <c r="BM64" i="1"/>
  <c r="BM50" i="1"/>
  <c r="BM61" i="1"/>
  <c r="BU50" i="1"/>
  <c r="BU64" i="1"/>
  <c r="BU61" i="1"/>
  <c r="AW55" i="1"/>
  <c r="AV58" i="1"/>
  <c r="AV59" i="1"/>
  <c r="BS25" i="1"/>
  <c r="BS50" i="1" s="1"/>
  <c r="BK24" i="1"/>
  <c r="BC21" i="1"/>
  <c r="BA20" i="1"/>
  <c r="AG50" i="1"/>
  <c r="AY52" i="1"/>
  <c r="AY53" i="1"/>
  <c r="AX54" i="1"/>
  <c r="BJ50" i="1"/>
  <c r="BJ61" i="1"/>
  <c r="BJ64" i="1"/>
  <c r="AW58" i="1"/>
  <c r="AW59" i="1"/>
  <c r="AK57" i="1"/>
  <c r="AK59" i="1" s="1"/>
  <c r="AB59" i="1"/>
  <c r="AC57" i="1"/>
  <c r="AC59" i="1" s="1"/>
  <c r="AL54" i="1"/>
  <c r="AL57" i="1" s="1"/>
  <c r="AD54" i="1"/>
  <c r="AD55" i="1" s="1"/>
  <c r="AE52" i="1"/>
  <c r="AE53" i="1"/>
  <c r="AM52" i="1"/>
  <c r="AM53" i="1"/>
  <c r="AE65" i="1"/>
  <c r="AF61" i="1"/>
  <c r="AF64" i="1"/>
  <c r="AE62" i="1"/>
  <c r="BR64" i="1"/>
  <c r="BR61" i="1"/>
  <c r="AP34" i="5"/>
  <c r="AZ50" i="1" l="1"/>
  <c r="AZ64" i="1"/>
  <c r="BA19" i="1"/>
  <c r="BA61" i="1" s="1"/>
  <c r="AN14" i="1"/>
  <c r="AK13" i="1"/>
  <c r="AQ17" i="1"/>
  <c r="AL64" i="1"/>
  <c r="AU61" i="20"/>
  <c r="AU50" i="20"/>
  <c r="AU64" i="20"/>
  <c r="AI12" i="1"/>
  <c r="BE64" i="20"/>
  <c r="AX64" i="20"/>
  <c r="AX50" i="20"/>
  <c r="AX61" i="20"/>
  <c r="BC64" i="20"/>
  <c r="BC61" i="20"/>
  <c r="BC50" i="20"/>
  <c r="BU50" i="20"/>
  <c r="BU64" i="20"/>
  <c r="BU61" i="20"/>
  <c r="AI65" i="20"/>
  <c r="AJ61" i="20"/>
  <c r="AJ64" i="20"/>
  <c r="AJ50" i="20"/>
  <c r="BM64" i="20"/>
  <c r="BM61" i="20"/>
  <c r="BM50" i="20"/>
  <c r="AI62" i="20"/>
  <c r="AN61" i="20"/>
  <c r="AN64" i="20"/>
  <c r="AN50" i="20"/>
  <c r="AQ61" i="20"/>
  <c r="AQ50" i="20"/>
  <c r="AQ64" i="20"/>
  <c r="AL50" i="1"/>
  <c r="AM64" i="1"/>
  <c r="AS50" i="1"/>
  <c r="AS64" i="1"/>
  <c r="AS61" i="1"/>
  <c r="AV50" i="1"/>
  <c r="AV61" i="1"/>
  <c r="AV64" i="1"/>
  <c r="AP16" i="1"/>
  <c r="AP50" i="1" s="1"/>
  <c r="AJ50" i="1"/>
  <c r="AJ61" i="1"/>
  <c r="AJ64" i="1"/>
  <c r="AL55" i="1"/>
  <c r="AY54" i="1"/>
  <c r="AY55" i="1" s="1"/>
  <c r="AX57" i="1"/>
  <c r="AX55" i="1"/>
  <c r="BT25" i="1"/>
  <c r="BT50" i="1" s="1"/>
  <c r="BL24" i="1"/>
  <c r="BD21" i="1"/>
  <c r="BB20" i="1"/>
  <c r="AH50" i="1"/>
  <c r="BK50" i="1"/>
  <c r="BK61" i="1"/>
  <c r="BK64" i="1"/>
  <c r="BJ53" i="1"/>
  <c r="BJ52" i="1"/>
  <c r="AC58" i="1"/>
  <c r="BC50" i="1"/>
  <c r="BC64" i="1"/>
  <c r="BC61" i="1"/>
  <c r="AK58" i="1"/>
  <c r="AD57" i="1"/>
  <c r="AD58" i="1" s="1"/>
  <c r="AE54" i="1"/>
  <c r="AE55" i="1" s="1"/>
  <c r="AF62" i="1"/>
  <c r="AG61" i="1"/>
  <c r="AG64" i="1"/>
  <c r="AF65" i="1"/>
  <c r="AO61" i="1"/>
  <c r="AO64" i="1"/>
  <c r="AL58" i="1"/>
  <c r="AL59" i="1"/>
  <c r="AN53" i="1"/>
  <c r="AN52" i="1"/>
  <c r="AF52" i="1"/>
  <c r="AF53" i="1"/>
  <c r="BS61" i="1"/>
  <c r="BS64" i="1"/>
  <c r="AM54" i="1"/>
  <c r="D34" i="5"/>
  <c r="BA64" i="1" l="1"/>
  <c r="BA50" i="1"/>
  <c r="AQ61" i="1"/>
  <c r="AQ50" i="1"/>
  <c r="AQ64" i="1"/>
  <c r="AN64" i="1"/>
  <c r="AN50" i="1"/>
  <c r="AN61" i="1"/>
  <c r="AY61" i="20"/>
  <c r="AY50" i="20"/>
  <c r="AY64" i="20"/>
  <c r="AV64" i="20"/>
  <c r="AV50" i="20"/>
  <c r="AV61" i="20"/>
  <c r="BV61" i="20"/>
  <c r="BZ62" i="20" s="1"/>
  <c r="BV50" i="20"/>
  <c r="BV64" i="20"/>
  <c r="BZ65" i="20" s="1"/>
  <c r="AO50" i="20"/>
  <c r="AO64" i="20"/>
  <c r="AO61" i="20"/>
  <c r="AJ65" i="20"/>
  <c r="AJ62" i="20"/>
  <c r="BN61" i="20"/>
  <c r="BN50" i="20"/>
  <c r="BN64" i="20"/>
  <c r="AK61" i="20"/>
  <c r="AN62" i="20" s="1"/>
  <c r="AK64" i="20"/>
  <c r="AK50" i="20"/>
  <c r="AR61" i="20"/>
  <c r="AR50" i="20"/>
  <c r="AR64" i="20"/>
  <c r="BD61" i="20"/>
  <c r="BD50" i="20"/>
  <c r="BD64" i="20"/>
  <c r="BF50" i="20"/>
  <c r="BF61" i="20"/>
  <c r="BF64" i="20"/>
  <c r="AM50" i="1"/>
  <c r="AM61" i="1"/>
  <c r="AI64" i="1"/>
  <c r="AI50" i="1"/>
  <c r="AI61" i="1"/>
  <c r="AT50" i="1"/>
  <c r="AT64" i="1"/>
  <c r="AT61" i="1"/>
  <c r="AW64" i="1"/>
  <c r="AW50" i="1"/>
  <c r="AW61" i="1"/>
  <c r="AK50" i="1"/>
  <c r="AK61" i="1"/>
  <c r="AK64" i="1"/>
  <c r="BJ54" i="1"/>
  <c r="BJ55" i="1" s="1"/>
  <c r="AY57" i="1"/>
  <c r="AY58" i="1" s="1"/>
  <c r="BD50" i="1"/>
  <c r="BD64" i="1"/>
  <c r="BD61" i="1"/>
  <c r="AX58" i="1"/>
  <c r="AX59" i="1"/>
  <c r="BB50" i="1"/>
  <c r="BB64" i="1"/>
  <c r="BB61" i="1"/>
  <c r="BL50" i="1"/>
  <c r="BL64" i="1"/>
  <c r="BR65" i="1" s="1"/>
  <c r="BL61" i="1"/>
  <c r="BP62" i="1" s="1"/>
  <c r="AD59" i="1"/>
  <c r="AF54" i="1"/>
  <c r="AF55" i="1" s="1"/>
  <c r="AE57" i="1"/>
  <c r="AE59" i="1" s="1"/>
  <c r="AN54" i="1"/>
  <c r="AN57" i="1" s="1"/>
  <c r="AH61" i="1"/>
  <c r="AH64" i="1"/>
  <c r="BT64" i="1"/>
  <c r="BT61" i="1"/>
  <c r="AM55" i="1"/>
  <c r="AM57" i="1"/>
  <c r="AP64" i="1"/>
  <c r="AP61" i="1"/>
  <c r="AO52" i="1"/>
  <c r="AO53" i="1"/>
  <c r="AG65" i="1"/>
  <c r="AG53" i="1"/>
  <c r="AG52" i="1"/>
  <c r="AG62" i="1"/>
  <c r="BV65" i="20" l="1"/>
  <c r="BI62" i="20"/>
  <c r="BC62" i="20"/>
  <c r="BX62" i="20"/>
  <c r="BT65" i="20"/>
  <c r="BF62" i="20"/>
  <c r="BO65" i="20"/>
  <c r="BG62" i="20"/>
  <c r="BB65" i="20"/>
  <c r="AU65" i="20"/>
  <c r="AY65" i="20"/>
  <c r="AS65" i="20"/>
  <c r="BK62" i="20"/>
  <c r="AM65" i="20"/>
  <c r="AR65" i="20"/>
  <c r="AU62" i="20"/>
  <c r="AM62" i="20"/>
  <c r="BI65" i="20"/>
  <c r="BQ65" i="20"/>
  <c r="AX62" i="20"/>
  <c r="AW62" i="20"/>
  <c r="BN62" i="20"/>
  <c r="AV65" i="20"/>
  <c r="AK65" i="20"/>
  <c r="BT62" i="20"/>
  <c r="BW62" i="20"/>
  <c r="BS62" i="20"/>
  <c r="BU62" i="20"/>
  <c r="BY62" i="20"/>
  <c r="BA62" i="20"/>
  <c r="BF65" i="20"/>
  <c r="AZ62" i="20"/>
  <c r="AO62" i="20"/>
  <c r="BG65" i="20"/>
  <c r="BD65" i="20"/>
  <c r="BH65" i="20"/>
  <c r="BJ65" i="20"/>
  <c r="BM62" i="20"/>
  <c r="BK65" i="20"/>
  <c r="BN65" i="20"/>
  <c r="BB62" i="20"/>
  <c r="BQ62" i="20"/>
  <c r="BP62" i="20"/>
  <c r="BO62" i="20"/>
  <c r="BL62" i="20"/>
  <c r="BC65" i="20"/>
  <c r="BA65" i="20"/>
  <c r="AV62" i="20"/>
  <c r="AK62" i="20"/>
  <c r="AL62" i="20"/>
  <c r="AR62" i="20"/>
  <c r="AT62" i="20"/>
  <c r="AQ62" i="20"/>
  <c r="BP65" i="20"/>
  <c r="AT65" i="20"/>
  <c r="BV62" i="20"/>
  <c r="AQ65" i="20"/>
  <c r="AZ65" i="20"/>
  <c r="AX65" i="20"/>
  <c r="AW65" i="20"/>
  <c r="BD62" i="20"/>
  <c r="AN65" i="20"/>
  <c r="AL65" i="20"/>
  <c r="AO65" i="20"/>
  <c r="BE62" i="20"/>
  <c r="AY62" i="20"/>
  <c r="BE65" i="20"/>
  <c r="AS62" i="20"/>
  <c r="BM65" i="20"/>
  <c r="BX65" i="20"/>
  <c r="BY65" i="20"/>
  <c r="BW65" i="20"/>
  <c r="BU65" i="20"/>
  <c r="BR65" i="20"/>
  <c r="BS65" i="20"/>
  <c r="BL65" i="20"/>
  <c r="BJ62" i="20"/>
  <c r="BH62" i="20"/>
  <c r="AP65" i="20"/>
  <c r="AP62" i="20"/>
  <c r="BR62" i="20"/>
  <c r="AY65" i="1"/>
  <c r="BC65" i="1"/>
  <c r="BC62" i="1"/>
  <c r="AM65" i="1"/>
  <c r="AM62" i="1"/>
  <c r="BJ57" i="1"/>
  <c r="BJ58" i="1" s="1"/>
  <c r="AY59" i="1"/>
  <c r="BP65" i="1"/>
  <c r="BL62" i="1"/>
  <c r="BS65" i="1"/>
  <c r="BG65" i="1"/>
  <c r="BN62" i="1"/>
  <c r="BS62" i="1"/>
  <c r="BQ62" i="1"/>
  <c r="BR62" i="1"/>
  <c r="BO62" i="1"/>
  <c r="BD62" i="1"/>
  <c r="BE62" i="1"/>
  <c r="BG62" i="1"/>
  <c r="BF62" i="1"/>
  <c r="BH62" i="1"/>
  <c r="BI62" i="1"/>
  <c r="BB65" i="1"/>
  <c r="BM65" i="1"/>
  <c r="BH65" i="1"/>
  <c r="BI65" i="1"/>
  <c r="BJ65" i="1"/>
  <c r="BK65" i="1"/>
  <c r="BK62" i="1"/>
  <c r="BD65" i="1"/>
  <c r="BF65" i="1"/>
  <c r="BO65" i="1"/>
  <c r="BE65" i="1"/>
  <c r="BL65" i="1"/>
  <c r="BN65" i="1"/>
  <c r="BQ65" i="1"/>
  <c r="BM62" i="1"/>
  <c r="BB62" i="1"/>
  <c r="BJ62" i="1"/>
  <c r="AO65" i="1"/>
  <c r="AF57" i="1"/>
  <c r="AF58" i="1" s="1"/>
  <c r="AL62" i="1"/>
  <c r="AE58" i="1"/>
  <c r="AJ65" i="1"/>
  <c r="AN55" i="1"/>
  <c r="AN65" i="1"/>
  <c r="AX65" i="1"/>
  <c r="AO54" i="1"/>
  <c r="AO57" i="1" s="1"/>
  <c r="AU65" i="1"/>
  <c r="AV65" i="1"/>
  <c r="AO62" i="1"/>
  <c r="AP62" i="1"/>
  <c r="AZ65" i="1"/>
  <c r="AG54" i="1"/>
  <c r="AG55" i="1" s="1"/>
  <c r="AP65" i="1"/>
  <c r="AW65" i="1"/>
  <c r="AR65" i="1"/>
  <c r="BA62" i="1"/>
  <c r="AY62" i="1"/>
  <c r="AV62" i="1"/>
  <c r="AU62" i="1"/>
  <c r="AW62" i="1"/>
  <c r="AT62" i="1"/>
  <c r="AX62" i="1"/>
  <c r="AQ62" i="1"/>
  <c r="AP53" i="1"/>
  <c r="AP52" i="1"/>
  <c r="BT62" i="1"/>
  <c r="BU62" i="1"/>
  <c r="BV62" i="1"/>
  <c r="BX62" i="1"/>
  <c r="BW62" i="1"/>
  <c r="AN62" i="1"/>
  <c r="AN59" i="1"/>
  <c r="AN58" i="1"/>
  <c r="BA65" i="1"/>
  <c r="AT65" i="1"/>
  <c r="BU65" i="1"/>
  <c r="BT65" i="1"/>
  <c r="BV65" i="1"/>
  <c r="BX65" i="1"/>
  <c r="BW65" i="1"/>
  <c r="AH65" i="1"/>
  <c r="AS65" i="1"/>
  <c r="AI65" i="1"/>
  <c r="AK65" i="1"/>
  <c r="AQ65" i="1"/>
  <c r="AL65" i="1"/>
  <c r="AR62" i="1"/>
  <c r="AZ62" i="1"/>
  <c r="AM59" i="1"/>
  <c r="AM58" i="1"/>
  <c r="AH52" i="1"/>
  <c r="AH53" i="1"/>
  <c r="AS62" i="1"/>
  <c r="AI62" i="1"/>
  <c r="AJ62" i="1"/>
  <c r="AH62" i="1"/>
  <c r="AK62" i="1"/>
  <c r="A6" i="21" l="1"/>
  <c r="A6" i="1"/>
  <c r="A6" i="20" s="1"/>
  <c r="J63" i="20"/>
  <c r="H63" i="1"/>
  <c r="BJ59" i="1"/>
  <c r="AF59" i="1"/>
  <c r="AO55" i="1"/>
  <c r="AG57" i="1"/>
  <c r="AG59" i="1" s="1"/>
  <c r="AH54" i="1"/>
  <c r="AP54" i="1"/>
  <c r="AO59" i="1"/>
  <c r="AO58" i="1"/>
  <c r="AG58" i="1" l="1"/>
  <c r="AP57" i="1"/>
  <c r="AP55" i="1"/>
  <c r="AH55" i="1"/>
  <c r="AH57" i="1"/>
  <c r="AP59" i="1" l="1"/>
  <c r="AP58" i="1"/>
  <c r="AH58" i="1"/>
  <c r="AH59" i="1"/>
  <c r="BN96" i="20"/>
  <c r="BP96" i="20"/>
  <c r="W96" i="20"/>
  <c r="AP96" i="20"/>
  <c r="BO96" i="20"/>
  <c r="BU96" i="20"/>
  <c r="BY96" i="20"/>
  <c r="BW96" i="20"/>
  <c r="BF96" i="20"/>
  <c r="BB96" i="20"/>
  <c r="P96" i="20"/>
  <c r="AW96" i="20"/>
  <c r="AF96" i="20"/>
  <c r="AX96" i="20"/>
  <c r="BA96" i="20"/>
  <c r="AR96" i="20"/>
  <c r="V96" i="20"/>
  <c r="AN96" i="20"/>
  <c r="AQ96" i="20"/>
  <c r="AT96" i="20"/>
  <c r="BZ96" i="20"/>
  <c r="BR96" i="20"/>
  <c r="BT96" i="20"/>
  <c r="BH96" i="20"/>
  <c r="BD96" i="20"/>
  <c r="BC96" i="20"/>
  <c r="BE96" i="20"/>
  <c r="AI96" i="20"/>
  <c r="AV96" i="20"/>
  <c r="R96" i="20"/>
  <c r="AJ96" i="20"/>
  <c r="AA96" i="20"/>
  <c r="AY96" i="20"/>
  <c r="AU96" i="20"/>
  <c r="AL96" i="20"/>
  <c r="BQ96" i="20"/>
  <c r="BS96" i="20"/>
  <c r="BK96" i="20"/>
  <c r="BM96" i="20"/>
  <c r="BG96" i="20"/>
  <c r="BL96" i="20"/>
  <c r="Y96" i="20"/>
  <c r="X96" i="20"/>
  <c r="AG96" i="20"/>
  <c r="AC96" i="20"/>
  <c r="U96" i="20"/>
  <c r="AH96" i="20"/>
  <c r="Z96" i="20"/>
  <c r="S96" i="20"/>
  <c r="AE96" i="20"/>
  <c r="BV96" i="20"/>
  <c r="BX96" i="20"/>
  <c r="O96" i="20"/>
  <c r="BI96" i="20"/>
  <c r="BJ96" i="20"/>
  <c r="T96" i="20"/>
  <c r="AM96" i="20"/>
  <c r="AB96" i="20"/>
  <c r="AD96" i="20"/>
  <c r="AS96" i="20"/>
  <c r="AK96" i="20"/>
  <c r="AZ96" i="20"/>
  <c r="AO96" i="20"/>
  <c r="Q96" i="20"/>
  <c r="L96" i="20" l="1"/>
</calcChain>
</file>

<file path=xl/sharedStrings.xml><?xml version="1.0" encoding="utf-8"?>
<sst xmlns="http://schemas.openxmlformats.org/spreadsheetml/2006/main" count="2689" uniqueCount="1139">
  <si>
    <t>WB Terminal Program Generator</t>
  </si>
  <si>
    <t>Project:</t>
  </si>
  <si>
    <t>RCS</t>
  </si>
  <si>
    <t>Pax</t>
  </si>
  <si>
    <t>%</t>
  </si>
  <si>
    <t>A</t>
  </si>
  <si>
    <t>B</t>
  </si>
  <si>
    <t>C</t>
  </si>
  <si>
    <t>D</t>
  </si>
  <si>
    <t>E</t>
  </si>
  <si>
    <t>F</t>
  </si>
  <si>
    <t>VA</t>
  </si>
  <si>
    <t>OCM</t>
  </si>
  <si>
    <t>DCN</t>
  </si>
  <si>
    <t>ONS</t>
  </si>
  <si>
    <t>LER</t>
  </si>
  <si>
    <t>WLP1</t>
  </si>
  <si>
    <t>ALH</t>
  </si>
  <si>
    <t>EPR</t>
  </si>
  <si>
    <t>TEF</t>
  </si>
  <si>
    <t>WME</t>
  </si>
  <si>
    <t>GET</t>
  </si>
  <si>
    <t>BYP</t>
  </si>
  <si>
    <t>CJF</t>
  </si>
  <si>
    <t>F50</t>
  </si>
  <si>
    <t>Flight</t>
  </si>
  <si>
    <t>Dest.</t>
  </si>
  <si>
    <t>DEP</t>
  </si>
  <si>
    <t>Seats</t>
  </si>
  <si>
    <t>Load Factor:</t>
  </si>
  <si>
    <t>WLP</t>
  </si>
  <si>
    <t>Code</t>
  </si>
  <si>
    <t>Airline</t>
  </si>
  <si>
    <t>Destination</t>
  </si>
  <si>
    <t>Boolgeeda</t>
  </si>
  <si>
    <t>Derby-Curtin</t>
  </si>
  <si>
    <t>Onslow</t>
  </si>
  <si>
    <t>Leinster</t>
  </si>
  <si>
    <t>West Angelas via Busselton</t>
  </si>
  <si>
    <t>Albany</t>
  </si>
  <si>
    <t>Esperance</t>
  </si>
  <si>
    <t>Telfer</t>
  </si>
  <si>
    <t>Mt. Keith</t>
  </si>
  <si>
    <t>Geraldton</t>
  </si>
  <si>
    <t>Barimunya</t>
  </si>
  <si>
    <t>Coondewanna</t>
  </si>
  <si>
    <t>Aircraft</t>
  </si>
  <si>
    <t>Fokker 100</t>
  </si>
  <si>
    <t>Fokker 50</t>
  </si>
  <si>
    <t>West Angelas</t>
  </si>
  <si>
    <t>Minutes before Departure:</t>
  </si>
  <si>
    <t>Flow into Airline Lounge</t>
  </si>
  <si>
    <t>Flow Out of Airline Lounge</t>
  </si>
  <si>
    <t>Check Sums</t>
  </si>
  <si>
    <t>Bag Drop &amp; Residual Check-In Turn-Up</t>
  </si>
  <si>
    <t>Airline Lounge Occupancy</t>
  </si>
  <si>
    <t>Pax:</t>
  </si>
  <si>
    <t>% of flight pax:</t>
  </si>
  <si>
    <t>OCM1</t>
  </si>
  <si>
    <t>Boolgeeda via Busselton</t>
  </si>
  <si>
    <t>The Granites</t>
  </si>
  <si>
    <t>KTA</t>
  </si>
  <si>
    <t>Karratha</t>
  </si>
  <si>
    <t>Rolling Hour Departing Seats:</t>
  </si>
  <si>
    <t>S</t>
  </si>
  <si>
    <t>L</t>
  </si>
  <si>
    <t>GNF</t>
  </si>
  <si>
    <t>Avail. Seats</t>
  </si>
  <si>
    <t>Load F.</t>
  </si>
  <si>
    <t>Average dwell time:</t>
  </si>
  <si>
    <t>minutes</t>
  </si>
  <si>
    <t>F70</t>
  </si>
  <si>
    <t>Fokker 70</t>
  </si>
  <si>
    <t>Look-Up Tables</t>
  </si>
  <si>
    <t>WRN</t>
  </si>
  <si>
    <t>Windarling</t>
  </si>
  <si>
    <t>EJA</t>
  </si>
  <si>
    <t>East Jaurdi</t>
  </si>
  <si>
    <t>RVT</t>
  </si>
  <si>
    <t>Ravensthorpe</t>
  </si>
  <si>
    <t>NIF</t>
  </si>
  <si>
    <t>Nifty</t>
  </si>
  <si>
    <t>ZNE</t>
  </si>
  <si>
    <t>Newman</t>
  </si>
  <si>
    <t>BUSY HOUR ANALYSIS</t>
  </si>
  <si>
    <t xml:space="preserve"> Area required @ m2:</t>
  </si>
  <si>
    <t>Level of Service (LoS) per IATA ADRM 9th Edition</t>
  </si>
  <si>
    <t>In F&amp;B Serveries or 'closed' F&amp;B Seating; Practical Capacity Limit:</t>
  </si>
  <si>
    <t>Net Seating Demand for General &amp; Open F&amp;B Areas:</t>
  </si>
  <si>
    <t>Shows a Maximum</t>
  </si>
  <si>
    <t>Demand as a percentage of 'Comfortably Available' Seats (General + Open F&amp;B):</t>
  </si>
  <si>
    <t>Circulating, Retail, Toilets, Admiring the View, Early Queuers:</t>
  </si>
  <si>
    <r>
      <t xml:space="preserve">    </t>
    </r>
    <r>
      <rPr>
        <b/>
        <sz val="12"/>
        <color rgb="FF002060"/>
        <rFont val="Calibri"/>
        <family val="2"/>
        <scheme val="minor"/>
      </rPr>
      <t>↓</t>
    </r>
    <r>
      <rPr>
        <sz val="11"/>
        <color rgb="FF002060"/>
        <rFont val="WBHelveticaNeue Medium"/>
      </rPr>
      <t xml:space="preserve"> Boarding Announced</t>
    </r>
  </si>
  <si>
    <t>Scheduled</t>
  </si>
  <si>
    <r>
      <t xml:space="preserve">Actual </t>
    </r>
    <r>
      <rPr>
        <sz val="9"/>
        <color theme="1"/>
        <rFont val="WBHelveticaNeue"/>
      </rPr>
      <t>(Chocks)</t>
    </r>
  </si>
  <si>
    <r>
      <t xml:space="preserve">Pax figures in </t>
    </r>
    <r>
      <rPr>
        <sz val="11"/>
        <color rgb="FF00642D"/>
        <rFont val="WBHelveticaNeue Medium"/>
      </rPr>
      <t>green</t>
    </r>
    <r>
      <rPr>
        <sz val="11"/>
        <color rgb="FF002060"/>
        <rFont val="WBHelveticaNeue"/>
      </rPr>
      <t xml:space="preserve"> are actuals, not </t>
    </r>
    <r>
      <rPr>
        <sz val="11"/>
        <color rgb="FFC00000"/>
        <rFont val="WBHelveticaNeue"/>
      </rPr>
      <t>Load Factor</t>
    </r>
    <r>
      <rPr>
        <sz val="11"/>
        <color rgb="FF002060"/>
        <rFont val="WBHelveticaNeue"/>
      </rPr>
      <t xml:space="preserve"> derived.</t>
    </r>
  </si>
  <si>
    <t>Shows any other numbers in top 10%</t>
  </si>
  <si>
    <t>Additional Seating Area Required to return LoS to 'C' with 5% margin:</t>
  </si>
  <si>
    <t>Currently Available Area - General Seating plus Open F&amp;B (m2), gives LoS:</t>
  </si>
  <si>
    <t>ANY</t>
  </si>
  <si>
    <t>Anywhere</t>
  </si>
  <si>
    <t>Detail</t>
  </si>
  <si>
    <t>EK</t>
  </si>
  <si>
    <t>Emirates</t>
  </si>
  <si>
    <t>SQ</t>
  </si>
  <si>
    <t>Singapore</t>
  </si>
  <si>
    <t>CX</t>
  </si>
  <si>
    <t>3K</t>
  </si>
  <si>
    <t>MH</t>
  </si>
  <si>
    <t>QZ</t>
  </si>
  <si>
    <t>D7</t>
  </si>
  <si>
    <t>JQ</t>
  </si>
  <si>
    <t>GA</t>
  </si>
  <si>
    <t>CZ</t>
  </si>
  <si>
    <t>TG</t>
  </si>
  <si>
    <t>MK</t>
  </si>
  <si>
    <t>EY</t>
  </si>
  <si>
    <t>NZ</t>
  </si>
  <si>
    <t>QR</t>
  </si>
  <si>
    <t>SA</t>
  </si>
  <si>
    <t>TR</t>
  </si>
  <si>
    <t>TZ</t>
  </si>
  <si>
    <t>CAN</t>
  </si>
  <si>
    <t>Guangzhou</t>
  </si>
  <si>
    <t>DPS</t>
  </si>
  <si>
    <t>Denpassar</t>
  </si>
  <si>
    <t>DXB</t>
  </si>
  <si>
    <t>Dubai</t>
  </si>
  <si>
    <t>KUL</t>
  </si>
  <si>
    <t>Kuala Lumpur</t>
  </si>
  <si>
    <t>HKG</t>
  </si>
  <si>
    <t>Hong Kong</t>
  </si>
  <si>
    <t>SIN</t>
  </si>
  <si>
    <t>MRU</t>
  </si>
  <si>
    <t>Mauritius</t>
  </si>
  <si>
    <t>BKK</t>
  </si>
  <si>
    <t>Bangkok</t>
  </si>
  <si>
    <t>AUH</t>
  </si>
  <si>
    <t>Abu Dhabi</t>
  </si>
  <si>
    <t>HKT</t>
  </si>
  <si>
    <t>AKL</t>
  </si>
  <si>
    <t>Auckland</t>
  </si>
  <si>
    <t>CGK</t>
  </si>
  <si>
    <t>DOH</t>
  </si>
  <si>
    <t>Doha</t>
  </si>
  <si>
    <t>JNB</t>
  </si>
  <si>
    <t>Johannesburg</t>
  </si>
  <si>
    <t>ICAO Code Letter</t>
  </si>
  <si>
    <t>IATA</t>
  </si>
  <si>
    <t>ICAO</t>
  </si>
  <si>
    <t xml:space="preserve">Aircraft </t>
  </si>
  <si>
    <t>Wake</t>
  </si>
  <si>
    <t>Seats (typ. 2/3 class)</t>
  </si>
  <si>
    <t>Notes</t>
  </si>
  <si>
    <t>F100</t>
  </si>
  <si>
    <t>M</t>
  </si>
  <si>
    <t>B461</t>
  </si>
  <si>
    <t>BAe 146-100 Pax</t>
  </si>
  <si>
    <t>B462</t>
  </si>
  <si>
    <t>BAe 146-200 Pax</t>
  </si>
  <si>
    <t>B463</t>
  </si>
  <si>
    <t>BAe 146-300 Pax</t>
  </si>
  <si>
    <t>BAe 146 all pax models</t>
  </si>
  <si>
    <t>14F</t>
  </si>
  <si>
    <t>BAe 146 Freighter (-100/200/300QT &amp; QC)</t>
  </si>
  <si>
    <t>14X</t>
  </si>
  <si>
    <t>BAe 146 Freighter (-100QT &amp; QC)</t>
  </si>
  <si>
    <t>14Y</t>
  </si>
  <si>
    <t>BAe 146 Freighter (-200QT &amp; QC)</t>
  </si>
  <si>
    <t>14Z</t>
  </si>
  <si>
    <t>A310</t>
  </si>
  <si>
    <t>Airbus A310 all pax models</t>
  </si>
  <si>
    <t>H</t>
  </si>
  <si>
    <t>Airbus A310-200 pax</t>
  </si>
  <si>
    <t>Airbus A310-300 pax</t>
  </si>
  <si>
    <t>A318</t>
  </si>
  <si>
    <t>Airbus A318</t>
  </si>
  <si>
    <t>A319</t>
  </si>
  <si>
    <t>Airbus A319</t>
  </si>
  <si>
    <t>31F</t>
  </si>
  <si>
    <t>Airbus A310 Freighter</t>
  </si>
  <si>
    <t>31X</t>
  </si>
  <si>
    <t>Airbus A310-200 Freighter</t>
  </si>
  <si>
    <t>31Y</t>
  </si>
  <si>
    <t>Airbus A310-300 Freighter</t>
  </si>
  <si>
    <t>A320</t>
  </si>
  <si>
    <t>Airbus A320-100/200</t>
  </si>
  <si>
    <t>A321</t>
  </si>
  <si>
    <t>Airbus A321-100/200</t>
  </si>
  <si>
    <t>32S</t>
  </si>
  <si>
    <t>n/a</t>
  </si>
  <si>
    <t>Airbus A318/319/320/321</t>
  </si>
  <si>
    <t>A330</t>
  </si>
  <si>
    <t>Airbus A330 all models</t>
  </si>
  <si>
    <t>A332</t>
  </si>
  <si>
    <t>Airbus A330-200</t>
  </si>
  <si>
    <t>A333</t>
  </si>
  <si>
    <t>Airbus A330-300</t>
  </si>
  <si>
    <t>Lufthansa: 8 + 48 + 165</t>
  </si>
  <si>
    <t>A340</t>
  </si>
  <si>
    <t>Airbus A340 all models</t>
  </si>
  <si>
    <t>A342</t>
  </si>
  <si>
    <t>Airbus A340-200</t>
  </si>
  <si>
    <t>A343</t>
  </si>
  <si>
    <t>Airbus A340-300</t>
  </si>
  <si>
    <t>A345</t>
  </si>
  <si>
    <t>Airbus A340-500</t>
  </si>
  <si>
    <t>A346</t>
  </si>
  <si>
    <t>Airbus A340-600</t>
  </si>
  <si>
    <t>Airbus A380 pax</t>
  </si>
  <si>
    <t>38F</t>
  </si>
  <si>
    <t>Airbus A380 Freighter</t>
  </si>
  <si>
    <t>B703</t>
  </si>
  <si>
    <t>Boeing 707-300 pax</t>
  </si>
  <si>
    <t>Boeing 707/720 all pax models</t>
  </si>
  <si>
    <t>70F</t>
  </si>
  <si>
    <t>Boeing 707 Freighter</t>
  </si>
  <si>
    <t>70M</t>
  </si>
  <si>
    <t>Boeing 707 Combi</t>
  </si>
  <si>
    <t>B712</t>
  </si>
  <si>
    <t>Boeing 717</t>
  </si>
  <si>
    <t>B721</t>
  </si>
  <si>
    <t>Boeing 727-100 pax</t>
  </si>
  <si>
    <t>B722</t>
  </si>
  <si>
    <t>Boeing 727-200 pax</t>
  </si>
  <si>
    <t>Boeing 727 all pax models</t>
  </si>
  <si>
    <t>72B</t>
  </si>
  <si>
    <t>Boeing 727-100 Mixed Configuration</t>
  </si>
  <si>
    <t>72C</t>
  </si>
  <si>
    <t>Boeing 727-200 Mixed Configuration</t>
  </si>
  <si>
    <t>72F</t>
  </si>
  <si>
    <t>Boeing 727 Freighter (-100/200)</t>
  </si>
  <si>
    <t>72M</t>
  </si>
  <si>
    <t>Boeing 727 Combi</t>
  </si>
  <si>
    <t>72S</t>
  </si>
  <si>
    <t>Boeing 727-200 Advanced pax</t>
  </si>
  <si>
    <t>72X</t>
  </si>
  <si>
    <t>Boeing 727-100 Freighter</t>
  </si>
  <si>
    <t>72Y</t>
  </si>
  <si>
    <t>Boeing 727-200 Freighter</t>
  </si>
  <si>
    <t>B731</t>
  </si>
  <si>
    <t>Boeing 737-100 pax</t>
  </si>
  <si>
    <t>B732</t>
  </si>
  <si>
    <t>Boeing 737-200 pax</t>
  </si>
  <si>
    <t>B733</t>
  </si>
  <si>
    <t>Boeing 737-300 pax</t>
  </si>
  <si>
    <t>B734</t>
  </si>
  <si>
    <t>Boeing 737-400 pax</t>
  </si>
  <si>
    <t>B735</t>
  </si>
  <si>
    <t>Boeing 737-500 pax</t>
  </si>
  <si>
    <t>B736</t>
  </si>
  <si>
    <t>Boeing 737-600 pax</t>
  </si>
  <si>
    <t>Boeing 737 all pax models</t>
  </si>
  <si>
    <t>B738</t>
  </si>
  <si>
    <t>Boeing 737-800 pax</t>
  </si>
  <si>
    <t>B739</t>
  </si>
  <si>
    <t>Boeing 737-900 pax</t>
  </si>
  <si>
    <t>73F</t>
  </si>
  <si>
    <t>Boeing 737 all Freighter models</t>
  </si>
  <si>
    <t>73G</t>
  </si>
  <si>
    <t>B737</t>
  </si>
  <si>
    <t>Boeing 737-700 pax</t>
  </si>
  <si>
    <t>73H</t>
  </si>
  <si>
    <t>Boeing 737-800 (winglets) pax</t>
  </si>
  <si>
    <t>73M</t>
  </si>
  <si>
    <t>Boeing 737-200 Combi</t>
  </si>
  <si>
    <t>73W</t>
  </si>
  <si>
    <t>Boeing 737-700 (winglets) pax</t>
  </si>
  <si>
    <t>73X</t>
  </si>
  <si>
    <t>Boeing 737-200 Freighter</t>
  </si>
  <si>
    <t>73Y</t>
  </si>
  <si>
    <t>Boeing 737-300 Freighter</t>
  </si>
  <si>
    <t>B741</t>
  </si>
  <si>
    <t>Boeing 747-100 pax</t>
  </si>
  <si>
    <t>B742</t>
  </si>
  <si>
    <t>Boeing 747-200 pax</t>
  </si>
  <si>
    <t>B743</t>
  </si>
  <si>
    <t>Boeing 747-300 pax</t>
  </si>
  <si>
    <t>B744</t>
  </si>
  <si>
    <t>Boeing 747-400 pax</t>
  </si>
  <si>
    <t>Boeing 747 all pax models</t>
  </si>
  <si>
    <t>74C</t>
  </si>
  <si>
    <t>Boeing 747-200 Combi</t>
  </si>
  <si>
    <t>74D</t>
  </si>
  <si>
    <t>Boeing 747-300 Combi</t>
  </si>
  <si>
    <t>74E</t>
  </si>
  <si>
    <t>Boeing 747-400 Combi</t>
  </si>
  <si>
    <t>74F</t>
  </si>
  <si>
    <t>Boeing 747 all Freighter models</t>
  </si>
  <si>
    <t>74J</t>
  </si>
  <si>
    <t>Boeing 747-400 (Domestic) pax</t>
  </si>
  <si>
    <t>74L</t>
  </si>
  <si>
    <t>N74S</t>
  </si>
  <si>
    <t>Boeing 747SP</t>
  </si>
  <si>
    <t>74M</t>
  </si>
  <si>
    <t>Boeing 747 all Combi models</t>
  </si>
  <si>
    <t>74R</t>
  </si>
  <si>
    <t>B74R</t>
  </si>
  <si>
    <t>Boeing 747SR pax</t>
  </si>
  <si>
    <t>74T</t>
  </si>
  <si>
    <t>Boeing 747-100 Freighter</t>
  </si>
  <si>
    <t>74U</t>
  </si>
  <si>
    <t>Boeing 747-300 / 747-200 SUD Freighter</t>
  </si>
  <si>
    <t>74V</t>
  </si>
  <si>
    <t>Boeing 747SR Freighter</t>
  </si>
  <si>
    <t>74X</t>
  </si>
  <si>
    <t>Boeing 747-200 Freighter</t>
  </si>
  <si>
    <t>74Y</t>
  </si>
  <si>
    <t>Boeing 747-400 Freighter</t>
  </si>
  <si>
    <t>B752</t>
  </si>
  <si>
    <t>Boeing 757-200 pax</t>
  </si>
  <si>
    <t>B753</t>
  </si>
  <si>
    <t>Boeing 757-300 pax</t>
  </si>
  <si>
    <t>Boeing 757 all pax models</t>
  </si>
  <si>
    <t>75F</t>
  </si>
  <si>
    <t>Boeing 757 Freighter</t>
  </si>
  <si>
    <t>75M</t>
  </si>
  <si>
    <t>Boeing 757 Mixed Configuration</t>
  </si>
  <si>
    <t>B762</t>
  </si>
  <si>
    <t>Boeing 767-200 pax</t>
  </si>
  <si>
    <t>B763</t>
  </si>
  <si>
    <t>Boeing 767-300 pax</t>
  </si>
  <si>
    <t>B764</t>
  </si>
  <si>
    <t>Boeing 767-400 pax</t>
  </si>
  <si>
    <t>Boeing 767 all pax models</t>
  </si>
  <si>
    <t>76F</t>
  </si>
  <si>
    <t>Boeing 767 all Freighter models</t>
  </si>
  <si>
    <t>76X</t>
  </si>
  <si>
    <t>Boeing 767-200 Freighter</t>
  </si>
  <si>
    <t>76Y</t>
  </si>
  <si>
    <t>Boeing 767-300 Freighter</t>
  </si>
  <si>
    <t>B772</t>
  </si>
  <si>
    <t>Boeing 777-200 pax</t>
  </si>
  <si>
    <t>B773</t>
  </si>
  <si>
    <t>Boeing 777-300 pax</t>
  </si>
  <si>
    <t>Boeing 777 all pax models</t>
  </si>
  <si>
    <t>A26</t>
  </si>
  <si>
    <t>AN26</t>
  </si>
  <si>
    <t>Antonov AN-26</t>
  </si>
  <si>
    <t>A28</t>
  </si>
  <si>
    <t>AN28</t>
  </si>
  <si>
    <t>Antonov AN-28 / PZL Miele M-28 Skytruck</t>
  </si>
  <si>
    <t>A30</t>
  </si>
  <si>
    <t>AN30</t>
  </si>
  <si>
    <t>Antonov AN-30</t>
  </si>
  <si>
    <t>A32</t>
  </si>
  <si>
    <t>AN32</t>
  </si>
  <si>
    <t>Antonov AN-32</t>
  </si>
  <si>
    <t>A40</t>
  </si>
  <si>
    <t>A140</t>
  </si>
  <si>
    <t>Antonov AN-140</t>
  </si>
  <si>
    <t>A4F</t>
  </si>
  <si>
    <t>A124</t>
  </si>
  <si>
    <t>Antonov AN-124 Ruslan</t>
  </si>
  <si>
    <t>AB3</t>
  </si>
  <si>
    <t>A30B</t>
  </si>
  <si>
    <t>Airbus Industrie A300 pax</t>
  </si>
  <si>
    <t>AB4</t>
  </si>
  <si>
    <t>Airbus Industrie A300B2/B4/C4 pax</t>
  </si>
  <si>
    <t>AB6</t>
  </si>
  <si>
    <t>A306</t>
  </si>
  <si>
    <t>Airbus Industrie A300-600 pax</t>
  </si>
  <si>
    <t>ABB</t>
  </si>
  <si>
    <t>A3ST</t>
  </si>
  <si>
    <t>Airbus Industrie A300-600ST Beluga Freighter</t>
  </si>
  <si>
    <t>ABF</t>
  </si>
  <si>
    <t>Airbus Industrie A300 Freighter</t>
  </si>
  <si>
    <t>ABX</t>
  </si>
  <si>
    <t>Airbus Industrie A300C4/F4 Freighter</t>
  </si>
  <si>
    <t>ABY</t>
  </si>
  <si>
    <t>Airbus Industrie A300-600 Freighter</t>
  </si>
  <si>
    <t>ACD</t>
  </si>
  <si>
    <t>Gulfstream/Rockwell (Aero) Commander/Turbo Commander</t>
  </si>
  <si>
    <t>ACP</t>
  </si>
  <si>
    <t>AC68</t>
  </si>
  <si>
    <t>Gulfstream/Rockwell (Aero) Commander</t>
  </si>
  <si>
    <t>ACT</t>
  </si>
  <si>
    <t>AC90</t>
  </si>
  <si>
    <t>Gulfstream/Rockwell (Aero) Turbo Commander</t>
  </si>
  <si>
    <t>ALM</t>
  </si>
  <si>
    <t>LOAD</t>
  </si>
  <si>
    <t>Ayres LM-200 Loadmaster</t>
  </si>
  <si>
    <t>AN4</t>
  </si>
  <si>
    <t>AN24</t>
  </si>
  <si>
    <t>Antonov AN-24</t>
  </si>
  <si>
    <t>AN6</t>
  </si>
  <si>
    <t>Antonov AN-26 / AN-30 /AN-32</t>
  </si>
  <si>
    <t>AN7</t>
  </si>
  <si>
    <t>AN72</t>
  </si>
  <si>
    <t>Antonov AN-72 / AN-74</t>
  </si>
  <si>
    <t>ANF</t>
  </si>
  <si>
    <t>AN12</t>
  </si>
  <si>
    <t>Antonov AN-12 Freighter</t>
  </si>
  <si>
    <t>APH</t>
  </si>
  <si>
    <t>Eurocopter (Aerospatiale) SA330 Puma / AS332 Super Puma</t>
  </si>
  <si>
    <t>Helicopter</t>
  </si>
  <si>
    <t>AR1</t>
  </si>
  <si>
    <t>RJ1H</t>
  </si>
  <si>
    <t>Avro RJ100 Avroliner</t>
  </si>
  <si>
    <t>AR7</t>
  </si>
  <si>
    <t>RJ70</t>
  </si>
  <si>
    <t>Avro RJ70 Avroliner</t>
  </si>
  <si>
    <t>AR8</t>
  </si>
  <si>
    <t>RJ85</t>
  </si>
  <si>
    <t>Avro RJ85 Avroliner</t>
  </si>
  <si>
    <t>ARJ</t>
  </si>
  <si>
    <t>Avro RJ70 / RJ85 / RJ100 Avroliner</t>
  </si>
  <si>
    <t>ARX</t>
  </si>
  <si>
    <t>Avro RJX85 / RJX100</t>
  </si>
  <si>
    <t>AT4</t>
  </si>
  <si>
    <t>AT43</t>
  </si>
  <si>
    <t>Aerospatiale/Alenia ATR 42-300 / 320</t>
  </si>
  <si>
    <t>AT5</t>
  </si>
  <si>
    <t>AT45</t>
  </si>
  <si>
    <t>Aerospatiale/Alenia ATR 42-500</t>
  </si>
  <si>
    <t>AT7</t>
  </si>
  <si>
    <t>AT72</t>
  </si>
  <si>
    <t>Aerospatiale/Alenia ATR 72</t>
  </si>
  <si>
    <t>ATP</t>
  </si>
  <si>
    <t>British Aerospace ATP</t>
  </si>
  <si>
    <t>ATR</t>
  </si>
  <si>
    <t>Aerospatiale/Alenia ATR 42/ ATR 72</t>
  </si>
  <si>
    <t>AX1</t>
  </si>
  <si>
    <t>RX1H</t>
  </si>
  <si>
    <t>Avro RJX100</t>
  </si>
  <si>
    <t>AX8</t>
  </si>
  <si>
    <t>RX85</t>
  </si>
  <si>
    <t>Avro RJX85</t>
  </si>
  <si>
    <t>B11</t>
  </si>
  <si>
    <t>BA11</t>
  </si>
  <si>
    <t>British Aerospace (BAC) One Eleven / RomBAC One Eleven</t>
  </si>
  <si>
    <t>B12</t>
  </si>
  <si>
    <t>British Aerospace (BAC) One Eleven 200</t>
  </si>
  <si>
    <t>B13</t>
  </si>
  <si>
    <t>British Aerospace (BAC) One Eleven 300</t>
  </si>
  <si>
    <t>B14</t>
  </si>
  <si>
    <t>British Aerospace (BAC) One Eleven 400/475</t>
  </si>
  <si>
    <t>B15</t>
  </si>
  <si>
    <t>British Aerospace (BAC) One Eleven 500 / RomBAC One Eleven</t>
  </si>
  <si>
    <t>B72</t>
  </si>
  <si>
    <t>B720</t>
  </si>
  <si>
    <t>Boeing 720B pax</t>
  </si>
  <si>
    <t>BE1</t>
  </si>
  <si>
    <t>B190</t>
  </si>
  <si>
    <t>Beechcraft 1900/1900C/1900D</t>
  </si>
  <si>
    <t>BE2</t>
  </si>
  <si>
    <t>Beechcraft twin piston engines</t>
  </si>
  <si>
    <t>BEC</t>
  </si>
  <si>
    <t>Beechcraft light aircraft</t>
  </si>
  <si>
    <t>BEH</t>
  </si>
  <si>
    <t>Beechcraft 1900D</t>
  </si>
  <si>
    <t>BEP</t>
  </si>
  <si>
    <t>Beechcraft light aircraft - single engine</t>
  </si>
  <si>
    <t>BES</t>
  </si>
  <si>
    <t>Beechcfrat 1900/1900C</t>
  </si>
  <si>
    <t>BET</t>
  </si>
  <si>
    <t>Beechcraft light aircraft - twin turboprop engine</t>
  </si>
  <si>
    <t>BH2</t>
  </si>
  <si>
    <t>Bell Helicopters</t>
  </si>
  <si>
    <t>BNI</t>
  </si>
  <si>
    <t>BN2P</t>
  </si>
  <si>
    <t>Pilatus Britten-Norman BN-2A/B Islander</t>
  </si>
  <si>
    <t>BNT</t>
  </si>
  <si>
    <t>TRIS</t>
  </si>
  <si>
    <t>Pilatus Britten-Norman BN-2A Mk III Trislander</t>
  </si>
  <si>
    <t>BUS</t>
  </si>
  <si>
    <t>Bus</t>
  </si>
  <si>
    <t>Bus (ground transport)</t>
  </si>
  <si>
    <t>CCJ</t>
  </si>
  <si>
    <t>CL60</t>
  </si>
  <si>
    <t>Canadair Challenger</t>
  </si>
  <si>
    <t>CCX</t>
  </si>
  <si>
    <t>GLEX</t>
  </si>
  <si>
    <t>Canadair Global Express</t>
  </si>
  <si>
    <t>CD2</t>
  </si>
  <si>
    <t>NOMA</t>
  </si>
  <si>
    <t>Government Aircraft Factories N22B / N24A Nomad</t>
  </si>
  <si>
    <t>CL4</t>
  </si>
  <si>
    <t>CL44</t>
  </si>
  <si>
    <t>Canadair CL-44</t>
  </si>
  <si>
    <t>CN1</t>
  </si>
  <si>
    <t>Cessna light aircraft - single piston engine</t>
  </si>
  <si>
    <t>CN2</t>
  </si>
  <si>
    <t>Cessna light aircraft - twin piston engines</t>
  </si>
  <si>
    <t>CNA</t>
  </si>
  <si>
    <t>Cessna light aircraft</t>
  </si>
  <si>
    <t>CNC</t>
  </si>
  <si>
    <t>Cessna light aircraft - single turboprop engine</t>
  </si>
  <si>
    <t>CNJ</t>
  </si>
  <si>
    <t>Cessna Citation</t>
  </si>
  <si>
    <t>CNT</t>
  </si>
  <si>
    <t>Cessna light aircraft - twin turboprop engines</t>
  </si>
  <si>
    <t>CR1</t>
  </si>
  <si>
    <t>CRJ1</t>
  </si>
  <si>
    <t>Canadair Regional Jet 100</t>
  </si>
  <si>
    <t>CR2</t>
  </si>
  <si>
    <t>CRJ2</t>
  </si>
  <si>
    <t>Canadair Regional Jet 200</t>
  </si>
  <si>
    <t>CR7</t>
  </si>
  <si>
    <t>CRJ7</t>
  </si>
  <si>
    <t>Canadair Regional Jet 700</t>
  </si>
  <si>
    <t>CR9</t>
  </si>
  <si>
    <t>CRJ9</t>
  </si>
  <si>
    <t>Canadair Regional Jet 900</t>
  </si>
  <si>
    <t>CRJ</t>
  </si>
  <si>
    <t>Canadair Regional Jet</t>
  </si>
  <si>
    <t>CRV</t>
  </si>
  <si>
    <t>S210</t>
  </si>
  <si>
    <t>Aerospatiale (Sud Aviation) Se.210 Caravelle</t>
  </si>
  <si>
    <t>CS2</t>
  </si>
  <si>
    <t>C212</t>
  </si>
  <si>
    <t>CASA / IPTN 212 Aviocar</t>
  </si>
  <si>
    <t>CS5</t>
  </si>
  <si>
    <t>CN35</t>
  </si>
  <si>
    <t>CASA / IPTN CN-235</t>
  </si>
  <si>
    <t>CV4</t>
  </si>
  <si>
    <t>CVLP</t>
  </si>
  <si>
    <t>Convair CV-440 Metropolitan pax</t>
  </si>
  <si>
    <t>CV5</t>
  </si>
  <si>
    <t>CVLT</t>
  </si>
  <si>
    <t>Convair CV-580 pax</t>
  </si>
  <si>
    <t>CVF</t>
  </si>
  <si>
    <t>Convair CV-240 / 440 / 580 / 600 / 640 Freighter</t>
  </si>
  <si>
    <t>CVR</t>
  </si>
  <si>
    <t>Convair CV-240 / 440 / 580 / 600 / 640 pax</t>
  </si>
  <si>
    <t>CVV</t>
  </si>
  <si>
    <t>Convair CV-240 Freighter</t>
  </si>
  <si>
    <t>CVX</t>
  </si>
  <si>
    <t>Convair CV-440 Freighter</t>
  </si>
  <si>
    <t>CVY</t>
  </si>
  <si>
    <t>Convair CV-580 / 600 / 640 Freighter</t>
  </si>
  <si>
    <t>CWC</t>
  </si>
  <si>
    <t>C46</t>
  </si>
  <si>
    <t>Curtiss C-46 Commando</t>
  </si>
  <si>
    <t>D10</t>
  </si>
  <si>
    <t>DC10</t>
  </si>
  <si>
    <t>Douglas DC-10 pax</t>
  </si>
  <si>
    <t>D11</t>
  </si>
  <si>
    <t>Douglas DC-10-10/15 pax</t>
  </si>
  <si>
    <t>D1C</t>
  </si>
  <si>
    <t>Douglas DC-10-30/40 pax</t>
  </si>
  <si>
    <t>D1F</t>
  </si>
  <si>
    <t>Douglas DC-10 all Freighters</t>
  </si>
  <si>
    <t>D1M</t>
  </si>
  <si>
    <t>Douglas DC-10 all Combi models</t>
  </si>
  <si>
    <t>D1X</t>
  </si>
  <si>
    <t>Douglas DC-10-10 Freighter</t>
  </si>
  <si>
    <t>D1Y</t>
  </si>
  <si>
    <t>Douglas DC-10-30 / 40 Freighters</t>
  </si>
  <si>
    <t>D28</t>
  </si>
  <si>
    <t>D228</t>
  </si>
  <si>
    <t>Fairchild Dornier Do.228</t>
  </si>
  <si>
    <t>D38</t>
  </si>
  <si>
    <t>D328</t>
  </si>
  <si>
    <t>Fairchild Dornier Do.328</t>
  </si>
  <si>
    <t>D3F</t>
  </si>
  <si>
    <t>DC3</t>
  </si>
  <si>
    <t>Douglas DC-3 Freighter</t>
  </si>
  <si>
    <t>D6F</t>
  </si>
  <si>
    <t>DC6</t>
  </si>
  <si>
    <t>Douglas DC-6A/B/C Freighter</t>
  </si>
  <si>
    <t>D8F</t>
  </si>
  <si>
    <t>Douglas DC-8 all Freighters</t>
  </si>
  <si>
    <t>D8L</t>
  </si>
  <si>
    <t>DC86</t>
  </si>
  <si>
    <t>Douglas DC-8-62 pax</t>
  </si>
  <si>
    <t>D8M</t>
  </si>
  <si>
    <t>Douglas DC-8 all Combi models</t>
  </si>
  <si>
    <t>D8Q</t>
  </si>
  <si>
    <t>DC87</t>
  </si>
  <si>
    <t>Douglas DC-8-72 pax</t>
  </si>
  <si>
    <t>D8T</t>
  </si>
  <si>
    <t>DC85</t>
  </si>
  <si>
    <t>Douglas DC-8-50 Freighter</t>
  </si>
  <si>
    <t>D8X</t>
  </si>
  <si>
    <t>Douglas DC-8-61 / 62 / 63 Freighters</t>
  </si>
  <si>
    <t>D8Y</t>
  </si>
  <si>
    <t>Douglas DC-8-71 / 72 / 73 Freighters</t>
  </si>
  <si>
    <t>D91</t>
  </si>
  <si>
    <t>DC91</t>
  </si>
  <si>
    <t>Douglas DC-9-10 pax</t>
  </si>
  <si>
    <t>D92</t>
  </si>
  <si>
    <t>DC92</t>
  </si>
  <si>
    <t>Douglas DC-9-20 pax</t>
  </si>
  <si>
    <t>D93</t>
  </si>
  <si>
    <t>DC93</t>
  </si>
  <si>
    <t>Douglas DC-9-30 pax</t>
  </si>
  <si>
    <t>D94</t>
  </si>
  <si>
    <t>DC94</t>
  </si>
  <si>
    <t>Douglas DC-9-40 pax</t>
  </si>
  <si>
    <t>D95</t>
  </si>
  <si>
    <t>DC95</t>
  </si>
  <si>
    <t>Douglas DC-9-50 pax</t>
  </si>
  <si>
    <t>D9C</t>
  </si>
  <si>
    <t>Douglas DC-9-30 Freighter</t>
  </si>
  <si>
    <t>D9F</t>
  </si>
  <si>
    <t>Douglas DC-9-40 Freighter</t>
  </si>
  <si>
    <t>Douglas DC-9 all Freighters</t>
  </si>
  <si>
    <t>D9X</t>
  </si>
  <si>
    <t>Douglas DC-9-10 Freighter</t>
  </si>
  <si>
    <t>Douglas DC-3 pax</t>
  </si>
  <si>
    <t>Douglas DC6A/B pax</t>
  </si>
  <si>
    <t>DC8</t>
  </si>
  <si>
    <t>Douglas DC-8 all pax models</t>
  </si>
  <si>
    <t>DC9</t>
  </si>
  <si>
    <t>Douglas DC-9 all pax models</t>
  </si>
  <si>
    <t>DF2</t>
  </si>
  <si>
    <t>Dassault (Breguet Mystere) Falcon 10 / 100 / 20 / 200 / 2000</t>
  </si>
  <si>
    <t>DF3</t>
  </si>
  <si>
    <t>Dassault (Breguet Mystere) Falcon 50 / 900</t>
  </si>
  <si>
    <t>DFL</t>
  </si>
  <si>
    <t>Dassault (Breguet Mystere) Falcon</t>
  </si>
  <si>
    <t>DH1</t>
  </si>
  <si>
    <t>DH8A</t>
  </si>
  <si>
    <t>De Havilland Canada DHC-8-100 Dash 8 / 8Q</t>
  </si>
  <si>
    <t>DH2</t>
  </si>
  <si>
    <t>DH8B</t>
  </si>
  <si>
    <t>De Havilland Canada DHC-8-200 Dash 8 / 8Q</t>
  </si>
  <si>
    <t>DH3</t>
  </si>
  <si>
    <t>DH8C</t>
  </si>
  <si>
    <t>De Havilland Canada DHC-8-300 Dash 8 / 8Q</t>
  </si>
  <si>
    <t>DH4</t>
  </si>
  <si>
    <t>DH8D</t>
  </si>
  <si>
    <t>De Havilland Canada DHC-8-400 Dash 8Q</t>
  </si>
  <si>
    <t>DH7</t>
  </si>
  <si>
    <t>DHC7</t>
  </si>
  <si>
    <t>De Havilland Canada DHC-7 Dash 7</t>
  </si>
  <si>
    <t>DH8</t>
  </si>
  <si>
    <t>De Havilland Canada DHC-8 Dash 8 all models</t>
  </si>
  <si>
    <t>DHB</t>
  </si>
  <si>
    <t>De Havilland Canada DHC-2 Beaver / Turbo Beaver</t>
  </si>
  <si>
    <t>DHC</t>
  </si>
  <si>
    <t>DHC4</t>
  </si>
  <si>
    <t>De Havilland Canada DHC-4 Caribou</t>
  </si>
  <si>
    <t>DHD</t>
  </si>
  <si>
    <t>DOVE</t>
  </si>
  <si>
    <t>De Havilland DH.104 Dove</t>
  </si>
  <si>
    <t>DHH</t>
  </si>
  <si>
    <t>HERN</t>
  </si>
  <si>
    <t>De Havilland DH.114 Heron</t>
  </si>
  <si>
    <t>DHL</t>
  </si>
  <si>
    <t>DHC3</t>
  </si>
  <si>
    <t>De Havilland Canada DHC-3 Turbo Otter</t>
  </si>
  <si>
    <t>DHO</t>
  </si>
  <si>
    <t>De Havilland Canada DHC-3 Otter / Turbo Otter</t>
  </si>
  <si>
    <t>DHP</t>
  </si>
  <si>
    <t>DHC2</t>
  </si>
  <si>
    <t>De Havilland Canada DHC-2 Beaver</t>
  </si>
  <si>
    <t>DHR</t>
  </si>
  <si>
    <t>DH2T</t>
  </si>
  <si>
    <t>De Havilland Canada DHC-2 Turbo-Beaver</t>
  </si>
  <si>
    <t>DHS</t>
  </si>
  <si>
    <t>De Havilland Canada DHC-3 Otter</t>
  </si>
  <si>
    <t>DHT</t>
  </si>
  <si>
    <t>DHC6</t>
  </si>
  <si>
    <t>De Havilland Canada DHC-6 Twin Otter</t>
  </si>
  <si>
    <t>E70</t>
  </si>
  <si>
    <t>E170</t>
  </si>
  <si>
    <t>Embraer 170</t>
  </si>
  <si>
    <t>E90</t>
  </si>
  <si>
    <t>E190</t>
  </si>
  <si>
    <t>Embraer 190</t>
  </si>
  <si>
    <t>EM2</t>
  </si>
  <si>
    <t>E120</t>
  </si>
  <si>
    <t>Embraer EMB.120 Brasilia</t>
  </si>
  <si>
    <t>EMB</t>
  </si>
  <si>
    <t>E110</t>
  </si>
  <si>
    <t>Embraer EMB.110 Bandeirnate</t>
  </si>
  <si>
    <t>EMJ</t>
  </si>
  <si>
    <t>Embraer 170/190</t>
  </si>
  <si>
    <t>ER3</t>
  </si>
  <si>
    <t>E135</t>
  </si>
  <si>
    <t>Embraer RJ135</t>
  </si>
  <si>
    <t>ER4</t>
  </si>
  <si>
    <t>E145</t>
  </si>
  <si>
    <t>Embraer RJ145 Amazon</t>
  </si>
  <si>
    <t>ERD</t>
  </si>
  <si>
    <t>Embraer RJ140</t>
  </si>
  <si>
    <t>ERJ</t>
  </si>
  <si>
    <t>Embraer RJ135 / RJ140 / RJ145</t>
  </si>
  <si>
    <t>F21</t>
  </si>
  <si>
    <t>F28</t>
  </si>
  <si>
    <t>Fokker F.28 Fellowship 1000</t>
  </si>
  <si>
    <t>F22</t>
  </si>
  <si>
    <t>Fokker F.28 Fellowship 2000</t>
  </si>
  <si>
    <t>F23</t>
  </si>
  <si>
    <t>Fokker F.28 Fellowship 3000</t>
  </si>
  <si>
    <t>F24</t>
  </si>
  <si>
    <t>Fokker F.28 Fellowship 4000</t>
  </si>
  <si>
    <t>F27</t>
  </si>
  <si>
    <t>Fokker F.27 Friendship / Fairchild F.27</t>
  </si>
  <si>
    <t>Fokker F.28 Fellowship</t>
  </si>
  <si>
    <t>FA7</t>
  </si>
  <si>
    <t>Fairchild Dornier 728JET</t>
  </si>
  <si>
    <t>FK7</t>
  </si>
  <si>
    <t>Fairchild FH.227</t>
  </si>
  <si>
    <t>FRJ</t>
  </si>
  <si>
    <t>J328</t>
  </si>
  <si>
    <t>Fairchild Dornier 328JET</t>
  </si>
  <si>
    <t>GRG</t>
  </si>
  <si>
    <t>G21</t>
  </si>
  <si>
    <t>Grumman G.21 Goose</t>
  </si>
  <si>
    <t>GRJ</t>
  </si>
  <si>
    <t>Gulfstream Aerospace G-1159 Gulfstream II / III / IV / V</t>
  </si>
  <si>
    <t>GRM</t>
  </si>
  <si>
    <t>G73T</t>
  </si>
  <si>
    <t>Grumman G.73 Turbo Mallard</t>
  </si>
  <si>
    <t>GRS</t>
  </si>
  <si>
    <t>G159</t>
  </si>
  <si>
    <t>Gulfstream Aerospace G-159 Gulfstream I</t>
  </si>
  <si>
    <t>H25</t>
  </si>
  <si>
    <t>British Aerospace (Hawker Siddeley) HS.125</t>
  </si>
  <si>
    <t>HEC</t>
  </si>
  <si>
    <t>COUC</t>
  </si>
  <si>
    <t>Helio H-250 Courier / H-295 / 385 Super Courier</t>
  </si>
  <si>
    <t>HOV</t>
  </si>
  <si>
    <t>Hovercraft</t>
  </si>
  <si>
    <t>HS7</t>
  </si>
  <si>
    <t>A748</t>
  </si>
  <si>
    <t>Hawker Siddeley HS.748</t>
  </si>
  <si>
    <t>I14</t>
  </si>
  <si>
    <t>I114</t>
  </si>
  <si>
    <t>Ilyushin IL114</t>
  </si>
  <si>
    <t>I93</t>
  </si>
  <si>
    <t>IL96</t>
  </si>
  <si>
    <t>Ilyushin IL96-300 pax</t>
  </si>
  <si>
    <t>I9F</t>
  </si>
  <si>
    <t>Ilyushin IL96 Freighters</t>
  </si>
  <si>
    <t>I9M</t>
  </si>
  <si>
    <t>Ilyushin IL96M pax</t>
  </si>
  <si>
    <t>I9X</t>
  </si>
  <si>
    <t>Ilyushin IL96-300 Freighter</t>
  </si>
  <si>
    <t>I9Y</t>
  </si>
  <si>
    <t>Ilyushin IL96T Freighter</t>
  </si>
  <si>
    <t>IL6</t>
  </si>
  <si>
    <t>IL62</t>
  </si>
  <si>
    <t>Ilyushin IL62</t>
  </si>
  <si>
    <t>IL7</t>
  </si>
  <si>
    <t>IL76</t>
  </si>
  <si>
    <t>Ilyushin IL76 (Freighter)</t>
  </si>
  <si>
    <t>Military/Civil Freighter</t>
  </si>
  <si>
    <t>IL8</t>
  </si>
  <si>
    <t>IL18</t>
  </si>
  <si>
    <t>Ilyushin IL18</t>
  </si>
  <si>
    <t>IL9</t>
  </si>
  <si>
    <t>Ilyushin IL96 pax</t>
  </si>
  <si>
    <t>ILW</t>
  </si>
  <si>
    <t>IL86</t>
  </si>
  <si>
    <t>Ilyushin IL86</t>
  </si>
  <si>
    <t>J31</t>
  </si>
  <si>
    <t>JS31</t>
  </si>
  <si>
    <t>British Aerospace Jetstream 31</t>
  </si>
  <si>
    <t>J32</t>
  </si>
  <si>
    <t>JS32</t>
  </si>
  <si>
    <t>British Aerospace Jetstream 32</t>
  </si>
  <si>
    <t>J41</t>
  </si>
  <si>
    <t>JS41</t>
  </si>
  <si>
    <t>British Aerospace Jetstream 41</t>
  </si>
  <si>
    <t>JST</t>
  </si>
  <si>
    <t>British Aerospace Jetstream 31 / 32 / 41</t>
  </si>
  <si>
    <t>L/M</t>
  </si>
  <si>
    <t>JU5</t>
  </si>
  <si>
    <t>JU52</t>
  </si>
  <si>
    <t>Junkers Ju52/3M</t>
  </si>
  <si>
    <t>L10</t>
  </si>
  <si>
    <t>L101</t>
  </si>
  <si>
    <t>Lockheed L-1011 Tristar pax</t>
  </si>
  <si>
    <t>L11</t>
  </si>
  <si>
    <t>Lockheed L-1011 1 / 50 / 100 / 150 / 200 / 250 Tristar pax</t>
  </si>
  <si>
    <t>L15</t>
  </si>
  <si>
    <t>Lockheed L-1011 500 Tristar pax</t>
  </si>
  <si>
    <t>L1F</t>
  </si>
  <si>
    <t>Lockheed L-1011 Tristar Freighter</t>
  </si>
  <si>
    <t>L49</t>
  </si>
  <si>
    <t>CONI</t>
  </si>
  <si>
    <t>Lockheed L-1049 Super Constellation</t>
  </si>
  <si>
    <t>L4T</t>
  </si>
  <si>
    <t>L410</t>
  </si>
  <si>
    <t>LET 410</t>
  </si>
  <si>
    <t>LCH</t>
  </si>
  <si>
    <t>Launch - Boat</t>
  </si>
  <si>
    <t>Launch (boat)</t>
  </si>
  <si>
    <t>LMO</t>
  </si>
  <si>
    <t>Limousine</t>
  </si>
  <si>
    <t>LOE</t>
  </si>
  <si>
    <t>L188</t>
  </si>
  <si>
    <t>Lockheed L-188 Electra pax</t>
  </si>
  <si>
    <t>LOF</t>
  </si>
  <si>
    <t>Lockheed L-188 Electra Freighter</t>
  </si>
  <si>
    <t>LOH</t>
  </si>
  <si>
    <t>C130</t>
  </si>
  <si>
    <t>Lockheed L-182 / 282 / 382 (L-100) Hercules</t>
  </si>
  <si>
    <t>LOM</t>
  </si>
  <si>
    <t>Lockheed L-188 Electra Mixed Configuration</t>
  </si>
  <si>
    <t>LRJ</t>
  </si>
  <si>
    <t>Gates Learjet</t>
  </si>
  <si>
    <t>M11</t>
  </si>
  <si>
    <t>MD11</t>
  </si>
  <si>
    <t>McDonnell Douglas MD11 pax</t>
  </si>
  <si>
    <t>M1F</t>
  </si>
  <si>
    <t>McDonnell Douglas MD11 Freighter</t>
  </si>
  <si>
    <t>M1M</t>
  </si>
  <si>
    <t>McDonnell Douglas MD11 Mixed Configuration</t>
  </si>
  <si>
    <t>M80</t>
  </si>
  <si>
    <t>MD80</t>
  </si>
  <si>
    <t>McDonnell Douglas MD80</t>
  </si>
  <si>
    <t>M81</t>
  </si>
  <si>
    <t>MD81</t>
  </si>
  <si>
    <t>McDonnell Douglas MD81</t>
  </si>
  <si>
    <t>M82</t>
  </si>
  <si>
    <t>MD82</t>
  </si>
  <si>
    <t>McDonnell Douglas MD82</t>
  </si>
  <si>
    <t>M83</t>
  </si>
  <si>
    <t>MD83</t>
  </si>
  <si>
    <t>McDonnell Douglas MD83</t>
  </si>
  <si>
    <t>M87</t>
  </si>
  <si>
    <t>MD87</t>
  </si>
  <si>
    <t>McDonnell Douglas MD87</t>
  </si>
  <si>
    <t>M88</t>
  </si>
  <si>
    <t>MD88</t>
  </si>
  <si>
    <t>McDonnell Douglas MD88</t>
  </si>
  <si>
    <t>M90</t>
  </si>
  <si>
    <t>MD90</t>
  </si>
  <si>
    <t>McDonnell Douglas MD90</t>
  </si>
  <si>
    <t>MBH</t>
  </si>
  <si>
    <t>B105</t>
  </si>
  <si>
    <t>Eurocopter (MBB) Bo.105</t>
  </si>
  <si>
    <t>MD9</t>
  </si>
  <si>
    <t>EXPL</t>
  </si>
  <si>
    <t>MD Helicopters MD900 Explorer</t>
  </si>
  <si>
    <t>MIH</t>
  </si>
  <si>
    <t>MI8</t>
  </si>
  <si>
    <t>MIL Mi-8 / Mi-17 / Mi-171 / Mil-172</t>
  </si>
  <si>
    <t>MU2</t>
  </si>
  <si>
    <t>Mitsubishi Mu-2</t>
  </si>
  <si>
    <t>ND2</t>
  </si>
  <si>
    <t>N262</t>
  </si>
  <si>
    <t>Aerospatiale (Nord) 262</t>
  </si>
  <si>
    <t>NDC</t>
  </si>
  <si>
    <t>S601</t>
  </si>
  <si>
    <t>Aerospatiale SN.601 Corvette</t>
  </si>
  <si>
    <t>NDE</t>
  </si>
  <si>
    <t>Eurocopter (Aerospatiale) AS350 Ecureuil / AS355 Ecureuil 2</t>
  </si>
  <si>
    <t>NDH</t>
  </si>
  <si>
    <t>S65C</t>
  </si>
  <si>
    <t>Eurocopter (Aerospatiale) SA365C / SA365N Dauphin 2</t>
  </si>
  <si>
    <t>PA1</t>
  </si>
  <si>
    <t>Piper light aircraft - single piston engine</t>
  </si>
  <si>
    <t>PA2</t>
  </si>
  <si>
    <t>Piper light aircraft - twin piston engines</t>
  </si>
  <si>
    <t>PAG</t>
  </si>
  <si>
    <t>Piper light aircraft</t>
  </si>
  <si>
    <t>PAT</t>
  </si>
  <si>
    <t>Piper light aircraft - twin turboprop engines</t>
  </si>
  <si>
    <t>PL2</t>
  </si>
  <si>
    <t>PC12</t>
  </si>
  <si>
    <t>Pilatus PC-12</t>
  </si>
  <si>
    <t>PL6</t>
  </si>
  <si>
    <t>PC6T</t>
  </si>
  <si>
    <t>Pilatus PC-6 Turbo Porter</t>
  </si>
  <si>
    <t>PN6</t>
  </si>
  <si>
    <t>P68</t>
  </si>
  <si>
    <t>Partenavia P.68</t>
  </si>
  <si>
    <t>RFS</t>
  </si>
  <si>
    <t>Road Feeder Service - Cargo Truck</t>
  </si>
  <si>
    <t>Cargo Truck</t>
  </si>
  <si>
    <t>S20</t>
  </si>
  <si>
    <t>SB20</t>
  </si>
  <si>
    <t>Saab 2000</t>
  </si>
  <si>
    <t>S58</t>
  </si>
  <si>
    <t>S58T</t>
  </si>
  <si>
    <t>Sikorsky S-58T</t>
  </si>
  <si>
    <t>S61</t>
  </si>
  <si>
    <t>Sikorsky S-61</t>
  </si>
  <si>
    <t>S76</t>
  </si>
  <si>
    <t>Sikorsky S-76</t>
  </si>
  <si>
    <t>SF3</t>
  </si>
  <si>
    <t>SF34</t>
  </si>
  <si>
    <t>Saab SF340A/B</t>
  </si>
  <si>
    <t>SH3</t>
  </si>
  <si>
    <t>SH33</t>
  </si>
  <si>
    <t>Shorts SD.330</t>
  </si>
  <si>
    <t>SH6</t>
  </si>
  <si>
    <t>SH36</t>
  </si>
  <si>
    <t>Shorts SD.360</t>
  </si>
  <si>
    <t>SHB</t>
  </si>
  <si>
    <t>BELF</t>
  </si>
  <si>
    <t>Shorts SC-5 Belfast</t>
  </si>
  <si>
    <t>SHS</t>
  </si>
  <si>
    <t>SC7</t>
  </si>
  <si>
    <t>Shorts SC-7 Skyvan</t>
  </si>
  <si>
    <t>SSC</t>
  </si>
  <si>
    <t>CONC</t>
  </si>
  <si>
    <t>Aerospatiale/BAC Concorde</t>
  </si>
  <si>
    <t>SWM</t>
  </si>
  <si>
    <t>Fairchild (Swearingen) SA26 / SA226 / SA227 Metro / Merlin / Expediter</t>
  </si>
  <si>
    <t>T20</t>
  </si>
  <si>
    <t>T204</t>
  </si>
  <si>
    <t>Tupolev Tu-204 / Tu-214</t>
  </si>
  <si>
    <t>TRN</t>
  </si>
  <si>
    <t>Train</t>
  </si>
  <si>
    <t>TU3</t>
  </si>
  <si>
    <t>T134</t>
  </si>
  <si>
    <t>Tupolev Tu134</t>
  </si>
  <si>
    <t>TU5</t>
  </si>
  <si>
    <t>T154</t>
  </si>
  <si>
    <t>Tupolev Tu154</t>
  </si>
  <si>
    <t>VCV</t>
  </si>
  <si>
    <t>VISC</t>
  </si>
  <si>
    <t>Vickers Viscount</t>
  </si>
  <si>
    <t>WWP</t>
  </si>
  <si>
    <t>WW24</t>
  </si>
  <si>
    <t>Israel Aircraft Industries 1124 Westwind</t>
  </si>
  <si>
    <t>YK2</t>
  </si>
  <si>
    <t>YK42</t>
  </si>
  <si>
    <t>Yakovlev Yak 42</t>
  </si>
  <si>
    <t>YK4</t>
  </si>
  <si>
    <t>YK40</t>
  </si>
  <si>
    <t>Yakovlev Yak 40</t>
  </si>
  <si>
    <t>YN2</t>
  </si>
  <si>
    <t>Y12</t>
  </si>
  <si>
    <t>Harbin Yunshuji Y12</t>
  </si>
  <si>
    <t>YN7</t>
  </si>
  <si>
    <t>Xian Yunshuji Y7</t>
  </si>
  <si>
    <t>YS1</t>
  </si>
  <si>
    <t>YS11</t>
  </si>
  <si>
    <t>NAMC YS-11</t>
  </si>
  <si>
    <t>QF</t>
  </si>
  <si>
    <t>77L</t>
  </si>
  <si>
    <t>77W</t>
  </si>
  <si>
    <t>B77L</t>
  </si>
  <si>
    <t>Boeing 777-300ER pax</t>
  </si>
  <si>
    <t>B788</t>
  </si>
  <si>
    <t>Boeing 787-800 pax</t>
  </si>
  <si>
    <t>B789</t>
  </si>
  <si>
    <t>Boeing 787-900 pax</t>
  </si>
  <si>
    <t>77w</t>
  </si>
  <si>
    <t>B77W</t>
  </si>
  <si>
    <t>Boeing 777-200LR pax</t>
  </si>
  <si>
    <t>Terminal open 24 hours</t>
  </si>
  <si>
    <t>Full Service</t>
  </si>
  <si>
    <t>Low Cost</t>
  </si>
  <si>
    <t>SIZE</t>
  </si>
  <si>
    <t>A/C Size (code)</t>
  </si>
  <si>
    <t>Type (FS, LC)</t>
  </si>
  <si>
    <t>(3 Hours)</t>
  </si>
  <si>
    <t>(2 Hours)</t>
  </si>
  <si>
    <t>(1 Hour)</t>
  </si>
  <si>
    <t>General Departure Lounge Occupancy</t>
  </si>
  <si>
    <t xml:space="preserve"> Busy Hour &gt;</t>
  </si>
  <si>
    <t xml:space="preserve">&lt; Busy Hour </t>
  </si>
  <si>
    <t>A350</t>
  </si>
  <si>
    <t>A359</t>
  </si>
  <si>
    <t>Airbus A350-900</t>
  </si>
  <si>
    <t>Airbus A350 all models</t>
  </si>
  <si>
    <t>A380</t>
  </si>
  <si>
    <t>A38F</t>
  </si>
  <si>
    <t>B783</t>
  </si>
  <si>
    <t>Boeing 787-300 pax</t>
  </si>
  <si>
    <t>Airbus' Standard Configuration</t>
  </si>
  <si>
    <t>All Aircraft Type Lookup Table (sorted by IATA codes)</t>
  </si>
  <si>
    <t>Updated 27th Jamuary 2015</t>
  </si>
  <si>
    <t>Full Service Based on</t>
  </si>
  <si>
    <t>Low Cost Based on</t>
  </si>
  <si>
    <t>Phuket</t>
  </si>
  <si>
    <t>Jakarta</t>
  </si>
  <si>
    <t>PERTH: New International Pier (STEP) - Project Definition Update</t>
  </si>
  <si>
    <t>Version</t>
  </si>
  <si>
    <t>Ver.</t>
  </si>
  <si>
    <t>Date</t>
  </si>
  <si>
    <t>JQ, QZ</t>
  </si>
  <si>
    <t>CX: 242, MH: 283 or 295, GA 257</t>
  </si>
  <si>
    <t>8 + 168</t>
  </si>
  <si>
    <t>SQ latest, other layouts 288 &amp; 323</t>
  </si>
  <si>
    <t>CZ alt. 4-class @ 218, EH 254 &amp; 262</t>
  </si>
  <si>
    <t>FULL SERVICE AIRLINE - Code E Aircraft</t>
  </si>
  <si>
    <t>Hand Baggage Only Turn-Up</t>
  </si>
  <si>
    <t xml:space="preserve">  Bag Drop/Check-In Cut-Off ↓   </t>
  </si>
  <si>
    <t>Flow into Landside Retail</t>
  </si>
  <si>
    <t xml:space="preserve">Flow out of Landside Retail </t>
  </si>
  <si>
    <t>Landside Retail Occupancy</t>
  </si>
  <si>
    <t>Flow into Departure Lounge</t>
  </si>
  <si>
    <t>(Pre-STEP)</t>
  </si>
  <si>
    <t>Flow into Boarding Zone</t>
  </si>
  <si>
    <r>
      <t xml:space="preserve"> </t>
    </r>
    <r>
      <rPr>
        <b/>
        <sz val="12"/>
        <rFont val="WBHelveticaNeue"/>
      </rPr>
      <t xml:space="preserve">  </t>
    </r>
    <r>
      <rPr>
        <b/>
        <sz val="12"/>
        <rFont val="Calibri"/>
        <family val="2"/>
      </rPr>
      <t>↓ 2 hrs 25 min before Dep.</t>
    </r>
  </si>
  <si>
    <t xml:space="preserve"> Final (no bags) Check-In Cut-Off ↓   </t>
  </si>
  <si>
    <t>Total Landside Occupancy</t>
  </si>
  <si>
    <t>Example Service:</t>
  </si>
  <si>
    <t>(14% seats 1st &amp; Biz)</t>
  </si>
  <si>
    <t>Boarding Zone Occupancy</t>
  </si>
  <si>
    <t>Boarding from Boarding Zone</t>
  </si>
  <si>
    <t>(per Survey)</t>
  </si>
  <si>
    <t>LOW COST AIRLINE - Code E Aircraft</t>
  </si>
  <si>
    <t>(Medium Haul, Intl.)</t>
  </si>
  <si>
    <t>(Long Haul, Intl.)</t>
  </si>
  <si>
    <t>No Lounge</t>
  </si>
  <si>
    <t>LOW COST AIRLINE - Code C Aircraft</t>
  </si>
  <si>
    <t>Flow out of Airline Lounge to Board Zone</t>
  </si>
  <si>
    <t>Flow from Dep. Lounge  to Board Zone</t>
  </si>
  <si>
    <t>Net General Departure Lounge Occupancy:</t>
  </si>
  <si>
    <t>Scheduled Departing Pax:</t>
  </si>
  <si>
    <t>Rolling Hour Scheduled Departing Pax:</t>
  </si>
  <si>
    <t>Scheduled Departing Seats:</t>
  </si>
  <si>
    <t>Max. general departure lounge occupancy relative to Busy Hour:</t>
  </si>
  <si>
    <t>Cumulative Turn-Up Profile:</t>
  </si>
  <si>
    <t>Average Turn-up time (min. before departure):</t>
  </si>
  <si>
    <t>Cumulative Boarding Turn-Up Profile:</t>
  </si>
  <si>
    <t>03-Mar-15</t>
  </si>
  <si>
    <r>
      <rPr>
        <sz val="11"/>
        <color rgb="FF002060"/>
        <rFont val="WBHelveticaNeue Medium"/>
      </rPr>
      <t xml:space="preserve">Flight Types: </t>
    </r>
    <r>
      <rPr>
        <sz val="11"/>
        <color rgb="FF002060"/>
        <rFont val="WBHelveticaNeue"/>
      </rPr>
      <t>S = Full Service, L= Low Cost</t>
    </r>
  </si>
  <si>
    <t>Departures Lounge &amp; Board Zone Combined</t>
  </si>
  <si>
    <t>(pax.min.:</t>
  </si>
  <si>
    <t>)</t>
  </si>
  <si>
    <t>14 + 76 + 399</t>
  </si>
  <si>
    <t>JL</t>
  </si>
  <si>
    <t>NRT</t>
  </si>
  <si>
    <t>Jakarta Soekarno-Hatta</t>
  </si>
  <si>
    <t>PR</t>
  </si>
  <si>
    <t>MNL</t>
  </si>
  <si>
    <t>Manila Ninoy Aquino</t>
  </si>
  <si>
    <t>24 + 240 (TG), 21 + 314 (JQ) Seat Guru</t>
  </si>
  <si>
    <t>N</t>
  </si>
  <si>
    <t>U</t>
  </si>
  <si>
    <t>First Issue - flights added to schedule to achieve 2027 Busy Hour</t>
  </si>
  <si>
    <t>New Flight (existing destination)</t>
  </si>
  <si>
    <t>Aircraft upgraded from A320 to B787-800</t>
  </si>
  <si>
    <t>Aircraft upgraded from B777-200 to A380</t>
  </si>
  <si>
    <t>09-Mar-15</t>
  </si>
  <si>
    <t>Schedule restructured</t>
  </si>
  <si>
    <t>2027 Forecast = 1680</t>
  </si>
  <si>
    <t>Departure Lounge Occupancy Simulation; Aircraft Based Models; Full Service Code C; STEP</t>
  </si>
  <si>
    <t>Departure Lounge Occupancy Simulation; Aircraft Based Models; Low Cost Code E; STEP</t>
  </si>
  <si>
    <t>155A</t>
  </si>
  <si>
    <t>155B</t>
  </si>
  <si>
    <t>157A</t>
  </si>
  <si>
    <t>157B</t>
  </si>
  <si>
    <t>158A</t>
  </si>
  <si>
    <t>158B</t>
  </si>
  <si>
    <t>165A</t>
  </si>
  <si>
    <t>165B</t>
  </si>
  <si>
    <t>166A</t>
  </si>
  <si>
    <t>166B</t>
  </si>
  <si>
    <t>Emirates A380</t>
  </si>
  <si>
    <t>AirAsia A320</t>
  </si>
  <si>
    <t>Garuda A330</t>
  </si>
  <si>
    <t>ARR</t>
  </si>
  <si>
    <t>AirAsiaX A330</t>
  </si>
  <si>
    <t>Singapore A330</t>
  </si>
  <si>
    <t>(Arrived 01:15)</t>
  </si>
  <si>
    <t>Japan Airlines B787</t>
  </si>
  <si>
    <t>Jetstar B787</t>
  </si>
  <si>
    <t>Cathay Pacific A330</t>
  </si>
  <si>
    <t>Thai Airways B787</t>
  </si>
  <si>
    <t>10-Mar-15</t>
  </si>
  <si>
    <t>Gating exercise added</t>
  </si>
  <si>
    <t>Phase 1</t>
  </si>
  <si>
    <t>Ultimate</t>
  </si>
  <si>
    <t>Stand</t>
  </si>
  <si>
    <t>Phase 2</t>
  </si>
  <si>
    <t>Total Population of ALL Boarding Areas:</t>
  </si>
  <si>
    <t>Departure Lounge Occupancy Simulation; Aircraft Based Models; Low Cost Code C; STEP</t>
  </si>
  <si>
    <t>Notional Bay Allocation</t>
  </si>
  <si>
    <t>Departures:</t>
  </si>
  <si>
    <t>Maximum Population:</t>
  </si>
  <si>
    <t>STAND/GATE</t>
  </si>
  <si>
    <t>Shows Current Scheduled Departure</t>
  </si>
  <si>
    <t>Shows Assumed Departure</t>
  </si>
  <si>
    <t>Shows Current Scheduled Arrival</t>
  </si>
  <si>
    <t>Shows Assumed Arrival</t>
  </si>
  <si>
    <t>New Flight (new destination)</t>
  </si>
  <si>
    <t>New flights adjusted per CM email of 10/March/15.</t>
  </si>
  <si>
    <t>BOM</t>
  </si>
  <si>
    <t>Mumbai</t>
  </si>
  <si>
    <t>Narita, Tokyo</t>
  </si>
  <si>
    <t>9W</t>
  </si>
  <si>
    <t>VN</t>
  </si>
  <si>
    <t>SGN</t>
  </si>
  <si>
    <t>Ho Chi Minh City</t>
  </si>
  <si>
    <t>General Departure Lounge Occupancy Simulation; STEP in 2027; +5 flights</t>
  </si>
  <si>
    <t>Shows Assumed Departure for a new service</t>
  </si>
  <si>
    <t>11-Mar-15</t>
  </si>
  <si>
    <t>BOARD. ZONE</t>
  </si>
  <si>
    <t>Departure Lounge Occupancy Simulation; Aircraft Based Models; Full Service Code E/F; STEP</t>
  </si>
  <si>
    <t>160 or 164</t>
  </si>
  <si>
    <t>Jet Airways B787</t>
  </si>
  <si>
    <t>Air New Zealand B787</t>
  </si>
  <si>
    <t>Jetstar Asia A320</t>
  </si>
  <si>
    <t>China Southern A380</t>
  </si>
  <si>
    <t>Vietnam Airlines A330</t>
  </si>
  <si>
    <t>10th Stand:</t>
  </si>
  <si>
    <t>NORTH STANDS</t>
  </si>
  <si>
    <t>SOUTH STANDS</t>
  </si>
  <si>
    <t>Boarding Area Occupancy Simulation; Notional Stand Allocation</t>
  </si>
  <si>
    <t>Aircraft upgraded from A330-200 to A330-300</t>
  </si>
  <si>
    <t xml:space="preserve"> Boarding Completes ↓   </t>
  </si>
  <si>
    <t>STEP: 24/Jan/15 Schedule (Sat.) with 5 added &amp; 3 upsized flights</t>
  </si>
  <si>
    <t>12-Mar-15</t>
  </si>
  <si>
    <t>Final flight adjstments, load factor to 90%  &amp; Code E boarding lengthened.</t>
  </si>
  <si>
    <t>STEP: 24/Jan/15 Schedule (Sat.) with 3 upsized flights</t>
  </si>
  <si>
    <t>Typical for 'Busy Hour'</t>
  </si>
  <si>
    <t>STEP: 24/Jan/15 Schedule (Sat.)</t>
  </si>
  <si>
    <t>12 + 168 per Boeing 737 Max Brochure</t>
  </si>
  <si>
    <t>T1 International Boarding Zone Gate Allocation #1</t>
  </si>
  <si>
    <t>Mumbai flight reduced to B737-800, &amp; seat nos adjusted, to match forecast Busy Hour.</t>
  </si>
  <si>
    <t>Boarding Zone Populations (Pax) - Gate Allocation #1, 164 as 10th Stand</t>
  </si>
  <si>
    <t>Workbook audited for release to PAPL</t>
  </si>
  <si>
    <t xml:space="preserve"> </t>
  </si>
  <si>
    <t>AA</t>
  </si>
  <si>
    <t>AF</t>
  </si>
  <si>
    <t>AS</t>
  </si>
  <si>
    <t>B6</t>
  </si>
  <si>
    <t>BA</t>
  </si>
  <si>
    <t>DL</t>
  </si>
  <si>
    <t>F9</t>
  </si>
  <si>
    <t>HA</t>
  </si>
  <si>
    <t>KL</t>
  </si>
  <si>
    <t>SY</t>
  </si>
  <si>
    <t>UA</t>
  </si>
  <si>
    <t>WN</t>
  </si>
  <si>
    <t>American Airlines</t>
  </si>
  <si>
    <t>Hawaiian Airlines</t>
  </si>
  <si>
    <t>United Airlines</t>
  </si>
  <si>
    <t>T1 Airlines</t>
  </si>
  <si>
    <t>T1 Destinations</t>
  </si>
  <si>
    <t>T1 Aircraft</t>
  </si>
  <si>
    <t>Modifications for SFO Analysis</t>
  </si>
  <si>
    <t>Alaska Airlines</t>
  </si>
  <si>
    <t>Air France</t>
  </si>
  <si>
    <t>JetBlue Airways</t>
  </si>
  <si>
    <t>British Airways</t>
  </si>
  <si>
    <t>Delta Air Lines</t>
  </si>
  <si>
    <t>Frontier Airlines</t>
  </si>
  <si>
    <t>KLM Royal Dutch Airlines</t>
  </si>
  <si>
    <t>MN Airlines</t>
  </si>
  <si>
    <t>Southwest Airlines</t>
  </si>
  <si>
    <t>!!  VERIFY</t>
  </si>
  <si>
    <t>!! VERIFY</t>
  </si>
  <si>
    <t>ADDED 160427</t>
  </si>
  <si>
    <t>A35K</t>
  </si>
  <si>
    <t>Airbus A350-1000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</si>
</sst>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\ mmmm\ yyyy;@"/>
    <numFmt numFmtId="165" formatCode="[$-F800]dddd\,\ mmmm\ dd\,\ yyyy"/>
    <numFmt numFmtId="166" formatCode="[$-C09]dd/mmm/yy;@"/>
  </numFmts>
  <fonts count="8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WBHelveticaNeue Medium"/>
    </font>
    <font>
      <b/>
      <sz val="16"/>
      <color theme="1"/>
      <name val="WBHelveticaNeue"/>
    </font>
    <font>
      <sz val="11"/>
      <color theme="1"/>
      <name val="WBHelveticaNeue"/>
    </font>
    <font>
      <sz val="16"/>
      <color theme="1"/>
      <name val="WBHelveticaNeue Medium"/>
    </font>
    <font>
      <sz val="11"/>
      <color rgb="FF7030A0"/>
      <name val="WBHelveticaNeue"/>
    </font>
    <font>
      <sz val="16"/>
      <color rgb="FF7030A0"/>
      <name val="WBHelveticaNeue"/>
    </font>
    <font>
      <sz val="12"/>
      <name val="WBHelveticaNeue Medium"/>
    </font>
    <font>
      <sz val="11"/>
      <color theme="0"/>
      <name val="WBHelveticaNeue"/>
    </font>
    <font>
      <sz val="14"/>
      <color rgb="FF7030A0"/>
      <name val="WBHelveticaNeue"/>
    </font>
    <font>
      <sz val="12"/>
      <color theme="1"/>
      <name val="WBHelveticaNeue"/>
    </font>
    <font>
      <sz val="12"/>
      <color theme="1"/>
      <name val="WBHelveticaNeue Medium"/>
    </font>
    <font>
      <sz val="11"/>
      <color theme="1"/>
      <name val="WBHelveticaNeue Medium"/>
    </font>
    <font>
      <sz val="11"/>
      <color rgb="FF00642D"/>
      <name val="WBHelveticaNeue Medium"/>
    </font>
    <font>
      <sz val="11"/>
      <color rgb="FF00642D"/>
      <name val="WBHelveticaNeue"/>
    </font>
    <font>
      <sz val="11"/>
      <color rgb="FFC00000"/>
      <name val="WBHelveticaNeue"/>
    </font>
    <font>
      <i/>
      <sz val="11"/>
      <color theme="1"/>
      <name val="WBHelveticaNeue"/>
    </font>
    <font>
      <sz val="9"/>
      <color theme="1"/>
      <name val="WBHelveticaNeue Condensed"/>
    </font>
    <font>
      <sz val="12"/>
      <color rgb="FF7030A0"/>
      <name val="WBHelveticaNeue Medium"/>
    </font>
    <font>
      <sz val="12"/>
      <color rgb="FFC00000"/>
      <name val="WBHelveticaNeue Medium"/>
    </font>
    <font>
      <sz val="11"/>
      <color rgb="FF002060"/>
      <name val="WBHelveticaNeue"/>
    </font>
    <font>
      <sz val="16"/>
      <color rgb="FF002060"/>
      <name val="WBHelveticaNeue"/>
    </font>
    <font>
      <sz val="14"/>
      <color rgb="FF003296"/>
      <name val="WBHelveticaNeue"/>
    </font>
    <font>
      <sz val="9"/>
      <color rgb="FF002060"/>
      <name val="WBHelveticaNeue"/>
    </font>
    <font>
      <sz val="9"/>
      <color theme="1"/>
      <name val="WBHelveticaNeue"/>
    </font>
    <font>
      <sz val="11"/>
      <color rgb="FF002060"/>
      <name val="WBHelveticaNeue Medium"/>
    </font>
    <font>
      <sz val="10"/>
      <color rgb="FFC00000"/>
      <name val="WBHelveticaNeue"/>
    </font>
    <font>
      <sz val="8"/>
      <color rgb="FFC00000"/>
      <name val="WBHelveticaNeue"/>
    </font>
    <font>
      <sz val="10"/>
      <color rgb="FF002060"/>
      <name val="WBHelveticaNeue"/>
    </font>
    <font>
      <sz val="12"/>
      <color rgb="FFC00000"/>
      <name val="WBHelveticaNeue"/>
    </font>
    <font>
      <sz val="14"/>
      <color theme="1"/>
      <name val="WBHelveticaNeue Medium"/>
    </font>
    <font>
      <i/>
      <sz val="10"/>
      <color theme="1"/>
      <name val="WBHelveticaNeue"/>
    </font>
    <font>
      <sz val="10"/>
      <color theme="1"/>
      <name val="WBHelveticaNeue"/>
    </font>
    <font>
      <sz val="12"/>
      <color rgb="FF00642D"/>
      <name val="WBHelveticaNeue Medium"/>
    </font>
    <font>
      <sz val="10"/>
      <name val="WBHelveticaNeue"/>
    </font>
    <font>
      <sz val="12"/>
      <color rgb="FF7030A0"/>
      <name val="WBHelveticaNeue Condensed"/>
    </font>
    <font>
      <sz val="11"/>
      <color rgb="FFC00000"/>
      <name val="WBHelveticaNeue Medium"/>
    </font>
    <font>
      <sz val="14"/>
      <color rgb="FF00642D"/>
      <name val="WBHelveticaNeue Medium"/>
    </font>
    <font>
      <sz val="12"/>
      <color rgb="FFC00000"/>
      <name val="WBHelveticaNeue Condensed"/>
    </font>
    <font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4"/>
      <color rgb="FFC00000"/>
      <name val="WBHelveticaNeue Medium"/>
    </font>
    <font>
      <sz val="11"/>
      <color rgb="FF7030A0"/>
      <name val="WBHelveticaNeue Medium"/>
    </font>
    <font>
      <sz val="14"/>
      <color rgb="FFC00000"/>
      <name val="WBHelveticaNeue"/>
    </font>
    <font>
      <b/>
      <sz val="12"/>
      <color theme="1"/>
      <name val="WBHelveticaNeue Medium"/>
    </font>
    <font>
      <sz val="16"/>
      <color rgb="FF002060"/>
      <name val="WBHelveticaNeue Medium"/>
    </font>
    <font>
      <sz val="8"/>
      <color rgb="FF002060"/>
      <name val="WBHelveticaNeue"/>
    </font>
    <font>
      <sz val="12"/>
      <color theme="9" tint="-0.249977111117893"/>
      <name val="WBHelveticaNeue Medium"/>
    </font>
    <font>
      <sz val="8"/>
      <color rgb="FF7030A0"/>
      <name val="WBHelveticaNeue"/>
    </font>
    <font>
      <sz val="14"/>
      <color rgb="FF7030A0"/>
      <name val="WBHelveticaNeue Medium"/>
    </font>
    <font>
      <sz val="10"/>
      <name val="WBHelveticaNeue Medium"/>
    </font>
    <font>
      <sz val="16"/>
      <color rgb="FFC00000"/>
      <name val="WBHelveticaNeue Medium"/>
    </font>
    <font>
      <sz val="36"/>
      <color rgb="FF002060"/>
      <name val="WBHelveticaNeue Medium"/>
    </font>
    <font>
      <sz val="11"/>
      <color rgb="FF7030A0"/>
      <name val="Calibri"/>
      <family val="2"/>
      <scheme val="minor"/>
    </font>
    <font>
      <sz val="11"/>
      <color rgb="FF00642D"/>
      <name val="Calibri"/>
      <family val="2"/>
      <scheme val="minor"/>
    </font>
    <font>
      <sz val="11"/>
      <name val="WBHelveticaNeue"/>
    </font>
    <font>
      <sz val="14"/>
      <color rgb="FF002060"/>
      <name val="WBHelveticaNeue"/>
    </font>
    <font>
      <i/>
      <sz val="11"/>
      <color rgb="FF00642D"/>
      <name val="WBHelveticaNeue"/>
    </font>
    <font>
      <i/>
      <sz val="9"/>
      <color theme="1"/>
      <name val="WBHelveticaNeue"/>
    </font>
    <font>
      <i/>
      <sz val="11"/>
      <color rgb="FFC00000"/>
      <name val="WBHelveticaNeue"/>
    </font>
    <font>
      <i/>
      <sz val="9"/>
      <color rgb="FFC00000"/>
      <name val="WBHelveticaNeue"/>
    </font>
    <font>
      <b/>
      <sz val="12"/>
      <name val="Calibri"/>
      <family val="2"/>
    </font>
    <font>
      <b/>
      <sz val="12"/>
      <name val="WBHelveticaNeue"/>
    </font>
    <font>
      <i/>
      <sz val="12"/>
      <color theme="1"/>
      <name val="WBHelveticaNeue Medium"/>
    </font>
    <font>
      <sz val="12"/>
      <color rgb="FF002060"/>
      <name val="WBHelveticaNeue Medium"/>
    </font>
    <font>
      <sz val="12"/>
      <color rgb="FF7030A0"/>
      <name val="WBHelveticaNeue"/>
    </font>
    <font>
      <i/>
      <sz val="12"/>
      <color rgb="FF00642D"/>
      <name val="WBHelveticaNeue"/>
    </font>
    <font>
      <sz val="12"/>
      <color rgb="FF00642D"/>
      <name val="WBHelveticaNeue"/>
    </font>
    <font>
      <sz val="12"/>
      <color rgb="FF002060"/>
      <name val="WBHelveticaNeue"/>
    </font>
    <font>
      <i/>
      <sz val="10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i/>
      <sz val="10"/>
      <color rgb="FFC00000"/>
      <name val="WBHelveticaNeue"/>
    </font>
    <font>
      <sz val="14"/>
      <color theme="1"/>
      <name val="WBHelveticaNeue"/>
    </font>
    <font>
      <sz val="10"/>
      <color rgb="FFC00000"/>
      <name val="WBHelveticaNeue Medium"/>
    </font>
    <font>
      <sz val="14"/>
      <color theme="1"/>
      <name val="Calibri"/>
      <family val="2"/>
      <scheme val="minor"/>
    </font>
    <font>
      <sz val="14"/>
      <color rgb="FF002060"/>
      <name val="WBHelveticaNeue Medium"/>
    </font>
    <font>
      <sz val="16"/>
      <color rgb="FF7030A0"/>
      <name val="WBHelveticaNeue Medium"/>
    </font>
    <font>
      <sz val="16"/>
      <color rgb="FF00642D"/>
      <name val="WBHelveticaNeue Medium"/>
    </font>
    <font>
      <sz val="14"/>
      <color rgb="FF860000"/>
      <name val="WBHelveticaNeue"/>
    </font>
    <font>
      <sz val="16"/>
      <color rgb="FF860000"/>
      <name val="WBHelveticaNeue Medium"/>
    </font>
    <font>
      <sz val="14"/>
      <color rgb="FF860000"/>
      <name val="WBHelveticaNeue Medium"/>
    </font>
    <font>
      <sz val="24"/>
      <color theme="1"/>
      <name val="WBHelveticaNeue Medium"/>
    </font>
    <font>
      <sz val="24"/>
      <color rgb="FFC00000"/>
      <name val="WBHelveticaNeue Medium"/>
    </font>
    <font>
      <sz val="10"/>
      <color rgb="FF00642D"/>
      <name val="WBHelveticaNeue Medium"/>
    </font>
    <font>
      <sz val="9"/>
      <color rgb="FF7030A0"/>
      <name val="WBHelveticaNeue"/>
    </font>
    <font>
      <i/>
      <sz val="12"/>
      <color rgb="FF002060"/>
      <name val="WBHelveticaNeue"/>
    </font>
    <font>
      <sz val="10"/>
      <color rgb="FF7030A0"/>
      <name val="WBHelveticaNeue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2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642D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rgb="FF0070C0"/>
      </bottom>
      <diagonal/>
    </border>
    <border>
      <left style="dotted">
        <color rgb="FF00642D"/>
      </left>
      <right style="dotted">
        <color rgb="FF00642D"/>
      </right>
      <top/>
      <bottom style="thin">
        <color rgb="FF0070C0"/>
      </bottom>
      <diagonal/>
    </border>
    <border>
      <left/>
      <right style="medium">
        <color indexed="64"/>
      </right>
      <top/>
      <bottom style="thin">
        <color rgb="FF0070C0"/>
      </bottom>
      <diagonal/>
    </border>
    <border>
      <left/>
      <right/>
      <top/>
      <bottom style="hair">
        <color rgb="FF0070C0"/>
      </bottom>
      <diagonal/>
    </border>
    <border>
      <left/>
      <right style="medium">
        <color indexed="64"/>
      </right>
      <top style="thin">
        <color rgb="FF0070C0"/>
      </top>
      <bottom/>
      <diagonal/>
    </border>
    <border>
      <left/>
      <right style="medium">
        <color indexed="64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 style="medium">
        <color indexed="64"/>
      </top>
      <bottom style="hair">
        <color rgb="FF0070C0"/>
      </bottom>
      <diagonal/>
    </border>
    <border>
      <left/>
      <right/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hair">
        <color rgb="FF0070C0"/>
      </bottom>
      <diagonal/>
    </border>
    <border>
      <left style="medium">
        <color indexed="64"/>
      </left>
      <right/>
      <top style="hair">
        <color rgb="FF0070C0"/>
      </top>
      <bottom style="thin">
        <color rgb="FF0070C0"/>
      </bottom>
      <diagonal/>
    </border>
    <border>
      <left style="medium">
        <color indexed="64"/>
      </left>
      <right/>
      <top style="thin">
        <color rgb="FF0070C0"/>
      </top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thin">
        <color rgb="FF0070C0"/>
      </bottom>
      <diagonal/>
    </border>
    <border>
      <left/>
      <right style="thin">
        <color rgb="FF00642D"/>
      </right>
      <top style="hair">
        <color rgb="FF0070C0"/>
      </top>
      <bottom style="hair">
        <color rgb="FF0070C0"/>
      </bottom>
      <diagonal/>
    </border>
    <border>
      <left/>
      <right style="thin">
        <color rgb="FF00642D"/>
      </right>
      <top/>
      <bottom style="hair">
        <color rgb="FF0070C0"/>
      </bottom>
      <diagonal/>
    </border>
    <border>
      <left/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hair">
        <color rgb="FF0070C0"/>
      </top>
      <bottom style="medium">
        <color auto="1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medium">
        <color auto="1"/>
      </right>
      <top/>
      <bottom/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hair">
        <color rgb="FF0070C0"/>
      </bottom>
      <diagonal/>
    </border>
    <border>
      <left style="medium">
        <color auto="1"/>
      </left>
      <right/>
      <top style="thin">
        <color rgb="FF0070C0"/>
      </top>
      <bottom/>
      <diagonal/>
    </border>
    <border>
      <left style="thin">
        <color rgb="FF00642D"/>
      </left>
      <right style="medium">
        <color indexed="64"/>
      </right>
      <top/>
      <bottom style="hair">
        <color rgb="FF0070C0"/>
      </bottom>
      <diagonal/>
    </border>
    <border>
      <left style="medium">
        <color indexed="64"/>
      </left>
      <right/>
      <top/>
      <bottom style="hair">
        <color rgb="FF0070C0"/>
      </bottom>
      <diagonal/>
    </border>
    <border>
      <left/>
      <right style="thin">
        <color rgb="FF00642D"/>
      </right>
      <top style="hair">
        <color rgb="FF0070C0"/>
      </top>
      <bottom style="medium">
        <color indexed="64"/>
      </bottom>
      <diagonal/>
    </border>
    <border>
      <left/>
      <right/>
      <top style="hair">
        <color rgb="FF0070C0"/>
      </top>
      <bottom/>
      <diagonal/>
    </border>
    <border>
      <left/>
      <right style="thin">
        <color rgb="FF00642D"/>
      </right>
      <top style="hair">
        <color rgb="FF0070C0"/>
      </top>
      <bottom/>
      <diagonal/>
    </border>
    <border>
      <left style="thin">
        <color rgb="FF00642D"/>
      </left>
      <right style="medium">
        <color auto="1"/>
      </right>
      <top style="hair">
        <color rgb="FF0070C0"/>
      </top>
      <bottom/>
      <diagonal/>
    </border>
    <border>
      <left/>
      <right style="thin">
        <color rgb="FF00642D"/>
      </right>
      <top/>
      <bottom/>
      <diagonal/>
    </border>
    <border>
      <left style="medium">
        <color indexed="64"/>
      </left>
      <right/>
      <top/>
      <bottom style="thin">
        <color rgb="FF0070C0"/>
      </bottom>
      <diagonal/>
    </border>
    <border>
      <left style="medium">
        <color indexed="64"/>
      </left>
      <right/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thin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rgb="FF00642D"/>
      </right>
      <top/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/>
      <diagonal/>
    </border>
    <border>
      <left style="hair">
        <color rgb="FF00642D"/>
      </left>
      <right style="thin">
        <color rgb="FF00642D"/>
      </right>
      <top style="thin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indexed="64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rgb="FF00642D"/>
      </left>
      <right style="hair">
        <color rgb="FF00642D"/>
      </right>
      <top/>
      <bottom style="hair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/>
      <diagonal/>
    </border>
    <border>
      <left style="medium">
        <color auto="1"/>
      </left>
      <right/>
      <top style="hair">
        <color rgb="FF0070C0"/>
      </top>
      <bottom/>
      <diagonal/>
    </border>
    <border>
      <left style="hair">
        <color rgb="FF00642D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rgb="FF00642D"/>
      </right>
      <top style="hair">
        <color rgb="FF0070C0"/>
      </top>
      <bottom/>
      <diagonal/>
    </border>
    <border>
      <left/>
      <right style="medium">
        <color auto="1"/>
      </right>
      <top style="hair">
        <color rgb="FF0070C0"/>
      </top>
      <bottom style="medium">
        <color auto="1"/>
      </bottom>
      <diagonal/>
    </border>
    <border>
      <left style="thin">
        <color rgb="FF00642D"/>
      </left>
      <right/>
      <top style="hair">
        <color rgb="FF0070C0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medium">
        <color indexed="64"/>
      </right>
      <top style="hair">
        <color rgb="FF0070C0"/>
      </top>
      <bottom style="thin">
        <color rgb="FF0070C0"/>
      </bottom>
      <diagonal/>
    </border>
    <border>
      <left/>
      <right style="medium">
        <color indexed="64"/>
      </right>
      <top style="hair">
        <color rgb="FF0070C0"/>
      </top>
      <bottom/>
      <diagonal/>
    </border>
    <border>
      <left/>
      <right style="thin">
        <color rgb="FF7030A0"/>
      </right>
      <top style="hair">
        <color rgb="FF0070C0"/>
      </top>
      <bottom style="thin">
        <color rgb="FF0070C0"/>
      </bottom>
      <diagonal/>
    </border>
    <border>
      <left style="thin">
        <color rgb="FF7030A0"/>
      </left>
      <right/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hair">
        <color rgb="FF0070C0"/>
      </bottom>
      <diagonal/>
    </border>
    <border>
      <left/>
      <right style="thin">
        <color indexed="64"/>
      </right>
      <top style="hair">
        <color rgb="FF0070C0"/>
      </top>
      <bottom/>
      <diagonal/>
    </border>
    <border>
      <left style="medium">
        <color indexed="64"/>
      </left>
      <right/>
      <top style="thin">
        <color rgb="FF0070C0"/>
      </top>
      <bottom style="medium">
        <color indexed="64"/>
      </bottom>
      <diagonal/>
    </border>
    <border>
      <left/>
      <right/>
      <top style="thin">
        <color rgb="FF0070C0"/>
      </top>
      <bottom style="medium">
        <color indexed="64"/>
      </bottom>
      <diagonal/>
    </border>
    <border>
      <left/>
      <right style="thin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medium">
        <color auto="1"/>
      </right>
      <top style="thin">
        <color rgb="FF0070C0"/>
      </top>
      <bottom style="medium">
        <color indexed="64"/>
      </bottom>
      <diagonal/>
    </border>
    <border>
      <left style="thin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medium">
        <color indexed="64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rgb="FF0070C0"/>
      </bottom>
      <diagonal/>
    </border>
    <border>
      <left/>
      <right style="thin">
        <color indexed="64"/>
      </right>
      <top style="hair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indexed="64"/>
      </left>
      <right/>
      <top style="hair">
        <color rgb="FF0070C0"/>
      </top>
      <bottom style="medium">
        <color rgb="FFC00000"/>
      </bottom>
      <diagonal/>
    </border>
    <border>
      <left/>
      <right/>
      <top style="hair">
        <color rgb="FF0070C0"/>
      </top>
      <bottom style="medium">
        <color rgb="FFC00000"/>
      </bottom>
      <diagonal/>
    </border>
    <border>
      <left/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C00000"/>
      </bottom>
      <diagonal/>
    </border>
    <border>
      <left style="hair">
        <color rgb="FF00642D"/>
      </left>
      <right style="thin">
        <color rgb="FF00642D"/>
      </right>
      <top style="hair">
        <color rgb="FF0070C0"/>
      </top>
      <bottom style="medium">
        <color rgb="FFC00000"/>
      </bottom>
      <diagonal/>
    </border>
    <border>
      <left style="thin">
        <color rgb="FF00642D"/>
      </left>
      <right style="medium">
        <color auto="1"/>
      </right>
      <top style="hair">
        <color rgb="FF0070C0"/>
      </top>
      <bottom style="medium">
        <color rgb="FFC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hair">
        <color rgb="FF00642D"/>
      </right>
      <top style="medium">
        <color indexed="64"/>
      </top>
      <bottom/>
      <diagonal/>
    </border>
    <border>
      <left style="hair">
        <color rgb="FF00642D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/>
      <bottom/>
      <diagonal/>
    </border>
    <border>
      <left style="hair">
        <color rgb="FF00642D"/>
      </left>
      <right style="hair">
        <color rgb="FF00642D"/>
      </right>
      <top/>
      <bottom/>
      <diagonal/>
    </border>
    <border>
      <left style="hair">
        <color rgb="FF00642D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642D"/>
      </right>
      <top/>
      <bottom style="thin">
        <color rgb="FF0070C0"/>
      </bottom>
      <diagonal/>
    </border>
    <border>
      <left style="hair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rgb="FF00642D"/>
      </right>
      <top/>
      <bottom style="hair">
        <color rgb="FF0070C0"/>
      </bottom>
      <diagonal/>
    </border>
    <border>
      <left style="hair">
        <color rgb="FF00642D"/>
      </left>
      <right style="thin">
        <color indexed="64"/>
      </right>
      <top/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/>
      <diagonal/>
    </border>
    <border>
      <left style="hair">
        <color rgb="FF00642D"/>
      </left>
      <right style="thin">
        <color indexed="64"/>
      </right>
      <top style="hair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auto="1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/>
      <diagonal/>
    </border>
    <border>
      <left style="thin">
        <color indexed="64"/>
      </left>
      <right/>
      <top style="medium">
        <color indexed="64"/>
      </top>
      <bottom style="hair">
        <color rgb="FF0070C0"/>
      </bottom>
      <diagonal/>
    </border>
    <border>
      <left/>
      <right style="medium">
        <color indexed="64"/>
      </right>
      <top style="medium">
        <color indexed="64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hair">
        <color rgb="FF0070C0"/>
      </bottom>
      <diagonal/>
    </border>
    <border>
      <left style="thin">
        <color indexed="64"/>
      </left>
      <right/>
      <top style="hair">
        <color rgb="FF0070C0"/>
      </top>
      <bottom style="medium">
        <color indexed="64"/>
      </bottom>
      <diagonal/>
    </border>
    <border>
      <left/>
      <right style="thin">
        <color auto="1"/>
      </right>
      <top style="hair">
        <color rgb="FF0070C0"/>
      </top>
      <bottom style="medium">
        <color indexed="64"/>
      </bottom>
      <diagonal/>
    </border>
    <border>
      <left/>
      <right style="thin">
        <color indexed="64"/>
      </right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 style="medium">
        <color rgb="FF00642D"/>
      </top>
      <bottom/>
      <diagonal/>
    </border>
    <border>
      <left/>
      <right style="medium">
        <color rgb="FF00642D"/>
      </right>
      <top style="medium">
        <color rgb="FF00642D"/>
      </top>
      <bottom/>
      <diagonal/>
    </border>
    <border>
      <left style="medium">
        <color rgb="FF00642D"/>
      </left>
      <right/>
      <top/>
      <bottom/>
      <diagonal/>
    </border>
    <border>
      <left/>
      <right style="medium">
        <color rgb="FF00642D"/>
      </right>
      <top/>
      <bottom/>
      <diagonal/>
    </border>
    <border>
      <left style="medium">
        <color rgb="FF00642D"/>
      </left>
      <right/>
      <top/>
      <bottom style="thin">
        <color rgb="FF0070C0"/>
      </bottom>
      <diagonal/>
    </border>
    <border>
      <left/>
      <right style="medium">
        <color rgb="FF00642D"/>
      </right>
      <top/>
      <bottom style="thin">
        <color rgb="FF0070C0"/>
      </bottom>
      <diagonal/>
    </border>
    <border>
      <left style="medium">
        <color rgb="FF00642D"/>
      </left>
      <right/>
      <top style="thin">
        <color rgb="FF0070C0"/>
      </top>
      <bottom style="hair">
        <color rgb="FF0070C0"/>
      </bottom>
      <diagonal/>
    </border>
    <border>
      <left/>
      <right style="medium">
        <color rgb="FF00642D"/>
      </right>
      <top style="thin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hair">
        <color rgb="FF0070C0"/>
      </bottom>
      <diagonal/>
    </border>
    <border>
      <left/>
      <right style="medium">
        <color rgb="FF00642D"/>
      </right>
      <top/>
      <bottom style="hair">
        <color rgb="FF0070C0"/>
      </bottom>
      <diagonal/>
    </border>
    <border>
      <left style="medium">
        <color rgb="FF00642D"/>
      </left>
      <right/>
      <top style="hair">
        <color rgb="FF0070C0"/>
      </top>
      <bottom style="medium">
        <color rgb="FFC00000"/>
      </bottom>
      <diagonal/>
    </border>
    <border>
      <left/>
      <right style="medium">
        <color rgb="FF00642D"/>
      </right>
      <top style="hair">
        <color rgb="FF0070C0"/>
      </top>
      <bottom style="medium">
        <color rgb="FFC00000"/>
      </bottom>
      <diagonal/>
    </border>
    <border>
      <left style="medium">
        <color rgb="FF00642D"/>
      </left>
      <right/>
      <top/>
      <bottom style="medium">
        <color rgb="FF00642D"/>
      </bottom>
      <diagonal/>
    </border>
    <border>
      <left/>
      <right style="medium">
        <color rgb="FF00642D"/>
      </right>
      <top/>
      <bottom style="medium">
        <color rgb="FF00642D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00642D"/>
      </left>
      <right/>
      <top style="hair">
        <color rgb="FF0070C0"/>
      </top>
      <bottom style="hair">
        <color rgb="FF0070C0"/>
      </bottom>
      <diagonal/>
    </border>
    <border>
      <left style="medium">
        <color rgb="FF00642D"/>
      </left>
      <right/>
      <top/>
      <bottom style="medium">
        <color rgb="FFC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 style="hair">
        <color rgb="FF00642D"/>
      </right>
      <top style="thin">
        <color indexed="64"/>
      </top>
      <bottom style="medium">
        <color indexed="64"/>
      </bottom>
      <diagonal/>
    </border>
    <border>
      <left style="hair">
        <color rgb="FF00642D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/>
      <bottom/>
      <diagonal/>
    </border>
    <border>
      <left style="hair">
        <color rgb="FF00642D"/>
      </left>
      <right style="medium">
        <color rgb="FF0070C0"/>
      </right>
      <top/>
      <bottom/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/>
      <bottom style="thin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/>
      <bottom style="medium">
        <color rgb="FF0070C0"/>
      </bottom>
      <diagonal/>
    </border>
    <border>
      <left style="hair">
        <color rgb="FF00642D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thin">
        <color indexed="64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hair">
        <color rgb="FF00642D"/>
      </right>
      <top style="medium">
        <color rgb="FF0070C0"/>
      </top>
      <bottom/>
      <diagonal/>
    </border>
    <border>
      <left style="hair">
        <color rgb="FF00642D"/>
      </left>
      <right style="medium">
        <color rgb="FF0070C0"/>
      </right>
      <top style="medium">
        <color rgb="FF0070C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rgb="FF00642D"/>
      </left>
      <right/>
      <top style="medium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/>
      <diagonal/>
    </border>
    <border>
      <left style="hair">
        <color rgb="FF00642D"/>
      </left>
      <right/>
      <top style="thin">
        <color rgb="FF0070C0"/>
      </top>
      <bottom style="thin">
        <color rgb="FF0070C0"/>
      </bottom>
      <diagonal/>
    </border>
    <border>
      <left style="hair">
        <color rgb="FF00642D"/>
      </left>
      <right/>
      <top/>
      <bottom style="thin">
        <color rgb="FF0070C0"/>
      </bottom>
      <diagonal/>
    </border>
    <border>
      <left style="hair">
        <color rgb="FF00642D"/>
      </left>
      <right/>
      <top style="thin">
        <color rgb="FF0070C0"/>
      </top>
      <bottom style="medium">
        <color rgb="FF0070C0"/>
      </bottom>
      <diagonal/>
    </border>
    <border>
      <left style="hair">
        <color rgb="FF00642D"/>
      </left>
      <right/>
      <top style="medium">
        <color rgb="FF0070C0"/>
      </top>
      <bottom/>
      <diagonal/>
    </border>
    <border>
      <left style="thin">
        <color rgb="FF00642D"/>
      </left>
      <right style="hair">
        <color rgb="FF00642D"/>
      </right>
      <top style="medium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/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thin">
        <color rgb="FF0070C0"/>
      </bottom>
      <diagonal/>
    </border>
    <border>
      <left style="thin">
        <color rgb="FF00642D"/>
      </left>
      <right style="hair">
        <color rgb="FF00642D"/>
      </right>
      <top/>
      <bottom style="thin">
        <color rgb="FF0070C0"/>
      </bottom>
      <diagonal/>
    </border>
    <border>
      <left style="thin">
        <color rgb="FF00642D"/>
      </left>
      <right style="hair">
        <color rgb="FF00642D"/>
      </right>
      <top style="thin">
        <color rgb="FF0070C0"/>
      </top>
      <bottom style="medium">
        <color rgb="FF0070C0"/>
      </bottom>
      <diagonal/>
    </border>
    <border>
      <left style="thin">
        <color rgb="FF00642D"/>
      </left>
      <right style="hair">
        <color rgb="FF00642D"/>
      </right>
      <top style="medium">
        <color rgb="FF0070C0"/>
      </top>
      <bottom/>
      <diagonal/>
    </border>
    <border>
      <left style="thin">
        <color indexed="64"/>
      </left>
      <right/>
      <top style="hair">
        <color rgb="FF0070C0"/>
      </top>
      <bottom style="medium">
        <color rgb="FF0070C0"/>
      </bottom>
      <diagonal/>
    </border>
    <border>
      <left/>
      <right/>
      <top style="hair">
        <color rgb="FF0070C0"/>
      </top>
      <bottom style="medium">
        <color rgb="FF0070C0"/>
      </bottom>
      <diagonal/>
    </border>
    <border>
      <left/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hair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hair">
        <color rgb="FF0070C0"/>
      </top>
      <bottom style="medium">
        <color rgb="FF0070C0"/>
      </bottom>
      <diagonal/>
    </border>
    <border>
      <left style="thin">
        <color indexed="64"/>
      </left>
      <right/>
      <top style="medium">
        <color rgb="FF0070C0"/>
      </top>
      <bottom style="hair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hair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hair">
        <color rgb="FF0070C0"/>
      </bottom>
      <diagonal/>
    </border>
    <border>
      <left style="thin">
        <color indexed="64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hair">
        <color rgb="FF00642D"/>
      </right>
      <top style="medium">
        <color rgb="FF0070C0"/>
      </top>
      <bottom style="medium">
        <color rgb="FF0070C0"/>
      </bottom>
      <diagonal/>
    </border>
    <border>
      <left style="hair">
        <color rgb="FF00642D"/>
      </left>
      <right style="thin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auto="1"/>
      </left>
      <right style="medium">
        <color indexed="64"/>
      </right>
      <top style="medium">
        <color rgb="FF0070C0"/>
      </top>
      <bottom style="medium">
        <color rgb="FF0070C0"/>
      </bottom>
      <diagonal/>
    </border>
    <border>
      <left style="thin">
        <color rgb="FF00642D"/>
      </left>
      <right style="medium">
        <color indexed="64"/>
      </right>
      <top style="medium">
        <color rgb="FFC00000"/>
      </top>
      <bottom style="hair">
        <color rgb="FF0070C0"/>
      </bottom>
      <diagonal/>
    </border>
    <border>
      <left style="thin">
        <color rgb="FF00642D"/>
      </left>
      <right style="medium">
        <color indexed="64"/>
      </right>
      <top/>
      <bottom style="medium">
        <color rgb="FFC00000"/>
      </bottom>
      <diagonal/>
    </border>
    <border>
      <left/>
      <right style="medium">
        <color indexed="64"/>
      </right>
      <top style="hair">
        <color rgb="FF0070C0"/>
      </top>
      <bottom style="hair">
        <color rgb="FF0070C0"/>
      </bottom>
      <diagonal/>
    </border>
    <border>
      <left/>
      <right style="medium">
        <color indexed="64"/>
      </right>
      <top style="hair">
        <color rgb="FF0070C0"/>
      </top>
      <bottom style="medium">
        <color rgb="FFC00000"/>
      </bottom>
      <diagonal/>
    </border>
    <border>
      <left style="medium">
        <color indexed="64"/>
      </left>
      <right/>
      <top style="medium">
        <color rgb="FFC00000"/>
      </top>
      <bottom style="medium">
        <color indexed="64"/>
      </bottom>
      <diagonal/>
    </border>
    <border>
      <left/>
      <right/>
      <top style="medium">
        <color rgb="FFC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C00000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2">
    <xf numFmtId="0" fontId="0" fillId="0" borderId="0" xfId="0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1" fontId="20" fillId="0" borderId="7" xfId="0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/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9" fontId="17" fillId="0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9" fontId="16" fillId="0" borderId="0" xfId="1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9" fontId="35" fillId="0" borderId="7" xfId="1" applyFont="1" applyBorder="1" applyAlignment="1">
      <alignment horizontal="center" vertical="center"/>
    </xf>
    <xf numFmtId="1" fontId="21" fillId="0" borderId="7" xfId="0" applyNumberFormat="1" applyFont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1" fontId="17" fillId="0" borderId="10" xfId="0" applyNumberFormat="1" applyFont="1" applyBorder="1" applyAlignment="1">
      <alignment horizontal="center" vertical="center"/>
    </xf>
    <xf numFmtId="1" fontId="20" fillId="0" borderId="10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5" fillId="0" borderId="28" xfId="0" applyFont="1" applyBorder="1" applyAlignment="1">
      <alignment horizontal="center" vertical="center"/>
    </xf>
    <xf numFmtId="9" fontId="28" fillId="0" borderId="7" xfId="1" applyFont="1" applyBorder="1" applyAlignment="1">
      <alignment horizontal="center" vertical="center"/>
    </xf>
    <xf numFmtId="1" fontId="21" fillId="0" borderId="28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14" fillId="5" borderId="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14" fillId="5" borderId="1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9" fontId="28" fillId="0" borderId="1" xfId="1" applyFont="1" applyBorder="1" applyAlignment="1">
      <alignment horizontal="center" vertical="center"/>
    </xf>
    <xf numFmtId="0" fontId="5" fillId="5" borderId="24" xfId="0" applyFont="1" applyFill="1" applyBorder="1" applyAlignment="1">
      <alignment vertical="center"/>
    </xf>
    <xf numFmtId="0" fontId="39" fillId="0" borderId="7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15" xfId="0" applyBorder="1"/>
    <xf numFmtId="0" fontId="0" fillId="0" borderId="1" xfId="0" applyBorder="1"/>
    <xf numFmtId="0" fontId="0" fillId="0" borderId="24" xfId="0" applyBorder="1"/>
    <xf numFmtId="0" fontId="0" fillId="0" borderId="29" xfId="0" applyBorder="1"/>
    <xf numFmtId="0" fontId="0" fillId="0" borderId="26" xfId="0" applyBorder="1"/>
    <xf numFmtId="0" fontId="0" fillId="0" borderId="30" xfId="0" applyBorder="1"/>
    <xf numFmtId="9" fontId="17" fillId="0" borderId="0" xfId="0" applyNumberFormat="1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/>
    </xf>
    <xf numFmtId="0" fontId="42" fillId="7" borderId="0" xfId="0" applyFont="1" applyFill="1" applyBorder="1" applyAlignment="1">
      <alignment horizontal="right" vertical="center"/>
    </xf>
    <xf numFmtId="9" fontId="16" fillId="7" borderId="0" xfId="1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42" fillId="7" borderId="3" xfId="0" applyFont="1" applyFill="1" applyBorder="1" applyAlignment="1">
      <alignment horizontal="right" vertical="center"/>
    </xf>
    <xf numFmtId="0" fontId="27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1" fontId="38" fillId="0" borderId="1" xfId="0" applyNumberFormat="1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0" fillId="0" borderId="26" xfId="0" applyBorder="1" applyAlignment="1">
      <alignment vertical="center"/>
    </xf>
    <xf numFmtId="9" fontId="17" fillId="0" borderId="26" xfId="1" applyFont="1" applyBorder="1" applyAlignment="1">
      <alignment horizontal="center" vertical="center"/>
    </xf>
    <xf numFmtId="0" fontId="22" fillId="0" borderId="26" xfId="0" applyFont="1" applyBorder="1" applyAlignment="1">
      <alignment horizontal="right" vertical="center"/>
    </xf>
    <xf numFmtId="0" fontId="5" fillId="0" borderId="40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2" fillId="0" borderId="27" xfId="0" applyFont="1" applyBorder="1" applyAlignment="1">
      <alignment horizontal="right" vertical="center"/>
    </xf>
    <xf numFmtId="9" fontId="16" fillId="0" borderId="37" xfId="0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9" fontId="16" fillId="0" borderId="36" xfId="0" applyNumberFormat="1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0" fillId="0" borderId="28" xfId="0" applyBorder="1" applyAlignment="1">
      <alignment vertical="center"/>
    </xf>
    <xf numFmtId="9" fontId="17" fillId="0" borderId="28" xfId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9" fontId="17" fillId="0" borderId="25" xfId="1" applyFont="1" applyBorder="1" applyAlignment="1">
      <alignment horizontal="center" vertical="center"/>
    </xf>
    <xf numFmtId="0" fontId="22" fillId="0" borderId="25" xfId="0" applyFont="1" applyBorder="1" applyAlignment="1">
      <alignment horizontal="right" vertical="center"/>
    </xf>
    <xf numFmtId="0" fontId="0" fillId="0" borderId="31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0" xfId="0" applyBorder="1" applyAlignment="1">
      <alignment vertical="center"/>
    </xf>
    <xf numFmtId="9" fontId="17" fillId="0" borderId="30" xfId="1" applyFont="1" applyBorder="1" applyAlignment="1">
      <alignment horizontal="center" vertical="center"/>
    </xf>
    <xf numFmtId="0" fontId="22" fillId="0" borderId="30" xfId="0" applyFont="1" applyBorder="1" applyAlignment="1">
      <alignment horizontal="right" vertical="center"/>
    </xf>
    <xf numFmtId="0" fontId="5" fillId="0" borderId="44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0" fillId="0" borderId="10" xfId="0" applyBorder="1"/>
    <xf numFmtId="0" fontId="27" fillId="0" borderId="10" xfId="0" applyFont="1" applyBorder="1" applyAlignment="1">
      <alignment horizontal="right" vertical="center"/>
    </xf>
    <xf numFmtId="0" fontId="0" fillId="0" borderId="38" xfId="0" applyBorder="1"/>
    <xf numFmtId="0" fontId="0" fillId="0" borderId="45" xfId="0" applyBorder="1" applyAlignment="1">
      <alignment vertical="center"/>
    </xf>
    <xf numFmtId="9" fontId="17" fillId="0" borderId="10" xfId="1" applyFont="1" applyBorder="1" applyAlignment="1">
      <alignment horizontal="center" vertical="center"/>
    </xf>
    <xf numFmtId="0" fontId="22" fillId="0" borderId="10" xfId="0" applyFont="1" applyBorder="1" applyAlignment="1">
      <alignment horizontal="right" vertical="center"/>
    </xf>
    <xf numFmtId="9" fontId="28" fillId="0" borderId="28" xfId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37" xfId="0" applyFont="1" applyBorder="1" applyAlignment="1">
      <alignment horizontal="right" vertical="center"/>
    </xf>
    <xf numFmtId="0" fontId="33" fillId="0" borderId="37" xfId="0" applyFont="1" applyBorder="1" applyAlignment="1">
      <alignment horizontal="right" vertical="center"/>
    </xf>
    <xf numFmtId="0" fontId="27" fillId="0" borderId="10" xfId="0" applyFont="1" applyBorder="1" applyAlignment="1">
      <alignment horizontal="left" vertical="center"/>
    </xf>
    <xf numFmtId="9" fontId="17" fillId="0" borderId="27" xfId="1" applyFont="1" applyBorder="1" applyAlignment="1">
      <alignment horizontal="center" vertical="center"/>
    </xf>
    <xf numFmtId="0" fontId="0" fillId="0" borderId="36" xfId="0" applyBorder="1"/>
    <xf numFmtId="0" fontId="5" fillId="0" borderId="29" xfId="0" applyFont="1" applyBorder="1" applyAlignment="1">
      <alignment vertical="center"/>
    </xf>
    <xf numFmtId="0" fontId="27" fillId="0" borderId="28" xfId="0" applyFont="1" applyBorder="1" applyAlignment="1">
      <alignment horizontal="right" vertical="center"/>
    </xf>
    <xf numFmtId="0" fontId="35" fillId="5" borderId="0" xfId="0" quotePrefix="1" applyFont="1" applyFill="1" applyBorder="1" applyAlignment="1">
      <alignment horizontal="center" vertical="center" wrapText="1"/>
    </xf>
    <xf numFmtId="0" fontId="0" fillId="0" borderId="50" xfId="0" applyBorder="1" applyAlignment="1">
      <alignment vertical="center"/>
    </xf>
    <xf numFmtId="0" fontId="25" fillId="0" borderId="45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16" fillId="0" borderId="51" xfId="0" applyFont="1" applyBorder="1" applyAlignment="1">
      <alignment horizontal="center" vertical="center"/>
    </xf>
    <xf numFmtId="1" fontId="51" fillId="0" borderId="39" xfId="0" applyNumberFormat="1" applyFont="1" applyBorder="1" applyAlignment="1">
      <alignment horizontal="center" vertical="center"/>
    </xf>
    <xf numFmtId="20" fontId="27" fillId="0" borderId="25" xfId="0" applyNumberFormat="1" applyFont="1" applyBorder="1" applyAlignment="1">
      <alignment horizontal="center" vertical="center"/>
    </xf>
    <xf numFmtId="20" fontId="27" fillId="0" borderId="10" xfId="0" applyNumberFormat="1" applyFont="1" applyBorder="1" applyAlignment="1">
      <alignment horizontal="center" vertical="center"/>
    </xf>
    <xf numFmtId="0" fontId="52" fillId="0" borderId="1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2" fillId="0" borderId="53" xfId="0" applyFont="1" applyBorder="1" applyAlignment="1">
      <alignment vertical="top"/>
    </xf>
    <xf numFmtId="0" fontId="47" fillId="0" borderId="33" xfId="0" applyFont="1" applyBorder="1" applyAlignment="1">
      <alignment vertical="center" textRotation="90" wrapText="1"/>
    </xf>
    <xf numFmtId="0" fontId="32" fillId="0" borderId="26" xfId="0" applyFont="1" applyBorder="1" applyAlignment="1">
      <alignment vertical="top"/>
    </xf>
    <xf numFmtId="0" fontId="47" fillId="0" borderId="40" xfId="0" applyFont="1" applyBorder="1" applyAlignment="1">
      <alignment vertical="center" textRotation="90" wrapText="1"/>
    </xf>
    <xf numFmtId="0" fontId="35" fillId="5" borderId="57" xfId="0" quotePrefix="1" applyFont="1" applyFill="1" applyBorder="1" applyAlignment="1">
      <alignment horizontal="center" vertical="center" wrapText="1"/>
    </xf>
    <xf numFmtId="1" fontId="17" fillId="0" borderId="60" xfId="0" applyNumberFormat="1" applyFont="1" applyBorder="1" applyAlignment="1">
      <alignment horizontal="center" vertical="center"/>
    </xf>
    <xf numFmtId="1" fontId="21" fillId="0" borderId="57" xfId="0" applyNumberFormat="1" applyFont="1" applyBorder="1" applyAlignment="1">
      <alignment horizontal="center" vertical="center"/>
    </xf>
    <xf numFmtId="1" fontId="21" fillId="0" borderId="59" xfId="0" applyNumberFormat="1" applyFont="1" applyBorder="1" applyAlignment="1">
      <alignment horizontal="center" vertical="center"/>
    </xf>
    <xf numFmtId="1" fontId="17" fillId="0" borderId="56" xfId="0" applyNumberFormat="1" applyFont="1" applyBorder="1" applyAlignment="1">
      <alignment horizontal="center" vertical="center"/>
    </xf>
    <xf numFmtId="1" fontId="17" fillId="0" borderId="58" xfId="0" applyNumberFormat="1" applyFont="1" applyBorder="1" applyAlignment="1">
      <alignment horizontal="center" vertical="center"/>
    </xf>
    <xf numFmtId="1" fontId="17" fillId="0" borderId="61" xfId="0" applyNumberFormat="1" applyFont="1" applyBorder="1" applyAlignment="1">
      <alignment horizontal="center" vertical="center"/>
    </xf>
    <xf numFmtId="1" fontId="21" fillId="0" borderId="62" xfId="0" applyNumberFormat="1" applyFont="1" applyBorder="1" applyAlignment="1">
      <alignment horizontal="center" vertical="center"/>
    </xf>
    <xf numFmtId="9" fontId="17" fillId="0" borderId="54" xfId="1" applyFont="1" applyBorder="1" applyAlignment="1">
      <alignment horizontal="center" vertical="center"/>
    </xf>
    <xf numFmtId="9" fontId="17" fillId="0" borderId="60" xfId="1" applyFont="1" applyBorder="1" applyAlignment="1">
      <alignment horizontal="center" vertical="center"/>
    </xf>
    <xf numFmtId="9" fontId="17" fillId="0" borderId="61" xfId="1" applyFont="1" applyBorder="1" applyAlignment="1">
      <alignment horizontal="center" vertical="center"/>
    </xf>
    <xf numFmtId="1" fontId="17" fillId="0" borderId="57" xfId="0" applyNumberFormat="1" applyFont="1" applyBorder="1" applyAlignment="1">
      <alignment horizontal="center" vertical="center"/>
    </xf>
    <xf numFmtId="1" fontId="17" fillId="0" borderId="59" xfId="0" applyNumberFormat="1" applyFont="1" applyBorder="1" applyAlignment="1">
      <alignment horizontal="center" vertical="center"/>
    </xf>
    <xf numFmtId="1" fontId="17" fillId="0" borderId="68" xfId="0" applyNumberFormat="1" applyFont="1" applyBorder="1" applyAlignment="1">
      <alignment horizontal="center" vertical="center"/>
    </xf>
    <xf numFmtId="1" fontId="17" fillId="0" borderId="69" xfId="0" applyNumberFormat="1" applyFont="1" applyBorder="1" applyAlignment="1">
      <alignment horizontal="center" vertical="center"/>
    </xf>
    <xf numFmtId="1" fontId="21" fillId="0" borderId="68" xfId="0" applyNumberFormat="1" applyFont="1" applyBorder="1" applyAlignment="1">
      <alignment horizontal="center" vertical="center"/>
    </xf>
    <xf numFmtId="1" fontId="17" fillId="0" borderId="67" xfId="0" applyNumberFormat="1" applyFont="1" applyBorder="1" applyAlignment="1">
      <alignment horizontal="center" vertical="center"/>
    </xf>
    <xf numFmtId="1" fontId="21" fillId="0" borderId="70" xfId="0" applyNumberFormat="1" applyFont="1" applyBorder="1" applyAlignment="1">
      <alignment horizontal="center" vertical="center"/>
    </xf>
    <xf numFmtId="9" fontId="17" fillId="0" borderId="66" xfId="1" applyFont="1" applyBorder="1" applyAlignment="1">
      <alignment horizontal="center" vertical="center"/>
    </xf>
    <xf numFmtId="9" fontId="17" fillId="0" borderId="69" xfId="1" applyFont="1" applyBorder="1" applyAlignment="1">
      <alignment horizontal="center" vertical="center"/>
    </xf>
    <xf numFmtId="1" fontId="17" fillId="0" borderId="64" xfId="0" applyNumberFormat="1" applyFont="1" applyBorder="1" applyAlignment="1">
      <alignment horizontal="center" vertical="center"/>
    </xf>
    <xf numFmtId="9" fontId="15" fillId="9" borderId="0" xfId="0" applyNumberFormat="1" applyFont="1" applyFill="1" applyBorder="1" applyAlignment="1">
      <alignment horizontal="center" vertical="center"/>
    </xf>
    <xf numFmtId="1" fontId="21" fillId="10" borderId="0" xfId="0" applyNumberFormat="1" applyFont="1" applyFill="1" applyBorder="1" applyAlignment="1">
      <alignment horizontal="center" vertical="center"/>
    </xf>
    <xf numFmtId="0" fontId="53" fillId="0" borderId="65" xfId="0" applyFont="1" applyBorder="1" applyAlignment="1">
      <alignment horizontal="center" vertical="center"/>
    </xf>
    <xf numFmtId="1" fontId="45" fillId="0" borderId="62" xfId="0" applyNumberFormat="1" applyFont="1" applyBorder="1" applyAlignment="1">
      <alignment horizontal="center" vertical="center"/>
    </xf>
    <xf numFmtId="1" fontId="45" fillId="0" borderId="63" xfId="0" applyNumberFormat="1" applyFont="1" applyBorder="1" applyAlignment="1">
      <alignment horizontal="center" vertical="center"/>
    </xf>
    <xf numFmtId="9" fontId="38" fillId="0" borderId="54" xfId="1" applyFont="1" applyBorder="1" applyAlignment="1">
      <alignment horizontal="center" vertical="center"/>
    </xf>
    <xf numFmtId="9" fontId="38" fillId="0" borderId="55" xfId="1" applyFont="1" applyBorder="1" applyAlignment="1">
      <alignment horizontal="center" vertical="center"/>
    </xf>
    <xf numFmtId="0" fontId="5" fillId="0" borderId="71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5" fillId="0" borderId="48" xfId="0" applyFont="1" applyBorder="1" applyAlignment="1">
      <alignment vertical="center"/>
    </xf>
    <xf numFmtId="9" fontId="17" fillId="0" borderId="48" xfId="1" applyFont="1" applyBorder="1" applyAlignment="1">
      <alignment horizontal="center" vertical="center"/>
    </xf>
    <xf numFmtId="0" fontId="51" fillId="0" borderId="49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0" fontId="43" fillId="0" borderId="72" xfId="0" applyFont="1" applyBorder="1" applyAlignment="1">
      <alignment horizontal="center" vertical="center"/>
    </xf>
    <xf numFmtId="0" fontId="53" fillId="0" borderId="72" xfId="0" applyFont="1" applyBorder="1" applyAlignment="1">
      <alignment horizontal="center" vertical="center"/>
    </xf>
    <xf numFmtId="0" fontId="53" fillId="0" borderId="73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0" fillId="0" borderId="74" xfId="0" applyBorder="1" applyAlignment="1">
      <alignment vertical="center"/>
    </xf>
    <xf numFmtId="0" fontId="53" fillId="0" borderId="7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left"/>
    </xf>
    <xf numFmtId="0" fontId="13" fillId="0" borderId="16" xfId="0" applyFont="1" applyFill="1" applyBorder="1" applyAlignment="1">
      <alignment horizontal="center" wrapText="1"/>
    </xf>
    <xf numFmtId="0" fontId="5" fillId="0" borderId="0" xfId="0" applyFont="1"/>
    <xf numFmtId="49" fontId="30" fillId="0" borderId="0" xfId="0" applyNumberFormat="1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left" vertical="center" wrapText="1"/>
    </xf>
    <xf numFmtId="0" fontId="30" fillId="0" borderId="0" xfId="0" applyFont="1" applyAlignment="1">
      <alignment horizontal="center"/>
    </xf>
    <xf numFmtId="1" fontId="30" fillId="0" borderId="0" xfId="0" applyNumberFormat="1" applyFont="1" applyAlignment="1">
      <alignment horizontal="center" vertical="center" wrapText="1"/>
    </xf>
    <xf numFmtId="0" fontId="55" fillId="2" borderId="16" xfId="0" applyFont="1" applyFill="1" applyBorder="1" applyAlignment="1">
      <alignment vertical="center"/>
    </xf>
    <xf numFmtId="0" fontId="55" fillId="2" borderId="16" xfId="0" applyFont="1" applyFill="1" applyBorder="1" applyAlignment="1">
      <alignment horizontal="center" vertical="center"/>
    </xf>
    <xf numFmtId="0" fontId="56" fillId="2" borderId="16" xfId="0" applyFont="1" applyFill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1" fontId="37" fillId="0" borderId="66" xfId="0" quotePrefix="1" applyNumberFormat="1" applyFont="1" applyFill="1" applyBorder="1" applyAlignment="1">
      <alignment horizontal="center" vertical="center" wrapText="1"/>
    </xf>
    <xf numFmtId="1" fontId="37" fillId="0" borderId="54" xfId="0" quotePrefix="1" applyNumberFormat="1" applyFont="1" applyFill="1" applyBorder="1" applyAlignment="1">
      <alignment horizontal="center" vertical="center" wrapText="1"/>
    </xf>
    <xf numFmtId="0" fontId="35" fillId="0" borderId="54" xfId="0" quotePrefix="1" applyFont="1" applyFill="1" applyBorder="1" applyAlignment="1">
      <alignment horizontal="center" vertical="center" wrapText="1"/>
    </xf>
    <xf numFmtId="0" fontId="13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center" vertical="center" wrapText="1"/>
    </xf>
    <xf numFmtId="0" fontId="19" fillId="0" borderId="54" xfId="0" quotePrefix="1" applyFont="1" applyFill="1" applyBorder="1" applyAlignment="1">
      <alignment horizontal="left" vertical="center" wrapText="1"/>
    </xf>
    <xf numFmtId="0" fontId="19" fillId="0" borderId="55" xfId="0" quotePrefix="1" applyFont="1" applyFill="1" applyBorder="1" applyAlignment="1">
      <alignment horizontal="center" vertical="center" wrapText="1"/>
    </xf>
    <xf numFmtId="1" fontId="37" fillId="0" borderId="67" xfId="0" quotePrefix="1" applyNumberFormat="1" applyFont="1" applyFill="1" applyBorder="1" applyAlignment="1">
      <alignment horizontal="center" vertical="center" wrapText="1"/>
    </xf>
    <xf numFmtId="1" fontId="37" fillId="0" borderId="56" xfId="0" quotePrefix="1" applyNumberFormat="1" applyFont="1" applyFill="1" applyBorder="1" applyAlignment="1">
      <alignment horizontal="center" vertical="center" wrapText="1"/>
    </xf>
    <xf numFmtId="0" fontId="35" fillId="0" borderId="57" xfId="0" quotePrefix="1" applyFont="1" applyFill="1" applyBorder="1" applyAlignment="1">
      <alignment horizontal="center" vertical="center" wrapText="1"/>
    </xf>
    <xf numFmtId="0" fontId="13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center" vertical="center" wrapText="1"/>
    </xf>
    <xf numFmtId="0" fontId="19" fillId="0" borderId="56" xfId="0" quotePrefix="1" applyFont="1" applyFill="1" applyBorder="1" applyAlignment="1">
      <alignment horizontal="left" vertical="center" wrapText="1"/>
    </xf>
    <xf numFmtId="0" fontId="19" fillId="0" borderId="58" xfId="0" quotePrefix="1" applyFont="1" applyFill="1" applyBorder="1" applyAlignment="1">
      <alignment horizontal="center" vertical="center" wrapText="1"/>
    </xf>
    <xf numFmtId="1" fontId="37" fillId="0" borderId="57" xfId="0" quotePrefix="1" applyNumberFormat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center" vertical="center" wrapText="1"/>
    </xf>
    <xf numFmtId="0" fontId="19" fillId="0" borderId="57" xfId="0" quotePrefix="1" applyFont="1" applyFill="1" applyBorder="1" applyAlignment="1">
      <alignment horizontal="left" vertical="center" wrapText="1"/>
    </xf>
    <xf numFmtId="0" fontId="19" fillId="0" borderId="68" xfId="0" quotePrefix="1" applyFont="1" applyFill="1" applyBorder="1" applyAlignment="1">
      <alignment horizontal="center" vertical="center" wrapText="1"/>
    </xf>
    <xf numFmtId="0" fontId="49" fillId="0" borderId="57" xfId="0" quotePrefix="1" applyFont="1" applyFill="1" applyBorder="1" applyAlignment="1">
      <alignment horizontal="center" vertical="center" wrapText="1"/>
    </xf>
    <xf numFmtId="1" fontId="17" fillId="0" borderId="56" xfId="0" applyNumberFormat="1" applyFont="1" applyFill="1" applyBorder="1" applyAlignment="1">
      <alignment horizontal="center" vertical="center"/>
    </xf>
    <xf numFmtId="0" fontId="21" fillId="0" borderId="57" xfId="0" quotePrefix="1" applyFont="1" applyFill="1" applyBorder="1" applyAlignment="1">
      <alignment horizontal="center" vertical="center" wrapText="1"/>
    </xf>
    <xf numFmtId="0" fontId="19" fillId="0" borderId="59" xfId="0" quotePrefix="1" applyFont="1" applyFill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0" fontId="5" fillId="0" borderId="0" xfId="0" applyFont="1"/>
    <xf numFmtId="1" fontId="9" fillId="0" borderId="3" xfId="0" applyNumberFormat="1" applyFont="1" applyBorder="1" applyAlignment="1">
      <alignment horizontal="left" vertical="center"/>
    </xf>
    <xf numFmtId="1" fontId="57" fillId="0" borderId="3" xfId="0" applyNumberFormat="1" applyFont="1" applyBorder="1" applyAlignment="1">
      <alignment horizontal="left" vertical="center"/>
    </xf>
    <xf numFmtId="1" fontId="9" fillId="0" borderId="0" xfId="0" applyNumberFormat="1" applyFont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7" fillId="3" borderId="3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 wrapText="1"/>
    </xf>
    <xf numFmtId="0" fontId="16" fillId="3" borderId="26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20" fontId="27" fillId="3" borderId="10" xfId="0" applyNumberFormat="1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1" fontId="37" fillId="3" borderId="67" xfId="0" quotePrefix="1" applyNumberFormat="1" applyFont="1" applyFill="1" applyBorder="1" applyAlignment="1">
      <alignment horizontal="center" vertical="center" wrapText="1"/>
    </xf>
    <xf numFmtId="1" fontId="37" fillId="3" borderId="56" xfId="0" quotePrefix="1" applyNumberFormat="1" applyFont="1" applyFill="1" applyBorder="1" applyAlignment="1">
      <alignment horizontal="center" vertical="center" wrapText="1"/>
    </xf>
    <xf numFmtId="0" fontId="35" fillId="3" borderId="57" xfId="0" quotePrefix="1" applyFont="1" applyFill="1" applyBorder="1" applyAlignment="1">
      <alignment horizontal="center" vertical="center" wrapText="1"/>
    </xf>
    <xf numFmtId="0" fontId="13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center" vertical="center" wrapText="1"/>
    </xf>
    <xf numFmtId="0" fontId="19" fillId="3" borderId="56" xfId="0" quotePrefix="1" applyFont="1" applyFill="1" applyBorder="1" applyAlignment="1">
      <alignment horizontal="left" vertical="center" wrapText="1"/>
    </xf>
    <xf numFmtId="0" fontId="19" fillId="3" borderId="58" xfId="0" quotePrefix="1" applyFont="1" applyFill="1" applyBorder="1" applyAlignment="1">
      <alignment horizontal="center" vertical="center" wrapText="1"/>
    </xf>
    <xf numFmtId="0" fontId="27" fillId="3" borderId="46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1" fontId="37" fillId="3" borderId="57" xfId="0" quotePrefix="1" applyNumberFormat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center" vertical="center" wrapText="1"/>
    </xf>
    <xf numFmtId="0" fontId="19" fillId="3" borderId="57" xfId="0" quotePrefix="1" applyFont="1" applyFill="1" applyBorder="1" applyAlignment="1">
      <alignment horizontal="left" vertical="center" wrapText="1"/>
    </xf>
    <xf numFmtId="0" fontId="19" fillId="3" borderId="68" xfId="0" quotePrefix="1" applyFont="1" applyFill="1" applyBorder="1" applyAlignment="1">
      <alignment horizontal="center" vertical="center" wrapText="1"/>
    </xf>
    <xf numFmtId="0" fontId="19" fillId="3" borderId="59" xfId="0" quotePrefix="1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vertical="center" wrapText="1"/>
    </xf>
    <xf numFmtId="0" fontId="49" fillId="3" borderId="57" xfId="0" quotePrefix="1" applyFont="1" applyFill="1" applyBorder="1" applyAlignment="1">
      <alignment horizontal="center" vertical="center" wrapText="1"/>
    </xf>
    <xf numFmtId="1" fontId="21" fillId="0" borderId="0" xfId="0" applyNumberFormat="1" applyFont="1" applyFill="1" applyBorder="1" applyAlignment="1">
      <alignment horizontal="center" vertical="center"/>
    </xf>
    <xf numFmtId="0" fontId="32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horizontal="right" vertical="center"/>
    </xf>
    <xf numFmtId="0" fontId="22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left" vertical="center"/>
    </xf>
    <xf numFmtId="0" fontId="14" fillId="14" borderId="3" xfId="0" applyFont="1" applyFill="1" applyBorder="1" applyAlignment="1">
      <alignment vertical="center"/>
    </xf>
    <xf numFmtId="0" fontId="22" fillId="14" borderId="3" xfId="0" applyFont="1" applyFill="1" applyBorder="1" applyAlignment="1">
      <alignment horizontal="right" vertical="center"/>
    </xf>
    <xf numFmtId="0" fontId="15" fillId="14" borderId="3" xfId="0" applyFont="1" applyFill="1" applyBorder="1" applyAlignment="1">
      <alignment vertical="center"/>
    </xf>
    <xf numFmtId="0" fontId="5" fillId="14" borderId="5" xfId="0" applyFont="1" applyFill="1" applyBorder="1" applyAlignment="1">
      <alignment vertical="center"/>
    </xf>
    <xf numFmtId="0" fontId="32" fillId="14" borderId="0" xfId="0" applyFont="1" applyFill="1" applyBorder="1" applyAlignment="1">
      <alignment vertical="center"/>
    </xf>
    <xf numFmtId="0" fontId="5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vertical="center"/>
    </xf>
    <xf numFmtId="0" fontId="14" fillId="14" borderId="0" xfId="0" applyFont="1" applyFill="1" applyBorder="1" applyAlignment="1">
      <alignment vertical="center"/>
    </xf>
    <xf numFmtId="0" fontId="22" fillId="14" borderId="0" xfId="0" applyFont="1" applyFill="1" applyBorder="1" applyAlignment="1">
      <alignment horizontal="right" vertical="center"/>
    </xf>
    <xf numFmtId="0" fontId="15" fillId="14" borderId="0" xfId="0" applyFont="1" applyFill="1" applyBorder="1" applyAlignment="1">
      <alignment vertical="center"/>
    </xf>
    <xf numFmtId="0" fontId="5" fillId="14" borderId="15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 textRotation="90" wrapText="1"/>
    </xf>
    <xf numFmtId="0" fontId="5" fillId="14" borderId="7" xfId="0" applyFont="1" applyFill="1" applyBorder="1" applyAlignment="1">
      <alignment horizontal="center" vertical="center" textRotation="90"/>
    </xf>
    <xf numFmtId="0" fontId="5" fillId="14" borderId="7" xfId="0" applyFont="1" applyFill="1" applyBorder="1" applyAlignment="1">
      <alignment horizontal="center" wrapText="1"/>
    </xf>
    <xf numFmtId="20" fontId="43" fillId="14" borderId="8" xfId="0" quotePrefix="1" applyNumberFormat="1" applyFont="1" applyFill="1" applyBorder="1" applyAlignment="1">
      <alignment horizontal="center" vertical="center" textRotation="45"/>
    </xf>
    <xf numFmtId="20" fontId="31" fillId="14" borderId="8" xfId="0" quotePrefix="1" applyNumberFormat="1" applyFont="1" applyFill="1" applyBorder="1" applyAlignment="1">
      <alignment horizontal="center" vertical="center" textRotation="45"/>
    </xf>
    <xf numFmtId="0" fontId="5" fillId="14" borderId="32" xfId="0" applyFont="1" applyFill="1" applyBorder="1" applyAlignment="1">
      <alignment horizontal="center" wrapText="1"/>
    </xf>
    <xf numFmtId="20" fontId="39" fillId="14" borderId="8" xfId="0" quotePrefix="1" applyNumberFormat="1" applyFont="1" applyFill="1" applyBorder="1" applyAlignment="1">
      <alignment horizontal="center" vertical="center" textRotation="45"/>
    </xf>
    <xf numFmtId="0" fontId="30" fillId="0" borderId="0" xfId="0" applyFont="1"/>
    <xf numFmtId="0" fontId="30" fillId="0" borderId="0" xfId="0" applyFont="1" applyAlignment="1">
      <alignment horizontal="left" vertical="center" wrapText="1"/>
    </xf>
    <xf numFmtId="0" fontId="34" fillId="0" borderId="0" xfId="0" applyFont="1"/>
    <xf numFmtId="164" fontId="30" fillId="0" borderId="0" xfId="0" applyNumberFormat="1" applyFont="1" applyAlignment="1">
      <alignment horizontal="center"/>
    </xf>
    <xf numFmtId="0" fontId="41" fillId="8" borderId="16" xfId="0" applyFont="1" applyFill="1" applyBorder="1" applyAlignment="1">
      <alignment vertical="center"/>
    </xf>
    <xf numFmtId="0" fontId="41" fillId="3" borderId="16" xfId="0" applyFont="1" applyFill="1" applyBorder="1" applyAlignment="1">
      <alignment vertical="center"/>
    </xf>
    <xf numFmtId="0" fontId="46" fillId="0" borderId="23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2" xfId="0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41" fillId="3" borderId="19" xfId="0" applyFont="1" applyFill="1" applyBorder="1" applyAlignment="1">
      <alignment horizontal="center" vertical="center"/>
    </xf>
    <xf numFmtId="0" fontId="41" fillId="3" borderId="0" xfId="0" applyFont="1" applyFill="1" applyBorder="1" applyAlignment="1">
      <alignment vertical="center"/>
    </xf>
    <xf numFmtId="0" fontId="41" fillId="3" borderId="20" xfId="0" applyFont="1" applyFill="1" applyBorder="1" applyAlignment="1">
      <alignment vertical="center"/>
    </xf>
    <xf numFmtId="0" fontId="41" fillId="3" borderId="17" xfId="0" applyFont="1" applyFill="1" applyBorder="1" applyAlignment="1">
      <alignment horizontal="center" vertical="center"/>
    </xf>
    <xf numFmtId="0" fontId="41" fillId="3" borderId="21" xfId="0" applyFont="1" applyFill="1" applyBorder="1" applyAlignment="1">
      <alignment vertical="center"/>
    </xf>
    <xf numFmtId="0" fontId="41" fillId="8" borderId="19" xfId="0" applyFont="1" applyFill="1" applyBorder="1" applyAlignment="1">
      <alignment horizontal="center" vertical="center"/>
    </xf>
    <xf numFmtId="0" fontId="41" fillId="8" borderId="0" xfId="0" applyFont="1" applyFill="1" applyBorder="1" applyAlignment="1">
      <alignment vertical="center"/>
    </xf>
    <xf numFmtId="0" fontId="41" fillId="8" borderId="20" xfId="0" applyFont="1" applyFill="1" applyBorder="1" applyAlignment="1">
      <alignment vertical="center"/>
    </xf>
    <xf numFmtId="0" fontId="41" fillId="8" borderId="17" xfId="0" applyFont="1" applyFill="1" applyBorder="1" applyAlignment="1">
      <alignment horizontal="center" vertical="center"/>
    </xf>
    <xf numFmtId="0" fontId="41" fillId="8" borderId="21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41" fillId="2" borderId="19" xfId="0" quotePrefix="1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50" fillId="0" borderId="1" xfId="0" applyFont="1" applyBorder="1" applyAlignment="1">
      <alignment vertical="center" wrapText="1"/>
    </xf>
    <xf numFmtId="165" fontId="11" fillId="0" borderId="1" xfId="0" applyNumberFormat="1" applyFont="1" applyBorder="1" applyAlignment="1">
      <alignment horizontal="left" vertical="center"/>
    </xf>
    <xf numFmtId="165" fontId="24" fillId="0" borderId="16" xfId="0" applyNumberFormat="1" applyFont="1" applyBorder="1" applyAlignment="1">
      <alignment horizontal="left" vertical="center"/>
    </xf>
    <xf numFmtId="0" fontId="48" fillId="0" borderId="76" xfId="0" applyFont="1" applyBorder="1" applyAlignment="1">
      <alignment vertical="center" wrapText="1"/>
    </xf>
    <xf numFmtId="0" fontId="48" fillId="0" borderId="77" xfId="0" applyFont="1" applyBorder="1" applyAlignment="1">
      <alignment vertical="center" wrapText="1"/>
    </xf>
    <xf numFmtId="0" fontId="48" fillId="0" borderId="78" xfId="0" applyFont="1" applyBorder="1" applyAlignment="1">
      <alignment vertical="center" wrapText="1"/>
    </xf>
    <xf numFmtId="0" fontId="48" fillId="0" borderId="79" xfId="0" applyFont="1" applyBorder="1" applyAlignment="1">
      <alignment vertical="center" wrapText="1"/>
    </xf>
    <xf numFmtId="0" fontId="48" fillId="0" borderId="76" xfId="0" applyFont="1" applyBorder="1" applyAlignment="1">
      <alignment vertical="center"/>
    </xf>
    <xf numFmtId="0" fontId="48" fillId="0" borderId="78" xfId="0" applyFont="1" applyBorder="1" applyAlignment="1">
      <alignment vertical="center"/>
    </xf>
    <xf numFmtId="0" fontId="27" fillId="0" borderId="81" xfId="0" applyFont="1" applyBorder="1" applyAlignment="1">
      <alignment horizontal="center" vertical="center"/>
    </xf>
    <xf numFmtId="0" fontId="27" fillId="0" borderId="82" xfId="0" applyFont="1" applyBorder="1" applyAlignment="1">
      <alignment horizontal="center" vertical="center"/>
    </xf>
    <xf numFmtId="0" fontId="27" fillId="0" borderId="83" xfId="0" applyFont="1" applyBorder="1" applyAlignment="1">
      <alignment horizontal="center" vertical="center"/>
    </xf>
    <xf numFmtId="0" fontId="48" fillId="0" borderId="84" xfId="0" applyFont="1" applyBorder="1" applyAlignment="1">
      <alignment vertical="center"/>
    </xf>
    <xf numFmtId="0" fontId="48" fillId="0" borderId="84" xfId="0" applyFont="1" applyBorder="1" applyAlignment="1">
      <alignment vertical="center" wrapText="1"/>
    </xf>
    <xf numFmtId="0" fontId="48" fillId="0" borderId="85" xfId="0" applyFont="1" applyBorder="1" applyAlignment="1">
      <alignment vertical="center" wrapText="1"/>
    </xf>
    <xf numFmtId="0" fontId="58" fillId="0" borderId="0" xfId="0" applyFont="1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27" fillId="12" borderId="80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left" vertical="center" wrapText="1"/>
    </xf>
    <xf numFmtId="0" fontId="22" fillId="12" borderId="3" xfId="0" applyFont="1" applyFill="1" applyBorder="1" applyAlignment="1">
      <alignment horizontal="left" vertical="top" wrapText="1"/>
    </xf>
    <xf numFmtId="0" fontId="22" fillId="12" borderId="5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16" xfId="0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166" fontId="28" fillId="0" borderId="0" xfId="0" applyNumberFormat="1" applyFont="1" applyAlignment="1">
      <alignment horizontal="right" vertical="center"/>
    </xf>
    <xf numFmtId="165" fontId="11" fillId="0" borderId="1" xfId="0" applyNumberFormat="1" applyFont="1" applyBorder="1" applyAlignment="1">
      <alignment vertical="center"/>
    </xf>
    <xf numFmtId="0" fontId="25" fillId="0" borderId="43" xfId="0" applyFont="1" applyBorder="1" applyAlignment="1">
      <alignment vertical="center" wrapText="1"/>
    </xf>
    <xf numFmtId="0" fontId="25" fillId="3" borderId="31" xfId="0" applyFont="1" applyFill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1" fillId="2" borderId="0" xfId="0" applyFont="1" applyFill="1" applyBorder="1" applyAlignment="1">
      <alignment vertical="center"/>
    </xf>
    <xf numFmtId="0" fontId="41" fillId="2" borderId="0" xfId="0" quotePrefix="1" applyFont="1" applyFill="1" applyBorder="1" applyAlignment="1">
      <alignment vertical="center"/>
    </xf>
    <xf numFmtId="0" fontId="41" fillId="2" borderId="16" xfId="0" applyFont="1" applyFill="1" applyBorder="1" applyAlignment="1">
      <alignment vertical="center"/>
    </xf>
    <xf numFmtId="0" fontId="59" fillId="0" borderId="1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" fontId="38" fillId="0" borderId="0" xfId="0" applyNumberFormat="1" applyFont="1" applyBorder="1" applyAlignment="1">
      <alignment horizontal="center" vertical="center"/>
    </xf>
    <xf numFmtId="1" fontId="20" fillId="0" borderId="0" xfId="0" applyNumberFormat="1" applyFont="1" applyBorder="1" applyAlignment="1">
      <alignment horizontal="center" vertical="center"/>
    </xf>
    <xf numFmtId="9" fontId="17" fillId="0" borderId="0" xfId="1" applyFont="1" applyBorder="1" applyAlignment="1">
      <alignment horizontal="center" vertical="center"/>
    </xf>
    <xf numFmtId="1" fontId="38" fillId="7" borderId="10" xfId="0" applyNumberFormat="1" applyFont="1" applyFill="1" applyBorder="1" applyAlignment="1">
      <alignment horizontal="center" vertical="center"/>
    </xf>
    <xf numFmtId="1" fontId="38" fillId="7" borderId="0" xfId="0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9" fontId="16" fillId="4" borderId="0" xfId="1" applyNumberFormat="1" applyFont="1" applyFill="1" applyBorder="1" applyAlignment="1">
      <alignment horizontal="center" vertical="center"/>
    </xf>
    <xf numFmtId="1" fontId="20" fillId="4" borderId="10" xfId="0" applyNumberFormat="1" applyFont="1" applyFill="1" applyBorder="1" applyAlignment="1">
      <alignment horizontal="center" vertical="center"/>
    </xf>
    <xf numFmtId="1" fontId="20" fillId="4" borderId="0" xfId="0" applyNumberFormat="1" applyFont="1" applyFill="1" applyBorder="1" applyAlignment="1">
      <alignment horizontal="center" vertical="center"/>
    </xf>
    <xf numFmtId="9" fontId="16" fillId="4" borderId="0" xfId="0" applyNumberFormat="1" applyFont="1" applyFill="1" applyBorder="1" applyAlignment="1">
      <alignment horizontal="center" vertical="center"/>
    </xf>
    <xf numFmtId="1" fontId="38" fillId="4" borderId="10" xfId="0" applyNumberFormat="1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42" fillId="13" borderId="3" xfId="0" applyFont="1" applyFill="1" applyBorder="1" applyAlignment="1">
      <alignment horizontal="left" vertical="center"/>
    </xf>
    <xf numFmtId="1" fontId="9" fillId="13" borderId="3" xfId="0" applyNumberFormat="1" applyFont="1" applyFill="1" applyBorder="1" applyAlignment="1">
      <alignment horizontal="left" vertical="center"/>
    </xf>
    <xf numFmtId="0" fontId="5" fillId="13" borderId="0" xfId="0" applyFont="1" applyFill="1" applyAlignment="1">
      <alignment vertical="center"/>
    </xf>
    <xf numFmtId="0" fontId="60" fillId="11" borderId="0" xfId="0" applyFont="1" applyFill="1" applyBorder="1" applyAlignment="1">
      <alignment horizontal="right" vertical="center"/>
    </xf>
    <xf numFmtId="9" fontId="59" fillId="11" borderId="0" xfId="0" applyNumberFormat="1" applyFont="1" applyFill="1" applyBorder="1" applyAlignment="1">
      <alignment horizontal="center" vertical="center"/>
    </xf>
    <xf numFmtId="9" fontId="62" fillId="11" borderId="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0" fontId="25" fillId="0" borderId="0" xfId="0" applyFont="1" applyBorder="1" applyAlignment="1">
      <alignment horizontal="left" vertical="center"/>
    </xf>
    <xf numFmtId="0" fontId="42" fillId="7" borderId="10" xfId="0" applyFont="1" applyFill="1" applyBorder="1" applyAlignment="1">
      <alignment horizontal="right" vertical="center"/>
    </xf>
    <xf numFmtId="0" fontId="44" fillId="0" borderId="7" xfId="0" applyFont="1" applyBorder="1" applyAlignment="1">
      <alignment vertical="center" wrapText="1"/>
    </xf>
    <xf numFmtId="9" fontId="61" fillId="11" borderId="87" xfId="1" applyFont="1" applyFill="1" applyBorder="1" applyAlignment="1">
      <alignment horizontal="center" vertical="center"/>
    </xf>
    <xf numFmtId="9" fontId="61" fillId="11" borderId="86" xfId="0" applyNumberFormat="1" applyFont="1" applyFill="1" applyBorder="1" applyAlignment="1">
      <alignment horizontal="center" vertical="center"/>
    </xf>
    <xf numFmtId="9" fontId="28" fillId="0" borderId="0" xfId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" fontId="38" fillId="0" borderId="48" xfId="0" applyNumberFormat="1" applyFont="1" applyBorder="1" applyAlignment="1">
      <alignment horizontal="center" vertical="center"/>
    </xf>
    <xf numFmtId="0" fontId="5" fillId="0" borderId="48" xfId="0" applyFont="1" applyFill="1" applyBorder="1" applyAlignment="1">
      <alignment vertical="center"/>
    </xf>
    <xf numFmtId="9" fontId="17" fillId="0" borderId="48" xfId="0" applyNumberFormat="1" applyFont="1" applyBorder="1" applyAlignment="1">
      <alignment horizontal="center"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Alignment="1">
      <alignment vertical="center"/>
    </xf>
    <xf numFmtId="0" fontId="42" fillId="15" borderId="0" xfId="0" applyFont="1" applyFill="1" applyBorder="1" applyAlignment="1">
      <alignment horizontal="right" vertical="center"/>
    </xf>
    <xf numFmtId="9" fontId="16" fillId="15" borderId="0" xfId="1" applyNumberFormat="1" applyFont="1" applyFill="1" applyBorder="1" applyAlignment="1">
      <alignment horizontal="center" vertical="center"/>
    </xf>
    <xf numFmtId="1" fontId="20" fillId="15" borderId="10" xfId="0" applyNumberFormat="1" applyFont="1" applyFill="1" applyBorder="1" applyAlignment="1">
      <alignment horizontal="center" vertical="center"/>
    </xf>
    <xf numFmtId="1" fontId="20" fillId="15" borderId="0" xfId="0" applyNumberFormat="1" applyFont="1" applyFill="1" applyBorder="1" applyAlignment="1">
      <alignment horizontal="center" vertical="center"/>
    </xf>
    <xf numFmtId="9" fontId="16" fillId="15" borderId="0" xfId="0" applyNumberFormat="1" applyFont="1" applyFill="1" applyBorder="1" applyAlignment="1">
      <alignment horizontal="center" vertical="center"/>
    </xf>
    <xf numFmtId="1" fontId="7" fillId="15" borderId="10" xfId="0" applyNumberFormat="1" applyFont="1" applyFill="1" applyBorder="1" applyAlignment="1">
      <alignment horizontal="center" vertical="center"/>
    </xf>
    <xf numFmtId="1" fontId="38" fillId="15" borderId="0" xfId="0" applyNumberFormat="1" applyFont="1" applyFill="1" applyBorder="1" applyAlignment="1">
      <alignment horizontal="center" vertical="center"/>
    </xf>
    <xf numFmtId="9" fontId="16" fillId="0" borderId="48" xfId="0" applyNumberFormat="1" applyFont="1" applyBorder="1" applyAlignment="1">
      <alignment horizontal="center" vertical="center"/>
    </xf>
    <xf numFmtId="0" fontId="18" fillId="11" borderId="27" xfId="0" applyFont="1" applyFill="1" applyBorder="1" applyAlignment="1">
      <alignment vertical="center"/>
    </xf>
    <xf numFmtId="0" fontId="18" fillId="11" borderId="27" xfId="0" applyFont="1" applyFill="1" applyBorder="1" applyAlignment="1">
      <alignment horizontal="center" vertical="center"/>
    </xf>
    <xf numFmtId="9" fontId="62" fillId="11" borderId="27" xfId="1" applyFont="1" applyFill="1" applyBorder="1" applyAlignment="1">
      <alignment horizontal="center" vertical="center"/>
    </xf>
    <xf numFmtId="9" fontId="62" fillId="11" borderId="90" xfId="1" applyFont="1" applyFill="1" applyBorder="1" applyAlignment="1">
      <alignment horizontal="center" vertical="center"/>
    </xf>
    <xf numFmtId="9" fontId="62" fillId="11" borderId="91" xfId="1" applyFont="1" applyFill="1" applyBorder="1" applyAlignment="1">
      <alignment horizontal="center" vertical="center"/>
    </xf>
    <xf numFmtId="1" fontId="38" fillId="0" borderId="27" xfId="0" applyNumberFormat="1" applyFont="1" applyBorder="1" applyAlignment="1">
      <alignment horizontal="center" vertical="center"/>
    </xf>
    <xf numFmtId="1" fontId="20" fillId="4" borderId="27" xfId="0" applyNumberFormat="1" applyFont="1" applyFill="1" applyBorder="1" applyAlignment="1">
      <alignment horizontal="center" vertical="center"/>
    </xf>
    <xf numFmtId="1" fontId="20" fillId="0" borderId="27" xfId="0" applyNumberFormat="1" applyFont="1" applyBorder="1" applyAlignment="1">
      <alignment horizontal="center" vertical="center"/>
    </xf>
    <xf numFmtId="1" fontId="20" fillId="15" borderId="27" xfId="0" applyNumberFormat="1" applyFont="1" applyFill="1" applyBorder="1" applyAlignment="1">
      <alignment horizontal="center" vertical="center"/>
    </xf>
    <xf numFmtId="0" fontId="5" fillId="5" borderId="88" xfId="0" applyFont="1" applyFill="1" applyBorder="1" applyAlignment="1">
      <alignment vertical="center"/>
    </xf>
    <xf numFmtId="1" fontId="38" fillId="7" borderId="27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4" fillId="5" borderId="8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4" fillId="0" borderId="3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5" xfId="0" applyFont="1" applyBorder="1"/>
    <xf numFmtId="0" fontId="7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0" fillId="0" borderId="24" xfId="0" applyBorder="1" applyAlignment="1">
      <alignment vertical="center"/>
    </xf>
    <xf numFmtId="15" fontId="48" fillId="0" borderId="78" xfId="0" applyNumberFormat="1" applyFont="1" applyBorder="1" applyAlignment="1">
      <alignment horizontal="left" vertical="center"/>
    </xf>
    <xf numFmtId="1" fontId="35" fillId="0" borderId="28" xfId="0" applyNumberFormat="1" applyFont="1" applyBorder="1" applyAlignment="1">
      <alignment horizontal="center" vertical="center"/>
    </xf>
    <xf numFmtId="9" fontId="37" fillId="0" borderId="57" xfId="1" quotePrefix="1" applyFont="1" applyFill="1" applyBorder="1" applyAlignment="1">
      <alignment horizontal="center" vertical="center" wrapText="1"/>
    </xf>
    <xf numFmtId="1" fontId="37" fillId="0" borderId="57" xfId="1" quotePrefix="1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textRotation="90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15" fontId="48" fillId="0" borderId="18" xfId="0" quotePrefix="1" applyNumberFormat="1" applyFont="1" applyBorder="1" applyAlignment="1">
      <alignment horizontal="left" vertical="center"/>
    </xf>
    <xf numFmtId="15" fontId="48" fillId="0" borderId="78" xfId="0" quotePrefix="1" applyNumberFormat="1" applyFont="1" applyBorder="1" applyAlignment="1">
      <alignment horizontal="left" vertical="center"/>
    </xf>
    <xf numFmtId="1" fontId="28" fillId="0" borderId="92" xfId="0" applyNumberFormat="1" applyFont="1" applyBorder="1" applyAlignment="1">
      <alignment horizontal="center" vertical="center"/>
    </xf>
    <xf numFmtId="9" fontId="28" fillId="0" borderId="9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vertical="center"/>
    </xf>
    <xf numFmtId="0" fontId="5" fillId="0" borderId="0" xfId="0" applyFont="1"/>
    <xf numFmtId="1" fontId="31" fillId="0" borderId="10" xfId="0" applyNumberFormat="1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9" fontId="16" fillId="0" borderId="0" xfId="1" applyNumberFormat="1" applyFont="1" applyFill="1" applyBorder="1" applyAlignment="1">
      <alignment horizontal="center" vertical="center"/>
    </xf>
    <xf numFmtId="1" fontId="20" fillId="0" borderId="1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9" fontId="16" fillId="0" borderId="0" xfId="0" applyNumberFormat="1" applyFont="1" applyFill="1" applyBorder="1" applyAlignment="1">
      <alignment horizontal="center" vertical="center"/>
    </xf>
    <xf numFmtId="1" fontId="38" fillId="0" borderId="10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1" fontId="7" fillId="0" borderId="7" xfId="0" applyNumberFormat="1" applyFont="1" applyBorder="1" applyAlignment="1">
      <alignment horizontal="center" vertical="center"/>
    </xf>
    <xf numFmtId="1" fontId="7" fillId="4" borderId="7" xfId="0" applyNumberFormat="1" applyFont="1" applyFill="1" applyBorder="1" applyAlignment="1">
      <alignment horizontal="center" vertical="center"/>
    </xf>
    <xf numFmtId="1" fontId="7" fillId="15" borderId="7" xfId="0" applyNumberFormat="1" applyFont="1" applyFill="1" applyBorder="1" applyAlignment="1">
      <alignment horizontal="center" vertical="center"/>
    </xf>
    <xf numFmtId="1" fontId="7" fillId="0" borderId="7" xfId="0" applyNumberFormat="1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 vertical="center"/>
    </xf>
    <xf numFmtId="0" fontId="22" fillId="0" borderId="94" xfId="0" applyFont="1" applyBorder="1" applyAlignment="1">
      <alignment vertical="center"/>
    </xf>
    <xf numFmtId="0" fontId="22" fillId="0" borderId="95" xfId="0" applyFont="1" applyBorder="1" applyAlignment="1">
      <alignment vertical="center"/>
    </xf>
    <xf numFmtId="0" fontId="5" fillId="0" borderId="95" xfId="0" applyFont="1" applyBorder="1" applyAlignment="1">
      <alignment vertical="center"/>
    </xf>
    <xf numFmtId="0" fontId="5" fillId="0" borderId="95" xfId="0" applyFont="1" applyBorder="1" applyAlignment="1">
      <alignment horizontal="right" vertical="center"/>
    </xf>
    <xf numFmtId="0" fontId="27" fillId="0" borderId="96" xfId="0" applyFont="1" applyBorder="1" applyAlignment="1">
      <alignment horizontal="right" vertical="center"/>
    </xf>
    <xf numFmtId="1" fontId="31" fillId="0" borderId="97" xfId="0" applyNumberFormat="1" applyFont="1" applyBorder="1" applyAlignment="1">
      <alignment horizontal="center" vertical="center"/>
    </xf>
    <xf numFmtId="1" fontId="31" fillId="0" borderId="98" xfId="0" applyNumberFormat="1" applyFont="1" applyBorder="1" applyAlignment="1">
      <alignment horizontal="center" vertical="center"/>
    </xf>
    <xf numFmtId="0" fontId="0" fillId="0" borderId="99" xfId="0" applyBorder="1" applyAlignment="1">
      <alignment vertical="center"/>
    </xf>
    <xf numFmtId="1" fontId="40" fillId="6" borderId="100" xfId="0" quotePrefix="1" applyNumberFormat="1" applyFont="1" applyFill="1" applyBorder="1" applyAlignment="1">
      <alignment horizontal="center" vertical="center" wrapText="1"/>
    </xf>
    <xf numFmtId="1" fontId="40" fillId="6" borderId="101" xfId="0" quotePrefix="1" applyNumberFormat="1" applyFont="1" applyFill="1" applyBorder="1" applyAlignment="1">
      <alignment horizontal="center" vertical="center" wrapText="1"/>
    </xf>
    <xf numFmtId="1" fontId="40" fillId="6" borderId="102" xfId="0" quotePrefix="1" applyNumberFormat="1" applyFont="1" applyFill="1" applyBorder="1" applyAlignment="1">
      <alignment horizontal="center" vertical="center" wrapText="1"/>
    </xf>
    <xf numFmtId="1" fontId="40" fillId="6" borderId="67" xfId="0" quotePrefix="1" applyNumberFormat="1" applyFont="1" applyFill="1" applyBorder="1" applyAlignment="1">
      <alignment horizontal="center" vertical="center" wrapText="1"/>
    </xf>
    <xf numFmtId="1" fontId="40" fillId="6" borderId="56" xfId="0" quotePrefix="1" applyNumberFormat="1" applyFont="1" applyFill="1" applyBorder="1" applyAlignment="1">
      <alignment horizontal="center" vertical="center" wrapText="1"/>
    </xf>
    <xf numFmtId="1" fontId="40" fillId="6" borderId="103" xfId="0" quotePrefix="1" applyNumberFormat="1" applyFont="1" applyFill="1" applyBorder="1" applyAlignment="1">
      <alignment horizontal="center" vertical="center" wrapText="1"/>
    </xf>
    <xf numFmtId="0" fontId="21" fillId="5" borderId="56" xfId="0" applyFont="1" applyFill="1" applyBorder="1" applyAlignment="1">
      <alignment horizontal="left" vertical="center"/>
    </xf>
    <xf numFmtId="0" fontId="21" fillId="5" borderId="56" xfId="0" applyFont="1" applyFill="1" applyBorder="1" applyAlignment="1">
      <alignment horizontal="right" vertical="center"/>
    </xf>
    <xf numFmtId="1" fontId="40" fillId="6" borderId="64" xfId="0" quotePrefix="1" applyNumberFormat="1" applyFont="1" applyFill="1" applyBorder="1" applyAlignment="1">
      <alignment horizontal="center" vertical="center" wrapText="1"/>
    </xf>
    <xf numFmtId="1" fontId="40" fillId="6" borderId="104" xfId="0" quotePrefix="1" applyNumberFormat="1" applyFont="1" applyFill="1" applyBorder="1" applyAlignment="1">
      <alignment horizontal="center" vertical="center" wrapText="1"/>
    </xf>
    <xf numFmtId="0" fontId="0" fillId="0" borderId="67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5" borderId="56" xfId="0" applyFill="1" applyBorder="1" applyAlignment="1">
      <alignment vertical="center"/>
    </xf>
    <xf numFmtId="0" fontId="0" fillId="0" borderId="103" xfId="0" applyBorder="1" applyAlignment="1">
      <alignment vertical="center"/>
    </xf>
    <xf numFmtId="0" fontId="0" fillId="0" borderId="15" xfId="0" applyBorder="1" applyAlignment="1">
      <alignment vertical="center"/>
    </xf>
    <xf numFmtId="9" fontId="21" fillId="0" borderId="26" xfId="1" applyFont="1" applyBorder="1" applyAlignment="1">
      <alignment horizontal="left" vertical="center"/>
    </xf>
    <xf numFmtId="0" fontId="5" fillId="0" borderId="26" xfId="0" applyFont="1" applyBorder="1" applyAlignment="1">
      <alignment horizontal="right" vertical="center"/>
    </xf>
    <xf numFmtId="1" fontId="31" fillId="9" borderId="0" xfId="0" applyNumberFormat="1" applyFont="1" applyFill="1" applyBorder="1" applyAlignment="1">
      <alignment horizontal="center" vertical="center"/>
    </xf>
    <xf numFmtId="9" fontId="15" fillId="9" borderId="48" xfId="0" applyNumberFormat="1" applyFont="1" applyFill="1" applyBorder="1" applyAlignment="1">
      <alignment horizontal="center" vertical="center"/>
    </xf>
    <xf numFmtId="0" fontId="25" fillId="0" borderId="48" xfId="0" applyFont="1" applyBorder="1" applyAlignment="1">
      <alignment horizontal="left" vertical="center"/>
    </xf>
    <xf numFmtId="9" fontId="16" fillId="0" borderId="48" xfId="1" applyNumberFormat="1" applyFont="1" applyBorder="1" applyAlignment="1">
      <alignment horizontal="center" vertical="center"/>
    </xf>
    <xf numFmtId="9" fontId="16" fillId="4" borderId="48" xfId="0" applyNumberFormat="1" applyFont="1" applyFill="1" applyBorder="1" applyAlignment="1">
      <alignment horizontal="center" vertical="center"/>
    </xf>
    <xf numFmtId="9" fontId="16" fillId="15" borderId="48" xfId="0" applyNumberFormat="1" applyFont="1" applyFill="1" applyBorder="1" applyAlignment="1">
      <alignment horizontal="center" vertical="center"/>
    </xf>
    <xf numFmtId="0" fontId="5" fillId="5" borderId="89" xfId="0" applyFont="1" applyFill="1" applyBorder="1" applyAlignment="1">
      <alignment vertical="center"/>
    </xf>
    <xf numFmtId="0" fontId="5" fillId="0" borderId="105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" fontId="36" fillId="0" borderId="106" xfId="0" applyNumberFormat="1" applyFont="1" applyBorder="1" applyAlignment="1">
      <alignment horizontal="center" vertical="center" wrapText="1"/>
    </xf>
    <xf numFmtId="9" fontId="28" fillId="0" borderId="20" xfId="0" applyNumberFormat="1" applyFont="1" applyBorder="1" applyAlignment="1">
      <alignment horizontal="center" vertical="center"/>
    </xf>
    <xf numFmtId="1" fontId="28" fillId="0" borderId="106" xfId="0" applyNumberFormat="1" applyFont="1" applyBorder="1" applyAlignment="1">
      <alignment horizontal="center" vertical="center"/>
    </xf>
    <xf numFmtId="1" fontId="28" fillId="0" borderId="108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right" vertical="center"/>
    </xf>
    <xf numFmtId="0" fontId="5" fillId="0" borderId="106" xfId="0" applyFont="1" applyBorder="1" applyAlignment="1">
      <alignment horizontal="right" vertical="center"/>
    </xf>
    <xf numFmtId="0" fontId="5" fillId="0" borderId="109" xfId="0" applyFont="1" applyBorder="1" applyAlignment="1">
      <alignment horizontal="right" vertical="center"/>
    </xf>
    <xf numFmtId="0" fontId="5" fillId="0" borderId="108" xfId="0" applyFont="1" applyBorder="1" applyAlignment="1">
      <alignment horizontal="right" vertical="center"/>
    </xf>
    <xf numFmtId="0" fontId="60" fillId="11" borderId="27" xfId="0" applyFont="1" applyFill="1" applyBorder="1" applyAlignment="1">
      <alignment horizontal="right" vertical="center"/>
    </xf>
    <xf numFmtId="0" fontId="5" fillId="9" borderId="110" xfId="0" applyFont="1" applyFill="1" applyBorder="1" applyAlignment="1">
      <alignment vertical="center"/>
    </xf>
    <xf numFmtId="0" fontId="18" fillId="9" borderId="111" xfId="0" applyFont="1" applyFill="1" applyBorder="1" applyAlignment="1">
      <alignment horizontal="right" vertical="center"/>
    </xf>
    <xf numFmtId="1" fontId="31" fillId="9" borderId="112" xfId="0" applyNumberFormat="1" applyFont="1" applyFill="1" applyBorder="1" applyAlignment="1">
      <alignment horizontal="center" vertical="center"/>
    </xf>
    <xf numFmtId="0" fontId="60" fillId="11" borderId="20" xfId="0" applyFont="1" applyFill="1" applyBorder="1" applyAlignment="1">
      <alignment horizontal="right" vertical="center"/>
    </xf>
    <xf numFmtId="0" fontId="60" fillId="11" borderId="107" xfId="0" applyFont="1" applyFill="1" applyBorder="1" applyAlignment="1">
      <alignment horizontal="right" vertical="center"/>
    </xf>
    <xf numFmtId="1" fontId="28" fillId="0" borderId="20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20" fontId="66" fillId="0" borderId="10" xfId="0" applyNumberFormat="1" applyFont="1" applyBorder="1" applyAlignment="1">
      <alignment horizontal="center" vertical="center"/>
    </xf>
    <xf numFmtId="0" fontId="67" fillId="0" borderId="10" xfId="0" applyFont="1" applyBorder="1" applyAlignment="1">
      <alignment horizontal="center" vertical="center"/>
    </xf>
    <xf numFmtId="0" fontId="69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0" fontId="66" fillId="0" borderId="4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44" fillId="3" borderId="1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14" fillId="0" borderId="3" xfId="0" applyFont="1" applyFill="1" applyBorder="1" applyAlignment="1">
      <alignment vertical="center"/>
    </xf>
    <xf numFmtId="1" fontId="38" fillId="0" borderId="3" xfId="0" applyNumberFormat="1" applyFont="1" applyBorder="1" applyAlignment="1">
      <alignment horizontal="center" vertical="center"/>
    </xf>
    <xf numFmtId="0" fontId="5" fillId="0" borderId="105" xfId="0" applyFont="1" applyBorder="1" applyAlignment="1">
      <alignment horizontal="right" vertical="center"/>
    </xf>
    <xf numFmtId="1" fontId="21" fillId="0" borderId="3" xfId="0" applyNumberFormat="1" applyFont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33" fillId="0" borderId="0" xfId="0" quotePrefix="1" applyFont="1" applyBorder="1" applyAlignment="1">
      <alignment horizontal="right" vertical="center"/>
    </xf>
    <xf numFmtId="1" fontId="71" fillId="0" borderId="0" xfId="0" applyNumberFormat="1" applyFont="1" applyAlignment="1">
      <alignment horizontal="center" vertical="center"/>
    </xf>
    <xf numFmtId="0" fontId="33" fillId="0" borderId="28" xfId="0" quotePrefix="1" applyFont="1" applyBorder="1" applyAlignment="1">
      <alignment vertical="center"/>
    </xf>
    <xf numFmtId="0" fontId="60" fillId="0" borderId="0" xfId="0" quotePrefix="1" applyFont="1" applyBorder="1" applyAlignment="1">
      <alignment horizontal="right" vertical="center"/>
    </xf>
    <xf numFmtId="1" fontId="72" fillId="0" borderId="0" xfId="0" applyNumberFormat="1" applyFont="1" applyAlignment="1">
      <alignment horizontal="center" vertical="center"/>
    </xf>
    <xf numFmtId="0" fontId="60" fillId="0" borderId="28" xfId="0" quotePrefix="1" applyFont="1" applyBorder="1" applyAlignment="1">
      <alignment vertical="center"/>
    </xf>
    <xf numFmtId="9" fontId="73" fillId="0" borderId="28" xfId="1" applyFont="1" applyBorder="1" applyAlignment="1">
      <alignment horizontal="center" vertical="center"/>
    </xf>
    <xf numFmtId="9" fontId="62" fillId="0" borderId="28" xfId="1" applyFont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vertical="center" wrapText="1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20" fontId="66" fillId="0" borderId="10" xfId="0" applyNumberFormat="1" applyFont="1" applyFill="1" applyBorder="1" applyAlignment="1">
      <alignment horizontal="center" vertical="center"/>
    </xf>
    <xf numFmtId="0" fontId="67" fillId="0" borderId="10" xfId="0" applyFont="1" applyFill="1" applyBorder="1" applyAlignment="1">
      <alignment horizontal="center" vertical="center"/>
    </xf>
    <xf numFmtId="0" fontId="21" fillId="0" borderId="37" xfId="0" applyFont="1" applyFill="1" applyBorder="1" applyAlignment="1">
      <alignment horizontal="center" vertical="center"/>
    </xf>
    <xf numFmtId="0" fontId="25" fillId="0" borderId="45" xfId="0" applyFont="1" applyFill="1" applyBorder="1" applyAlignment="1">
      <alignment vertical="center" wrapText="1"/>
    </xf>
    <xf numFmtId="0" fontId="52" fillId="0" borderId="0" xfId="0" applyFont="1" applyBorder="1" applyAlignment="1">
      <alignment vertical="center"/>
    </xf>
    <xf numFmtId="0" fontId="27" fillId="0" borderId="10" xfId="0" applyFont="1" applyBorder="1" applyAlignment="1">
      <alignment horizontal="center" vertical="center"/>
    </xf>
    <xf numFmtId="0" fontId="27" fillId="3" borderId="10" xfId="0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32" fillId="0" borderId="29" xfId="0" applyFont="1" applyBorder="1" applyAlignment="1">
      <alignment vertical="top"/>
    </xf>
    <xf numFmtId="0" fontId="47" fillId="0" borderId="26" xfId="0" applyFont="1" applyBorder="1" applyAlignment="1">
      <alignment vertical="center" textRotation="90" wrapText="1"/>
    </xf>
    <xf numFmtId="0" fontId="47" fillId="0" borderId="0" xfId="0" applyFont="1" applyBorder="1" applyAlignment="1">
      <alignment vertical="center" textRotation="90" wrapText="1"/>
    </xf>
    <xf numFmtId="0" fontId="47" fillId="0" borderId="30" xfId="0" applyFont="1" applyBorder="1" applyAlignment="1">
      <alignment vertical="center" textRotation="90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7" fillId="3" borderId="113" xfId="0" applyFont="1" applyFill="1" applyBorder="1" applyAlignment="1">
      <alignment horizontal="center" vertical="center"/>
    </xf>
    <xf numFmtId="0" fontId="27" fillId="3" borderId="114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vertical="center" wrapText="1"/>
    </xf>
    <xf numFmtId="0" fontId="16" fillId="3" borderId="114" xfId="0" applyFont="1" applyFill="1" applyBorder="1" applyAlignment="1">
      <alignment horizontal="center" vertical="center"/>
    </xf>
    <xf numFmtId="0" fontId="22" fillId="3" borderId="114" xfId="0" applyFont="1" applyFill="1" applyBorder="1" applyAlignment="1">
      <alignment horizontal="center" vertical="center"/>
    </xf>
    <xf numFmtId="0" fontId="15" fillId="3" borderId="114" xfId="0" applyFont="1" applyFill="1" applyBorder="1" applyAlignment="1">
      <alignment horizontal="center" vertical="center"/>
    </xf>
    <xf numFmtId="0" fontId="44" fillId="3" borderId="114" xfId="0" applyFont="1" applyFill="1" applyBorder="1" applyAlignment="1">
      <alignment horizontal="center" vertical="center"/>
    </xf>
    <xf numFmtId="20" fontId="27" fillId="3" borderId="114" xfId="0" applyNumberFormat="1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center"/>
    </xf>
    <xf numFmtId="0" fontId="21" fillId="3" borderId="115" xfId="0" applyFont="1" applyFill="1" applyBorder="1" applyAlignment="1">
      <alignment horizontal="center" vertical="center"/>
    </xf>
    <xf numFmtId="1" fontId="37" fillId="3" borderId="116" xfId="0" quotePrefix="1" applyNumberFormat="1" applyFont="1" applyFill="1" applyBorder="1" applyAlignment="1">
      <alignment horizontal="center" vertical="center" wrapText="1"/>
    </xf>
    <xf numFmtId="1" fontId="37" fillId="3" borderId="117" xfId="0" quotePrefix="1" applyNumberFormat="1" applyFont="1" applyFill="1" applyBorder="1" applyAlignment="1">
      <alignment horizontal="center" vertical="center" wrapText="1"/>
    </xf>
    <xf numFmtId="0" fontId="35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center" vertical="center" wrapText="1"/>
    </xf>
    <xf numFmtId="0" fontId="19" fillId="3" borderId="117" xfId="0" quotePrefix="1" applyFont="1" applyFill="1" applyBorder="1" applyAlignment="1">
      <alignment horizontal="left" vertical="center" wrapText="1"/>
    </xf>
    <xf numFmtId="0" fontId="19" fillId="3" borderId="118" xfId="0" quotePrefix="1" applyFont="1" applyFill="1" applyBorder="1" applyAlignment="1">
      <alignment horizontal="center" vertical="center" wrapText="1"/>
    </xf>
    <xf numFmtId="0" fontId="25" fillId="3" borderId="119" xfId="0" applyFont="1" applyFill="1" applyBorder="1" applyAlignment="1">
      <alignment vertical="center" wrapText="1"/>
    </xf>
    <xf numFmtId="0" fontId="66" fillId="0" borderId="113" xfId="0" applyFont="1" applyBorder="1" applyAlignment="1">
      <alignment horizontal="center" vertical="center"/>
    </xf>
    <xf numFmtId="0" fontId="66" fillId="0" borderId="114" xfId="0" applyFont="1" applyBorder="1" applyAlignment="1">
      <alignment horizontal="center" vertical="center"/>
    </xf>
    <xf numFmtId="0" fontId="44" fillId="0" borderId="114" xfId="0" applyFont="1" applyBorder="1" applyAlignment="1">
      <alignment vertical="center" wrapText="1"/>
    </xf>
    <xf numFmtId="0" fontId="69" fillId="0" borderId="114" xfId="0" applyFont="1" applyBorder="1" applyAlignment="1">
      <alignment horizontal="center" vertical="center"/>
    </xf>
    <xf numFmtId="0" fontId="70" fillId="0" borderId="114" xfId="0" applyFont="1" applyBorder="1" applyAlignment="1">
      <alignment horizontal="center" vertical="center"/>
    </xf>
    <xf numFmtId="0" fontId="35" fillId="0" borderId="114" xfId="0" applyFont="1" applyBorder="1" applyAlignment="1">
      <alignment horizontal="center" vertical="center"/>
    </xf>
    <xf numFmtId="0" fontId="20" fillId="0" borderId="114" xfId="0" applyFont="1" applyBorder="1" applyAlignment="1">
      <alignment horizontal="center" vertical="center"/>
    </xf>
    <xf numFmtId="20" fontId="66" fillId="0" borderId="114" xfId="0" applyNumberFormat="1" applyFont="1" applyBorder="1" applyAlignment="1">
      <alignment horizontal="center" vertical="center"/>
    </xf>
    <xf numFmtId="0" fontId="67" fillId="0" borderId="114" xfId="0" applyFont="1" applyBorder="1" applyAlignment="1">
      <alignment horizontal="center" vertical="center"/>
    </xf>
    <xf numFmtId="0" fontId="21" fillId="0" borderId="115" xfId="0" applyFont="1" applyBorder="1" applyAlignment="1">
      <alignment horizontal="center" vertical="center"/>
    </xf>
    <xf numFmtId="0" fontId="19" fillId="0" borderId="116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center" vertical="center" wrapText="1"/>
    </xf>
    <xf numFmtId="1" fontId="37" fillId="0" borderId="117" xfId="0" quotePrefix="1" applyNumberFormat="1" applyFont="1" applyFill="1" applyBorder="1" applyAlignment="1">
      <alignment horizontal="center" vertical="center" wrapText="1"/>
    </xf>
    <xf numFmtId="0" fontId="49" fillId="0" borderId="117" xfId="0" quotePrefix="1" applyFont="1" applyFill="1" applyBorder="1" applyAlignment="1">
      <alignment horizontal="center" vertical="center" wrapText="1"/>
    </xf>
    <xf numFmtId="0" fontId="19" fillId="0" borderId="117" xfId="0" quotePrefix="1" applyFont="1" applyFill="1" applyBorder="1" applyAlignment="1">
      <alignment horizontal="left" vertical="center" wrapText="1"/>
    </xf>
    <xf numFmtId="1" fontId="37" fillId="0" borderId="117" xfId="1" quotePrefix="1" applyNumberFormat="1" applyFont="1" applyFill="1" applyBorder="1" applyAlignment="1">
      <alignment horizontal="center" vertical="center" wrapText="1"/>
    </xf>
    <xf numFmtId="0" fontId="25" fillId="0" borderId="119" xfId="0" applyFont="1" applyBorder="1" applyAlignment="1">
      <alignment vertical="center" wrapText="1"/>
    </xf>
    <xf numFmtId="0" fontId="66" fillId="16" borderId="33" xfId="0" applyFont="1" applyFill="1" applyBorder="1" applyAlignment="1">
      <alignment horizontal="center" vertical="center"/>
    </xf>
    <xf numFmtId="0" fontId="47" fillId="16" borderId="10" xfId="0" applyFont="1" applyFill="1" applyBorder="1" applyAlignment="1">
      <alignment horizontal="center" vertical="center"/>
    </xf>
    <xf numFmtId="0" fontId="44" fillId="16" borderId="10" xfId="0" applyFont="1" applyFill="1" applyBorder="1" applyAlignment="1">
      <alignment vertical="center" wrapText="1"/>
    </xf>
    <xf numFmtId="0" fontId="69" fillId="16" borderId="10" xfId="0" applyFont="1" applyFill="1" applyBorder="1" applyAlignment="1">
      <alignment horizontal="center" vertical="center"/>
    </xf>
    <xf numFmtId="0" fontId="70" fillId="16" borderId="10" xfId="0" applyFont="1" applyFill="1" applyBorder="1" applyAlignment="1">
      <alignment horizontal="center" vertical="center"/>
    </xf>
    <xf numFmtId="0" fontId="35" fillId="16" borderId="10" xfId="0" applyFont="1" applyFill="1" applyBorder="1" applyAlignment="1">
      <alignment horizontal="center" vertical="center"/>
    </xf>
    <xf numFmtId="0" fontId="20" fillId="16" borderId="26" xfId="0" applyFont="1" applyFill="1" applyBorder="1" applyAlignment="1">
      <alignment horizontal="center" vertical="center"/>
    </xf>
    <xf numFmtId="20" fontId="66" fillId="16" borderId="10" xfId="0" applyNumberFormat="1" applyFont="1" applyFill="1" applyBorder="1" applyAlignment="1">
      <alignment horizontal="center" vertical="center"/>
    </xf>
    <xf numFmtId="0" fontId="67" fillId="16" borderId="10" xfId="0" applyFont="1" applyFill="1" applyBorder="1" applyAlignment="1">
      <alignment horizontal="center" vertical="center"/>
    </xf>
    <xf numFmtId="0" fontId="21" fillId="16" borderId="37" xfId="0" applyFont="1" applyFill="1" applyBorder="1" applyAlignment="1">
      <alignment horizontal="center" vertical="center"/>
    </xf>
    <xf numFmtId="1" fontId="37" fillId="16" borderId="57" xfId="1" quotePrefix="1" applyNumberFormat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center" vertical="center" wrapText="1"/>
    </xf>
    <xf numFmtId="0" fontId="19" fillId="16" borderId="57" xfId="0" quotePrefix="1" applyFont="1" applyFill="1" applyBorder="1" applyAlignment="1">
      <alignment horizontal="left" vertical="center" wrapText="1"/>
    </xf>
    <xf numFmtId="0" fontId="19" fillId="16" borderId="59" xfId="0" quotePrefix="1" applyFont="1" applyFill="1" applyBorder="1" applyAlignment="1">
      <alignment horizontal="center" vertical="center" wrapText="1"/>
    </xf>
    <xf numFmtId="0" fontId="25" fillId="16" borderId="45" xfId="0" applyFont="1" applyFill="1" applyBorder="1" applyAlignment="1">
      <alignment vertical="center" wrapText="1"/>
    </xf>
    <xf numFmtId="0" fontId="15" fillId="16" borderId="10" xfId="0" applyFont="1" applyFill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66" fillId="4" borderId="33" xfId="0" applyFont="1" applyFill="1" applyBorder="1" applyAlignment="1">
      <alignment horizontal="center" vertical="center"/>
    </xf>
    <xf numFmtId="0" fontId="44" fillId="4" borderId="10" xfId="0" applyFont="1" applyFill="1" applyBorder="1" applyAlignment="1">
      <alignment vertical="center" wrapText="1"/>
    </xf>
    <xf numFmtId="0" fontId="69" fillId="4" borderId="10" xfId="0" applyFont="1" applyFill="1" applyBorder="1" applyAlignment="1">
      <alignment horizontal="center" vertical="center"/>
    </xf>
    <xf numFmtId="0" fontId="70" fillId="4" borderId="10" xfId="0" applyFont="1" applyFill="1" applyBorder="1" applyAlignment="1">
      <alignment horizontal="center" vertical="center"/>
    </xf>
    <xf numFmtId="0" fontId="35" fillId="4" borderId="10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center" vertical="center"/>
    </xf>
    <xf numFmtId="20" fontId="66" fillId="4" borderId="10" xfId="0" applyNumberFormat="1" applyFont="1" applyFill="1" applyBorder="1" applyAlignment="1">
      <alignment horizontal="center" vertical="center"/>
    </xf>
    <xf numFmtId="0" fontId="67" fillId="4" borderId="10" xfId="0" applyFont="1" applyFill="1" applyBorder="1" applyAlignment="1">
      <alignment horizontal="center" vertical="center"/>
    </xf>
    <xf numFmtId="0" fontId="21" fillId="4" borderId="37" xfId="0" applyFont="1" applyFill="1" applyBorder="1" applyAlignment="1">
      <alignment horizontal="center" vertical="center"/>
    </xf>
    <xf numFmtId="1" fontId="37" fillId="4" borderId="57" xfId="1" quotePrefix="1" applyNumberFormat="1" applyFont="1" applyFill="1" applyBorder="1" applyAlignment="1">
      <alignment horizontal="center" vertical="center" wrapText="1"/>
    </xf>
    <xf numFmtId="0" fontId="21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center" vertical="center" wrapText="1"/>
    </xf>
    <xf numFmtId="0" fontId="19" fillId="4" borderId="57" xfId="0" quotePrefix="1" applyFont="1" applyFill="1" applyBorder="1" applyAlignment="1">
      <alignment horizontal="left" vertical="center" wrapText="1"/>
    </xf>
    <xf numFmtId="0" fontId="19" fillId="4" borderId="59" xfId="0" quotePrefix="1" applyFont="1" applyFill="1" applyBorder="1" applyAlignment="1">
      <alignment horizontal="center" vertical="center" wrapText="1"/>
    </xf>
    <xf numFmtId="0" fontId="25" fillId="4" borderId="45" xfId="0" applyFont="1" applyFill="1" applyBorder="1" applyAlignment="1">
      <alignment vertical="center" wrapText="1"/>
    </xf>
    <xf numFmtId="0" fontId="19" fillId="4" borderId="68" xfId="0" quotePrefix="1" applyFont="1" applyFill="1" applyBorder="1" applyAlignment="1">
      <alignment horizontal="center" vertical="center" wrapText="1"/>
    </xf>
    <xf numFmtId="0" fontId="68" fillId="16" borderId="10" xfId="0" applyFont="1" applyFill="1" applyBorder="1" applyAlignment="1">
      <alignment horizontal="center" vertical="center"/>
    </xf>
    <xf numFmtId="9" fontId="37" fillId="16" borderId="57" xfId="1" quotePrefix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9" fontId="39" fillId="14" borderId="5" xfId="1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right" vertical="center"/>
    </xf>
    <xf numFmtId="0" fontId="32" fillId="14" borderId="24" xfId="0" applyFont="1" applyFill="1" applyBorder="1" applyAlignment="1">
      <alignment vertical="center"/>
    </xf>
    <xf numFmtId="0" fontId="66" fillId="5" borderId="56" xfId="0" applyFont="1" applyFill="1" applyBorder="1" applyAlignment="1">
      <alignment horizontal="left" vertical="center"/>
    </xf>
    <xf numFmtId="1" fontId="37" fillId="4" borderId="57" xfId="0" quotePrefix="1" applyNumberFormat="1" applyFont="1" applyFill="1" applyBorder="1" applyAlignment="1">
      <alignment horizontal="center" vertical="center" wrapText="1"/>
    </xf>
    <xf numFmtId="9" fontId="37" fillId="4" borderId="57" xfId="1" quotePrefix="1" applyFont="1" applyFill="1" applyBorder="1" applyAlignment="1">
      <alignment horizontal="center" vertical="center" wrapText="1"/>
    </xf>
    <xf numFmtId="0" fontId="0" fillId="0" borderId="111" xfId="0" applyBorder="1"/>
    <xf numFmtId="0" fontId="0" fillId="0" borderId="7" xfId="0" applyBorder="1"/>
    <xf numFmtId="0" fontId="0" fillId="0" borderId="28" xfId="0" applyBorder="1"/>
    <xf numFmtId="0" fontId="0" fillId="0" borderId="3" xfId="0" applyBorder="1"/>
    <xf numFmtId="0" fontId="0" fillId="0" borderId="6" xfId="0" applyBorder="1"/>
    <xf numFmtId="0" fontId="0" fillId="0" borderId="14" xfId="0" applyBorder="1"/>
    <xf numFmtId="0" fontId="0" fillId="0" borderId="120" xfId="0" applyBorder="1"/>
    <xf numFmtId="0" fontId="0" fillId="0" borderId="121" xfId="0" applyBorder="1"/>
    <xf numFmtId="0" fontId="0" fillId="0" borderId="105" xfId="0" applyBorder="1"/>
    <xf numFmtId="0" fontId="0" fillId="0" borderId="20" xfId="0" applyBorder="1"/>
    <xf numFmtId="0" fontId="0" fillId="0" borderId="122" xfId="0" applyBorder="1"/>
    <xf numFmtId="0" fontId="0" fillId="0" borderId="123" xfId="0" applyBorder="1"/>
    <xf numFmtId="0" fontId="22" fillId="0" borderId="123" xfId="0" applyFont="1" applyBorder="1" applyAlignment="1">
      <alignment vertical="center"/>
    </xf>
    <xf numFmtId="0" fontId="0" fillId="0" borderId="124" xfId="0" applyBorder="1"/>
    <xf numFmtId="0" fontId="0" fillId="0" borderId="125" xfId="0" applyBorder="1"/>
    <xf numFmtId="0" fontId="0" fillId="0" borderId="126" xfId="0" applyBorder="1"/>
    <xf numFmtId="0" fontId="0" fillId="0" borderId="127" xfId="0" applyBorder="1"/>
    <xf numFmtId="0" fontId="0" fillId="0" borderId="128" xfId="0" applyBorder="1"/>
    <xf numFmtId="0" fontId="0" fillId="0" borderId="129" xfId="0" applyBorder="1"/>
    <xf numFmtId="0" fontId="0" fillId="0" borderId="130" xfId="0" applyBorder="1"/>
    <xf numFmtId="0" fontId="0" fillId="0" borderId="131" xfId="0" applyBorder="1"/>
    <xf numFmtId="0" fontId="0" fillId="0" borderId="132" xfId="0" applyBorder="1"/>
    <xf numFmtId="0" fontId="0" fillId="0" borderId="62" xfId="0" applyBorder="1"/>
    <xf numFmtId="0" fontId="0" fillId="13" borderId="128" xfId="0" applyFill="1" applyBorder="1"/>
    <xf numFmtId="0" fontId="74" fillId="13" borderId="128" xfId="0" applyFont="1" applyFill="1" applyBorder="1" applyAlignment="1">
      <alignment horizontal="right" vertical="center"/>
    </xf>
    <xf numFmtId="0" fontId="0" fillId="12" borderId="130" xfId="0" applyFill="1" applyBorder="1"/>
    <xf numFmtId="0" fontId="0" fillId="12" borderId="131" xfId="0" applyFill="1" applyBorder="1"/>
    <xf numFmtId="0" fontId="0" fillId="12" borderId="127" xfId="0" applyFill="1" applyBorder="1"/>
    <xf numFmtId="0" fontId="0" fillId="12" borderId="128" xfId="0" applyFill="1" applyBorder="1"/>
    <xf numFmtId="0" fontId="0" fillId="13" borderId="126" xfId="0" applyFill="1" applyBorder="1"/>
    <xf numFmtId="0" fontId="35" fillId="5" borderId="128" xfId="0" quotePrefix="1" applyFont="1" applyFill="1" applyBorder="1" applyAlignment="1">
      <alignment horizontal="center" vertical="center" wrapText="1"/>
    </xf>
    <xf numFmtId="0" fontId="21" fillId="5" borderId="128" xfId="0" quotePrefix="1" applyFont="1" applyFill="1" applyBorder="1" applyAlignment="1">
      <alignment horizontal="center" vertical="center" wrapText="1"/>
    </xf>
    <xf numFmtId="0" fontId="21" fillId="5" borderId="57" xfId="0" quotePrefix="1" applyFont="1" applyFill="1" applyBorder="1" applyAlignment="1">
      <alignment horizontal="center" vertical="center" wrapText="1"/>
    </xf>
    <xf numFmtId="0" fontId="74" fillId="13" borderId="126" xfId="0" applyFont="1" applyFill="1" applyBorder="1" applyAlignment="1">
      <alignment horizontal="right" vertical="center"/>
    </xf>
    <xf numFmtId="0" fontId="35" fillId="5" borderId="126" xfId="0" quotePrefix="1" applyFont="1" applyFill="1" applyBorder="1" applyAlignment="1">
      <alignment horizontal="center" vertical="center" wrapText="1"/>
    </xf>
    <xf numFmtId="0" fontId="0" fillId="12" borderId="62" xfId="0" applyFill="1" applyBorder="1"/>
    <xf numFmtId="0" fontId="27" fillId="0" borderId="133" xfId="0" applyFont="1" applyBorder="1" applyAlignment="1">
      <alignment horizontal="center" vertical="center"/>
    </xf>
    <xf numFmtId="0" fontId="66" fillId="0" borderId="76" xfId="0" applyFont="1" applyBorder="1" applyAlignment="1">
      <alignment horizontal="center" vertical="center"/>
    </xf>
    <xf numFmtId="0" fontId="66" fillId="0" borderId="77" xfId="0" applyFont="1" applyBorder="1" applyAlignment="1">
      <alignment horizontal="center" vertical="center"/>
    </xf>
    <xf numFmtId="0" fontId="66" fillId="0" borderId="78" xfId="0" applyFont="1" applyBorder="1" applyAlignment="1">
      <alignment horizontal="center" vertical="center"/>
    </xf>
    <xf numFmtId="0" fontId="66" fillId="0" borderId="79" xfId="0" applyFont="1" applyBorder="1" applyAlignment="1">
      <alignment horizontal="center" vertical="center"/>
    </xf>
    <xf numFmtId="0" fontId="66" fillId="0" borderId="84" xfId="0" applyFont="1" applyBorder="1" applyAlignment="1">
      <alignment horizontal="center" vertical="center"/>
    </xf>
    <xf numFmtId="0" fontId="66" fillId="0" borderId="85" xfId="0" applyFont="1" applyBorder="1" applyAlignment="1">
      <alignment horizontal="center" vertical="center"/>
    </xf>
    <xf numFmtId="0" fontId="66" fillId="13" borderId="78" xfId="0" applyFont="1" applyFill="1" applyBorder="1" applyAlignment="1">
      <alignment horizontal="center" vertical="center"/>
    </xf>
    <xf numFmtId="1" fontId="31" fillId="0" borderId="138" xfId="0" applyNumberFormat="1" applyFont="1" applyBorder="1" applyAlignment="1">
      <alignment horizontal="center" vertical="center"/>
    </xf>
    <xf numFmtId="1" fontId="31" fillId="0" borderId="57" xfId="0" applyNumberFormat="1" applyFont="1" applyBorder="1" applyAlignment="1">
      <alignment horizontal="center" vertical="center"/>
    </xf>
    <xf numFmtId="1" fontId="31" fillId="0" borderId="139" xfId="0" applyNumberFormat="1" applyFont="1" applyBorder="1" applyAlignment="1">
      <alignment horizontal="center" vertical="center"/>
    </xf>
    <xf numFmtId="1" fontId="31" fillId="0" borderId="140" xfId="0" applyNumberFormat="1" applyFont="1" applyBorder="1" applyAlignment="1">
      <alignment horizontal="center" vertical="center"/>
    </xf>
    <xf numFmtId="1" fontId="31" fillId="0" borderId="56" xfId="0" applyNumberFormat="1" applyFont="1" applyBorder="1" applyAlignment="1">
      <alignment horizontal="center" vertical="center"/>
    </xf>
    <xf numFmtId="1" fontId="31" fillId="0" borderId="103" xfId="0" applyNumberFormat="1" applyFont="1" applyBorder="1" applyAlignment="1">
      <alignment horizontal="center" vertical="center"/>
    </xf>
    <xf numFmtId="1" fontId="31" fillId="0" borderId="141" xfId="0" applyNumberFormat="1" applyFont="1" applyBorder="1" applyAlignment="1">
      <alignment horizontal="center" vertical="center"/>
    </xf>
    <xf numFmtId="1" fontId="31" fillId="0" borderId="72" xfId="0" applyNumberFormat="1" applyFont="1" applyBorder="1" applyAlignment="1">
      <alignment horizontal="center" vertical="center"/>
    </xf>
    <xf numFmtId="1" fontId="31" fillId="0" borderId="142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" fontId="31" fillId="0" borderId="144" xfId="0" applyNumberFormat="1" applyFont="1" applyBorder="1" applyAlignment="1">
      <alignment horizontal="center" vertical="center"/>
    </xf>
    <xf numFmtId="1" fontId="31" fillId="0" borderId="64" xfId="0" applyNumberFormat="1" applyFont="1" applyBorder="1" applyAlignment="1">
      <alignment horizontal="center" vertical="center"/>
    </xf>
    <xf numFmtId="1" fontId="31" fillId="0" borderId="104" xfId="0" applyNumberFormat="1" applyFont="1" applyBorder="1" applyAlignment="1">
      <alignment horizontal="center" vertical="center"/>
    </xf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0" fillId="0" borderId="6" xfId="0" applyFill="1" applyBorder="1"/>
    <xf numFmtId="0" fontId="0" fillId="0" borderId="0" xfId="0" applyFill="1" applyBorder="1"/>
    <xf numFmtId="165" fontId="11" fillId="0" borderId="16" xfId="0" applyNumberFormat="1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1" fontId="75" fillId="5" borderId="64" xfId="0" applyNumberFormat="1" applyFont="1" applyFill="1" applyBorder="1" applyAlignment="1">
      <alignment horizontal="center" vertical="center"/>
    </xf>
    <xf numFmtId="0" fontId="0" fillId="0" borderId="149" xfId="0" applyBorder="1"/>
    <xf numFmtId="0" fontId="0" fillId="0" borderId="150" xfId="0" applyBorder="1"/>
    <xf numFmtId="0" fontId="0" fillId="0" borderId="143" xfId="0" applyBorder="1"/>
    <xf numFmtId="0" fontId="0" fillId="0" borderId="101" xfId="0" applyBorder="1"/>
    <xf numFmtId="0" fontId="5" fillId="0" borderId="101" xfId="0" applyFont="1" applyBorder="1" applyAlignment="1">
      <alignment vertical="center"/>
    </xf>
    <xf numFmtId="0" fontId="22" fillId="0" borderId="101" xfId="0" applyFont="1" applyBorder="1" applyAlignment="1">
      <alignment vertical="center"/>
    </xf>
    <xf numFmtId="0" fontId="0" fillId="0" borderId="102" xfId="0" applyBorder="1"/>
    <xf numFmtId="0" fontId="0" fillId="0" borderId="151" xfId="0" applyBorder="1"/>
    <xf numFmtId="0" fontId="12" fillId="0" borderId="26" xfId="0" applyFont="1" applyBorder="1" applyAlignment="1">
      <alignment horizontal="right" vertical="center"/>
    </xf>
    <xf numFmtId="0" fontId="0" fillId="0" borderId="152" xfId="0" applyBorder="1"/>
    <xf numFmtId="0" fontId="32" fillId="0" borderId="153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43" fillId="0" borderId="26" xfId="0" applyFont="1" applyBorder="1" applyAlignment="1">
      <alignment horizontal="center" vertical="center"/>
    </xf>
    <xf numFmtId="0" fontId="15" fillId="0" borderId="161" xfId="0" applyFont="1" applyBorder="1" applyAlignment="1">
      <alignment horizontal="center" vertical="center"/>
    </xf>
    <xf numFmtId="0" fontId="15" fillId="0" borderId="162" xfId="0" applyFont="1" applyBorder="1" applyAlignment="1">
      <alignment horizontal="center" vertical="center"/>
    </xf>
    <xf numFmtId="0" fontId="44" fillId="3" borderId="163" xfId="0" applyFont="1" applyFill="1" applyBorder="1" applyAlignment="1">
      <alignment horizontal="center" vertical="center"/>
    </xf>
    <xf numFmtId="0" fontId="44" fillId="3" borderId="164" xfId="0" applyFont="1" applyFill="1" applyBorder="1" applyAlignment="1">
      <alignment horizontal="center" vertical="center"/>
    </xf>
    <xf numFmtId="0" fontId="44" fillId="0" borderId="163" xfId="0" applyFont="1" applyBorder="1" applyAlignment="1">
      <alignment horizontal="center" vertical="center"/>
    </xf>
    <xf numFmtId="0" fontId="44" fillId="0" borderId="164" xfId="0" applyFont="1" applyBorder="1" applyAlignment="1">
      <alignment horizontal="center" vertical="center"/>
    </xf>
    <xf numFmtId="0" fontId="44" fillId="3" borderId="165" xfId="0" applyFont="1" applyFill="1" applyBorder="1" applyAlignment="1">
      <alignment horizontal="center" vertical="center"/>
    </xf>
    <xf numFmtId="0" fontId="44" fillId="3" borderId="166" xfId="0" applyFont="1" applyFill="1" applyBorder="1" applyAlignment="1">
      <alignment horizontal="center" vertical="center"/>
    </xf>
    <xf numFmtId="0" fontId="51" fillId="0" borderId="164" xfId="0" applyFont="1" applyBorder="1" applyAlignment="1">
      <alignment horizontal="center" vertical="center"/>
    </xf>
    <xf numFmtId="0" fontId="51" fillId="4" borderId="164" xfId="0" applyFont="1" applyFill="1" applyBorder="1" applyAlignment="1">
      <alignment horizontal="center" vertical="center"/>
    </xf>
    <xf numFmtId="0" fontId="51" fillId="16" borderId="164" xfId="0" applyFont="1" applyFill="1" applyBorder="1" applyAlignment="1">
      <alignment horizontal="center" vertical="center"/>
    </xf>
    <xf numFmtId="0" fontId="51" fillId="0" borderId="166" xfId="0" applyFont="1" applyBorder="1" applyAlignment="1">
      <alignment horizontal="center" vertical="center"/>
    </xf>
    <xf numFmtId="0" fontId="44" fillId="3" borderId="167" xfId="0" applyFont="1" applyFill="1" applyBorder="1" applyAlignment="1">
      <alignment horizontal="center" vertical="center"/>
    </xf>
    <xf numFmtId="0" fontId="44" fillId="3" borderId="168" xfId="0" applyFont="1" applyFill="1" applyBorder="1" applyAlignment="1">
      <alignment horizontal="center" vertical="center"/>
    </xf>
    <xf numFmtId="0" fontId="21" fillId="5" borderId="0" xfId="0" quotePrefix="1" applyFont="1" applyFill="1" applyBorder="1" applyAlignment="1">
      <alignment horizontal="center" vertical="center" wrapText="1"/>
    </xf>
    <xf numFmtId="0" fontId="77" fillId="4" borderId="10" xfId="0" applyFont="1" applyFill="1" applyBorder="1" applyAlignment="1">
      <alignment horizontal="center" vertical="center"/>
    </xf>
    <xf numFmtId="0" fontId="77" fillId="0" borderId="10" xfId="0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20" fontId="20" fillId="0" borderId="10" xfId="0" applyNumberFormat="1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20" fillId="0" borderId="113" xfId="0" applyFont="1" applyBorder="1" applyAlignment="1">
      <alignment horizontal="center" vertical="center"/>
    </xf>
    <xf numFmtId="0" fontId="51" fillId="0" borderId="114" xfId="0" applyFont="1" applyBorder="1" applyAlignment="1">
      <alignment horizontal="center" vertical="center"/>
    </xf>
    <xf numFmtId="0" fontId="20" fillId="0" borderId="169" xfId="0" applyFont="1" applyBorder="1" applyAlignment="1">
      <alignment horizontal="center" vertical="center"/>
    </xf>
    <xf numFmtId="0" fontId="67" fillId="0" borderId="169" xfId="0" applyFont="1" applyBorder="1" applyAlignment="1">
      <alignment horizontal="center" vertical="center"/>
    </xf>
    <xf numFmtId="20" fontId="20" fillId="0" borderId="163" xfId="0" applyNumberFormat="1" applyFont="1" applyBorder="1" applyAlignment="1">
      <alignment horizontal="center" vertical="center"/>
    </xf>
    <xf numFmtId="20" fontId="20" fillId="0" borderId="171" xfId="0" applyNumberFormat="1" applyFont="1" applyBorder="1" applyAlignment="1">
      <alignment horizontal="center" vertical="center"/>
    </xf>
    <xf numFmtId="20" fontId="66" fillId="0" borderId="169" xfId="0" applyNumberFormat="1" applyFont="1" applyBorder="1" applyAlignment="1">
      <alignment horizontal="center" vertical="center"/>
    </xf>
    <xf numFmtId="0" fontId="20" fillId="17" borderId="46" xfId="0" applyFont="1" applyFill="1" applyBorder="1" applyAlignment="1">
      <alignment horizontal="center" vertical="center"/>
    </xf>
    <xf numFmtId="0" fontId="51" fillId="17" borderId="10" xfId="0" applyFont="1" applyFill="1" applyBorder="1" applyAlignment="1">
      <alignment horizontal="center" vertical="center"/>
    </xf>
    <xf numFmtId="0" fontId="44" fillId="17" borderId="10" xfId="0" applyFont="1" applyFill="1" applyBorder="1" applyAlignment="1">
      <alignment vertical="center" wrapText="1"/>
    </xf>
    <xf numFmtId="0" fontId="67" fillId="17" borderId="26" xfId="0" applyFont="1" applyFill="1" applyBorder="1" applyAlignment="1">
      <alignment horizontal="center" vertical="center"/>
    </xf>
    <xf numFmtId="0" fontId="20" fillId="17" borderId="26" xfId="0" applyFont="1" applyFill="1" applyBorder="1" applyAlignment="1">
      <alignment horizontal="center" vertical="center"/>
    </xf>
    <xf numFmtId="0" fontId="51" fillId="17" borderId="164" xfId="0" applyFont="1" applyFill="1" applyBorder="1" applyAlignment="1">
      <alignment horizontal="center" vertical="center"/>
    </xf>
    <xf numFmtId="20" fontId="20" fillId="17" borderId="170" xfId="0" applyNumberFormat="1" applyFont="1" applyFill="1" applyBorder="1" applyAlignment="1">
      <alignment horizontal="center" vertical="center"/>
    </xf>
    <xf numFmtId="20" fontId="66" fillId="17" borderId="26" xfId="0" applyNumberFormat="1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51" fillId="0" borderId="164" xfId="0" applyFont="1" applyFill="1" applyBorder="1" applyAlignment="1">
      <alignment horizontal="center" vertical="center"/>
    </xf>
    <xf numFmtId="20" fontId="20" fillId="0" borderId="163" xfId="0" applyNumberFormat="1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51" fillId="4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20" fontId="20" fillId="4" borderId="163" xfId="0" applyNumberFormat="1" applyFont="1" applyFill="1" applyBorder="1" applyAlignment="1">
      <alignment horizontal="center" vertical="center"/>
    </xf>
    <xf numFmtId="0" fontId="20" fillId="16" borderId="46" xfId="0" applyFont="1" applyFill="1" applyBorder="1" applyAlignment="1">
      <alignment horizontal="center" vertical="center"/>
    </xf>
    <xf numFmtId="0" fontId="20" fillId="16" borderId="10" xfId="0" applyFont="1" applyFill="1" applyBorder="1" applyAlignment="1">
      <alignment horizontal="center" vertical="center"/>
    </xf>
    <xf numFmtId="20" fontId="20" fillId="16" borderId="163" xfId="0" applyNumberFormat="1" applyFont="1" applyFill="1" applyBorder="1" applyAlignment="1">
      <alignment horizontal="center" vertical="center"/>
    </xf>
    <xf numFmtId="0" fontId="78" fillId="16" borderId="10" xfId="0" applyFont="1" applyFill="1" applyBorder="1" applyAlignment="1">
      <alignment horizontal="center" vertical="center"/>
    </xf>
    <xf numFmtId="9" fontId="51" fillId="14" borderId="5" xfId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left" vertical="center"/>
    </xf>
    <xf numFmtId="0" fontId="21" fillId="0" borderId="128" xfId="0" quotePrefix="1" applyFont="1" applyFill="1" applyBorder="1" applyAlignment="1">
      <alignment horizontal="center" vertical="center" wrapText="1"/>
    </xf>
    <xf numFmtId="0" fontId="0" fillId="0" borderId="62" xfId="0" applyFill="1" applyBorder="1"/>
    <xf numFmtId="0" fontId="0" fillId="0" borderId="128" xfId="0" applyFill="1" applyBorder="1"/>
    <xf numFmtId="0" fontId="74" fillId="0" borderId="128" xfId="0" applyFont="1" applyFill="1" applyBorder="1" applyAlignment="1">
      <alignment horizontal="right" vertical="center"/>
    </xf>
    <xf numFmtId="0" fontId="0" fillId="18" borderId="128" xfId="0" applyFill="1" applyBorder="1"/>
    <xf numFmtId="20" fontId="53" fillId="14" borderId="8" xfId="0" quotePrefix="1" applyNumberFormat="1" applyFont="1" applyFill="1" applyBorder="1" applyAlignment="1">
      <alignment horizontal="center" vertical="center" textRotation="45"/>
    </xf>
    <xf numFmtId="20" fontId="79" fillId="14" borderId="8" xfId="0" quotePrefix="1" applyNumberFormat="1" applyFont="1" applyFill="1" applyBorder="1" applyAlignment="1">
      <alignment horizontal="center" vertical="center" textRotation="45"/>
    </xf>
    <xf numFmtId="20" fontId="80" fillId="14" borderId="8" xfId="0" quotePrefix="1" applyNumberFormat="1" applyFont="1" applyFill="1" applyBorder="1" applyAlignment="1">
      <alignment horizontal="center" vertical="center" textRotation="45"/>
    </xf>
    <xf numFmtId="20" fontId="81" fillId="14" borderId="8" xfId="0" quotePrefix="1" applyNumberFormat="1" applyFont="1" applyFill="1" applyBorder="1" applyAlignment="1">
      <alignment horizontal="center" vertical="center" textRotation="45"/>
    </xf>
    <xf numFmtId="20" fontId="82" fillId="14" borderId="8" xfId="0" quotePrefix="1" applyNumberFormat="1" applyFont="1" applyFill="1" applyBorder="1" applyAlignment="1">
      <alignment horizontal="center" vertical="center" textRotation="45"/>
    </xf>
    <xf numFmtId="0" fontId="35" fillId="0" borderId="128" xfId="0" quotePrefix="1" applyFont="1" applyFill="1" applyBorder="1" applyAlignment="1">
      <alignment horizontal="center" vertical="center" wrapText="1"/>
    </xf>
    <xf numFmtId="0" fontId="0" fillId="0" borderId="131" xfId="0" applyFill="1" applyBorder="1"/>
    <xf numFmtId="0" fontId="74" fillId="12" borderId="128" xfId="0" applyFont="1" applyFill="1" applyBorder="1" applyAlignment="1">
      <alignment horizontal="right" vertical="center"/>
    </xf>
    <xf numFmtId="0" fontId="74" fillId="18" borderId="128" xfId="0" applyFont="1" applyFill="1" applyBorder="1" applyAlignment="1">
      <alignment horizontal="left" vertical="center"/>
    </xf>
    <xf numFmtId="0" fontId="74" fillId="18" borderId="128" xfId="0" applyFont="1" applyFill="1" applyBorder="1" applyAlignment="1">
      <alignment horizontal="right" vertical="center"/>
    </xf>
    <xf numFmtId="0" fontId="39" fillId="0" borderId="163" xfId="0" applyFont="1" applyBorder="1" applyAlignment="1">
      <alignment horizontal="center" vertical="center"/>
    </xf>
    <xf numFmtId="0" fontId="39" fillId="17" borderId="163" xfId="0" applyFont="1" applyFill="1" applyBorder="1" applyAlignment="1">
      <alignment horizontal="center" vertical="center"/>
    </xf>
    <xf numFmtId="0" fontId="39" fillId="16" borderId="163" xfId="0" applyFont="1" applyFill="1" applyBorder="1" applyAlignment="1">
      <alignment horizontal="center" vertical="center"/>
    </xf>
    <xf numFmtId="0" fontId="39" fillId="0" borderId="163" xfId="0" applyFont="1" applyFill="1" applyBorder="1" applyAlignment="1">
      <alignment horizontal="center" vertical="center"/>
    </xf>
    <xf numFmtId="0" fontId="39" fillId="4" borderId="163" xfId="0" applyFont="1" applyFill="1" applyBorder="1" applyAlignment="1">
      <alignment horizontal="center" vertical="center"/>
    </xf>
    <xf numFmtId="0" fontId="39" fillId="0" borderId="165" xfId="0" applyFont="1" applyBorder="1" applyAlignment="1">
      <alignment horizontal="center" vertical="center"/>
    </xf>
    <xf numFmtId="0" fontId="22" fillId="0" borderId="0" xfId="0" applyFont="1" applyBorder="1" applyAlignment="1">
      <alignment horizontal="right" vertical="center" wrapText="1"/>
    </xf>
    <xf numFmtId="0" fontId="22" fillId="0" borderId="3" xfId="0" applyFont="1" applyBorder="1" applyAlignment="1">
      <alignment vertical="center"/>
    </xf>
    <xf numFmtId="0" fontId="5" fillId="0" borderId="0" xfId="0" applyFont="1" applyAlignment="1">
      <alignment vertical="center" textRotation="135"/>
    </xf>
    <xf numFmtId="0" fontId="0" fillId="0" borderId="172" xfId="0" applyBorder="1"/>
    <xf numFmtId="0" fontId="0" fillId="0" borderId="173" xfId="0" applyBorder="1"/>
    <xf numFmtId="20" fontId="81" fillId="14" borderId="174" xfId="0" quotePrefix="1" applyNumberFormat="1" applyFont="1" applyFill="1" applyBorder="1" applyAlignment="1">
      <alignment horizontal="center" vertical="center" textRotation="90"/>
    </xf>
    <xf numFmtId="20" fontId="80" fillId="14" borderId="175" xfId="0" quotePrefix="1" applyNumberFormat="1" applyFont="1" applyFill="1" applyBorder="1" applyAlignment="1">
      <alignment horizontal="center" vertical="center" textRotation="90"/>
    </xf>
    <xf numFmtId="20" fontId="81" fillId="14" borderId="175" xfId="0" quotePrefix="1" applyNumberFormat="1" applyFont="1" applyFill="1" applyBorder="1" applyAlignment="1">
      <alignment horizontal="center" vertical="center" textRotation="90"/>
    </xf>
    <xf numFmtId="20" fontId="80" fillId="14" borderId="176" xfId="0" quotePrefix="1" applyNumberFormat="1" applyFont="1" applyFill="1" applyBorder="1" applyAlignment="1">
      <alignment horizontal="center" vertical="center" textRotation="90"/>
    </xf>
    <xf numFmtId="0" fontId="0" fillId="14" borderId="177" xfId="0" applyFill="1" applyBorder="1"/>
    <xf numFmtId="0" fontId="32" fillId="0" borderId="111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7" xfId="0" applyFont="1" applyBorder="1" applyAlignment="1">
      <alignment horizontal="right" vertical="center"/>
    </xf>
    <xf numFmtId="0" fontId="32" fillId="0" borderId="28" xfId="0" applyFont="1" applyBorder="1" applyAlignment="1">
      <alignment horizontal="right" vertical="center"/>
    </xf>
    <xf numFmtId="0" fontId="6" fillId="0" borderId="0" xfId="0" applyFont="1" applyBorder="1" applyAlignment="1">
      <alignment horizontal="center"/>
    </xf>
    <xf numFmtId="0" fontId="6" fillId="0" borderId="111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0" fillId="0" borderId="179" xfId="0" applyBorder="1"/>
    <xf numFmtId="0" fontId="6" fillId="0" borderId="179" xfId="0" applyFont="1" applyBorder="1" applyAlignment="1">
      <alignment horizontal="center" vertical="center"/>
    </xf>
    <xf numFmtId="0" fontId="32" fillId="0" borderId="179" xfId="0" applyFont="1" applyBorder="1" applyAlignment="1">
      <alignment horizontal="right" vertical="center"/>
    </xf>
    <xf numFmtId="0" fontId="0" fillId="0" borderId="180" xfId="0" applyBorder="1"/>
    <xf numFmtId="0" fontId="0" fillId="0" borderId="181" xfId="0" applyBorder="1"/>
    <xf numFmtId="0" fontId="35" fillId="5" borderId="181" xfId="0" quotePrefix="1" applyFont="1" applyFill="1" applyBorder="1" applyAlignment="1">
      <alignment horizontal="center" vertical="center" wrapText="1"/>
    </xf>
    <xf numFmtId="0" fontId="0" fillId="13" borderId="181" xfId="0" applyFill="1" applyBorder="1"/>
    <xf numFmtId="0" fontId="74" fillId="13" borderId="181" xfId="0" applyFont="1" applyFill="1" applyBorder="1" applyAlignment="1">
      <alignment horizontal="right" vertical="center"/>
    </xf>
    <xf numFmtId="0" fontId="0" fillId="0" borderId="182" xfId="0" applyBorder="1"/>
    <xf numFmtId="0" fontId="0" fillId="0" borderId="184" xfId="0" applyBorder="1"/>
    <xf numFmtId="0" fontId="0" fillId="0" borderId="185" xfId="0" applyBorder="1"/>
    <xf numFmtId="0" fontId="0" fillId="0" borderId="186" xfId="0" applyBorder="1"/>
    <xf numFmtId="0" fontId="0" fillId="0" borderId="187" xfId="0" applyBorder="1"/>
    <xf numFmtId="0" fontId="0" fillId="0" borderId="189" xfId="0" applyBorder="1"/>
    <xf numFmtId="0" fontId="6" fillId="0" borderId="189" xfId="0" applyFont="1" applyBorder="1" applyAlignment="1">
      <alignment horizontal="center"/>
    </xf>
    <xf numFmtId="0" fontId="32" fillId="0" borderId="189" xfId="0" applyFont="1" applyBorder="1" applyAlignment="1">
      <alignment horizontal="right" vertical="center"/>
    </xf>
    <xf numFmtId="0" fontId="0" fillId="0" borderId="190" xfId="0" applyBorder="1"/>
    <xf numFmtId="0" fontId="0" fillId="0" borderId="191" xfId="0" applyBorder="1"/>
    <xf numFmtId="0" fontId="21" fillId="0" borderId="192" xfId="0" quotePrefix="1" applyFont="1" applyFill="1" applyBorder="1" applyAlignment="1">
      <alignment horizontal="center" vertical="center" wrapText="1"/>
    </xf>
    <xf numFmtId="0" fontId="0" fillId="0" borderId="191" xfId="0" applyFill="1" applyBorder="1"/>
    <xf numFmtId="0" fontId="21" fillId="5" borderId="191" xfId="0" quotePrefix="1" applyFont="1" applyFill="1" applyBorder="1" applyAlignment="1">
      <alignment horizontal="center" vertical="center" wrapText="1"/>
    </xf>
    <xf numFmtId="0" fontId="0" fillId="13" borderId="191" xfId="0" applyFill="1" applyBorder="1"/>
    <xf numFmtId="0" fontId="74" fillId="13" borderId="191" xfId="0" applyFont="1" applyFill="1" applyBorder="1" applyAlignment="1">
      <alignment horizontal="right" vertical="center"/>
    </xf>
    <xf numFmtId="0" fontId="74" fillId="0" borderId="191" xfId="0" applyFont="1" applyFill="1" applyBorder="1" applyAlignment="1">
      <alignment horizontal="right" vertical="center"/>
    </xf>
    <xf numFmtId="0" fontId="21" fillId="0" borderId="191" xfId="0" quotePrefix="1" applyFont="1" applyFill="1" applyBorder="1" applyAlignment="1">
      <alignment horizontal="center" vertical="center" wrapText="1"/>
    </xf>
    <xf numFmtId="0" fontId="0" fillId="0" borderId="193" xfId="0" applyBorder="1"/>
    <xf numFmtId="0" fontId="30" fillId="0" borderId="15" xfId="0" applyFont="1" applyBorder="1" applyAlignment="1">
      <alignment vertical="center"/>
    </xf>
    <xf numFmtId="0" fontId="21" fillId="13" borderId="128" xfId="0" quotePrefix="1" applyFont="1" applyFill="1" applyBorder="1" applyAlignment="1">
      <alignment horizontal="center" vertical="center" wrapText="1"/>
    </xf>
    <xf numFmtId="0" fontId="0" fillId="0" borderId="194" xfId="0" applyBorder="1"/>
    <xf numFmtId="0" fontId="6" fillId="0" borderId="194" xfId="0" applyFont="1" applyBorder="1" applyAlignment="1">
      <alignment horizontal="center"/>
    </xf>
    <xf numFmtId="0" fontId="32" fillId="0" borderId="194" xfId="0" applyFont="1" applyBorder="1" applyAlignment="1">
      <alignment horizontal="right" vertical="center"/>
    </xf>
    <xf numFmtId="0" fontId="0" fillId="0" borderId="195" xfId="0" applyBorder="1"/>
    <xf numFmtId="0" fontId="0" fillId="0" borderId="196" xfId="0" applyBorder="1"/>
    <xf numFmtId="0" fontId="0" fillId="12" borderId="196" xfId="0" applyFill="1" applyBorder="1"/>
    <xf numFmtId="0" fontId="0" fillId="0" borderId="196" xfId="0" applyFill="1" applyBorder="1"/>
    <xf numFmtId="0" fontId="0" fillId="0" borderId="197" xfId="0" applyBorder="1"/>
    <xf numFmtId="0" fontId="35" fillId="0" borderId="191" xfId="0" quotePrefix="1" applyFont="1" applyFill="1" applyBorder="1" applyAlignment="1">
      <alignment horizontal="center" vertical="center" wrapText="1"/>
    </xf>
    <xf numFmtId="0" fontId="0" fillId="0" borderId="198" xfId="0" applyBorder="1"/>
    <xf numFmtId="0" fontId="83" fillId="0" borderId="92" xfId="0" applyFont="1" applyFill="1" applyBorder="1" applyAlignment="1">
      <alignment horizontal="center" vertical="center"/>
    </xf>
    <xf numFmtId="0" fontId="83" fillId="0" borderId="154" xfId="0" applyFont="1" applyFill="1" applyBorder="1" applyAlignment="1">
      <alignment horizontal="center" vertical="center"/>
    </xf>
    <xf numFmtId="0" fontId="83" fillId="0" borderId="93" xfId="0" applyFont="1" applyFill="1" applyBorder="1" applyAlignment="1">
      <alignment horizontal="center" vertical="center"/>
    </xf>
    <xf numFmtId="0" fontId="35" fillId="5" borderId="199" xfId="0" quotePrefix="1" applyFont="1" applyFill="1" applyBorder="1" applyAlignment="1">
      <alignment horizontal="center" vertical="center" wrapText="1"/>
    </xf>
    <xf numFmtId="0" fontId="0" fillId="12" borderId="200" xfId="0" applyFill="1" applyBorder="1"/>
    <xf numFmtId="0" fontId="0" fillId="13" borderId="200" xfId="0" applyFill="1" applyBorder="1"/>
    <xf numFmtId="0" fontId="0" fillId="0" borderId="201" xfId="0" applyBorder="1"/>
    <xf numFmtId="0" fontId="0" fillId="18" borderId="200" xfId="0" applyFill="1" applyBorder="1"/>
    <xf numFmtId="0" fontId="0" fillId="12" borderId="202" xfId="0" applyFill="1" applyBorder="1"/>
    <xf numFmtId="0" fontId="0" fillId="0" borderId="203" xfId="0" applyFill="1" applyBorder="1"/>
    <xf numFmtId="0" fontId="0" fillId="0" borderId="200" xfId="0" applyFill="1" applyBorder="1"/>
    <xf numFmtId="0" fontId="0" fillId="12" borderId="204" xfId="0" applyFill="1" applyBorder="1"/>
    <xf numFmtId="0" fontId="0" fillId="13" borderId="203" xfId="0" applyFill="1" applyBorder="1"/>
    <xf numFmtId="0" fontId="0" fillId="13" borderId="205" xfId="0" applyFill="1" applyBorder="1"/>
    <xf numFmtId="0" fontId="0" fillId="12" borderId="206" xfId="0" applyFill="1" applyBorder="1"/>
    <xf numFmtId="0" fontId="0" fillId="13" borderId="206" xfId="0" applyFill="1" applyBorder="1"/>
    <xf numFmtId="0" fontId="0" fillId="0" borderId="207" xfId="0" applyBorder="1"/>
    <xf numFmtId="0" fontId="0" fillId="18" borderId="206" xfId="0" applyFill="1" applyBorder="1"/>
    <xf numFmtId="0" fontId="0" fillId="12" borderId="208" xfId="0" applyFill="1" applyBorder="1"/>
    <xf numFmtId="0" fontId="0" fillId="0" borderId="209" xfId="0" applyFill="1" applyBorder="1"/>
    <xf numFmtId="0" fontId="0" fillId="0" borderId="206" xfId="0" applyFill="1" applyBorder="1"/>
    <xf numFmtId="0" fontId="0" fillId="12" borderId="210" xfId="0" applyFill="1" applyBorder="1"/>
    <xf numFmtId="0" fontId="0" fillId="13" borderId="209" xfId="0" applyFill="1" applyBorder="1"/>
    <xf numFmtId="0" fontId="0" fillId="0" borderId="211" xfId="0" applyBorder="1"/>
    <xf numFmtId="0" fontId="0" fillId="0" borderId="212" xfId="0" applyBorder="1"/>
    <xf numFmtId="0" fontId="76" fillId="0" borderId="212" xfId="0" applyFont="1" applyBorder="1" applyAlignment="1">
      <alignment horizontal="center"/>
    </xf>
    <xf numFmtId="0" fontId="76" fillId="0" borderId="212" xfId="0" applyFont="1" applyBorder="1"/>
    <xf numFmtId="0" fontId="84" fillId="0" borderId="213" xfId="0" applyFont="1" applyFill="1" applyBorder="1" applyAlignment="1">
      <alignment horizontal="center" vertical="center"/>
    </xf>
    <xf numFmtId="1" fontId="31" fillId="0" borderId="214" xfId="0" applyNumberFormat="1" applyFont="1" applyBorder="1" applyAlignment="1">
      <alignment horizontal="center" vertical="center"/>
    </xf>
    <xf numFmtId="1" fontId="31" fillId="0" borderId="215" xfId="0" applyNumberFormat="1" applyFont="1" applyBorder="1" applyAlignment="1">
      <alignment horizontal="center" vertical="center"/>
    </xf>
    <xf numFmtId="1" fontId="75" fillId="5" borderId="215" xfId="0" applyNumberFormat="1" applyFont="1" applyFill="1" applyBorder="1" applyAlignment="1">
      <alignment horizontal="center" vertical="center"/>
    </xf>
    <xf numFmtId="1" fontId="31" fillId="0" borderId="216" xfId="0" applyNumberFormat="1" applyFont="1" applyBorder="1" applyAlignment="1">
      <alignment horizontal="center" vertical="center"/>
    </xf>
    <xf numFmtId="0" fontId="0" fillId="0" borderId="217" xfId="0" applyBorder="1"/>
    <xf numFmtId="0" fontId="0" fillId="0" borderId="218" xfId="0" applyBorder="1"/>
    <xf numFmtId="0" fontId="0" fillId="0" borderId="219" xfId="0" applyBorder="1"/>
    <xf numFmtId="0" fontId="76" fillId="0" borderId="219" xfId="0" applyFont="1" applyBorder="1" applyAlignment="1">
      <alignment horizontal="center"/>
    </xf>
    <xf numFmtId="0" fontId="76" fillId="0" borderId="219" xfId="0" applyFont="1" applyBorder="1"/>
    <xf numFmtId="0" fontId="83" fillId="0" borderId="220" xfId="0" applyFont="1" applyFill="1" applyBorder="1" applyAlignment="1">
      <alignment horizontal="center" vertical="center"/>
    </xf>
    <xf numFmtId="1" fontId="31" fillId="0" borderId="221" xfId="0" applyNumberFormat="1" applyFont="1" applyBorder="1" applyAlignment="1">
      <alignment horizontal="center" vertical="center"/>
    </xf>
    <xf numFmtId="1" fontId="31" fillId="0" borderId="222" xfId="0" applyNumberFormat="1" applyFont="1" applyBorder="1" applyAlignment="1">
      <alignment horizontal="center" vertical="center"/>
    </xf>
    <xf numFmtId="1" fontId="31" fillId="0" borderId="223" xfId="0" applyNumberFormat="1" applyFont="1" applyBorder="1" applyAlignment="1">
      <alignment horizontal="center" vertical="center"/>
    </xf>
    <xf numFmtId="0" fontId="0" fillId="0" borderId="224" xfId="0" applyBorder="1"/>
    <xf numFmtId="0" fontId="83" fillId="0" borderId="213" xfId="0" applyFont="1" applyFill="1" applyBorder="1" applyAlignment="1">
      <alignment horizontal="center" vertical="center"/>
    </xf>
    <xf numFmtId="0" fontId="0" fillId="0" borderId="225" xfId="0" applyBorder="1"/>
    <xf numFmtId="0" fontId="0" fillId="0" borderId="226" xfId="0" applyBorder="1"/>
    <xf numFmtId="0" fontId="76" fillId="0" borderId="226" xfId="0" applyFont="1" applyBorder="1" applyAlignment="1">
      <alignment horizontal="center"/>
    </xf>
    <xf numFmtId="0" fontId="76" fillId="0" borderId="226" xfId="0" applyFont="1" applyBorder="1"/>
    <xf numFmtId="0" fontId="83" fillId="0" borderId="227" xfId="0" applyFont="1" applyFill="1" applyBorder="1" applyAlignment="1">
      <alignment horizontal="center" vertical="center"/>
    </xf>
    <xf numFmtId="1" fontId="31" fillId="0" borderId="228" xfId="0" applyNumberFormat="1" applyFont="1" applyBorder="1" applyAlignment="1">
      <alignment horizontal="center" vertical="center"/>
    </xf>
    <xf numFmtId="1" fontId="31" fillId="0" borderId="229" xfId="0" applyNumberFormat="1" applyFont="1" applyBorder="1" applyAlignment="1">
      <alignment horizontal="center" vertical="center"/>
    </xf>
    <xf numFmtId="1" fontId="31" fillId="0" borderId="230" xfId="0" applyNumberFormat="1" applyFont="1" applyBorder="1" applyAlignment="1">
      <alignment horizontal="center" vertical="center"/>
    </xf>
    <xf numFmtId="0" fontId="0" fillId="0" borderId="231" xfId="0" applyBorder="1"/>
    <xf numFmtId="0" fontId="12" fillId="0" borderId="226" xfId="0" applyFont="1" applyBorder="1" applyAlignment="1">
      <alignment horizontal="right" vertical="center"/>
    </xf>
    <xf numFmtId="0" fontId="43" fillId="0" borderId="226" xfId="0" applyFont="1" applyBorder="1" applyAlignment="1">
      <alignment horizontal="center" vertical="center"/>
    </xf>
    <xf numFmtId="1" fontId="85" fillId="5" borderId="215" xfId="0" applyNumberFormat="1" applyFont="1" applyFill="1" applyBorder="1" applyAlignment="1">
      <alignment horizontal="center" vertical="center"/>
    </xf>
    <xf numFmtId="1" fontId="85" fillId="5" borderId="64" xfId="0" applyNumberFormat="1" applyFont="1" applyFill="1" applyBorder="1" applyAlignment="1">
      <alignment horizontal="center" vertical="center"/>
    </xf>
    <xf numFmtId="0" fontId="86" fillId="4" borderId="45" xfId="0" applyFont="1" applyFill="1" applyBorder="1" applyAlignment="1">
      <alignment vertical="center" wrapText="1"/>
    </xf>
    <xf numFmtId="0" fontId="86" fillId="0" borderId="232" xfId="0" applyFont="1" applyBorder="1" applyAlignment="1">
      <alignment vertical="center" wrapText="1"/>
    </xf>
    <xf numFmtId="0" fontId="86" fillId="0" borderId="45" xfId="0" applyFont="1" applyFill="1" applyBorder="1" applyAlignment="1">
      <alignment vertical="center" wrapText="1"/>
    </xf>
    <xf numFmtId="0" fontId="86" fillId="0" borderId="233" xfId="0" applyFont="1" applyFill="1" applyBorder="1" applyAlignment="1">
      <alignment vertical="center" wrapText="1"/>
    </xf>
    <xf numFmtId="0" fontId="86" fillId="16" borderId="45" xfId="0" applyFont="1" applyFill="1" applyBorder="1" applyAlignment="1">
      <alignment vertical="center" wrapText="1"/>
    </xf>
    <xf numFmtId="1" fontId="7" fillId="0" borderId="10" xfId="0" applyNumberFormat="1" applyFont="1" applyFill="1" applyBorder="1" applyAlignment="1">
      <alignment horizontal="center" vertical="center"/>
    </xf>
    <xf numFmtId="1" fontId="38" fillId="0" borderId="0" xfId="0" applyNumberFormat="1" applyFont="1" applyFill="1" applyBorder="1" applyAlignment="1">
      <alignment horizontal="center" vertical="center"/>
    </xf>
    <xf numFmtId="1" fontId="38" fillId="0" borderId="48" xfId="0" applyNumberFormat="1" applyFont="1" applyFill="1" applyBorder="1" applyAlignment="1">
      <alignment horizontal="center" vertical="center"/>
    </xf>
    <xf numFmtId="1" fontId="38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9" fontId="16" fillId="0" borderId="48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5" fillId="0" borderId="0" xfId="0" applyFont="1"/>
    <xf numFmtId="0" fontId="27" fillId="3" borderId="236" xfId="0" applyFont="1" applyFill="1" applyBorder="1" applyAlignment="1">
      <alignment horizontal="center" vertical="center"/>
    </xf>
    <xf numFmtId="0" fontId="27" fillId="3" borderId="237" xfId="0" applyFont="1" applyFill="1" applyBorder="1" applyAlignment="1">
      <alignment horizontal="center" vertical="center"/>
    </xf>
    <xf numFmtId="0" fontId="22" fillId="3" borderId="237" xfId="0" applyFont="1" applyFill="1" applyBorder="1" applyAlignment="1">
      <alignment horizontal="center" vertical="center"/>
    </xf>
    <xf numFmtId="20" fontId="27" fillId="3" borderId="237" xfId="0" applyNumberFormat="1" applyFont="1" applyFill="1" applyBorder="1" applyAlignment="1">
      <alignment horizontal="center" vertical="center"/>
    </xf>
    <xf numFmtId="0" fontId="22" fillId="3" borderId="114" xfId="0" applyFont="1" applyFill="1" applyBorder="1" applyAlignment="1">
      <alignment vertical="center" wrapText="1"/>
    </xf>
    <xf numFmtId="0" fontId="66" fillId="3" borderId="235" xfId="0" applyFont="1" applyFill="1" applyBorder="1" applyAlignment="1">
      <alignment horizontal="center" vertical="center"/>
    </xf>
    <xf numFmtId="0" fontId="22" fillId="3" borderId="237" xfId="0" applyFont="1" applyFill="1" applyBorder="1" applyAlignment="1">
      <alignment vertical="center" wrapText="1"/>
    </xf>
    <xf numFmtId="0" fontId="66" fillId="3" borderId="238" xfId="0" applyFont="1" applyFill="1" applyBorder="1" applyAlignment="1">
      <alignment horizontal="center" vertical="center"/>
    </xf>
    <xf numFmtId="0" fontId="66" fillId="3" borderId="46" xfId="0" applyFont="1" applyFill="1" applyBorder="1" applyAlignment="1">
      <alignment horizontal="center" vertical="center"/>
    </xf>
    <xf numFmtId="0" fontId="66" fillId="3" borderId="10" xfId="0" applyFont="1" applyFill="1" applyBorder="1" applyAlignment="1">
      <alignment horizontal="center" vertical="center"/>
    </xf>
    <xf numFmtId="0" fontId="27" fillId="3" borderId="10" xfId="0" applyFont="1" applyFill="1" applyBorder="1" applyAlignment="1">
      <alignment vertical="center" wrapText="1"/>
    </xf>
    <xf numFmtId="0" fontId="70" fillId="3" borderId="10" xfId="0" applyFont="1" applyFill="1" applyBorder="1" applyAlignment="1">
      <alignment horizontal="center" vertical="center"/>
    </xf>
    <xf numFmtId="20" fontId="66" fillId="3" borderId="10" xfId="0" applyNumberFormat="1" applyFont="1" applyFill="1" applyBorder="1" applyAlignment="1">
      <alignment horizontal="center" vertical="center"/>
    </xf>
    <xf numFmtId="0" fontId="66" fillId="3" borderId="12" xfId="0" applyFont="1" applyFill="1" applyBorder="1" applyAlignment="1">
      <alignment horizontal="center" vertical="center"/>
    </xf>
    <xf numFmtId="0" fontId="66" fillId="3" borderId="33" xfId="0" applyFont="1" applyFill="1" applyBorder="1" applyAlignment="1">
      <alignment horizontal="center" vertical="center"/>
    </xf>
    <xf numFmtId="0" fontId="77" fillId="3" borderId="10" xfId="0" applyFont="1" applyFill="1" applyBorder="1" applyAlignment="1">
      <alignment horizontal="center" vertical="center"/>
    </xf>
    <xf numFmtId="0" fontId="66" fillId="3" borderId="26" xfId="0" applyFont="1" applyFill="1" applyBorder="1" applyAlignment="1">
      <alignment horizontal="center" vertical="center"/>
    </xf>
    <xf numFmtId="0" fontId="66" fillId="3" borderId="234" xfId="0" applyFont="1" applyFill="1" applyBorder="1" applyAlignment="1">
      <alignment horizontal="center" vertical="center"/>
    </xf>
    <xf numFmtId="0" fontId="87" fillId="3" borderId="10" xfId="0" applyFont="1" applyFill="1" applyBorder="1" applyAlignment="1">
      <alignment horizontal="center" vertical="center"/>
    </xf>
    <xf numFmtId="0" fontId="66" fillId="3" borderId="113" xfId="0" applyFont="1" applyFill="1" applyBorder="1" applyAlignment="1">
      <alignment horizontal="center" vertical="center"/>
    </xf>
    <xf numFmtId="0" fontId="66" fillId="3" borderId="114" xfId="0" applyFont="1" applyFill="1" applyBorder="1" applyAlignment="1">
      <alignment horizontal="center" vertical="center"/>
    </xf>
    <xf numFmtId="0" fontId="27" fillId="3" borderId="114" xfId="0" applyFont="1" applyFill="1" applyBorder="1" applyAlignment="1">
      <alignment vertical="center" wrapText="1"/>
    </xf>
    <xf numFmtId="0" fontId="70" fillId="3" borderId="114" xfId="0" applyFont="1" applyFill="1" applyBorder="1" applyAlignment="1">
      <alignment horizontal="center" vertical="center"/>
    </xf>
    <xf numFmtId="20" fontId="66" fillId="3" borderId="114" xfId="0" applyNumberFormat="1" applyFont="1" applyFill="1" applyBorder="1" applyAlignment="1">
      <alignment horizontal="center" vertical="center"/>
    </xf>
    <xf numFmtId="0" fontId="41" fillId="3" borderId="0" xfId="0" applyFont="1" applyFill="1"/>
    <xf numFmtId="0" fontId="22" fillId="3" borderId="236" xfId="0" applyFont="1" applyFill="1" applyBorder="1" applyAlignment="1">
      <alignment horizontal="center" vertical="center"/>
    </xf>
    <xf numFmtId="20" fontId="22" fillId="3" borderId="237" xfId="0" applyNumberFormat="1" applyFont="1" applyFill="1" applyBorder="1" applyAlignment="1">
      <alignment horizontal="center" vertical="center"/>
    </xf>
    <xf numFmtId="0" fontId="70" fillId="3" borderId="238" xfId="0" applyFont="1" applyFill="1" applyBorder="1" applyAlignment="1">
      <alignment horizontal="center" vertical="center"/>
    </xf>
    <xf numFmtId="0" fontId="22" fillId="3" borderId="113" xfId="0" applyFont="1" applyFill="1" applyBorder="1" applyAlignment="1">
      <alignment horizontal="center" vertical="center"/>
    </xf>
    <xf numFmtId="20" fontId="22" fillId="3" borderId="114" xfId="0" applyNumberFormat="1" applyFont="1" applyFill="1" applyBorder="1" applyAlignment="1">
      <alignment horizontal="center" vertical="center"/>
    </xf>
    <xf numFmtId="0" fontId="70" fillId="3" borderId="235" xfId="0" applyFont="1" applyFill="1" applyBorder="1" applyAlignment="1">
      <alignment horizontal="center" vertical="center"/>
    </xf>
    <xf numFmtId="0" fontId="77" fillId="14" borderId="3" xfId="0" applyFont="1" applyFill="1" applyBorder="1" applyAlignment="1">
      <alignment vertical="center"/>
    </xf>
    <xf numFmtId="0" fontId="22" fillId="14" borderId="2" xfId="0" applyFont="1" applyFill="1" applyBorder="1" applyAlignment="1">
      <alignment vertical="center"/>
    </xf>
    <xf numFmtId="9" fontId="77" fillId="14" borderId="5" xfId="1" applyFont="1" applyFill="1" applyBorder="1" applyAlignment="1">
      <alignment horizontal="center" vertical="center"/>
    </xf>
    <xf numFmtId="0" fontId="77" fillId="14" borderId="0" xfId="0" applyFont="1" applyFill="1" applyBorder="1" applyAlignment="1">
      <alignment vertical="center"/>
    </xf>
    <xf numFmtId="0" fontId="22" fillId="14" borderId="14" xfId="0" applyFont="1" applyFill="1" applyBorder="1" applyAlignment="1">
      <alignment vertical="top"/>
    </xf>
    <xf numFmtId="0" fontId="22" fillId="14" borderId="1" xfId="0" applyFont="1" applyFill="1" applyBorder="1" applyAlignment="1">
      <alignment horizontal="right" vertical="center"/>
    </xf>
    <xf numFmtId="0" fontId="77" fillId="14" borderId="24" xfId="0" applyFont="1" applyFill="1" applyBorder="1" applyAlignment="1">
      <alignment vertical="center"/>
    </xf>
    <xf numFmtId="0" fontId="22" fillId="14" borderId="7" xfId="0" applyFont="1" applyFill="1" applyBorder="1" applyAlignment="1">
      <alignment horizontal="center"/>
    </xf>
    <xf numFmtId="0" fontId="22" fillId="14" borderId="7" xfId="0" applyFont="1" applyFill="1" applyBorder="1" applyAlignment="1">
      <alignment horizontal="center" vertical="center" textRotation="90"/>
    </xf>
    <xf numFmtId="0" fontId="22" fillId="14" borderId="7" xfId="0" applyFont="1" applyFill="1" applyBorder="1" applyAlignment="1">
      <alignment horizontal="center" wrapText="1"/>
    </xf>
    <xf numFmtId="0" fontId="22" fillId="14" borderId="9" xfId="0" applyFont="1" applyFill="1" applyBorder="1" applyAlignment="1">
      <alignment horizontal="center"/>
    </xf>
    <xf numFmtId="0" fontId="47" fillId="3" borderId="10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/>
    </xf>
    <xf numFmtId="0" fontId="0" fillId="3" borderId="0" xfId="0" applyFill="1"/>
    <xf numFmtId="0" fontId="27" fillId="4" borderId="10" xfId="0" applyFont="1" applyFill="1" applyBorder="1" applyAlignment="1">
      <alignment vertical="center" wrapText="1"/>
    </xf>
    <xf numFmtId="0" fontId="66" fillId="4" borderId="10" xfId="0" applyFont="1" applyFill="1" applyBorder="1" applyAlignment="1">
      <alignment horizontal="center" vertical="center"/>
    </xf>
    <xf numFmtId="0" fontId="66" fillId="4" borderId="26" xfId="0" applyFont="1" applyFill="1" applyBorder="1" applyAlignment="1">
      <alignment horizontal="center" vertical="center"/>
    </xf>
    <xf numFmtId="0" fontId="66" fillId="4" borderId="234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vertical="center" wrapText="1"/>
    </xf>
    <xf numFmtId="0" fontId="66" fillId="16" borderId="10" xfId="0" applyFont="1" applyFill="1" applyBorder="1" applyAlignment="1">
      <alignment horizontal="center" vertical="center"/>
    </xf>
    <xf numFmtId="0" fontId="66" fillId="16" borderId="26" xfId="0" applyFont="1" applyFill="1" applyBorder="1" applyAlignment="1">
      <alignment horizontal="center" vertical="center"/>
    </xf>
    <xf numFmtId="0" fontId="66" fillId="16" borderId="234" xfId="0" applyFont="1" applyFill="1" applyBorder="1" applyAlignment="1">
      <alignment horizontal="center" vertical="center"/>
    </xf>
    <xf numFmtId="0" fontId="27" fillId="16" borderId="10" xfId="0" applyFont="1" applyFill="1" applyBorder="1" applyAlignment="1">
      <alignment horizontal="center" vertical="center"/>
    </xf>
    <xf numFmtId="0" fontId="27" fillId="16" borderId="26" xfId="0" applyFont="1" applyFill="1" applyBorder="1" applyAlignment="1">
      <alignment horizontal="center" vertical="center"/>
    </xf>
    <xf numFmtId="0" fontId="35" fillId="19" borderId="10" xfId="0" applyFont="1" applyFill="1" applyBorder="1" applyAlignment="1">
      <alignment horizontal="center" vertical="center"/>
    </xf>
    <xf numFmtId="0" fontId="34" fillId="14" borderId="14" xfId="0" applyFont="1" applyFill="1" applyBorder="1" applyAlignment="1">
      <alignment vertical="top"/>
    </xf>
    <xf numFmtId="0" fontId="88" fillId="14" borderId="14" xfId="0" applyFont="1" applyFill="1" applyBorder="1" applyAlignment="1">
      <alignment vertical="top"/>
    </xf>
    <xf numFmtId="0" fontId="20" fillId="19" borderId="10" xfId="0" applyFont="1" applyFill="1" applyBorder="1" applyAlignment="1">
      <alignment horizontal="center" vertical="center"/>
    </xf>
    <xf numFmtId="0" fontId="39" fillId="19" borderId="163" xfId="0" applyFont="1" applyFill="1" applyBorder="1" applyAlignment="1">
      <alignment horizontal="center" vertical="center"/>
    </xf>
    <xf numFmtId="0" fontId="5" fillId="0" borderId="0" xfId="0" applyFont="1"/>
    <xf numFmtId="0" fontId="22" fillId="0" borderId="3" xfId="0" applyFont="1" applyBorder="1" applyAlignment="1">
      <alignment horizontal="right" vertical="center" wrapText="1"/>
    </xf>
    <xf numFmtId="0" fontId="47" fillId="14" borderId="2" xfId="0" applyFont="1" applyFill="1" applyBorder="1" applyAlignment="1">
      <alignment horizontal="left" vertical="top" wrapText="1"/>
    </xf>
    <xf numFmtId="0" fontId="47" fillId="14" borderId="3" xfId="0" applyFont="1" applyFill="1" applyBorder="1" applyAlignment="1">
      <alignment horizontal="left" vertical="top" wrapText="1"/>
    </xf>
    <xf numFmtId="0" fontId="47" fillId="14" borderId="6" xfId="0" applyFont="1" applyFill="1" applyBorder="1" applyAlignment="1">
      <alignment horizontal="left" vertical="top" wrapText="1"/>
    </xf>
    <xf numFmtId="0" fontId="47" fillId="14" borderId="0" xfId="0" applyFont="1" applyFill="1" applyBorder="1" applyAlignment="1">
      <alignment horizontal="left" vertical="top" wrapText="1"/>
    </xf>
    <xf numFmtId="0" fontId="5" fillId="14" borderId="3" xfId="0" applyFont="1" applyFill="1" applyBorder="1" applyAlignment="1">
      <alignment horizontal="center" textRotation="90"/>
    </xf>
    <xf numFmtId="0" fontId="5" fillId="14" borderId="0" xfId="0" applyFont="1" applyFill="1" applyBorder="1" applyAlignment="1">
      <alignment horizontal="center" textRotation="90"/>
    </xf>
    <xf numFmtId="0" fontId="5" fillId="14" borderId="7" xfId="0" applyFont="1" applyFill="1" applyBorder="1" applyAlignment="1">
      <alignment horizontal="center" textRotation="90"/>
    </xf>
    <xf numFmtId="0" fontId="29" fillId="0" borderId="1" xfId="0" applyFont="1" applyBorder="1" applyAlignment="1">
      <alignment horizontal="left" vertical="center" wrapText="1"/>
    </xf>
    <xf numFmtId="0" fontId="43" fillId="0" borderId="0" xfId="0" applyFont="1" applyBorder="1" applyAlignment="1">
      <alignment horizontal="center" vertical="center"/>
    </xf>
    <xf numFmtId="0" fontId="54" fillId="14" borderId="3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14" borderId="52" xfId="0" applyFont="1" applyFill="1" applyBorder="1" applyAlignment="1">
      <alignment horizontal="left" vertical="top" wrapText="1"/>
    </xf>
    <xf numFmtId="0" fontId="53" fillId="14" borderId="7" xfId="0" applyFont="1" applyFill="1" applyBorder="1" applyAlignment="1">
      <alignment horizontal="left" vertical="top" wrapText="1"/>
    </xf>
    <xf numFmtId="0" fontId="3" fillId="0" borderId="178" xfId="0" applyFont="1" applyBorder="1" applyAlignment="1">
      <alignment horizontal="center" vertical="center" textRotation="90"/>
    </xf>
    <xf numFmtId="0" fontId="3" fillId="0" borderId="183" xfId="0" applyFont="1" applyBorder="1" applyAlignment="1">
      <alignment horizontal="center" vertical="center" textRotation="90"/>
    </xf>
    <xf numFmtId="0" fontId="3" fillId="0" borderId="188" xfId="0" applyFont="1" applyBorder="1" applyAlignment="1">
      <alignment horizontal="center" vertical="center" textRotation="90"/>
    </xf>
    <xf numFmtId="0" fontId="29" fillId="0" borderId="0" xfId="0" applyFont="1" applyBorder="1" applyAlignment="1">
      <alignment horizontal="left" vertical="center" wrapText="1"/>
    </xf>
    <xf numFmtId="0" fontId="6" fillId="14" borderId="2" xfId="0" applyFont="1" applyFill="1" applyBorder="1" applyAlignment="1">
      <alignment horizontal="left" vertical="top" wrapText="1"/>
    </xf>
    <xf numFmtId="0" fontId="6" fillId="14" borderId="3" xfId="0" applyFont="1" applyFill="1" applyBorder="1" applyAlignment="1">
      <alignment horizontal="left" vertical="top" wrapText="1"/>
    </xf>
    <xf numFmtId="0" fontId="6" fillId="14" borderId="6" xfId="0" applyFont="1" applyFill="1" applyBorder="1" applyAlignment="1">
      <alignment horizontal="left" vertical="top" wrapText="1"/>
    </xf>
    <xf numFmtId="0" fontId="6" fillId="14" borderId="0" xfId="0" applyFont="1" applyFill="1" applyBorder="1" applyAlignment="1">
      <alignment horizontal="left" vertical="top" wrapText="1"/>
    </xf>
    <xf numFmtId="0" fontId="66" fillId="14" borderId="156" xfId="0" applyFont="1" applyFill="1" applyBorder="1" applyAlignment="1">
      <alignment horizontal="center" textRotation="90"/>
    </xf>
    <xf numFmtId="0" fontId="66" fillId="14" borderId="158" xfId="0" applyFont="1" applyFill="1" applyBorder="1" applyAlignment="1">
      <alignment horizontal="center" textRotation="90"/>
    </xf>
    <xf numFmtId="0" fontId="66" fillId="14" borderId="160" xfId="0" applyFont="1" applyFill="1" applyBorder="1" applyAlignment="1">
      <alignment horizontal="center" textRotation="90"/>
    </xf>
    <xf numFmtId="0" fontId="66" fillId="14" borderId="155" xfId="0" applyFont="1" applyFill="1" applyBorder="1" applyAlignment="1">
      <alignment horizontal="center" textRotation="90"/>
    </xf>
    <xf numFmtId="0" fontId="66" fillId="14" borderId="157" xfId="0" applyFont="1" applyFill="1" applyBorder="1" applyAlignment="1">
      <alignment horizontal="center" textRotation="90"/>
    </xf>
    <xf numFmtId="0" fontId="66" fillId="14" borderId="159" xfId="0" applyFont="1" applyFill="1" applyBorder="1" applyAlignment="1">
      <alignment horizontal="center" textRotation="90"/>
    </xf>
    <xf numFmtId="0" fontId="78" fillId="14" borderId="52" xfId="0" applyFont="1" applyFill="1" applyBorder="1" applyAlignment="1">
      <alignment horizontal="left" vertical="top" wrapText="1"/>
    </xf>
    <xf numFmtId="0" fontId="78" fillId="14" borderId="7" xfId="0" applyFont="1" applyFill="1" applyBorder="1" applyAlignment="1">
      <alignment horizontal="left" vertical="top" wrapText="1"/>
    </xf>
    <xf numFmtId="0" fontId="6" fillId="14" borderId="105" xfId="0" applyFont="1" applyFill="1" applyBorder="1" applyAlignment="1">
      <alignment horizontal="left" vertical="top" wrapText="1"/>
    </xf>
    <xf numFmtId="0" fontId="6" fillId="14" borderId="20" xfId="0" applyFont="1" applyFill="1" applyBorder="1" applyAlignment="1">
      <alignment horizontal="left" vertical="top" wrapText="1"/>
    </xf>
    <xf numFmtId="0" fontId="50" fillId="0" borderId="1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textRotation="90"/>
    </xf>
    <xf numFmtId="165" fontId="11" fillId="0" borderId="1" xfId="0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center" textRotation="90"/>
    </xf>
    <xf numFmtId="0" fontId="2" fillId="0" borderId="16" xfId="0" applyFont="1" applyBorder="1" applyAlignment="1">
      <alignment horizontal="center" textRotation="90"/>
    </xf>
    <xf numFmtId="0" fontId="2" fillId="0" borderId="18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36" xfId="0" applyFont="1" applyBorder="1" applyAlignment="1">
      <alignment horizontal="center" vertical="center"/>
    </xf>
    <xf numFmtId="0" fontId="14" fillId="0" borderId="135" xfId="0" applyFont="1" applyBorder="1" applyAlignment="1">
      <alignment horizontal="center" vertical="center"/>
    </xf>
    <xf numFmtId="0" fontId="14" fillId="0" borderId="137" xfId="0" applyFont="1" applyBorder="1" applyAlignment="1">
      <alignment horizontal="center" vertical="center"/>
    </xf>
    <xf numFmtId="0" fontId="14" fillId="0" borderId="13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134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2" fillId="0" borderId="13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5" fillId="0" borderId="0" xfId="0" applyFont="1"/>
    <xf numFmtId="0" fontId="22" fillId="3" borderId="3" xfId="0" applyFont="1" applyFill="1" applyBorder="1" applyAlignment="1">
      <alignment horizontal="right" vertical="center" wrapText="1"/>
    </xf>
    <xf numFmtId="0" fontId="22" fillId="14" borderId="3" xfId="0" applyFont="1" applyFill="1" applyBorder="1" applyAlignment="1">
      <alignment horizontal="center" textRotation="90"/>
    </xf>
    <xf numFmtId="0" fontId="22" fillId="14" borderId="0" xfId="0" applyFont="1" applyFill="1" applyBorder="1" applyAlignment="1">
      <alignment horizontal="center" textRotation="90"/>
    </xf>
    <xf numFmtId="0" fontId="22" fillId="14" borderId="7" xfId="0" applyFont="1" applyFill="1" applyBorder="1" applyAlignment="1">
      <alignment horizontal="center" textRotation="90"/>
    </xf>
    <xf numFmtId="0" fontId="47" fillId="14" borderId="52" xfId="0" applyFont="1" applyFill="1" applyBorder="1" applyAlignment="1">
      <alignment horizontal="left" vertical="top" wrapText="1"/>
    </xf>
    <xf numFmtId="0" fontId="47" fillId="14" borderId="7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9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99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00642D"/>
      <color rgb="FF860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76</xdr:col>
      <xdr:colOff>819149</xdr:colOff>
      <xdr:row>0</xdr:row>
      <xdr:rowOff>57150</xdr:rowOff>
    </xdr:from>
    <xdr:to>
      <xdr:col>76</xdr:col>
      <xdr:colOff>819150</xdr:colOff>
      <xdr:row>1</xdr:row>
      <xdr:rowOff>266700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7525999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76</xdr:col>
      <xdr:colOff>180975</xdr:colOff>
      <xdr:row>0</xdr:row>
      <xdr:rowOff>123825</xdr:rowOff>
    </xdr:from>
    <xdr:to>
      <xdr:col>76</xdr:col>
      <xdr:colOff>1905000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993725" y="123825"/>
          <a:ext cx="1724025" cy="650082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65</xdr:row>
      <xdr:rowOff>42333</xdr:rowOff>
    </xdr:from>
    <xdr:to>
      <xdr:col>5</xdr:col>
      <xdr:colOff>158750</xdr:colOff>
      <xdr:row>66</xdr:row>
      <xdr:rowOff>10583</xdr:rowOff>
    </xdr:to>
    <xdr:cxnSp macro="">
      <xdr:nvCxnSpPr>
        <xdr:cNvPr id="5" name="Straight Arrow Connector 4"/>
        <xdr:cNvCxnSpPr/>
      </xdr:nvCxnSpPr>
      <xdr:spPr>
        <a:xfrm>
          <a:off x="4085167" y="18393833"/>
          <a:ext cx="0" cy="275167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819149</xdr:colOff>
      <xdr:row>0</xdr:row>
      <xdr:rowOff>57150</xdr:rowOff>
    </xdr:from>
    <xdr:to>
      <xdr:col>78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74046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78</xdr:col>
      <xdr:colOff>180975</xdr:colOff>
      <xdr:row>0</xdr:row>
      <xdr:rowOff>123825</xdr:rowOff>
    </xdr:from>
    <xdr:to>
      <xdr:col>78</xdr:col>
      <xdr:colOff>1788583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55892" y="123825"/>
          <a:ext cx="1607608" cy="654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5660349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390525</xdr:colOff>
      <xdr:row>0</xdr:row>
      <xdr:rowOff>104775</xdr:rowOff>
    </xdr:from>
    <xdr:to>
      <xdr:col>44</xdr:col>
      <xdr:colOff>342900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964525" y="104775"/>
          <a:ext cx="1743075" cy="6500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242358</xdr:colOff>
      <xdr:row>0</xdr:row>
      <xdr:rowOff>104775</xdr:rowOff>
    </xdr:from>
    <xdr:to>
      <xdr:col>44</xdr:col>
      <xdr:colOff>285750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31691" y="104775"/>
          <a:ext cx="1821392" cy="653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189448</xdr:colOff>
      <xdr:row>0</xdr:row>
      <xdr:rowOff>104775</xdr:rowOff>
    </xdr:from>
    <xdr:to>
      <xdr:col>44</xdr:col>
      <xdr:colOff>296334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678781" y="104775"/>
          <a:ext cx="1884886" cy="6532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0</xdr:colOff>
      <xdr:row>0</xdr:row>
      <xdr:rowOff>57150</xdr:rowOff>
    </xdr:from>
    <xdr:to>
      <xdr:col>45</xdr:col>
      <xdr:colOff>1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2812375" y="57150"/>
          <a:ext cx="1" cy="542925"/>
        </a:xfrm>
        <a:prstGeom prst="rect">
          <a:avLst/>
        </a:prstGeom>
      </xdr:spPr>
    </xdr:pic>
    <xdr:clientData/>
  </xdr:twoCellAnchor>
  <xdr:twoCellAnchor editAs="oneCell">
    <xdr:from>
      <xdr:col>40</xdr:col>
      <xdr:colOff>252947</xdr:colOff>
      <xdr:row>0</xdr:row>
      <xdr:rowOff>104775</xdr:rowOff>
    </xdr:from>
    <xdr:to>
      <xdr:col>44</xdr:col>
      <xdr:colOff>211653</xdr:colOff>
      <xdr:row>2</xdr:row>
      <xdr:rowOff>154782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20742280" y="104775"/>
          <a:ext cx="1736706" cy="653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85724</xdr:colOff>
      <xdr:row>0</xdr:row>
      <xdr:rowOff>209550</xdr:rowOff>
    </xdr:from>
    <xdr:to>
      <xdr:col>15</xdr:col>
      <xdr:colOff>552451</xdr:colOff>
      <xdr:row>2</xdr:row>
      <xdr:rowOff>250032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10315574" y="209550"/>
          <a:ext cx="1685927" cy="65008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75</xdr:col>
      <xdr:colOff>819149</xdr:colOff>
      <xdr:row>0</xdr:row>
      <xdr:rowOff>57150</xdr:rowOff>
    </xdr:from>
    <xdr:to>
      <xdr:col>75</xdr:col>
      <xdr:colOff>819150</xdr:colOff>
      <xdr:row>2</xdr:row>
      <xdr:rowOff>0</xdr:rowOff>
    </xdr:to>
    <xdr:pic>
      <xdr:nvPicPr>
        <xdr:cNvPr id="2" name="Picture 1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6528374" y="57150"/>
          <a:ext cx="1" cy="514350"/>
        </a:xfrm>
        <a:prstGeom prst="rect">
          <a:avLst/>
        </a:prstGeom>
      </xdr:spPr>
    </xdr:pic>
    <xdr:clientData/>
  </xdr:twoCellAnchor>
  <xdr:twoCellAnchor editAs="oneCell">
    <xdr:from>
      <xdr:col>75</xdr:col>
      <xdr:colOff>180975</xdr:colOff>
      <xdr:row>0</xdr:row>
      <xdr:rowOff>123825</xdr:rowOff>
    </xdr:from>
    <xdr:to>
      <xdr:col>75</xdr:col>
      <xdr:colOff>609600</xdr:colOff>
      <xdr:row>2</xdr:row>
      <xdr:rowOff>164307</xdr:rowOff>
    </xdr:to>
    <xdr:pic>
      <xdr:nvPicPr>
        <xdr:cNvPr id="3" name="Picture 2" descr="WB06_Logo_Black.e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8063" t="21167" r="7718" b="23527"/>
        <a:stretch>
          <a:fillRect/>
        </a:stretch>
      </xdr:blipFill>
      <xdr:spPr>
        <a:xfrm>
          <a:off x="35890200" y="123825"/>
          <a:ext cx="1724025" cy="650082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24</xdr:row>
      <xdr:rowOff>42333</xdr:rowOff>
    </xdr:from>
    <xdr:to>
      <xdr:col>5</xdr:col>
      <xdr:colOff>158750</xdr:colOff>
      <xdr:row>25</xdr:row>
      <xdr:rowOff>10583</xdr:rowOff>
    </xdr:to>
    <xdr:cxnSp macro="">
      <xdr:nvCxnSpPr>
        <xdr:cNvPr id="4" name="Straight Arrow Connector 3"/>
        <xdr:cNvCxnSpPr/>
      </xdr:nvCxnSpPr>
      <xdr:spPr>
        <a:xfrm>
          <a:off x="4397375" y="112818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47</xdr:row>
      <xdr:rowOff>42333</xdr:rowOff>
    </xdr:from>
    <xdr:to>
      <xdr:col>5</xdr:col>
      <xdr:colOff>158750</xdr:colOff>
      <xdr:row>48</xdr:row>
      <xdr:rowOff>10583</xdr:rowOff>
    </xdr:to>
    <xdr:cxnSp macro="">
      <xdr:nvCxnSpPr>
        <xdr:cNvPr id="5" name="Straight Arrow Connector 4"/>
        <xdr:cNvCxnSpPr/>
      </xdr:nvCxnSpPr>
      <xdr:spPr>
        <a:xfrm>
          <a:off x="4397375" y="90339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70</xdr:row>
      <xdr:rowOff>42333</xdr:rowOff>
    </xdr:from>
    <xdr:to>
      <xdr:col>5</xdr:col>
      <xdr:colOff>158750</xdr:colOff>
      <xdr:row>71</xdr:row>
      <xdr:rowOff>10583</xdr:rowOff>
    </xdr:to>
    <xdr:cxnSp macro="">
      <xdr:nvCxnSpPr>
        <xdr:cNvPr id="6" name="Straight Arrow Connector 5"/>
        <xdr:cNvCxnSpPr/>
      </xdr:nvCxnSpPr>
      <xdr:spPr>
        <a:xfrm>
          <a:off x="4397375" y="17720733"/>
          <a:ext cx="0" cy="2730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158750</xdr:colOff>
      <xdr:row>88</xdr:row>
      <xdr:rowOff>42333</xdr:rowOff>
    </xdr:from>
    <xdr:to>
      <xdr:col>5</xdr:col>
      <xdr:colOff>158750</xdr:colOff>
      <xdr:row>89</xdr:row>
      <xdr:rowOff>10583</xdr:rowOff>
    </xdr:to>
    <xdr:cxnSp macro="">
      <xdr:nvCxnSpPr>
        <xdr:cNvPr id="7" name="Straight Arrow Connector 6"/>
        <xdr:cNvCxnSpPr/>
      </xdr:nvCxnSpPr>
      <xdr:spPr>
        <a:xfrm>
          <a:off x="4397375" y="26559933"/>
          <a:ext cx="0" cy="349250"/>
        </a:xfrm>
        <a:prstGeom prst="straightConnector1">
          <a:avLst/>
        </a:prstGeom>
        <a:ln w="25400">
          <a:solidFill>
            <a:srgbClr val="002060"/>
          </a:solidFill>
          <a:headEnd type="triangle" w="lg" len="lg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52"/>
  <sheetViews>
    <sheetView zoomScale="85" zoomScaleNormal="85" workbookViewId="0">
      <pane xSplit="12" ySplit="6" topLeftCell="M7" activePane="bottomRight" state="frozen"/>
      <selection pane="topRight" activeCell="I1" sqref="I1"/>
      <selection pane="bottomLeft" activeCell="A6" sqref="A6"/>
      <selection pane="bottomRight" activeCell="C50" sqref="C50"/>
    </sheetView>
  </sheetViews>
  <sheetFormatPr defaultRowHeight="15" x14ac:dyDescent="0.25"/>
  <cols>
    <col min="1" max="1" width="4.7109375" style="6" customWidth="1"/>
    <col min="2" max="2" width="4.7109375" style="448" customWidth="1"/>
    <col min="3" max="3" width="40.7109375" style="6" customWidth="1"/>
    <col min="4" max="5" width="6.7109375" style="4" customWidth="1"/>
    <col min="6" max="7" width="4.7109375" style="4" customWidth="1"/>
    <col min="8" max="8" width="12.7109375" style="4" customWidth="1"/>
    <col min="9" max="9" width="8.7109375" style="4" hidden="1" customWidth="1"/>
    <col min="10" max="32" width="6.7109375" style="4" customWidth="1"/>
    <col min="33" max="51" width="6.7109375" style="6" customWidth="1"/>
    <col min="52" max="61" width="6.7109375" style="210" customWidth="1"/>
    <col min="62" max="62" width="6.7109375" style="6" customWidth="1"/>
    <col min="63" max="73" width="6.7109375" style="210" customWidth="1"/>
    <col min="74" max="76" width="6.7109375" style="6" customWidth="1"/>
    <col min="77" max="77" width="30.7109375" style="6" customWidth="1"/>
    <col min="78" max="16384" width="9.140625" style="6"/>
  </cols>
  <sheetData>
    <row r="1" spans="1:77" ht="24" customHeight="1" x14ac:dyDescent="0.35">
      <c r="A1" s="1" t="s">
        <v>0</v>
      </c>
      <c r="B1" s="1"/>
      <c r="C1" s="3"/>
      <c r="M1" s="5" t="s">
        <v>1077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4"/>
    </row>
    <row r="2" spans="1:77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2"/>
      <c r="F2" s="992"/>
      <c r="G2" s="992"/>
      <c r="H2" s="989"/>
      <c r="I2" s="989"/>
      <c r="J2" s="11"/>
      <c r="K2" s="11"/>
      <c r="L2" s="41" t="s">
        <v>1</v>
      </c>
      <c r="M2" s="27" t="s">
        <v>966</v>
      </c>
      <c r="X2" s="11"/>
      <c r="Y2" s="11"/>
      <c r="Z2" s="11"/>
      <c r="AA2" s="11"/>
      <c r="AB2" s="11"/>
      <c r="AC2" s="11"/>
      <c r="AD2" s="11"/>
      <c r="AE2" s="11"/>
      <c r="AF2" s="11"/>
      <c r="AG2" s="10"/>
    </row>
    <row r="3" spans="1:77" s="8" customFormat="1" ht="24" customHeight="1" thickBot="1" x14ac:dyDescent="0.3">
      <c r="A3" s="156" t="s">
        <v>2</v>
      </c>
      <c r="B3" s="549"/>
      <c r="C3" s="334">
        <v>42075</v>
      </c>
      <c r="D3" s="347" t="s">
        <v>968</v>
      </c>
      <c r="E3" s="348">
        <v>7</v>
      </c>
      <c r="F3" s="988" t="str">
        <f>VLOOKUP(E3,Revision,3,FALSE)</f>
        <v>Workbook audited for release to PAPL</v>
      </c>
      <c r="G3" s="988"/>
      <c r="H3" s="988"/>
      <c r="I3" s="988"/>
      <c r="J3" s="988"/>
      <c r="K3" s="988"/>
      <c r="L3" s="988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4"/>
      <c r="BX3" s="14"/>
      <c r="BY3" s="14"/>
    </row>
    <row r="4" spans="1:77" s="8" customFormat="1" ht="24" customHeight="1" x14ac:dyDescent="0.25">
      <c r="A4" s="981" t="s">
        <v>1094</v>
      </c>
      <c r="B4" s="982"/>
      <c r="C4" s="982"/>
      <c r="D4" s="990">
        <v>1</v>
      </c>
      <c r="E4" s="279"/>
      <c r="F4" s="985" t="s">
        <v>944</v>
      </c>
      <c r="G4" s="985" t="s">
        <v>943</v>
      </c>
      <c r="H4" s="985" t="s">
        <v>93</v>
      </c>
      <c r="I4" s="279"/>
      <c r="J4" s="634"/>
      <c r="K4" s="281" t="s">
        <v>29</v>
      </c>
      <c r="L4" s="635">
        <v>0.9</v>
      </c>
      <c r="M4" s="282"/>
      <c r="N4" s="283" t="s">
        <v>939</v>
      </c>
      <c r="O4" s="280"/>
      <c r="P4" s="280"/>
      <c r="Q4" s="282"/>
      <c r="R4" s="280"/>
      <c r="S4" s="280"/>
      <c r="T4" s="280"/>
      <c r="U4" s="280"/>
      <c r="V4" s="280"/>
      <c r="W4" s="283"/>
      <c r="X4" s="280"/>
      <c r="Y4" s="280"/>
      <c r="Z4" s="280"/>
      <c r="AA4" s="280"/>
      <c r="AB4" s="280"/>
      <c r="AC4" s="280"/>
      <c r="AD4" s="280"/>
      <c r="AE4" s="280"/>
      <c r="AF4" s="280"/>
      <c r="AG4" s="284"/>
      <c r="AH4" s="284"/>
      <c r="AI4" s="285"/>
      <c r="AJ4" s="280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0"/>
      <c r="BY4" s="287"/>
    </row>
    <row r="5" spans="1:77" s="8" customFormat="1" ht="24" customHeight="1" thickBot="1" x14ac:dyDescent="0.3">
      <c r="A5" s="983"/>
      <c r="B5" s="984"/>
      <c r="C5" s="984"/>
      <c r="D5" s="991"/>
      <c r="E5" s="288"/>
      <c r="F5" s="986"/>
      <c r="G5" s="986"/>
      <c r="H5" s="986"/>
      <c r="I5" s="288"/>
      <c r="J5" s="975" t="s">
        <v>1098</v>
      </c>
      <c r="K5" s="636"/>
      <c r="L5" s="637"/>
      <c r="M5" s="290"/>
      <c r="N5" s="289"/>
      <c r="O5" s="289"/>
      <c r="P5" s="289"/>
      <c r="Q5" s="290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91"/>
      <c r="AH5" s="291"/>
      <c r="AI5" s="292"/>
      <c r="AJ5" s="289"/>
      <c r="AK5" s="293"/>
      <c r="AL5" s="293"/>
      <c r="AM5" s="293"/>
      <c r="AN5" s="293"/>
      <c r="AO5" s="293"/>
      <c r="AP5" s="293"/>
      <c r="AQ5" s="293"/>
      <c r="AR5" s="293"/>
      <c r="AS5" s="293"/>
      <c r="AT5" s="293"/>
      <c r="AU5" s="291"/>
      <c r="AV5" s="291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89"/>
      <c r="BY5" s="294"/>
    </row>
    <row r="6" spans="1:77" s="8" customFormat="1" ht="45" customHeight="1" x14ac:dyDescent="0.25">
      <c r="A6" s="993" t="e">
        <f>CONCATENATE("Forecast 2027 BH = 1680, this schedule BH = ",MAX(M62:BX62))</f>
        <v>#N/A</v>
      </c>
      <c r="B6" s="994"/>
      <c r="C6" s="994"/>
      <c r="D6" s="295" t="s">
        <v>25</v>
      </c>
      <c r="E6" s="295" t="s">
        <v>26</v>
      </c>
      <c r="F6" s="987"/>
      <c r="G6" s="987"/>
      <c r="H6" s="987"/>
      <c r="I6" s="296" t="s">
        <v>94</v>
      </c>
      <c r="J6" s="297" t="s">
        <v>46</v>
      </c>
      <c r="K6" s="298" t="s">
        <v>67</v>
      </c>
      <c r="L6" s="295" t="s">
        <v>3</v>
      </c>
      <c r="M6" s="302">
        <v>0.16666666666666666</v>
      </c>
      <c r="N6" s="300">
        <f t="shared" ref="N6:AI6" si="0">M6+5/(60*24)</f>
        <v>0.17013888888888887</v>
      </c>
      <c r="O6" s="300">
        <f t="shared" si="0"/>
        <v>0.17361111111111108</v>
      </c>
      <c r="P6" s="300">
        <f t="shared" si="0"/>
        <v>0.17708333333333329</v>
      </c>
      <c r="Q6" s="300">
        <f t="shared" si="0"/>
        <v>0.1805555555555555</v>
      </c>
      <c r="R6" s="300">
        <f t="shared" si="0"/>
        <v>0.18402777777777771</v>
      </c>
      <c r="S6" s="300">
        <f t="shared" si="0"/>
        <v>0.18749999999999992</v>
      </c>
      <c r="T6" s="300">
        <f t="shared" si="0"/>
        <v>0.19097222222222213</v>
      </c>
      <c r="U6" s="300">
        <f t="shared" si="0"/>
        <v>0.19444444444444434</v>
      </c>
      <c r="V6" s="300">
        <f t="shared" si="0"/>
        <v>0.19791666666666655</v>
      </c>
      <c r="W6" s="300">
        <f t="shared" si="0"/>
        <v>0.20138888888888876</v>
      </c>
      <c r="X6" s="300">
        <f t="shared" si="0"/>
        <v>0.20486111111111097</v>
      </c>
      <c r="Y6" s="299">
        <f t="shared" si="0"/>
        <v>0.20833333333333318</v>
      </c>
      <c r="Z6" s="300">
        <f t="shared" si="0"/>
        <v>0.21180555555555539</v>
      </c>
      <c r="AA6" s="300">
        <f t="shared" si="0"/>
        <v>0.2152777777777776</v>
      </c>
      <c r="AB6" s="300">
        <f t="shared" si="0"/>
        <v>0.21874999999999981</v>
      </c>
      <c r="AC6" s="300">
        <f t="shared" si="0"/>
        <v>0.22222222222222202</v>
      </c>
      <c r="AD6" s="300">
        <f t="shared" si="0"/>
        <v>0.22569444444444423</v>
      </c>
      <c r="AE6" s="300">
        <f t="shared" si="0"/>
        <v>0.22916666666666644</v>
      </c>
      <c r="AF6" s="300">
        <f t="shared" si="0"/>
        <v>0.23263888888888865</v>
      </c>
      <c r="AG6" s="300">
        <f t="shared" si="0"/>
        <v>0.23611111111111086</v>
      </c>
      <c r="AH6" s="300">
        <f t="shared" si="0"/>
        <v>0.23958333333333307</v>
      </c>
      <c r="AI6" s="300">
        <f t="shared" si="0"/>
        <v>0.24305555555555527</v>
      </c>
      <c r="AJ6" s="300">
        <f>AI6+5/(60*24)</f>
        <v>0.24652777777777748</v>
      </c>
      <c r="AK6" s="299">
        <f t="shared" ref="AK6:BX6" si="1">AJ6+5/(60*24)</f>
        <v>0.24999999999999969</v>
      </c>
      <c r="AL6" s="300">
        <f t="shared" si="1"/>
        <v>0.25347222222222193</v>
      </c>
      <c r="AM6" s="300">
        <f t="shared" si="1"/>
        <v>0.25694444444444414</v>
      </c>
      <c r="AN6" s="300">
        <f t="shared" si="1"/>
        <v>0.26041666666666635</v>
      </c>
      <c r="AO6" s="300">
        <f t="shared" si="1"/>
        <v>0.26388888888888856</v>
      </c>
      <c r="AP6" s="300">
        <f t="shared" si="1"/>
        <v>0.26736111111111077</v>
      </c>
      <c r="AQ6" s="300">
        <f t="shared" si="1"/>
        <v>0.27083333333333298</v>
      </c>
      <c r="AR6" s="300">
        <f t="shared" si="1"/>
        <v>0.27430555555555519</v>
      </c>
      <c r="AS6" s="300">
        <f t="shared" si="1"/>
        <v>0.2777777777777774</v>
      </c>
      <c r="AT6" s="300">
        <f t="shared" si="1"/>
        <v>0.28124999999999961</v>
      </c>
      <c r="AU6" s="300">
        <f t="shared" si="1"/>
        <v>0.28472222222222182</v>
      </c>
      <c r="AV6" s="300">
        <f t="shared" si="1"/>
        <v>0.28819444444444403</v>
      </c>
      <c r="AW6" s="299">
        <f t="shared" ref="AW6" si="2">AV6+5/(60*24)</f>
        <v>0.29166666666666624</v>
      </c>
      <c r="AX6" s="300">
        <f t="shared" ref="AX6" si="3">AW6+5/(60*24)</f>
        <v>0.29513888888888845</v>
      </c>
      <c r="AY6" s="300">
        <f t="shared" ref="AY6" si="4">AX6+5/(60*24)</f>
        <v>0.29861111111111066</v>
      </c>
      <c r="AZ6" s="300">
        <f t="shared" ref="AZ6" si="5">AY6+5/(60*24)</f>
        <v>0.30208333333333287</v>
      </c>
      <c r="BA6" s="300">
        <f t="shared" ref="BA6" si="6">AZ6+5/(60*24)</f>
        <v>0.30555555555555508</v>
      </c>
      <c r="BB6" s="300">
        <f t="shared" ref="BB6" si="7">BA6+5/(60*24)</f>
        <v>0.30902777777777729</v>
      </c>
      <c r="BC6" s="300">
        <f t="shared" ref="BC6" si="8">BB6+5/(60*24)</f>
        <v>0.3124999999999995</v>
      </c>
      <c r="BD6" s="300">
        <f t="shared" ref="BD6" si="9">BC6+5/(60*24)</f>
        <v>0.31597222222222171</v>
      </c>
      <c r="BE6" s="300">
        <f t="shared" ref="BE6" si="10">BD6+5/(60*24)</f>
        <v>0.31944444444444392</v>
      </c>
      <c r="BF6" s="300">
        <f t="shared" ref="BF6" si="11">BE6+5/(60*24)</f>
        <v>0.32291666666666613</v>
      </c>
      <c r="BG6" s="300">
        <f t="shared" ref="BG6" si="12">BF6+5/(60*24)</f>
        <v>0.32638888888888834</v>
      </c>
      <c r="BH6" s="300">
        <f t="shared" ref="BH6" si="13">BG6+5/(60*24)</f>
        <v>0.32986111111111055</v>
      </c>
      <c r="BI6" s="299">
        <f t="shared" ref="BI6" si="14">BH6+5/(60*24)</f>
        <v>0.33333333333333276</v>
      </c>
      <c r="BJ6" s="300">
        <f t="shared" ref="BJ6" si="15">BI6+5/(60*24)</f>
        <v>0.33680555555555497</v>
      </c>
      <c r="BK6" s="300">
        <f t="shared" ref="BK6" si="16">BJ6+5/(60*24)</f>
        <v>0.34027777777777718</v>
      </c>
      <c r="BL6" s="300">
        <f t="shared" ref="BL6" si="17">BK6+5/(60*24)</f>
        <v>0.34374999999999939</v>
      </c>
      <c r="BM6" s="300">
        <f t="shared" ref="BM6" si="18">BL6+5/(60*24)</f>
        <v>0.3472222222222216</v>
      </c>
      <c r="BN6" s="300">
        <f t="shared" ref="BN6" si="19">BM6+5/(60*24)</f>
        <v>0.35069444444444381</v>
      </c>
      <c r="BO6" s="300">
        <f t="shared" ref="BO6" si="20">BN6+5/(60*24)</f>
        <v>0.35416666666666602</v>
      </c>
      <c r="BP6" s="300">
        <f t="shared" ref="BP6" si="21">BO6+5/(60*24)</f>
        <v>0.35763888888888823</v>
      </c>
      <c r="BQ6" s="300">
        <f t="shared" ref="BQ6" si="22">BP6+5/(60*24)</f>
        <v>0.36111111111111044</v>
      </c>
      <c r="BR6" s="300">
        <f t="shared" ref="BR6" si="23">BQ6+5/(60*24)</f>
        <v>0.36458333333333265</v>
      </c>
      <c r="BS6" s="300">
        <f t="shared" ref="BS6" si="24">BR6+5/(60*24)</f>
        <v>0.36805555555555486</v>
      </c>
      <c r="BT6" s="300">
        <f t="shared" ref="BT6" si="25">BS6+5/(60*24)</f>
        <v>0.37152777777777707</v>
      </c>
      <c r="BU6" s="299">
        <f t="shared" ref="BU6" si="26">BT6+5/(60*24)</f>
        <v>0.37499999999999928</v>
      </c>
      <c r="BV6" s="300">
        <f t="shared" ref="BV6" si="27">BU6+5/(60*24)</f>
        <v>0.37847222222222149</v>
      </c>
      <c r="BW6" s="300">
        <f t="shared" ref="BW6" si="28">BV6+5/(60*24)</f>
        <v>0.3819444444444437</v>
      </c>
      <c r="BX6" s="300">
        <f t="shared" si="1"/>
        <v>0.38541666666666591</v>
      </c>
      <c r="BY6" s="301" t="s">
        <v>153</v>
      </c>
    </row>
    <row r="7" spans="1:77" s="8" customFormat="1" ht="30" hidden="1" customHeight="1" x14ac:dyDescent="0.25">
      <c r="A7" s="157" t="s">
        <v>107</v>
      </c>
      <c r="B7" s="550"/>
      <c r="C7" s="43" t="e">
        <f>CONCATENATE(VLOOKUP(A7,Airlines,2,FALSE)," to ",VLOOKUP(E7,Destinations,2,FALSE),", ",VLOOKUP(J7,Aircraft,2,FALSE))</f>
        <v>#N/A</v>
      </c>
      <c r="D7" s="78">
        <v>132</v>
      </c>
      <c r="E7" s="79" t="s">
        <v>132</v>
      </c>
      <c r="F7" s="80" t="s">
        <v>65</v>
      </c>
      <c r="G7" s="221" t="str">
        <f t="shared" ref="G7:G49" si="29">VLOOKUP(J7,Aircraft,3,FALSE)</f>
        <v>C</v>
      </c>
      <c r="H7" s="154">
        <v>6.9444444444444441E-3</v>
      </c>
      <c r="I7" s="154"/>
      <c r="J7" s="80">
        <v>320</v>
      </c>
      <c r="K7" s="44">
        <f t="shared" ref="K7:K19" si="30">IF(F7="S",VLOOKUP(J7,Aircraft,4,FALSE),VLOOKUP(J7,Aircraft,5,FALSE))</f>
        <v>180</v>
      </c>
      <c r="L7" s="219">
        <f t="shared" ref="L7:L49" si="31">ROUND(K7*L$4,0)</f>
        <v>162</v>
      </c>
      <c r="M7" s="222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4"/>
      <c r="AE7" s="223"/>
      <c r="AF7" s="223"/>
      <c r="AG7" s="223"/>
      <c r="AH7" s="223"/>
      <c r="AI7" s="225"/>
      <c r="AJ7" s="226"/>
      <c r="AK7" s="226"/>
      <c r="AL7" s="227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8"/>
      <c r="BY7" s="359"/>
    </row>
    <row r="8" spans="1:77" s="8" customFormat="1" ht="30" hidden="1" customHeight="1" x14ac:dyDescent="0.25">
      <c r="A8" s="251" t="s">
        <v>107</v>
      </c>
      <c r="B8" s="551"/>
      <c r="C8" s="252" t="e">
        <f>CONCATENATE(VLOOKUP(A8,Airlines,2,FALSE)," to ",VLOOKUP(E8,Destinations,2,FALSE),", ",VLOOKUP(J8,Aircraft,2,FALSE))</f>
        <v>#N/A</v>
      </c>
      <c r="D8" s="253">
        <v>138</v>
      </c>
      <c r="E8" s="254" t="s">
        <v>132</v>
      </c>
      <c r="F8" s="270" t="s">
        <v>65</v>
      </c>
      <c r="G8" s="255" t="str">
        <f t="shared" si="29"/>
        <v>C</v>
      </c>
      <c r="H8" s="256">
        <v>2.7777777777777776E-2</v>
      </c>
      <c r="I8" s="256"/>
      <c r="J8" s="257">
        <v>320</v>
      </c>
      <c r="K8" s="258">
        <f t="shared" si="30"/>
        <v>180</v>
      </c>
      <c r="L8" s="259">
        <f t="shared" si="31"/>
        <v>162</v>
      </c>
      <c r="M8" s="260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2"/>
      <c r="AF8" s="261"/>
      <c r="AG8" s="261"/>
      <c r="AH8" s="261"/>
      <c r="AI8" s="263"/>
      <c r="AJ8" s="264"/>
      <c r="AK8" s="264"/>
      <c r="AL8" s="265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6"/>
      <c r="BY8" s="360"/>
    </row>
    <row r="9" spans="1:77" s="8" customFormat="1" ht="30" hidden="1" customHeight="1" x14ac:dyDescent="0.25">
      <c r="A9" s="158" t="s">
        <v>104</v>
      </c>
      <c r="B9" s="550"/>
      <c r="C9" s="43" t="e">
        <f t="shared" ref="C9:C49" si="32">CONCATENATE(VLOOKUP(A9,Airlines,2,FALSE)," to ",VLOOKUP(E9,Destinations,2,FALSE),", ",VLOOKUP(J9,All_Aircraft,3,FALSE))</f>
        <v>#N/A</v>
      </c>
      <c r="D9" s="81">
        <v>216</v>
      </c>
      <c r="E9" s="82" t="s">
        <v>132</v>
      </c>
      <c r="F9" s="59" t="s">
        <v>64</v>
      </c>
      <c r="G9" s="92" t="str">
        <f t="shared" si="29"/>
        <v>E</v>
      </c>
      <c r="H9" s="155">
        <v>8.6805555555555552E-2</v>
      </c>
      <c r="I9" s="155"/>
      <c r="J9" s="59">
        <v>333</v>
      </c>
      <c r="K9" s="44">
        <f t="shared" si="30"/>
        <v>285</v>
      </c>
      <c r="L9" s="220">
        <f t="shared" si="31"/>
        <v>257</v>
      </c>
      <c r="M9" s="229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1"/>
      <c r="AF9" s="230"/>
      <c r="AG9" s="230"/>
      <c r="AH9" s="230"/>
      <c r="AI9" s="232"/>
      <c r="AJ9" s="233"/>
      <c r="AK9" s="233"/>
      <c r="AL9" s="234"/>
      <c r="AM9" s="233"/>
      <c r="AN9" s="233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5"/>
      <c r="BY9" s="151"/>
    </row>
    <row r="10" spans="1:77" s="8" customFormat="1" ht="30" hidden="1" customHeight="1" thickBot="1" x14ac:dyDescent="0.3">
      <c r="A10" s="563" t="s">
        <v>108</v>
      </c>
      <c r="B10" s="564"/>
      <c r="C10" s="565" t="e">
        <f t="shared" si="32"/>
        <v>#N/A</v>
      </c>
      <c r="D10" s="566">
        <v>126</v>
      </c>
      <c r="E10" s="567" t="s">
        <v>128</v>
      </c>
      <c r="F10" s="568" t="s">
        <v>64</v>
      </c>
      <c r="G10" s="569" t="str">
        <f t="shared" si="29"/>
        <v>E</v>
      </c>
      <c r="H10" s="570">
        <v>0.10416666666666667</v>
      </c>
      <c r="I10" s="570"/>
      <c r="J10" s="568">
        <v>333</v>
      </c>
      <c r="K10" s="571">
        <f t="shared" si="30"/>
        <v>285</v>
      </c>
      <c r="L10" s="572">
        <f t="shared" si="31"/>
        <v>257</v>
      </c>
      <c r="M10" s="573"/>
      <c r="N10" s="574"/>
      <c r="O10" s="574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5"/>
      <c r="AJ10" s="576"/>
      <c r="AK10" s="576"/>
      <c r="AL10" s="577"/>
      <c r="AM10" s="576"/>
      <c r="AN10" s="576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8"/>
      <c r="BY10" s="579"/>
    </row>
    <row r="11" spans="1:77" s="8" customFormat="1" ht="30" customHeight="1" x14ac:dyDescent="0.25">
      <c r="A11" s="520" t="s">
        <v>109</v>
      </c>
      <c r="B11" s="552"/>
      <c r="C11" s="361" t="e">
        <f t="shared" si="32"/>
        <v>#N/A</v>
      </c>
      <c r="D11" s="517">
        <v>547</v>
      </c>
      <c r="E11" s="518" t="s">
        <v>1105</v>
      </c>
      <c r="F11" s="513" t="s">
        <v>65</v>
      </c>
      <c r="G11" s="521" t="str">
        <f t="shared" si="29"/>
        <v>C</v>
      </c>
      <c r="H11" s="515">
        <v>0.2013888888888889</v>
      </c>
      <c r="I11" s="515"/>
      <c r="J11" s="513">
        <v>320</v>
      </c>
      <c r="K11" s="516">
        <f t="shared" si="30"/>
        <v>180</v>
      </c>
      <c r="L11" s="522">
        <f t="shared" si="31"/>
        <v>162</v>
      </c>
      <c r="M11" s="435">
        <f>'Pax Profile C'!AI34*$L11</f>
        <v>129.59999999999997</v>
      </c>
      <c r="N11" s="435">
        <f>'Pax Profile C'!AJ34*$L11</f>
        <v>131.21999999999997</v>
      </c>
      <c r="O11" s="435">
        <f>'Pax Profile C'!AK34*$L11</f>
        <v>129.59999999999997</v>
      </c>
      <c r="P11" s="435">
        <f>'Pax Profile C'!AL34*$L11</f>
        <v>127.97999999999998</v>
      </c>
      <c r="Q11" s="435">
        <f>'Pax Profile C'!AM34*$L11</f>
        <v>118.25999999999996</v>
      </c>
      <c r="R11" s="435">
        <f>'Pax Profile C'!AN34*$L11</f>
        <v>45.359999999999957</v>
      </c>
      <c r="S11" s="435">
        <f>'Pax Profile C'!AO34*$L11</f>
        <v>3.2399999999999571</v>
      </c>
      <c r="T11" s="435">
        <f>'Pax Profile C'!AP34*$L11</f>
        <v>-4.2789301513788389E-14</v>
      </c>
      <c r="U11" s="435">
        <f>'Pax Profile C'!AQ34*$L11</f>
        <v>-4.2789301513788389E-14</v>
      </c>
      <c r="V11" s="435">
        <f>'Pax Profile C'!AR34*$L11</f>
        <v>0</v>
      </c>
      <c r="W11" s="163" t="s">
        <v>27</v>
      </c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  <c r="AI11" s="240"/>
      <c r="AJ11" s="237"/>
      <c r="AK11" s="237"/>
      <c r="AL11" s="237"/>
      <c r="AM11" s="237"/>
      <c r="AN11" s="237"/>
      <c r="AO11" s="237"/>
      <c r="AP11" s="237"/>
      <c r="AQ11" s="238"/>
      <c r="AR11" s="237"/>
      <c r="AS11" s="237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43"/>
      <c r="BY11" s="150"/>
    </row>
    <row r="12" spans="1:77" s="8" customFormat="1" ht="30" customHeight="1" x14ac:dyDescent="0.25">
      <c r="A12" s="614" t="s">
        <v>102</v>
      </c>
      <c r="B12" s="737" t="s">
        <v>1021</v>
      </c>
      <c r="C12" s="615" t="str">
        <f t="shared" si="32"/>
        <v>Emirates to Dubai, Airbus A380 pax</v>
      </c>
      <c r="D12" s="616">
        <v>425</v>
      </c>
      <c r="E12" s="617" t="s">
        <v>126</v>
      </c>
      <c r="F12" s="618" t="s">
        <v>64</v>
      </c>
      <c r="G12" s="619" t="str">
        <f t="shared" si="29"/>
        <v>F</v>
      </c>
      <c r="H12" s="620">
        <v>0.25347222222222221</v>
      </c>
      <c r="I12" s="620"/>
      <c r="J12" s="618">
        <v>380</v>
      </c>
      <c r="K12" s="621">
        <f t="shared" si="30"/>
        <v>489</v>
      </c>
      <c r="L12" s="622">
        <f t="shared" si="31"/>
        <v>440</v>
      </c>
      <c r="M12" s="623" t="e">
        <f>'Pax Profile A'!T34*$L12</f>
        <v>#N/A</v>
      </c>
      <c r="N12" s="623" t="e">
        <f>'Pax Profile A'!U34*$L12</f>
        <v>#N/A</v>
      </c>
      <c r="O12" s="623" t="e">
        <f>'Pax Profile A'!V34*$L12</f>
        <v>#N/A</v>
      </c>
      <c r="P12" s="623" t="e">
        <f>'Pax Profile A'!W34*$L12</f>
        <v>#N/A</v>
      </c>
      <c r="Q12" s="623" t="e">
        <f>'Pax Profile A'!X34*$L12</f>
        <v>#N/A</v>
      </c>
      <c r="R12" s="623" t="e">
        <f>'Pax Profile A'!Y34*$L12</f>
        <v>#N/A</v>
      </c>
      <c r="S12" s="623" t="e">
        <f>'Pax Profile A'!Z34*$L12</f>
        <v>#N/A</v>
      </c>
      <c r="T12" s="623" t="e">
        <f>'Pax Profile A'!AA34*$L12</f>
        <v>#N/A</v>
      </c>
      <c r="U12" s="623" t="e">
        <f>'Pax Profile A'!AB34*$L12</f>
        <v>#N/A</v>
      </c>
      <c r="V12" s="623" t="e">
        <f>'Pax Profile A'!AC34*$L12</f>
        <v>#N/A</v>
      </c>
      <c r="W12" s="623" t="e">
        <f>'Pax Profile A'!AD34*$L12</f>
        <v>#N/A</v>
      </c>
      <c r="X12" s="623" t="e">
        <f>'Pax Profile A'!AE34*$L12</f>
        <v>#N/A</v>
      </c>
      <c r="Y12" s="623" t="e">
        <f>'Pax Profile A'!AF34*$L12</f>
        <v>#N/A</v>
      </c>
      <c r="Z12" s="623" t="e">
        <f>'Pax Profile A'!AG34*$L12</f>
        <v>#N/A</v>
      </c>
      <c r="AA12" s="623" t="e">
        <f>'Pax Profile A'!AH34*$L12</f>
        <v>#N/A</v>
      </c>
      <c r="AB12" s="623" t="e">
        <f>'Pax Profile A'!AI34*$L12</f>
        <v>#N/A</v>
      </c>
      <c r="AC12" s="623" t="e">
        <f>'Pax Profile A'!AJ34*$L12</f>
        <v>#N/A</v>
      </c>
      <c r="AD12" s="623" t="e">
        <f>'Pax Profile A'!AK34*$L12</f>
        <v>#N/A</v>
      </c>
      <c r="AE12" s="623" t="e">
        <f>'Pax Profile A'!AL34*$L12</f>
        <v>#N/A</v>
      </c>
      <c r="AF12" s="623" t="e">
        <f>'Pax Profile A'!AM34*$L12</f>
        <v>#N/A</v>
      </c>
      <c r="AG12" s="623" t="e">
        <f>'Pax Profile A'!AN34*$L12</f>
        <v>#N/A</v>
      </c>
      <c r="AH12" s="623" t="e">
        <f>'Pax Profile A'!AO34*$L12</f>
        <v>#N/A</v>
      </c>
      <c r="AI12" s="623" t="e">
        <f>'Pax Profile A'!AP34*$L12</f>
        <v>#N/A</v>
      </c>
      <c r="AJ12" s="623" t="e">
        <f>'Pax Profile A'!AQ34*$L12</f>
        <v>#N/A</v>
      </c>
      <c r="AK12" s="623" t="e">
        <f>'Pax Profile A'!AR34*$L12</f>
        <v>#N/A</v>
      </c>
      <c r="AL12" s="163" t="s">
        <v>27</v>
      </c>
      <c r="AM12" s="624"/>
      <c r="AN12" s="625"/>
      <c r="AO12" s="625"/>
      <c r="AP12" s="625"/>
      <c r="AQ12" s="626"/>
      <c r="AR12" s="625"/>
      <c r="AS12" s="625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7"/>
      <c r="BY12" s="628" t="s">
        <v>1025</v>
      </c>
    </row>
    <row r="13" spans="1:77" s="8" customFormat="1" ht="30" customHeight="1" x14ac:dyDescent="0.25">
      <c r="A13" s="597" t="s">
        <v>1013</v>
      </c>
      <c r="B13" s="598" t="s">
        <v>1020</v>
      </c>
      <c r="C13" s="599" t="e">
        <f t="shared" si="32"/>
        <v>#N/A</v>
      </c>
      <c r="D13" s="600"/>
      <c r="E13" s="601" t="s">
        <v>1014</v>
      </c>
      <c r="F13" s="602" t="s">
        <v>64</v>
      </c>
      <c r="G13" s="603" t="str">
        <f t="shared" si="29"/>
        <v>E</v>
      </c>
      <c r="H13" s="604">
        <v>0.26041666666666669</v>
      </c>
      <c r="I13" s="604"/>
      <c r="J13" s="602">
        <v>788</v>
      </c>
      <c r="K13" s="605">
        <f t="shared" si="30"/>
        <v>264</v>
      </c>
      <c r="L13" s="606">
        <f t="shared" si="31"/>
        <v>238</v>
      </c>
      <c r="M13" s="607" t="e">
        <f>'Pax Profile A'!R34*$L13</f>
        <v>#N/A</v>
      </c>
      <c r="N13" s="607" t="e">
        <f>'Pax Profile A'!S34*$L13</f>
        <v>#N/A</v>
      </c>
      <c r="O13" s="607" t="e">
        <f>'Pax Profile A'!T34*$L13</f>
        <v>#N/A</v>
      </c>
      <c r="P13" s="607" t="e">
        <f>'Pax Profile A'!U34*$L13</f>
        <v>#N/A</v>
      </c>
      <c r="Q13" s="607" t="e">
        <f>'Pax Profile A'!V34*$L13</f>
        <v>#N/A</v>
      </c>
      <c r="R13" s="607" t="e">
        <f>'Pax Profile A'!W34*$L13</f>
        <v>#N/A</v>
      </c>
      <c r="S13" s="607" t="e">
        <f>'Pax Profile A'!X34*$L13</f>
        <v>#N/A</v>
      </c>
      <c r="T13" s="607" t="e">
        <f>'Pax Profile A'!Y34*$L13</f>
        <v>#N/A</v>
      </c>
      <c r="U13" s="607" t="e">
        <f>'Pax Profile A'!Z34*$L13</f>
        <v>#N/A</v>
      </c>
      <c r="V13" s="607" t="e">
        <f>'Pax Profile A'!AA34*$L13</f>
        <v>#N/A</v>
      </c>
      <c r="W13" s="607" t="e">
        <f>'Pax Profile A'!AB34*$L13</f>
        <v>#N/A</v>
      </c>
      <c r="X13" s="607" t="e">
        <f>'Pax Profile A'!AC34*$L13</f>
        <v>#N/A</v>
      </c>
      <c r="Y13" s="607" t="e">
        <f>'Pax Profile A'!AD34*$L13</f>
        <v>#N/A</v>
      </c>
      <c r="Z13" s="607" t="e">
        <f>'Pax Profile A'!AE34*$L13</f>
        <v>#N/A</v>
      </c>
      <c r="AA13" s="607" t="e">
        <f>'Pax Profile A'!AF34*$L13</f>
        <v>#N/A</v>
      </c>
      <c r="AB13" s="607" t="e">
        <f>'Pax Profile A'!AG34*$L13</f>
        <v>#N/A</v>
      </c>
      <c r="AC13" s="607" t="e">
        <f>'Pax Profile A'!AH34*$L13</f>
        <v>#N/A</v>
      </c>
      <c r="AD13" s="607" t="e">
        <f>'Pax Profile A'!AI34*$L13</f>
        <v>#N/A</v>
      </c>
      <c r="AE13" s="607" t="e">
        <f>'Pax Profile A'!AJ34*$L13</f>
        <v>#N/A</v>
      </c>
      <c r="AF13" s="607" t="e">
        <f>'Pax Profile A'!AK34*$L13</f>
        <v>#N/A</v>
      </c>
      <c r="AG13" s="607" t="e">
        <f>'Pax Profile A'!AL34*$L13</f>
        <v>#N/A</v>
      </c>
      <c r="AH13" s="607" t="e">
        <f>'Pax Profile A'!AM34*$L13</f>
        <v>#N/A</v>
      </c>
      <c r="AI13" s="607" t="e">
        <f>'Pax Profile A'!AN34*$L13</f>
        <v>#N/A</v>
      </c>
      <c r="AJ13" s="607" t="e">
        <f>'Pax Profile A'!AO34*$L13</f>
        <v>#N/A</v>
      </c>
      <c r="AK13" s="607" t="e">
        <f>'Pax Profile A'!AP34*$L13</f>
        <v>#N/A</v>
      </c>
      <c r="AL13" s="607" t="e">
        <f>'Pax Profile A'!AQ34*$L13</f>
        <v>#N/A</v>
      </c>
      <c r="AM13" s="607" t="e">
        <f>'Pax Profile A'!AR34*$L13</f>
        <v>#N/A</v>
      </c>
      <c r="AN13" s="163" t="s">
        <v>27</v>
      </c>
      <c r="AO13" s="608"/>
      <c r="AP13" s="608"/>
      <c r="AQ13" s="609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10"/>
      <c r="BY13" s="611" t="s">
        <v>1068</v>
      </c>
    </row>
    <row r="14" spans="1:77" s="8" customFormat="1" ht="30" customHeight="1" x14ac:dyDescent="0.25">
      <c r="A14" s="597" t="s">
        <v>1073</v>
      </c>
      <c r="B14" s="598" t="s">
        <v>1020</v>
      </c>
      <c r="C14" s="599" t="e">
        <f t="shared" si="32"/>
        <v>#N/A</v>
      </c>
      <c r="D14" s="600"/>
      <c r="E14" s="601" t="s">
        <v>1070</v>
      </c>
      <c r="F14" s="612" t="s">
        <v>64</v>
      </c>
      <c r="G14" s="613" t="s">
        <v>9</v>
      </c>
      <c r="H14" s="604">
        <v>0.27083333333333331</v>
      </c>
      <c r="I14" s="604"/>
      <c r="J14" s="602">
        <v>738</v>
      </c>
      <c r="K14" s="974">
        <v>149</v>
      </c>
      <c r="L14" s="606">
        <f t="shared" si="31"/>
        <v>134</v>
      </c>
      <c r="M14" s="607" t="e">
        <f>'Pax Profile A'!O34*$L14</f>
        <v>#N/A</v>
      </c>
      <c r="N14" s="607" t="e">
        <f>'Pax Profile A'!P34*$L14</f>
        <v>#N/A</v>
      </c>
      <c r="O14" s="607" t="e">
        <f>'Pax Profile A'!Q34*$L14</f>
        <v>#N/A</v>
      </c>
      <c r="P14" s="607" t="e">
        <f>'Pax Profile A'!R34*$L14</f>
        <v>#N/A</v>
      </c>
      <c r="Q14" s="607" t="e">
        <f>'Pax Profile A'!S34*$L14</f>
        <v>#N/A</v>
      </c>
      <c r="R14" s="607" t="e">
        <f>'Pax Profile A'!T34*$L14</f>
        <v>#N/A</v>
      </c>
      <c r="S14" s="607" t="e">
        <f>'Pax Profile A'!U34*$L14</f>
        <v>#N/A</v>
      </c>
      <c r="T14" s="607" t="e">
        <f>'Pax Profile A'!V34*$L14</f>
        <v>#N/A</v>
      </c>
      <c r="U14" s="607" t="e">
        <f>'Pax Profile A'!W34*$L14</f>
        <v>#N/A</v>
      </c>
      <c r="V14" s="607" t="e">
        <f>'Pax Profile A'!X34*$L14</f>
        <v>#N/A</v>
      </c>
      <c r="W14" s="607" t="e">
        <f>'Pax Profile A'!Y34*$L14</f>
        <v>#N/A</v>
      </c>
      <c r="X14" s="607" t="e">
        <f>'Pax Profile A'!Z34*$L14</f>
        <v>#N/A</v>
      </c>
      <c r="Y14" s="607" t="e">
        <f>'Pax Profile A'!AA34*$L14</f>
        <v>#N/A</v>
      </c>
      <c r="Z14" s="607" t="e">
        <f>'Pax Profile A'!AB34*$L14</f>
        <v>#N/A</v>
      </c>
      <c r="AA14" s="607" t="e">
        <f>'Pax Profile A'!AC34*$L14</f>
        <v>#N/A</v>
      </c>
      <c r="AB14" s="607" t="e">
        <f>'Pax Profile A'!AD34*$L14</f>
        <v>#N/A</v>
      </c>
      <c r="AC14" s="607" t="e">
        <f>'Pax Profile A'!AE34*$L14</f>
        <v>#N/A</v>
      </c>
      <c r="AD14" s="607" t="e">
        <f>'Pax Profile A'!AF34*$L14</f>
        <v>#N/A</v>
      </c>
      <c r="AE14" s="607" t="e">
        <f>'Pax Profile A'!AG34*$L14</f>
        <v>#N/A</v>
      </c>
      <c r="AF14" s="607" t="e">
        <f>'Pax Profile A'!AH34*$L14</f>
        <v>#N/A</v>
      </c>
      <c r="AG14" s="607" t="e">
        <f>'Pax Profile A'!AI34*$L14</f>
        <v>#N/A</v>
      </c>
      <c r="AH14" s="607" t="e">
        <f>'Pax Profile A'!AJ34*$L14</f>
        <v>#N/A</v>
      </c>
      <c r="AI14" s="607" t="e">
        <f>'Pax Profile A'!AK34*$L14</f>
        <v>#N/A</v>
      </c>
      <c r="AJ14" s="607" t="e">
        <f>'Pax Profile A'!AL34*$L14</f>
        <v>#N/A</v>
      </c>
      <c r="AK14" s="607" t="e">
        <f>'Pax Profile A'!AM34*$L14</f>
        <v>#N/A</v>
      </c>
      <c r="AL14" s="607" t="e">
        <f>'Pax Profile A'!AN34*$L14</f>
        <v>#N/A</v>
      </c>
      <c r="AM14" s="607" t="e">
        <f>'Pax Profile A'!AO34*$L14</f>
        <v>#N/A</v>
      </c>
      <c r="AN14" s="607" t="e">
        <f>'Pax Profile A'!AP34*$L14</f>
        <v>#N/A</v>
      </c>
      <c r="AO14" s="607" t="e">
        <f>'Pax Profile A'!AQ34*$L14</f>
        <v>#N/A</v>
      </c>
      <c r="AP14" s="607" t="e">
        <f>'Pax Profile A'!AR34*$L14</f>
        <v>#N/A</v>
      </c>
      <c r="AQ14" s="673" t="s">
        <v>27</v>
      </c>
      <c r="AR14" s="608"/>
      <c r="AS14" s="608"/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10"/>
      <c r="BY14" s="611" t="s">
        <v>1068</v>
      </c>
    </row>
    <row r="15" spans="1:77" s="8" customFormat="1" ht="30" customHeight="1" x14ac:dyDescent="0.25">
      <c r="A15" s="519" t="s">
        <v>110</v>
      </c>
      <c r="B15" s="552"/>
      <c r="C15" s="361" t="e">
        <f t="shared" si="32"/>
        <v>#N/A</v>
      </c>
      <c r="D15" s="517">
        <v>237</v>
      </c>
      <c r="E15" s="518" t="s">
        <v>128</v>
      </c>
      <c r="F15" s="513" t="s">
        <v>65</v>
      </c>
      <c r="G15" s="514" t="str">
        <f t="shared" si="29"/>
        <v>E</v>
      </c>
      <c r="H15" s="515">
        <v>0.27777777777777779</v>
      </c>
      <c r="I15" s="515"/>
      <c r="J15" s="513">
        <v>333</v>
      </c>
      <c r="K15" s="516">
        <f t="shared" si="30"/>
        <v>377</v>
      </c>
      <c r="L15" s="220">
        <f t="shared" si="31"/>
        <v>339</v>
      </c>
      <c r="M15" s="435">
        <f>'Pax Profile B'!M34*$L15</f>
        <v>0</v>
      </c>
      <c r="N15" s="435">
        <f>'Pax Profile B'!N34*$L15</f>
        <v>3.39</v>
      </c>
      <c r="O15" s="435">
        <f>'Pax Profile B'!O34*$L15</f>
        <v>10.17</v>
      </c>
      <c r="P15" s="435">
        <f>'Pax Profile B'!P34*$L15</f>
        <v>20.34</v>
      </c>
      <c r="Q15" s="435">
        <f>'Pax Profile B'!Q34*$L15</f>
        <v>33.9</v>
      </c>
      <c r="R15" s="435">
        <f>'Pax Profile B'!R34*$L15</f>
        <v>50.850000000000009</v>
      </c>
      <c r="S15" s="435">
        <f>'Pax Profile B'!S34*$L15</f>
        <v>71.19</v>
      </c>
      <c r="T15" s="435">
        <f>'Pax Profile B'!T34*$L15</f>
        <v>91.53</v>
      </c>
      <c r="U15" s="435">
        <f>'Pax Profile B'!U34*$L15</f>
        <v>115.26</v>
      </c>
      <c r="V15" s="435">
        <f>'Pax Profile B'!V34*$L15</f>
        <v>138.99</v>
      </c>
      <c r="W15" s="435">
        <f>'Pax Profile B'!W34*$L15</f>
        <v>166.10999999999999</v>
      </c>
      <c r="X15" s="435">
        <f>'Pax Profile B'!X34*$L15</f>
        <v>196.61999999999998</v>
      </c>
      <c r="Y15" s="435">
        <f>'Pax Profile B'!Y34*$L15</f>
        <v>230.52</v>
      </c>
      <c r="Z15" s="435">
        <f>'Pax Profile B'!Z34*$L15</f>
        <v>261.03000000000003</v>
      </c>
      <c r="AA15" s="435">
        <f>'Pax Profile B'!AA34*$L15</f>
        <v>281.37</v>
      </c>
      <c r="AB15" s="435">
        <f>'Pax Profile B'!AB34*$L15</f>
        <v>294.93</v>
      </c>
      <c r="AC15" s="435">
        <f>'Pax Profile B'!AC34*$L15</f>
        <v>298.32</v>
      </c>
      <c r="AD15" s="435">
        <f>'Pax Profile B'!AD34*$L15</f>
        <v>294.93</v>
      </c>
      <c r="AE15" s="435">
        <f>'Pax Profile B'!AE34*$L15</f>
        <v>291.54000000000002</v>
      </c>
      <c r="AF15" s="435">
        <f>'Pax Profile B'!AF34*$L15</f>
        <v>284.76</v>
      </c>
      <c r="AG15" s="435">
        <f>'Pax Profile B'!AG34*$L15</f>
        <v>277.98</v>
      </c>
      <c r="AH15" s="435">
        <f>'Pax Profile B'!AH34*$L15</f>
        <v>271.2</v>
      </c>
      <c r="AI15" s="435">
        <f>'Pax Profile B'!AI34*$L15</f>
        <v>261.03000000000003</v>
      </c>
      <c r="AJ15" s="435">
        <f>'Pax Profile B'!AJ34*$L15</f>
        <v>254.25</v>
      </c>
      <c r="AK15" s="435">
        <f>'Pax Profile B'!AK34*$L15</f>
        <v>240.69</v>
      </c>
      <c r="AL15" s="435">
        <f>'Pax Profile B'!AL34*$L15</f>
        <v>122.03999999999998</v>
      </c>
      <c r="AM15" s="435">
        <f>'Pax Profile B'!AM34*$L15</f>
        <v>37.289999999999985</v>
      </c>
      <c r="AN15" s="435">
        <f>'Pax Profile B'!AN34*$L15</f>
        <v>10.169999999999984</v>
      </c>
      <c r="AO15" s="435">
        <f>'Pax Profile B'!AO34*$L15</f>
        <v>3.3899999999999837</v>
      </c>
      <c r="AP15" s="435">
        <f>'Pax Profile B'!AP34*$L15</f>
        <v>-1.644287244459664E-14</v>
      </c>
      <c r="AQ15" s="435">
        <f>'Pax Profile B'!AQ34*$L15</f>
        <v>-1.644287244459664E-14</v>
      </c>
      <c r="AR15" s="435">
        <f>'Pax Profile B'!AR34*$L15</f>
        <v>0</v>
      </c>
      <c r="AS15" s="163" t="s">
        <v>27</v>
      </c>
      <c r="AT15" s="237"/>
      <c r="AU15" s="237"/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43"/>
      <c r="BY15" s="150"/>
    </row>
    <row r="16" spans="1:77" s="8" customFormat="1" ht="30" customHeight="1" x14ac:dyDescent="0.25">
      <c r="A16" s="539" t="s">
        <v>104</v>
      </c>
      <c r="B16" s="632"/>
      <c r="C16" s="540" t="e">
        <f t="shared" si="32"/>
        <v>#N/A</v>
      </c>
      <c r="D16" s="541">
        <v>224</v>
      </c>
      <c r="E16" s="542" t="s">
        <v>132</v>
      </c>
      <c r="F16" s="543" t="s">
        <v>64</v>
      </c>
      <c r="G16" s="544" t="str">
        <f t="shared" si="29"/>
        <v>E</v>
      </c>
      <c r="H16" s="545">
        <v>0.27777777777777779</v>
      </c>
      <c r="I16" s="545"/>
      <c r="J16" s="543">
        <v>333</v>
      </c>
      <c r="K16" s="546">
        <f t="shared" si="30"/>
        <v>285</v>
      </c>
      <c r="L16" s="547">
        <f t="shared" si="31"/>
        <v>257</v>
      </c>
      <c r="M16" s="435" t="e">
        <f>'Pax Profile A'!M34*$L16</f>
        <v>#N/A</v>
      </c>
      <c r="N16" s="435" t="e">
        <f>'Pax Profile A'!N34*$L16</f>
        <v>#N/A</v>
      </c>
      <c r="O16" s="435" t="e">
        <f>'Pax Profile A'!O34*$L16</f>
        <v>#N/A</v>
      </c>
      <c r="P16" s="435" t="e">
        <f>'Pax Profile A'!P34*$L16</f>
        <v>#N/A</v>
      </c>
      <c r="Q16" s="435" t="e">
        <f>'Pax Profile A'!Q34*$L16</f>
        <v>#N/A</v>
      </c>
      <c r="R16" s="435" t="e">
        <f>'Pax Profile A'!R34*$L16</f>
        <v>#N/A</v>
      </c>
      <c r="S16" s="435" t="e">
        <f>'Pax Profile A'!S34*$L16</f>
        <v>#N/A</v>
      </c>
      <c r="T16" s="435" t="e">
        <f>'Pax Profile A'!T34*$L16</f>
        <v>#N/A</v>
      </c>
      <c r="U16" s="435" t="e">
        <f>'Pax Profile A'!U34*$L16</f>
        <v>#N/A</v>
      </c>
      <c r="V16" s="435" t="e">
        <f>'Pax Profile A'!V34*$L16</f>
        <v>#N/A</v>
      </c>
      <c r="W16" s="435" t="e">
        <f>'Pax Profile A'!W34*$L16</f>
        <v>#N/A</v>
      </c>
      <c r="X16" s="435" t="e">
        <f>'Pax Profile A'!X34*$L16</f>
        <v>#N/A</v>
      </c>
      <c r="Y16" s="435" t="e">
        <f>'Pax Profile A'!Y34*$L16</f>
        <v>#N/A</v>
      </c>
      <c r="Z16" s="435" t="e">
        <f>'Pax Profile A'!Z34*$L16</f>
        <v>#N/A</v>
      </c>
      <c r="AA16" s="435" t="e">
        <f>'Pax Profile A'!AA34*$L16</f>
        <v>#N/A</v>
      </c>
      <c r="AB16" s="435" t="e">
        <f>'Pax Profile A'!AB34*$L16</f>
        <v>#N/A</v>
      </c>
      <c r="AC16" s="435" t="e">
        <f>'Pax Profile A'!AC34*$L16</f>
        <v>#N/A</v>
      </c>
      <c r="AD16" s="435" t="e">
        <f>'Pax Profile A'!AD34*$L16</f>
        <v>#N/A</v>
      </c>
      <c r="AE16" s="435" t="e">
        <f>'Pax Profile A'!AE34*$L16</f>
        <v>#N/A</v>
      </c>
      <c r="AF16" s="435" t="e">
        <f>'Pax Profile A'!AF34*$L16</f>
        <v>#N/A</v>
      </c>
      <c r="AG16" s="435" t="e">
        <f>'Pax Profile A'!AG34*$L16</f>
        <v>#N/A</v>
      </c>
      <c r="AH16" s="435" t="e">
        <f>'Pax Profile A'!AH34*$L16</f>
        <v>#N/A</v>
      </c>
      <c r="AI16" s="435" t="e">
        <f>'Pax Profile A'!AI34*$L16</f>
        <v>#N/A</v>
      </c>
      <c r="AJ16" s="435" t="e">
        <f>'Pax Profile A'!AJ34*$L16</f>
        <v>#N/A</v>
      </c>
      <c r="AK16" s="435" t="e">
        <f>'Pax Profile A'!AK34*$L16</f>
        <v>#N/A</v>
      </c>
      <c r="AL16" s="435" t="e">
        <f>'Pax Profile A'!AL34*$L16</f>
        <v>#N/A</v>
      </c>
      <c r="AM16" s="435" t="e">
        <f>'Pax Profile A'!AM34*$L16</f>
        <v>#N/A</v>
      </c>
      <c r="AN16" s="435" t="e">
        <f>'Pax Profile A'!AN34*$L16</f>
        <v>#N/A</v>
      </c>
      <c r="AO16" s="435" t="e">
        <f>'Pax Profile A'!AO34*$L16</f>
        <v>#N/A</v>
      </c>
      <c r="AP16" s="435" t="e">
        <f>'Pax Profile A'!AP34*$L16</f>
        <v>#N/A</v>
      </c>
      <c r="AQ16" s="435" t="e">
        <f>'Pax Profile A'!AQ34*$L16</f>
        <v>#N/A</v>
      </c>
      <c r="AR16" s="435" t="e">
        <f>'Pax Profile A'!AR34*$L16</f>
        <v>#N/A</v>
      </c>
      <c r="AS16" s="163" t="s">
        <v>27</v>
      </c>
      <c r="AT16" s="237"/>
      <c r="AU16" s="237"/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43"/>
      <c r="BY16" s="548"/>
    </row>
    <row r="17" spans="1:77" s="8" customFormat="1" ht="30" customHeight="1" x14ac:dyDescent="0.25">
      <c r="A17" s="597" t="s">
        <v>117</v>
      </c>
      <c r="B17" s="598" t="s">
        <v>1020</v>
      </c>
      <c r="C17" s="599" t="e">
        <f t="shared" si="32"/>
        <v>#N/A</v>
      </c>
      <c r="D17" s="600"/>
      <c r="E17" s="601" t="s">
        <v>140</v>
      </c>
      <c r="F17" s="602" t="s">
        <v>64</v>
      </c>
      <c r="G17" s="603" t="e">
        <f t="shared" ref="G17" si="33">VLOOKUP(J17,Aircraft,3,FALSE)</f>
        <v>#N/A</v>
      </c>
      <c r="H17" s="604">
        <v>0.28125</v>
      </c>
      <c r="I17" s="604"/>
      <c r="J17" s="602">
        <v>789</v>
      </c>
      <c r="K17" s="605" t="e">
        <f t="shared" si="30"/>
        <v>#N/A</v>
      </c>
      <c r="L17" s="606" t="e">
        <f t="shared" ref="L17" si="34">ROUND(K17*L$4,0)</f>
        <v>#N/A</v>
      </c>
      <c r="M17" s="607" t="e">
        <f>'Pax Profile A'!L34*$L17</f>
        <v>#N/A</v>
      </c>
      <c r="N17" s="607" t="e">
        <f>'Pax Profile A'!M34*$L17</f>
        <v>#N/A</v>
      </c>
      <c r="O17" s="607" t="e">
        <f>'Pax Profile A'!N34*$L17</f>
        <v>#N/A</v>
      </c>
      <c r="P17" s="607" t="e">
        <f>'Pax Profile A'!O34*$L17</f>
        <v>#N/A</v>
      </c>
      <c r="Q17" s="607" t="e">
        <f>'Pax Profile A'!P34*$L17</f>
        <v>#N/A</v>
      </c>
      <c r="R17" s="607" t="e">
        <f>'Pax Profile A'!Q34*$L17</f>
        <v>#N/A</v>
      </c>
      <c r="S17" s="607" t="e">
        <f>'Pax Profile A'!R34*$L17</f>
        <v>#N/A</v>
      </c>
      <c r="T17" s="607" t="e">
        <f>'Pax Profile A'!S34*$L17</f>
        <v>#N/A</v>
      </c>
      <c r="U17" s="607" t="e">
        <f>'Pax Profile A'!T34*$L17</f>
        <v>#N/A</v>
      </c>
      <c r="V17" s="607" t="e">
        <f>'Pax Profile A'!U34*$L17</f>
        <v>#N/A</v>
      </c>
      <c r="W17" s="607" t="e">
        <f>'Pax Profile A'!V34*$L17</f>
        <v>#N/A</v>
      </c>
      <c r="X17" s="607" t="e">
        <f>'Pax Profile A'!W34*$L17</f>
        <v>#N/A</v>
      </c>
      <c r="Y17" s="607" t="e">
        <f>'Pax Profile A'!X34*$L17</f>
        <v>#N/A</v>
      </c>
      <c r="Z17" s="607" t="e">
        <f>'Pax Profile A'!Y34*$L17</f>
        <v>#N/A</v>
      </c>
      <c r="AA17" s="607" t="e">
        <f>'Pax Profile A'!Z34*$L17</f>
        <v>#N/A</v>
      </c>
      <c r="AB17" s="607" t="e">
        <f>'Pax Profile A'!AA34*$L17</f>
        <v>#N/A</v>
      </c>
      <c r="AC17" s="607" t="e">
        <f>'Pax Profile A'!AB34*$L17</f>
        <v>#N/A</v>
      </c>
      <c r="AD17" s="607" t="e">
        <f>'Pax Profile A'!AC34*$L17</f>
        <v>#N/A</v>
      </c>
      <c r="AE17" s="607" t="e">
        <f>'Pax Profile A'!AD34*$L17</f>
        <v>#N/A</v>
      </c>
      <c r="AF17" s="607" t="e">
        <f>'Pax Profile A'!AE34*$L17</f>
        <v>#N/A</v>
      </c>
      <c r="AG17" s="607" t="e">
        <f>'Pax Profile A'!AF34*$L17</f>
        <v>#N/A</v>
      </c>
      <c r="AH17" s="607" t="e">
        <f>'Pax Profile A'!AG34*$L17</f>
        <v>#N/A</v>
      </c>
      <c r="AI17" s="607" t="e">
        <f>'Pax Profile A'!AH34*$L17</f>
        <v>#N/A</v>
      </c>
      <c r="AJ17" s="607" t="e">
        <f>'Pax Profile A'!AI34*$L17</f>
        <v>#N/A</v>
      </c>
      <c r="AK17" s="607" t="e">
        <f>'Pax Profile A'!AJ34*$L17</f>
        <v>#N/A</v>
      </c>
      <c r="AL17" s="607" t="e">
        <f>'Pax Profile A'!AK34*$L17</f>
        <v>#N/A</v>
      </c>
      <c r="AM17" s="607" t="e">
        <f>'Pax Profile A'!AL34*$L17</f>
        <v>#N/A</v>
      </c>
      <c r="AN17" s="607" t="e">
        <f>'Pax Profile A'!AM34*$L17</f>
        <v>#N/A</v>
      </c>
      <c r="AO17" s="607" t="e">
        <f>'Pax Profile A'!AN34*$L17</f>
        <v>#N/A</v>
      </c>
      <c r="AP17" s="607" t="e">
        <f>'Pax Profile A'!AO34*$L17</f>
        <v>#N/A</v>
      </c>
      <c r="AQ17" s="607" t="e">
        <f>'Pax Profile A'!AP34*$L17</f>
        <v>#N/A</v>
      </c>
      <c r="AR17" s="607" t="e">
        <f>'Pax Profile A'!AQ34*$L17</f>
        <v>#N/A</v>
      </c>
      <c r="AS17" s="607" t="e">
        <f>'Pax Profile A'!AR34*$L17</f>
        <v>#N/A</v>
      </c>
      <c r="AT17" s="673" t="s">
        <v>27</v>
      </c>
      <c r="AU17" s="608"/>
      <c r="AV17" s="608"/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10"/>
      <c r="BY17" s="611" t="s">
        <v>1023</v>
      </c>
    </row>
    <row r="18" spans="1:77" s="8" customFormat="1" ht="30" customHeight="1" x14ac:dyDescent="0.25">
      <c r="A18" s="614" t="s">
        <v>111</v>
      </c>
      <c r="B18" s="737" t="s">
        <v>1021</v>
      </c>
      <c r="C18" s="615" t="e">
        <f t="shared" si="32"/>
        <v>#N/A</v>
      </c>
      <c r="D18" s="616">
        <v>110</v>
      </c>
      <c r="E18" s="617" t="s">
        <v>124</v>
      </c>
      <c r="F18" s="618" t="s">
        <v>65</v>
      </c>
      <c r="G18" s="619" t="str">
        <f t="shared" si="29"/>
        <v>E</v>
      </c>
      <c r="H18" s="620">
        <v>0.30902777777777779</v>
      </c>
      <c r="I18" s="620"/>
      <c r="J18" s="618">
        <v>788</v>
      </c>
      <c r="K18" s="621">
        <f t="shared" si="30"/>
        <v>335</v>
      </c>
      <c r="L18" s="622">
        <f t="shared" si="31"/>
        <v>302</v>
      </c>
      <c r="M18" s="623"/>
      <c r="N18" s="623"/>
      <c r="O18" s="623"/>
      <c r="P18" s="623"/>
      <c r="Q18" s="623"/>
      <c r="R18" s="623">
        <f>'Pax Profile C'!I34*$L18</f>
        <v>0</v>
      </c>
      <c r="S18" s="623">
        <f>'Pax Profile C'!J34*$L18</f>
        <v>0</v>
      </c>
      <c r="T18" s="623">
        <f>'Pax Profile C'!K34*$L18</f>
        <v>0</v>
      </c>
      <c r="U18" s="623">
        <f>'Pax Profile C'!L34*$L18</f>
        <v>0</v>
      </c>
      <c r="V18" s="623">
        <f>'Pax Profile C'!M34*$L18</f>
        <v>0</v>
      </c>
      <c r="W18" s="623">
        <f>'Pax Profile C'!N34*$L18</f>
        <v>3.02</v>
      </c>
      <c r="X18" s="623">
        <f>'Pax Profile C'!O34*$L18</f>
        <v>6.04</v>
      </c>
      <c r="Y18" s="623">
        <f>'Pax Profile C'!P34*$L18</f>
        <v>12.08</v>
      </c>
      <c r="Z18" s="623">
        <f>'Pax Profile C'!Q34*$L18</f>
        <v>18.12</v>
      </c>
      <c r="AA18" s="623">
        <f>'Pax Profile C'!R34*$L18</f>
        <v>27.18</v>
      </c>
      <c r="AB18" s="623">
        <f>'Pax Profile C'!S34*$L18</f>
        <v>39.26</v>
      </c>
      <c r="AC18" s="623">
        <f>'Pax Profile C'!T34*$L18</f>
        <v>54.36</v>
      </c>
      <c r="AD18" s="623">
        <f>'Pax Profile C'!U34*$L18</f>
        <v>72.48</v>
      </c>
      <c r="AE18" s="623">
        <f>'Pax Profile C'!V34*$L18</f>
        <v>93.62</v>
      </c>
      <c r="AF18" s="623">
        <f>'Pax Profile C'!W34*$L18</f>
        <v>117.78</v>
      </c>
      <c r="AG18" s="623">
        <f>'Pax Profile C'!X34*$L18</f>
        <v>144.96</v>
      </c>
      <c r="AH18" s="623">
        <f>'Pax Profile C'!Y34*$L18</f>
        <v>175.16</v>
      </c>
      <c r="AI18" s="623">
        <f>'Pax Profile C'!Z34*$L18</f>
        <v>205.35999999999999</v>
      </c>
      <c r="AJ18" s="623">
        <f>'Pax Profile C'!AA34*$L18</f>
        <v>232.53999999999996</v>
      </c>
      <c r="AK18" s="623">
        <f>'Pax Profile C'!AB34*$L18</f>
        <v>253.67999999999995</v>
      </c>
      <c r="AL18" s="623">
        <f>'Pax Profile C'!AC34*$L18</f>
        <v>256.69999999999993</v>
      </c>
      <c r="AM18" s="623">
        <f>'Pax Profile C'!AD34*$L18</f>
        <v>256.69999999999993</v>
      </c>
      <c r="AN18" s="623">
        <f>'Pax Profile C'!AE34*$L18</f>
        <v>253.67999999999995</v>
      </c>
      <c r="AO18" s="623">
        <f>'Pax Profile C'!AF34*$L18</f>
        <v>247.63999999999996</v>
      </c>
      <c r="AP18" s="623">
        <f>'Pax Profile C'!AG34*$L18</f>
        <v>244.61999999999995</v>
      </c>
      <c r="AQ18" s="623">
        <f>'Pax Profile C'!AH34*$L18</f>
        <v>241.59999999999994</v>
      </c>
      <c r="AR18" s="623">
        <f>'Pax Profile C'!AI34*$L18</f>
        <v>241.59999999999994</v>
      </c>
      <c r="AS18" s="623">
        <f>'Pax Profile C'!AJ34*$L18</f>
        <v>244.61999999999995</v>
      </c>
      <c r="AT18" s="623">
        <f>'Pax Profile C'!AK34*$L18</f>
        <v>241.59999999999994</v>
      </c>
      <c r="AU18" s="623">
        <f>'Pax Profile C'!AL34*$L18</f>
        <v>238.57999999999996</v>
      </c>
      <c r="AV18" s="623">
        <f>'Pax Profile C'!AM34*$L18</f>
        <v>220.45999999999992</v>
      </c>
      <c r="AW18" s="623">
        <f>'Pax Profile C'!AN34*$L18</f>
        <v>84.559999999999931</v>
      </c>
      <c r="AX18" s="623">
        <f>'Pax Profile C'!AO34*$L18</f>
        <v>6.0399999999999201</v>
      </c>
      <c r="AY18" s="623">
        <f>'Pax Profile C'!AP34*$L18</f>
        <v>-7.9767710229407977E-14</v>
      </c>
      <c r="AZ18" s="623">
        <f>'Pax Profile C'!AQ34*$L18</f>
        <v>-7.9767710229407977E-14</v>
      </c>
      <c r="BA18" s="623">
        <f>'Pax Profile C'!AR34*$L18</f>
        <v>0</v>
      </c>
      <c r="BB18" s="163" t="s">
        <v>27</v>
      </c>
      <c r="BC18" s="625"/>
      <c r="BD18" s="625"/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7"/>
      <c r="BY18" s="628" t="s">
        <v>1024</v>
      </c>
    </row>
    <row r="19" spans="1:77" s="8" customFormat="1" ht="30" customHeight="1" x14ac:dyDescent="0.25">
      <c r="A19" s="597" t="s">
        <v>1074</v>
      </c>
      <c r="B19" s="598" t="s">
        <v>1020</v>
      </c>
      <c r="C19" s="599" t="e">
        <f t="shared" si="32"/>
        <v>#N/A</v>
      </c>
      <c r="D19" s="600"/>
      <c r="E19" s="601" t="s">
        <v>1075</v>
      </c>
      <c r="F19" s="612" t="s">
        <v>64</v>
      </c>
      <c r="G19" s="613" t="str">
        <f t="shared" si="29"/>
        <v>E</v>
      </c>
      <c r="H19" s="604">
        <v>0.31597222222222221</v>
      </c>
      <c r="I19" s="604"/>
      <c r="J19" s="602">
        <v>333</v>
      </c>
      <c r="K19" s="605">
        <f t="shared" si="30"/>
        <v>285</v>
      </c>
      <c r="L19" s="606">
        <f t="shared" ref="L19" si="35">ROUND(K19*L$4,0)</f>
        <v>257</v>
      </c>
      <c r="M19" s="631"/>
      <c r="N19" s="631"/>
      <c r="O19" s="631"/>
      <c r="P19" s="631"/>
      <c r="Q19" s="607"/>
      <c r="R19" s="607"/>
      <c r="S19" s="607"/>
      <c r="T19" s="607">
        <f>'Pax Profile A'!I34*$L19</f>
        <v>0</v>
      </c>
      <c r="U19" s="607">
        <f>'Pax Profile A'!J34*$L19</f>
        <v>0</v>
      </c>
      <c r="V19" s="607">
        <f>'Pax Profile A'!K34*$L19</f>
        <v>0</v>
      </c>
      <c r="W19" s="607">
        <f>'Pax Profile A'!L34*$L19</f>
        <v>0</v>
      </c>
      <c r="X19" s="607" t="e">
        <f>'Pax Profile A'!M34*$L19</f>
        <v>#N/A</v>
      </c>
      <c r="Y19" s="607" t="e">
        <f>'Pax Profile A'!N34*$L19</f>
        <v>#N/A</v>
      </c>
      <c r="Z19" s="607" t="e">
        <f>'Pax Profile A'!O34*$L19</f>
        <v>#N/A</v>
      </c>
      <c r="AA19" s="607" t="e">
        <f>'Pax Profile A'!P34*$L19</f>
        <v>#N/A</v>
      </c>
      <c r="AB19" s="607" t="e">
        <f>'Pax Profile A'!Q34*$L19</f>
        <v>#N/A</v>
      </c>
      <c r="AC19" s="607" t="e">
        <f>'Pax Profile A'!R34*$L19</f>
        <v>#N/A</v>
      </c>
      <c r="AD19" s="607" t="e">
        <f>'Pax Profile A'!S34*$L19</f>
        <v>#N/A</v>
      </c>
      <c r="AE19" s="607" t="e">
        <f>'Pax Profile A'!T34*$L19</f>
        <v>#N/A</v>
      </c>
      <c r="AF19" s="607" t="e">
        <f>'Pax Profile A'!U34*$L19</f>
        <v>#N/A</v>
      </c>
      <c r="AG19" s="607" t="e">
        <f>'Pax Profile A'!V34*$L19</f>
        <v>#N/A</v>
      </c>
      <c r="AH19" s="607" t="e">
        <f>'Pax Profile A'!W34*$L19</f>
        <v>#N/A</v>
      </c>
      <c r="AI19" s="607" t="e">
        <f>'Pax Profile A'!X34*$L19</f>
        <v>#N/A</v>
      </c>
      <c r="AJ19" s="607" t="e">
        <f>'Pax Profile A'!Y34*$L19</f>
        <v>#N/A</v>
      </c>
      <c r="AK19" s="607" t="e">
        <f>'Pax Profile A'!Z34*$L19</f>
        <v>#N/A</v>
      </c>
      <c r="AL19" s="607" t="e">
        <f>'Pax Profile A'!AA34*$L19</f>
        <v>#N/A</v>
      </c>
      <c r="AM19" s="607" t="e">
        <f>'Pax Profile A'!AB34*$L19</f>
        <v>#N/A</v>
      </c>
      <c r="AN19" s="607" t="e">
        <f>'Pax Profile A'!AC34*$L19</f>
        <v>#N/A</v>
      </c>
      <c r="AO19" s="607" t="e">
        <f>'Pax Profile A'!AD34*$L19</f>
        <v>#N/A</v>
      </c>
      <c r="AP19" s="607" t="e">
        <f>'Pax Profile A'!AE34*$L19</f>
        <v>#N/A</v>
      </c>
      <c r="AQ19" s="607" t="e">
        <f>'Pax Profile A'!AF34*$L19</f>
        <v>#N/A</v>
      </c>
      <c r="AR19" s="607" t="e">
        <f>'Pax Profile A'!AG34*$L19</f>
        <v>#N/A</v>
      </c>
      <c r="AS19" s="607" t="e">
        <f>'Pax Profile A'!AH34*$L19</f>
        <v>#N/A</v>
      </c>
      <c r="AT19" s="607" t="e">
        <f>'Pax Profile A'!AI34*$L19</f>
        <v>#N/A</v>
      </c>
      <c r="AU19" s="607" t="e">
        <f>'Pax Profile A'!AJ34*$L19</f>
        <v>#N/A</v>
      </c>
      <c r="AV19" s="607" t="e">
        <f>'Pax Profile A'!AK34*$L19</f>
        <v>#N/A</v>
      </c>
      <c r="AW19" s="607" t="e">
        <f>'Pax Profile A'!AL34*$L19</f>
        <v>#N/A</v>
      </c>
      <c r="AX19" s="607" t="e">
        <f>'Pax Profile A'!AM34*$L19</f>
        <v>#N/A</v>
      </c>
      <c r="AY19" s="607" t="e">
        <f>'Pax Profile A'!AN34*$L19</f>
        <v>#N/A</v>
      </c>
      <c r="AZ19" s="607" t="e">
        <f>'Pax Profile A'!AO34*$L19</f>
        <v>#N/A</v>
      </c>
      <c r="BA19" s="607" t="e">
        <f>'Pax Profile A'!AP34*$L19</f>
        <v>#N/A</v>
      </c>
      <c r="BB19" s="607" t="e">
        <f>'Pax Profile A'!AQ34*$L19</f>
        <v>#N/A</v>
      </c>
      <c r="BC19" s="607" t="e">
        <f>'Pax Profile A'!AR34*$L19</f>
        <v>#N/A</v>
      </c>
      <c r="BD19" s="673" t="s">
        <v>27</v>
      </c>
      <c r="BE19" s="608"/>
      <c r="BF19" s="608"/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10"/>
      <c r="BY19" s="611" t="s">
        <v>1068</v>
      </c>
    </row>
    <row r="20" spans="1:77" s="8" customFormat="1" ht="30" customHeight="1" x14ac:dyDescent="0.25">
      <c r="A20" s="539" t="s">
        <v>106</v>
      </c>
      <c r="B20" s="632"/>
      <c r="C20" s="540" t="e">
        <f t="shared" si="32"/>
        <v>#N/A</v>
      </c>
      <c r="D20" s="541">
        <v>136</v>
      </c>
      <c r="E20" s="542" t="s">
        <v>130</v>
      </c>
      <c r="F20" s="543" t="s">
        <v>64</v>
      </c>
      <c r="G20" s="544" t="str">
        <f t="shared" si="29"/>
        <v>E</v>
      </c>
      <c r="H20" s="545">
        <v>0.31944444444444442</v>
      </c>
      <c r="I20" s="545"/>
      <c r="J20" s="543">
        <v>333</v>
      </c>
      <c r="K20" s="633">
        <v>242</v>
      </c>
      <c r="L20" s="547">
        <f t="shared" si="31"/>
        <v>218</v>
      </c>
      <c r="M20" s="434"/>
      <c r="N20" s="434"/>
      <c r="O20" s="434"/>
      <c r="P20" s="434"/>
      <c r="Q20" s="434"/>
      <c r="R20" s="434"/>
      <c r="S20" s="434"/>
      <c r="T20" s="434"/>
      <c r="U20" s="435">
        <f>'Pax Profile A'!I34*$L20</f>
        <v>0</v>
      </c>
      <c r="V20" s="435">
        <f>'Pax Profile A'!J34*$L20</f>
        <v>0</v>
      </c>
      <c r="W20" s="435">
        <f>'Pax Profile A'!K34*$L20</f>
        <v>0</v>
      </c>
      <c r="X20" s="435">
        <f>'Pax Profile A'!L34*$L20</f>
        <v>0</v>
      </c>
      <c r="Y20" s="435" t="e">
        <f>'Pax Profile A'!M34*$L20</f>
        <v>#N/A</v>
      </c>
      <c r="Z20" s="435" t="e">
        <f>'Pax Profile A'!N34*$L20</f>
        <v>#N/A</v>
      </c>
      <c r="AA20" s="435" t="e">
        <f>'Pax Profile A'!O34*$L20</f>
        <v>#N/A</v>
      </c>
      <c r="AB20" s="435" t="e">
        <f>'Pax Profile A'!P34*$L20</f>
        <v>#N/A</v>
      </c>
      <c r="AC20" s="435" t="e">
        <f>'Pax Profile A'!Q34*$L20</f>
        <v>#N/A</v>
      </c>
      <c r="AD20" s="435" t="e">
        <f>'Pax Profile A'!R34*$L20</f>
        <v>#N/A</v>
      </c>
      <c r="AE20" s="435" t="e">
        <f>'Pax Profile A'!S34*$L20</f>
        <v>#N/A</v>
      </c>
      <c r="AF20" s="435" t="e">
        <f>'Pax Profile A'!T34*$L20</f>
        <v>#N/A</v>
      </c>
      <c r="AG20" s="435" t="e">
        <f>'Pax Profile A'!U34*$L20</f>
        <v>#N/A</v>
      </c>
      <c r="AH20" s="435" t="e">
        <f>'Pax Profile A'!V34*$L20</f>
        <v>#N/A</v>
      </c>
      <c r="AI20" s="435" t="e">
        <f>'Pax Profile A'!W34*$L20</f>
        <v>#N/A</v>
      </c>
      <c r="AJ20" s="435" t="e">
        <f>'Pax Profile A'!X34*$L20</f>
        <v>#N/A</v>
      </c>
      <c r="AK20" s="435" t="e">
        <f>'Pax Profile A'!Y34*$L20</f>
        <v>#N/A</v>
      </c>
      <c r="AL20" s="435" t="e">
        <f>'Pax Profile A'!Z34*$L20</f>
        <v>#N/A</v>
      </c>
      <c r="AM20" s="435" t="e">
        <f>'Pax Profile A'!AA34*$L20</f>
        <v>#N/A</v>
      </c>
      <c r="AN20" s="435" t="e">
        <f>'Pax Profile A'!AB34*$L20</f>
        <v>#N/A</v>
      </c>
      <c r="AO20" s="435" t="e">
        <f>'Pax Profile A'!AC34*$L20</f>
        <v>#N/A</v>
      </c>
      <c r="AP20" s="435" t="e">
        <f>'Pax Profile A'!AD34*$L20</f>
        <v>#N/A</v>
      </c>
      <c r="AQ20" s="435" t="e">
        <f>'Pax Profile A'!AE34*$L20</f>
        <v>#N/A</v>
      </c>
      <c r="AR20" s="435" t="e">
        <f>'Pax Profile A'!AF34*$L20</f>
        <v>#N/A</v>
      </c>
      <c r="AS20" s="435" t="e">
        <f>'Pax Profile A'!AG34*$L20</f>
        <v>#N/A</v>
      </c>
      <c r="AT20" s="435" t="e">
        <f>'Pax Profile A'!AH34*$L20</f>
        <v>#N/A</v>
      </c>
      <c r="AU20" s="435" t="e">
        <f>'Pax Profile A'!AI34*$L20</f>
        <v>#N/A</v>
      </c>
      <c r="AV20" s="435" t="e">
        <f>'Pax Profile A'!AJ34*$L20</f>
        <v>#N/A</v>
      </c>
      <c r="AW20" s="435" t="e">
        <f>'Pax Profile A'!AK34*$L20</f>
        <v>#N/A</v>
      </c>
      <c r="AX20" s="435" t="e">
        <f>'Pax Profile A'!AL34*$L20</f>
        <v>#N/A</v>
      </c>
      <c r="AY20" s="435" t="e">
        <f>'Pax Profile A'!AM34*$L20</f>
        <v>#N/A</v>
      </c>
      <c r="AZ20" s="435" t="e">
        <f>'Pax Profile A'!AN34*$L20</f>
        <v>#N/A</v>
      </c>
      <c r="BA20" s="435" t="e">
        <f>'Pax Profile A'!AO34*$L20</f>
        <v>#N/A</v>
      </c>
      <c r="BB20" s="435" t="e">
        <f>'Pax Profile A'!AP34*$L20</f>
        <v>#N/A</v>
      </c>
      <c r="BC20" s="435" t="e">
        <f>'Pax Profile A'!AQ34*$L20</f>
        <v>#N/A</v>
      </c>
      <c r="BD20" s="435" t="e">
        <f>'Pax Profile A'!AR34*$L20</f>
        <v>#N/A</v>
      </c>
      <c r="BE20" s="163" t="s">
        <v>27</v>
      </c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43"/>
      <c r="BY20" s="548"/>
    </row>
    <row r="21" spans="1:77" s="8" customFormat="1" ht="30" customHeight="1" x14ac:dyDescent="0.25">
      <c r="A21" s="519" t="s">
        <v>112</v>
      </c>
      <c r="B21" s="552"/>
      <c r="C21" s="361" t="e">
        <f t="shared" si="32"/>
        <v>#N/A</v>
      </c>
      <c r="D21" s="517">
        <v>727</v>
      </c>
      <c r="E21" s="518" t="s">
        <v>124</v>
      </c>
      <c r="F21" s="513" t="s">
        <v>64</v>
      </c>
      <c r="G21" s="514" t="str">
        <f t="shared" si="29"/>
        <v>E</v>
      </c>
      <c r="H21" s="515">
        <v>0.3263888888888889</v>
      </c>
      <c r="I21" s="515"/>
      <c r="J21" s="513">
        <v>333</v>
      </c>
      <c r="K21" s="516">
        <f>IF(F21="S",VLOOKUP(J21,Aircraft,4,FALSE),VLOOKUP(J21,Aircraft,5,FALSE))</f>
        <v>285</v>
      </c>
      <c r="L21" s="220">
        <f t="shared" si="31"/>
        <v>257</v>
      </c>
      <c r="M21" s="239"/>
      <c r="N21" s="237"/>
      <c r="O21" s="237"/>
      <c r="P21" s="237"/>
      <c r="Q21" s="237"/>
      <c r="R21" s="237"/>
      <c r="S21" s="237"/>
      <c r="T21" s="236"/>
      <c r="U21" s="434"/>
      <c r="V21" s="434"/>
      <c r="W21" s="435">
        <f>'Pax Profile A'!I34*$L21</f>
        <v>0</v>
      </c>
      <c r="X21" s="435">
        <f>'Pax Profile A'!J34*$L21</f>
        <v>0</v>
      </c>
      <c r="Y21" s="435">
        <f>'Pax Profile A'!K34*$L21</f>
        <v>0</v>
      </c>
      <c r="Z21" s="435">
        <f>'Pax Profile A'!L34*$L21</f>
        <v>0</v>
      </c>
      <c r="AA21" s="435" t="e">
        <f>'Pax Profile A'!M34*$L21</f>
        <v>#N/A</v>
      </c>
      <c r="AB21" s="435" t="e">
        <f>'Pax Profile A'!N34*$L21</f>
        <v>#N/A</v>
      </c>
      <c r="AC21" s="435" t="e">
        <f>'Pax Profile A'!O34*$L21</f>
        <v>#N/A</v>
      </c>
      <c r="AD21" s="435" t="e">
        <f>'Pax Profile A'!P34*$L21</f>
        <v>#N/A</v>
      </c>
      <c r="AE21" s="435" t="e">
        <f>'Pax Profile A'!Q34*$L21</f>
        <v>#N/A</v>
      </c>
      <c r="AF21" s="435" t="e">
        <f>'Pax Profile A'!R34*$L21</f>
        <v>#N/A</v>
      </c>
      <c r="AG21" s="435" t="e">
        <f>'Pax Profile A'!S34*$L21</f>
        <v>#N/A</v>
      </c>
      <c r="AH21" s="435" t="e">
        <f>'Pax Profile A'!T34*$L21</f>
        <v>#N/A</v>
      </c>
      <c r="AI21" s="435" t="e">
        <f>'Pax Profile A'!U34*$L21</f>
        <v>#N/A</v>
      </c>
      <c r="AJ21" s="435" t="e">
        <f>'Pax Profile A'!V34*$L21</f>
        <v>#N/A</v>
      </c>
      <c r="AK21" s="435" t="e">
        <f>'Pax Profile A'!W34*$L21</f>
        <v>#N/A</v>
      </c>
      <c r="AL21" s="435" t="e">
        <f>'Pax Profile A'!X34*$L21</f>
        <v>#N/A</v>
      </c>
      <c r="AM21" s="435" t="e">
        <f>'Pax Profile A'!Y34*$L21</f>
        <v>#N/A</v>
      </c>
      <c r="AN21" s="435" t="e">
        <f>'Pax Profile A'!Z34*$L21</f>
        <v>#N/A</v>
      </c>
      <c r="AO21" s="435" t="e">
        <f>'Pax Profile A'!AA34*$L21</f>
        <v>#N/A</v>
      </c>
      <c r="AP21" s="435" t="e">
        <f>'Pax Profile A'!AB34*$L21</f>
        <v>#N/A</v>
      </c>
      <c r="AQ21" s="435" t="e">
        <f>'Pax Profile A'!AC34*$L21</f>
        <v>#N/A</v>
      </c>
      <c r="AR21" s="435" t="e">
        <f>'Pax Profile A'!AD34*$L21</f>
        <v>#N/A</v>
      </c>
      <c r="AS21" s="435" t="e">
        <f>'Pax Profile A'!AE34*$L21</f>
        <v>#N/A</v>
      </c>
      <c r="AT21" s="435" t="e">
        <f>'Pax Profile A'!AF34*$L21</f>
        <v>#N/A</v>
      </c>
      <c r="AU21" s="435" t="e">
        <f>'Pax Profile A'!AG34*$L21</f>
        <v>#N/A</v>
      </c>
      <c r="AV21" s="435" t="e">
        <f>'Pax Profile A'!AH34*$L21</f>
        <v>#N/A</v>
      </c>
      <c r="AW21" s="435" t="e">
        <f>'Pax Profile A'!AI34*$L21</f>
        <v>#N/A</v>
      </c>
      <c r="AX21" s="435" t="e">
        <f>'Pax Profile A'!AJ34*$L21</f>
        <v>#N/A</v>
      </c>
      <c r="AY21" s="435" t="e">
        <f>'Pax Profile A'!AK34*$L21</f>
        <v>#N/A</v>
      </c>
      <c r="AZ21" s="435" t="e">
        <f>'Pax Profile A'!AL34*$L21</f>
        <v>#N/A</v>
      </c>
      <c r="BA21" s="435" t="e">
        <f>'Pax Profile A'!AM34*$L21</f>
        <v>#N/A</v>
      </c>
      <c r="BB21" s="435" t="e">
        <f>'Pax Profile A'!AN34*$L21</f>
        <v>#N/A</v>
      </c>
      <c r="BC21" s="435" t="e">
        <f>'Pax Profile A'!AO34*$L21</f>
        <v>#N/A</v>
      </c>
      <c r="BD21" s="435" t="e">
        <f>'Pax Profile A'!AP34*$L21</f>
        <v>#N/A</v>
      </c>
      <c r="BE21" s="435" t="e">
        <f>'Pax Profile A'!AQ34*$L21</f>
        <v>#N/A</v>
      </c>
      <c r="BF21" s="435" t="e">
        <f>'Pax Profile A'!AR34*$L21</f>
        <v>#N/A</v>
      </c>
      <c r="BG21" s="163" t="s">
        <v>27</v>
      </c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43"/>
      <c r="BY21" s="150"/>
    </row>
    <row r="22" spans="1:77" s="8" customFormat="1" ht="30" customHeight="1" x14ac:dyDescent="0.25">
      <c r="A22" s="597" t="s">
        <v>114</v>
      </c>
      <c r="B22" s="598" t="s">
        <v>1020</v>
      </c>
      <c r="C22" s="599" t="e">
        <f t="shared" si="32"/>
        <v>#N/A</v>
      </c>
      <c r="D22" s="600"/>
      <c r="E22" s="601" t="s">
        <v>139</v>
      </c>
      <c r="F22" s="602" t="s">
        <v>64</v>
      </c>
      <c r="G22" s="603" t="str">
        <f t="shared" si="29"/>
        <v>E</v>
      </c>
      <c r="H22" s="604">
        <v>0.34375</v>
      </c>
      <c r="I22" s="604"/>
      <c r="J22" s="602">
        <v>788</v>
      </c>
      <c r="K22" s="605">
        <f t="shared" ref="K22" si="36">IF(F22="S",VLOOKUP(J22,Aircraft,4,FALSE),VLOOKUP(J22,Aircraft,5,FALSE))</f>
        <v>264</v>
      </c>
      <c r="L22" s="606">
        <f t="shared" si="31"/>
        <v>238</v>
      </c>
      <c r="M22" s="631"/>
      <c r="N22" s="631"/>
      <c r="O22" s="631"/>
      <c r="P22" s="631"/>
      <c r="Q22" s="631"/>
      <c r="R22" s="631"/>
      <c r="S22" s="631"/>
      <c r="T22" s="631"/>
      <c r="U22" s="607"/>
      <c r="V22" s="607"/>
      <c r="W22" s="607"/>
      <c r="X22" s="607"/>
      <c r="Y22" s="607"/>
      <c r="Z22" s="607"/>
      <c r="AA22" s="607"/>
      <c r="AB22" s="607">
        <f>'Pax Profile D'!I34*$L22</f>
        <v>0</v>
      </c>
      <c r="AC22" s="607">
        <f>'Pax Profile D'!J34*$L22</f>
        <v>0</v>
      </c>
      <c r="AD22" s="607">
        <f>'Pax Profile D'!K34*$L22</f>
        <v>0</v>
      </c>
      <c r="AE22" s="607">
        <f>'Pax Profile D'!L34*$L22</f>
        <v>0</v>
      </c>
      <c r="AF22" s="607">
        <f>'Pax Profile D'!M34*$L22</f>
        <v>0</v>
      </c>
      <c r="AG22" s="607">
        <f>'Pax Profile D'!N34*$L22</f>
        <v>2.38</v>
      </c>
      <c r="AH22" s="607">
        <f>'Pax Profile D'!O34*$L22</f>
        <v>7.14</v>
      </c>
      <c r="AI22" s="607">
        <f>'Pax Profile D'!P34*$L22</f>
        <v>11.9</v>
      </c>
      <c r="AJ22" s="607">
        <f>'Pax Profile D'!Q34*$L22</f>
        <v>18.088000000000001</v>
      </c>
      <c r="AK22" s="607">
        <f>'Pax Profile D'!R34*$L22</f>
        <v>24.276</v>
      </c>
      <c r="AL22" s="607">
        <f>'Pax Profile D'!S34*$L22</f>
        <v>32.844000000000001</v>
      </c>
      <c r="AM22" s="607">
        <f>'Pax Profile D'!T34*$L22</f>
        <v>42.84</v>
      </c>
      <c r="AN22" s="607">
        <f>'Pax Profile D'!U34*$L22</f>
        <v>54.264000000000003</v>
      </c>
      <c r="AO22" s="607">
        <f>'Pax Profile D'!V34*$L22</f>
        <v>67.116000000000014</v>
      </c>
      <c r="AP22" s="607">
        <f>'Pax Profile D'!W34*$L22</f>
        <v>82.348000000000013</v>
      </c>
      <c r="AQ22" s="607">
        <f>'Pax Profile D'!X34*$L22</f>
        <v>99.007999999999996</v>
      </c>
      <c r="AR22" s="607">
        <f>'Pax Profile D'!Y34*$L22</f>
        <v>117.096</v>
      </c>
      <c r="AS22" s="607">
        <f>'Pax Profile D'!Z34*$L22</f>
        <v>135.184</v>
      </c>
      <c r="AT22" s="607">
        <f>'Pax Profile D'!AA34*$L22</f>
        <v>151.84399999999997</v>
      </c>
      <c r="AU22" s="607">
        <f>'Pax Profile D'!AB34*$L22</f>
        <v>164.696</v>
      </c>
      <c r="AV22" s="607">
        <f>'Pax Profile D'!AC34*$L22</f>
        <v>166.6</v>
      </c>
      <c r="AW22" s="607">
        <f>'Pax Profile D'!AD34*$L22</f>
        <v>167.07599999999999</v>
      </c>
      <c r="AX22" s="607">
        <f>'Pax Profile D'!AE34*$L22</f>
        <v>163.744</v>
      </c>
      <c r="AY22" s="607">
        <f>'Pax Profile D'!AF34*$L22</f>
        <v>155.65200000000002</v>
      </c>
      <c r="AZ22" s="607">
        <f>'Pax Profile D'!AG34*$L22</f>
        <v>147.56</v>
      </c>
      <c r="BA22" s="607">
        <f>'Pax Profile D'!AH34*$L22</f>
        <v>142.79999999999998</v>
      </c>
      <c r="BB22" s="607">
        <f>'Pax Profile D'!AI34*$L22</f>
        <v>142.79999999999998</v>
      </c>
      <c r="BC22" s="607">
        <f>'Pax Profile D'!AJ34*$L22</f>
        <v>145.18</v>
      </c>
      <c r="BD22" s="607">
        <f>'Pax Profile D'!AK34*$L22</f>
        <v>142.79999999999998</v>
      </c>
      <c r="BE22" s="607">
        <f>'Pax Profile D'!AL34*$L22</f>
        <v>142.79999999999998</v>
      </c>
      <c r="BF22" s="607">
        <f>'Pax Profile D'!AM34*$L22</f>
        <v>133.28</v>
      </c>
      <c r="BG22" s="607">
        <f>'Pax Profile D'!AN34*$L22</f>
        <v>47.599999999999987</v>
      </c>
      <c r="BH22" s="607">
        <f>'Pax Profile D'!AO34*$L22</f>
        <v>4.7599999999999927</v>
      </c>
      <c r="BI22" s="607">
        <f>'Pax Profile D'!AP34*$L22</f>
        <v>-7.5988598129899601E-15</v>
      </c>
      <c r="BJ22" s="607">
        <f>'Pax Profile D'!AQ34*$L22</f>
        <v>-7.5988598129899601E-15</v>
      </c>
      <c r="BK22" s="607">
        <f>'Pax Profile D'!AR34*$L22</f>
        <v>0</v>
      </c>
      <c r="BL22" s="673" t="s">
        <v>27</v>
      </c>
      <c r="BM22" s="608"/>
      <c r="BN22" s="608"/>
      <c r="BO22" s="608"/>
      <c r="BP22" s="608"/>
      <c r="BQ22" s="608"/>
      <c r="BR22" s="608"/>
      <c r="BS22" s="608"/>
      <c r="BT22" s="608"/>
      <c r="BU22" s="608"/>
      <c r="BV22" s="608"/>
      <c r="BW22" s="608"/>
      <c r="BX22" s="610"/>
      <c r="BY22" s="611" t="s">
        <v>1023</v>
      </c>
    </row>
    <row r="23" spans="1:77" s="8" customFormat="1" ht="30" customHeight="1" x14ac:dyDescent="0.25">
      <c r="A23" s="539" t="s">
        <v>107</v>
      </c>
      <c r="B23" s="738"/>
      <c r="C23" s="540" t="e">
        <f t="shared" si="32"/>
        <v>#N/A</v>
      </c>
      <c r="D23" s="541">
        <v>134</v>
      </c>
      <c r="E23" s="542" t="s">
        <v>132</v>
      </c>
      <c r="F23" s="543" t="s">
        <v>65</v>
      </c>
      <c r="G23" s="544" t="str">
        <f t="shared" si="29"/>
        <v>C</v>
      </c>
      <c r="H23" s="545">
        <v>0.35069444444444442</v>
      </c>
      <c r="I23" s="545"/>
      <c r="J23" s="543">
        <v>320</v>
      </c>
      <c r="K23" s="546">
        <f t="shared" ref="K23:K31" si="37">IF(F23="S",VLOOKUP(J23,Aircraft,4,FALSE),VLOOKUP(J23,Aircraft,5,FALSE))</f>
        <v>180</v>
      </c>
      <c r="L23" s="547">
        <f t="shared" si="31"/>
        <v>162</v>
      </c>
      <c r="M23" s="239"/>
      <c r="N23" s="237"/>
      <c r="O23" s="237"/>
      <c r="P23" s="237"/>
      <c r="Q23" s="237"/>
      <c r="R23" s="237"/>
      <c r="S23" s="435"/>
      <c r="T23" s="435"/>
      <c r="U23" s="435"/>
      <c r="V23" s="435"/>
      <c r="W23" s="435"/>
      <c r="X23" s="435"/>
      <c r="Y23" s="435"/>
      <c r="Z23" s="435"/>
      <c r="AA23" s="435"/>
      <c r="AB23" s="435"/>
      <c r="AC23" s="435"/>
      <c r="AD23" s="435">
        <f>'Pax Profile C'!I34*$L23</f>
        <v>0</v>
      </c>
      <c r="AE23" s="435">
        <f>'Pax Profile C'!J34*$L23</f>
        <v>0</v>
      </c>
      <c r="AF23" s="435">
        <f>'Pax Profile C'!K34*$L23</f>
        <v>0</v>
      </c>
      <c r="AG23" s="435">
        <f>'Pax Profile C'!L34*$L23</f>
        <v>0</v>
      </c>
      <c r="AH23" s="435">
        <f>'Pax Profile C'!M34*$L23</f>
        <v>0</v>
      </c>
      <c r="AI23" s="435">
        <f>'Pax Profile C'!N34*$L23</f>
        <v>1.62</v>
      </c>
      <c r="AJ23" s="435">
        <f>'Pax Profile C'!O34*$L23</f>
        <v>3.24</v>
      </c>
      <c r="AK23" s="435">
        <f>'Pax Profile C'!P34*$L23</f>
        <v>6.48</v>
      </c>
      <c r="AL23" s="435">
        <f>'Pax Profile C'!Q34*$L23</f>
        <v>9.7199999999999989</v>
      </c>
      <c r="AM23" s="435">
        <f>'Pax Profile C'!R34*$L23</f>
        <v>14.58</v>
      </c>
      <c r="AN23" s="435">
        <f>'Pax Profile C'!S34*$L23</f>
        <v>21.060000000000002</v>
      </c>
      <c r="AO23" s="435">
        <f>'Pax Profile C'!T34*$L23</f>
        <v>29.16</v>
      </c>
      <c r="AP23" s="435">
        <f>'Pax Profile C'!U34*$L23</f>
        <v>38.879999999999995</v>
      </c>
      <c r="AQ23" s="435">
        <f>'Pax Profile C'!V34*$L23</f>
        <v>50.22</v>
      </c>
      <c r="AR23" s="435">
        <f>'Pax Profile C'!W34*$L23</f>
        <v>63.18</v>
      </c>
      <c r="AS23" s="435">
        <f>'Pax Profile C'!X34*$L23</f>
        <v>77.759999999999991</v>
      </c>
      <c r="AT23" s="435">
        <f>'Pax Profile C'!Y34*$L23</f>
        <v>93.96</v>
      </c>
      <c r="AU23" s="435">
        <f>'Pax Profile C'!Z34*$L23</f>
        <v>110.16</v>
      </c>
      <c r="AV23" s="435">
        <f>'Pax Profile C'!AA34*$L23</f>
        <v>124.73999999999998</v>
      </c>
      <c r="AW23" s="435">
        <f>'Pax Profile C'!AB34*$L23</f>
        <v>136.07999999999998</v>
      </c>
      <c r="AX23" s="435">
        <f>'Pax Profile C'!AC34*$L23</f>
        <v>137.69999999999999</v>
      </c>
      <c r="AY23" s="435">
        <f>'Pax Profile C'!AD34*$L23</f>
        <v>137.69999999999999</v>
      </c>
      <c r="AZ23" s="435">
        <f>'Pax Profile C'!AE34*$L23</f>
        <v>136.07999999999998</v>
      </c>
      <c r="BA23" s="435">
        <f>'Pax Profile C'!AF34*$L23</f>
        <v>132.83999999999997</v>
      </c>
      <c r="BB23" s="435">
        <f>'Pax Profile C'!AG34*$L23</f>
        <v>131.21999999999997</v>
      </c>
      <c r="BC23" s="435">
        <f>'Pax Profile C'!AH34*$L23</f>
        <v>129.59999999999997</v>
      </c>
      <c r="BD23" s="435">
        <f>'Pax Profile C'!AI34*$L23</f>
        <v>129.59999999999997</v>
      </c>
      <c r="BE23" s="435">
        <f>'Pax Profile C'!AJ34*$L23</f>
        <v>131.21999999999997</v>
      </c>
      <c r="BF23" s="435">
        <f>'Pax Profile C'!AK34*$L23</f>
        <v>129.59999999999997</v>
      </c>
      <c r="BG23" s="435">
        <f>'Pax Profile C'!AL34*$L23</f>
        <v>127.97999999999998</v>
      </c>
      <c r="BH23" s="435">
        <f>'Pax Profile C'!AM34*$L23</f>
        <v>118.25999999999996</v>
      </c>
      <c r="BI23" s="435">
        <f>'Pax Profile C'!AN34*$L23</f>
        <v>45.359999999999957</v>
      </c>
      <c r="BJ23" s="435">
        <f>'Pax Profile C'!AO34*$L23</f>
        <v>3.2399999999999571</v>
      </c>
      <c r="BK23" s="435">
        <f>'Pax Profile C'!AP34*$L23</f>
        <v>-4.2789301513788389E-14</v>
      </c>
      <c r="BL23" s="435">
        <f>'Pax Profile C'!AQ34*$L23</f>
        <v>-4.2789301513788389E-14</v>
      </c>
      <c r="BM23" s="435">
        <f>'Pax Profile C'!AR34*$L23</f>
        <v>0</v>
      </c>
      <c r="BN23" s="163" t="s">
        <v>27</v>
      </c>
      <c r="BO23" s="237"/>
      <c r="BP23" s="237"/>
      <c r="BQ23" s="237"/>
      <c r="BR23" s="237"/>
      <c r="BS23" s="237"/>
      <c r="BT23" s="237"/>
      <c r="BU23" s="237"/>
      <c r="BV23" s="237"/>
      <c r="BW23" s="237"/>
      <c r="BX23" s="243"/>
      <c r="BY23" s="548"/>
    </row>
    <row r="24" spans="1:77" s="8" customFormat="1" ht="30" customHeight="1" x14ac:dyDescent="0.25">
      <c r="A24" s="614" t="s">
        <v>113</v>
      </c>
      <c r="B24" s="737" t="s">
        <v>1021</v>
      </c>
      <c r="C24" s="615" t="e">
        <f t="shared" si="32"/>
        <v>#N/A</v>
      </c>
      <c r="D24" s="616">
        <v>320</v>
      </c>
      <c r="E24" s="617" t="s">
        <v>122</v>
      </c>
      <c r="F24" s="618" t="s">
        <v>64</v>
      </c>
      <c r="G24" s="619" t="str">
        <f t="shared" si="29"/>
        <v>E</v>
      </c>
      <c r="H24" s="620">
        <v>0.35416666666666669</v>
      </c>
      <c r="I24" s="620"/>
      <c r="J24" s="618">
        <v>333</v>
      </c>
      <c r="K24" s="621">
        <f t="shared" si="37"/>
        <v>285</v>
      </c>
      <c r="L24" s="622">
        <f t="shared" si="31"/>
        <v>257</v>
      </c>
      <c r="M24" s="629"/>
      <c r="N24" s="625"/>
      <c r="O24" s="625"/>
      <c r="P24" s="625"/>
      <c r="Q24" s="625"/>
      <c r="R24" s="625"/>
      <c r="S24" s="625"/>
      <c r="T24" s="639"/>
      <c r="U24" s="639"/>
      <c r="V24" s="639"/>
      <c r="W24" s="639"/>
      <c r="X24" s="639"/>
      <c r="Y24" s="639"/>
      <c r="Z24" s="640"/>
      <c r="AA24" s="640"/>
      <c r="AB24" s="640"/>
      <c r="AC24" s="640"/>
      <c r="AD24" s="640"/>
      <c r="AE24" s="623">
        <f>'Pax Profile A'!I34*$L24</f>
        <v>0</v>
      </c>
      <c r="AF24" s="623">
        <f>'Pax Profile A'!J34*$L24</f>
        <v>0</v>
      </c>
      <c r="AG24" s="623">
        <f>'Pax Profile A'!K34*$L24</f>
        <v>0</v>
      </c>
      <c r="AH24" s="623">
        <f>'Pax Profile A'!L34*$L24</f>
        <v>0</v>
      </c>
      <c r="AI24" s="623" t="e">
        <f>'Pax Profile A'!M34*$L24</f>
        <v>#N/A</v>
      </c>
      <c r="AJ24" s="623" t="e">
        <f>'Pax Profile A'!N34*$L24</f>
        <v>#N/A</v>
      </c>
      <c r="AK24" s="623" t="e">
        <f>'Pax Profile A'!O34*$L24</f>
        <v>#N/A</v>
      </c>
      <c r="AL24" s="623" t="e">
        <f>'Pax Profile A'!P34*$L24</f>
        <v>#N/A</v>
      </c>
      <c r="AM24" s="623" t="e">
        <f>'Pax Profile A'!Q34*$L24</f>
        <v>#N/A</v>
      </c>
      <c r="AN24" s="623" t="e">
        <f>'Pax Profile A'!R34*$L24</f>
        <v>#N/A</v>
      </c>
      <c r="AO24" s="623" t="e">
        <f>'Pax Profile A'!S34*$L24</f>
        <v>#N/A</v>
      </c>
      <c r="AP24" s="623" t="e">
        <f>'Pax Profile A'!T34*$L24</f>
        <v>#N/A</v>
      </c>
      <c r="AQ24" s="623" t="e">
        <f>'Pax Profile A'!U34*$L24</f>
        <v>#N/A</v>
      </c>
      <c r="AR24" s="623" t="e">
        <f>'Pax Profile A'!V34*$L24</f>
        <v>#N/A</v>
      </c>
      <c r="AS24" s="623" t="e">
        <f>'Pax Profile A'!W34*$L24</f>
        <v>#N/A</v>
      </c>
      <c r="AT24" s="623" t="e">
        <f>'Pax Profile A'!X34*$L24</f>
        <v>#N/A</v>
      </c>
      <c r="AU24" s="623" t="e">
        <f>'Pax Profile A'!Y34*$L24</f>
        <v>#N/A</v>
      </c>
      <c r="AV24" s="623" t="e">
        <f>'Pax Profile A'!Z34*$L24</f>
        <v>#N/A</v>
      </c>
      <c r="AW24" s="623" t="e">
        <f>'Pax Profile A'!AA34*$L24</f>
        <v>#N/A</v>
      </c>
      <c r="AX24" s="623" t="e">
        <f>'Pax Profile A'!AB34*$L24</f>
        <v>#N/A</v>
      </c>
      <c r="AY24" s="623" t="e">
        <f>'Pax Profile A'!AC34*$L24</f>
        <v>#N/A</v>
      </c>
      <c r="AZ24" s="623" t="e">
        <f>'Pax Profile A'!AD34*$L24</f>
        <v>#N/A</v>
      </c>
      <c r="BA24" s="623" t="e">
        <f>'Pax Profile A'!AE34*$L24</f>
        <v>#N/A</v>
      </c>
      <c r="BB24" s="623" t="e">
        <f>'Pax Profile A'!AF34*$L24</f>
        <v>#N/A</v>
      </c>
      <c r="BC24" s="623" t="e">
        <f>'Pax Profile A'!AG34*$L24</f>
        <v>#N/A</v>
      </c>
      <c r="BD24" s="623" t="e">
        <f>'Pax Profile A'!AH34*$L24</f>
        <v>#N/A</v>
      </c>
      <c r="BE24" s="623" t="e">
        <f>'Pax Profile A'!AI34*$L24</f>
        <v>#N/A</v>
      </c>
      <c r="BF24" s="623" t="e">
        <f>'Pax Profile A'!AJ34*$L24</f>
        <v>#N/A</v>
      </c>
      <c r="BG24" s="623" t="e">
        <f>'Pax Profile A'!AK34*$L24</f>
        <v>#N/A</v>
      </c>
      <c r="BH24" s="623" t="e">
        <f>'Pax Profile A'!AL34*$L24</f>
        <v>#N/A</v>
      </c>
      <c r="BI24" s="623" t="e">
        <f>'Pax Profile A'!AM34*$L24</f>
        <v>#N/A</v>
      </c>
      <c r="BJ24" s="623" t="e">
        <f>'Pax Profile A'!AN34*$L24</f>
        <v>#N/A</v>
      </c>
      <c r="BK24" s="623" t="e">
        <f>'Pax Profile A'!AO34*$L24</f>
        <v>#N/A</v>
      </c>
      <c r="BL24" s="623" t="e">
        <f>'Pax Profile A'!AP34*$L24</f>
        <v>#N/A</v>
      </c>
      <c r="BM24" s="623" t="e">
        <f>'Pax Profile A'!AQ34*$L24</f>
        <v>#N/A</v>
      </c>
      <c r="BN24" s="623" t="e">
        <f>'Pax Profile A'!AR34*$L24</f>
        <v>#N/A</v>
      </c>
      <c r="BO24" s="163" t="s">
        <v>27</v>
      </c>
      <c r="BP24" s="625"/>
      <c r="BQ24" s="625"/>
      <c r="BR24" s="625"/>
      <c r="BS24" s="625"/>
      <c r="BT24" s="625"/>
      <c r="BU24" s="625"/>
      <c r="BV24" s="625"/>
      <c r="BW24" s="625"/>
      <c r="BX24" s="627"/>
      <c r="BY24" s="628" t="s">
        <v>1092</v>
      </c>
    </row>
    <row r="25" spans="1:77" s="8" customFormat="1" ht="30" customHeight="1" x14ac:dyDescent="0.25">
      <c r="A25" s="539" t="s">
        <v>114</v>
      </c>
      <c r="B25" s="632"/>
      <c r="C25" s="540" t="e">
        <f t="shared" si="32"/>
        <v>#N/A</v>
      </c>
      <c r="D25" s="541">
        <v>484</v>
      </c>
      <c r="E25" s="542" t="s">
        <v>135</v>
      </c>
      <c r="F25" s="543" t="s">
        <v>64</v>
      </c>
      <c r="G25" s="544" t="str">
        <f t="shared" si="29"/>
        <v>E</v>
      </c>
      <c r="H25" s="545">
        <v>0.38194444444444442</v>
      </c>
      <c r="I25" s="545"/>
      <c r="J25" s="543">
        <v>788</v>
      </c>
      <c r="K25" s="546">
        <f t="shared" si="37"/>
        <v>264</v>
      </c>
      <c r="L25" s="547">
        <f t="shared" si="31"/>
        <v>238</v>
      </c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5">
        <f>'Pax Profile A'!I34*$L25</f>
        <v>0</v>
      </c>
      <c r="AN25" s="435">
        <f>'Pax Profile A'!J34*$L25</f>
        <v>0</v>
      </c>
      <c r="AO25" s="435">
        <f>'Pax Profile A'!K34*$L25</f>
        <v>0</v>
      </c>
      <c r="AP25" s="435">
        <f>'Pax Profile A'!L34*$L25</f>
        <v>0</v>
      </c>
      <c r="AQ25" s="435" t="e">
        <f>'Pax Profile A'!M34*$L25</f>
        <v>#N/A</v>
      </c>
      <c r="AR25" s="435" t="e">
        <f>'Pax Profile A'!N34*$L25</f>
        <v>#N/A</v>
      </c>
      <c r="AS25" s="435" t="e">
        <f>'Pax Profile A'!O34*$L25</f>
        <v>#N/A</v>
      </c>
      <c r="AT25" s="435" t="e">
        <f>'Pax Profile A'!P34*$L25</f>
        <v>#N/A</v>
      </c>
      <c r="AU25" s="435" t="e">
        <f>'Pax Profile A'!Q34*$L25</f>
        <v>#N/A</v>
      </c>
      <c r="AV25" s="435" t="e">
        <f>'Pax Profile A'!R34*$L25</f>
        <v>#N/A</v>
      </c>
      <c r="AW25" s="435" t="e">
        <f>'Pax Profile A'!S34*$L25</f>
        <v>#N/A</v>
      </c>
      <c r="AX25" s="435" t="e">
        <f>'Pax Profile A'!T34*$L25</f>
        <v>#N/A</v>
      </c>
      <c r="AY25" s="435" t="e">
        <f>'Pax Profile A'!U34*$L25</f>
        <v>#N/A</v>
      </c>
      <c r="AZ25" s="435" t="e">
        <f>'Pax Profile A'!V34*$L25</f>
        <v>#N/A</v>
      </c>
      <c r="BA25" s="435" t="e">
        <f>'Pax Profile A'!W34*$L25</f>
        <v>#N/A</v>
      </c>
      <c r="BB25" s="435" t="e">
        <f>'Pax Profile A'!X34*$L25</f>
        <v>#N/A</v>
      </c>
      <c r="BC25" s="435" t="e">
        <f>'Pax Profile A'!Y34*$L25</f>
        <v>#N/A</v>
      </c>
      <c r="BD25" s="435" t="e">
        <f>'Pax Profile A'!Z34*$L25</f>
        <v>#N/A</v>
      </c>
      <c r="BE25" s="435" t="e">
        <f>'Pax Profile A'!AA34*$L25</f>
        <v>#N/A</v>
      </c>
      <c r="BF25" s="435" t="e">
        <f>'Pax Profile A'!AB34*$L25</f>
        <v>#N/A</v>
      </c>
      <c r="BG25" s="435" t="e">
        <f>'Pax Profile A'!AC34*$L25</f>
        <v>#N/A</v>
      </c>
      <c r="BH25" s="435" t="e">
        <f>'Pax Profile A'!AD34*$L25</f>
        <v>#N/A</v>
      </c>
      <c r="BI25" s="435" t="e">
        <f>'Pax Profile A'!AE34*$L25</f>
        <v>#N/A</v>
      </c>
      <c r="BJ25" s="435" t="e">
        <f>'Pax Profile A'!AF34*$L25</f>
        <v>#N/A</v>
      </c>
      <c r="BK25" s="435" t="e">
        <f>'Pax Profile A'!AG34*$L25</f>
        <v>#N/A</v>
      </c>
      <c r="BL25" s="435" t="e">
        <f>'Pax Profile A'!AH34*$L25</f>
        <v>#N/A</v>
      </c>
      <c r="BM25" s="435" t="e">
        <f>'Pax Profile A'!AI34*$L25</f>
        <v>#N/A</v>
      </c>
      <c r="BN25" s="435" t="e">
        <f>'Pax Profile A'!AJ34*$L25</f>
        <v>#N/A</v>
      </c>
      <c r="BO25" s="435" t="e">
        <f>'Pax Profile A'!AK34*$L25</f>
        <v>#N/A</v>
      </c>
      <c r="BP25" s="435" t="e">
        <f>'Pax Profile A'!AL34*$L25</f>
        <v>#N/A</v>
      </c>
      <c r="BQ25" s="435" t="e">
        <f>'Pax Profile A'!AM34*$L25</f>
        <v>#N/A</v>
      </c>
      <c r="BR25" s="435" t="e">
        <f>'Pax Profile A'!AN34*$L25</f>
        <v>#N/A</v>
      </c>
      <c r="BS25" s="435" t="e">
        <f>'Pax Profile A'!AO34*$L25</f>
        <v>#N/A</v>
      </c>
      <c r="BT25" s="435" t="e">
        <f>'Pax Profile A'!AP34*$L25</f>
        <v>#N/A</v>
      </c>
      <c r="BU25" s="435" t="e">
        <f>'Pax Profile A'!AQ34*$L25</f>
        <v>#N/A</v>
      </c>
      <c r="BV25" s="435" t="e">
        <f>'Pax Profile A'!AR34*$L25</f>
        <v>#N/A</v>
      </c>
      <c r="BW25" s="163" t="s">
        <v>27</v>
      </c>
      <c r="BX25" s="243"/>
      <c r="BY25" s="548"/>
    </row>
    <row r="26" spans="1:77" s="8" customFormat="1" ht="30" customHeight="1" thickBot="1" x14ac:dyDescent="0.3">
      <c r="A26" s="580" t="s">
        <v>109</v>
      </c>
      <c r="B26" s="581"/>
      <c r="C26" s="582" t="e">
        <f t="shared" si="32"/>
        <v>#N/A</v>
      </c>
      <c r="D26" s="583">
        <v>535</v>
      </c>
      <c r="E26" s="584" t="s">
        <v>124</v>
      </c>
      <c r="F26" s="585" t="s">
        <v>65</v>
      </c>
      <c r="G26" s="586" t="str">
        <f t="shared" si="29"/>
        <v>C</v>
      </c>
      <c r="H26" s="587">
        <v>0.44791666666666669</v>
      </c>
      <c r="I26" s="587"/>
      <c r="J26" s="585">
        <v>320</v>
      </c>
      <c r="K26" s="588">
        <f t="shared" si="37"/>
        <v>180</v>
      </c>
      <c r="L26" s="589">
        <f t="shared" si="31"/>
        <v>162</v>
      </c>
      <c r="M26" s="590"/>
      <c r="N26" s="591"/>
      <c r="O26" s="591"/>
      <c r="P26" s="591"/>
      <c r="Q26" s="591"/>
      <c r="R26" s="591"/>
      <c r="S26" s="591"/>
      <c r="T26" s="592"/>
      <c r="U26" s="592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3"/>
      <c r="AM26" s="591"/>
      <c r="AN26" s="591"/>
      <c r="AO26" s="591"/>
      <c r="AP26" s="591"/>
      <c r="AQ26" s="594"/>
      <c r="AR26" s="591"/>
      <c r="AS26" s="591"/>
      <c r="AT26" s="591"/>
      <c r="AU26" s="591"/>
      <c r="AV26" s="591"/>
      <c r="AW26" s="591"/>
      <c r="AX26" s="591"/>
      <c r="AY26" s="591"/>
      <c r="AZ26" s="591"/>
      <c r="BA26" s="591"/>
      <c r="BB26" s="591"/>
      <c r="BC26" s="595"/>
      <c r="BD26" s="595"/>
      <c r="BE26" s="595"/>
      <c r="BF26" s="595">
        <f>'Pax Profile C'!I34*$L26</f>
        <v>0</v>
      </c>
      <c r="BG26" s="595">
        <f>'Pax Profile C'!J34*$L26</f>
        <v>0</v>
      </c>
      <c r="BH26" s="595">
        <f>'Pax Profile C'!K34*$L26</f>
        <v>0</v>
      </c>
      <c r="BI26" s="595">
        <f>'Pax Profile C'!L34*$L26</f>
        <v>0</v>
      </c>
      <c r="BJ26" s="595">
        <f>'Pax Profile C'!M34*$L26</f>
        <v>0</v>
      </c>
      <c r="BK26" s="595">
        <f>'Pax Profile C'!N34*$L26</f>
        <v>1.62</v>
      </c>
      <c r="BL26" s="595">
        <f>'Pax Profile C'!O34*$L26</f>
        <v>3.24</v>
      </c>
      <c r="BM26" s="595">
        <f>'Pax Profile C'!P34*$L26</f>
        <v>6.48</v>
      </c>
      <c r="BN26" s="595">
        <f>'Pax Profile C'!Q34*$L26</f>
        <v>9.7199999999999989</v>
      </c>
      <c r="BO26" s="595">
        <f>'Pax Profile C'!R34*$L26</f>
        <v>14.58</v>
      </c>
      <c r="BP26" s="595">
        <f>'Pax Profile C'!S34*$L26</f>
        <v>21.060000000000002</v>
      </c>
      <c r="BQ26" s="595">
        <f>'Pax Profile C'!T34*$L26</f>
        <v>29.16</v>
      </c>
      <c r="BR26" s="595">
        <f>'Pax Profile C'!U34*$L26</f>
        <v>38.879999999999995</v>
      </c>
      <c r="BS26" s="595">
        <f>'Pax Profile C'!V34*$L26</f>
        <v>50.22</v>
      </c>
      <c r="BT26" s="595">
        <f>'Pax Profile C'!W34*$L26</f>
        <v>63.18</v>
      </c>
      <c r="BU26" s="595">
        <f>'Pax Profile C'!X34*$L26</f>
        <v>77.759999999999991</v>
      </c>
      <c r="BV26" s="595">
        <f>'Pax Profile C'!Y34*$L26</f>
        <v>93.96</v>
      </c>
      <c r="BW26" s="595">
        <f>'Pax Profile C'!Z34*$L26</f>
        <v>110.16</v>
      </c>
      <c r="BX26" s="595">
        <f>'Pax Profile C'!AA34*$L26</f>
        <v>124.73999999999998</v>
      </c>
      <c r="BY26" s="596"/>
    </row>
    <row r="27" spans="1:77" s="8" customFormat="1" ht="30" customHeight="1" x14ac:dyDescent="0.25">
      <c r="A27" s="267" t="s">
        <v>115</v>
      </c>
      <c r="B27" s="551"/>
      <c r="C27" s="252" t="e">
        <f t="shared" si="32"/>
        <v>#N/A</v>
      </c>
      <c r="D27" s="268">
        <v>3441</v>
      </c>
      <c r="E27" s="269" t="s">
        <v>133</v>
      </c>
      <c r="F27" s="270" t="s">
        <v>64</v>
      </c>
      <c r="G27" s="523" t="str">
        <f t="shared" si="29"/>
        <v>E</v>
      </c>
      <c r="H27" s="256">
        <v>0.54513888888888884</v>
      </c>
      <c r="I27" s="256"/>
      <c r="J27" s="270">
        <v>332</v>
      </c>
      <c r="K27" s="258">
        <f t="shared" si="37"/>
        <v>245</v>
      </c>
      <c r="L27" s="524">
        <f t="shared" si="31"/>
        <v>221</v>
      </c>
      <c r="M27" s="274"/>
      <c r="N27" s="272"/>
      <c r="O27" s="272"/>
      <c r="P27" s="272"/>
      <c r="Q27" s="272"/>
      <c r="R27" s="272"/>
      <c r="S27" s="272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7"/>
      <c r="AM27" s="272"/>
      <c r="AN27" s="272"/>
      <c r="AO27" s="272"/>
      <c r="AP27" s="272"/>
      <c r="AQ27" s="273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5"/>
      <c r="BY27" s="276"/>
    </row>
    <row r="28" spans="1:77" s="8" customFormat="1" ht="30" customHeight="1" x14ac:dyDescent="0.25">
      <c r="A28" s="158" t="s">
        <v>109</v>
      </c>
      <c r="B28" s="550"/>
      <c r="C28" s="43" t="e">
        <f t="shared" si="32"/>
        <v>#N/A</v>
      </c>
      <c r="D28" s="35">
        <v>549</v>
      </c>
      <c r="E28" s="40" t="s">
        <v>124</v>
      </c>
      <c r="F28" s="36" t="s">
        <v>65</v>
      </c>
      <c r="G28" s="92" t="str">
        <f t="shared" si="29"/>
        <v>C</v>
      </c>
      <c r="H28" s="155">
        <v>0.55555555555555558</v>
      </c>
      <c r="I28" s="155"/>
      <c r="J28" s="36">
        <v>320</v>
      </c>
      <c r="K28" s="44">
        <f t="shared" si="37"/>
        <v>180</v>
      </c>
      <c r="L28" s="220">
        <f t="shared" si="31"/>
        <v>162</v>
      </c>
      <c r="M28" s="239"/>
      <c r="N28" s="237"/>
      <c r="O28" s="237"/>
      <c r="P28" s="237"/>
      <c r="Q28" s="237"/>
      <c r="R28" s="237"/>
      <c r="S28" s="237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40"/>
      <c r="AM28" s="237"/>
      <c r="AN28" s="237"/>
      <c r="AO28" s="237"/>
      <c r="AP28" s="237"/>
      <c r="AQ28" s="238"/>
      <c r="AR28" s="237"/>
      <c r="AS28" s="237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43"/>
      <c r="BY28" s="150"/>
    </row>
    <row r="29" spans="1:77" s="8" customFormat="1" ht="30" hidden="1" customHeight="1" x14ac:dyDescent="0.25">
      <c r="A29" s="251" t="s">
        <v>111</v>
      </c>
      <c r="B29" s="551"/>
      <c r="C29" s="252" t="e">
        <f t="shared" si="32"/>
        <v>#N/A</v>
      </c>
      <c r="D29" s="268">
        <v>106</v>
      </c>
      <c r="E29" s="269" t="s">
        <v>124</v>
      </c>
      <c r="F29" s="270" t="s">
        <v>65</v>
      </c>
      <c r="G29" s="255" t="str">
        <f t="shared" si="29"/>
        <v>C</v>
      </c>
      <c r="H29" s="256">
        <v>0.5625</v>
      </c>
      <c r="I29" s="256"/>
      <c r="J29" s="270">
        <v>320</v>
      </c>
      <c r="K29" s="258">
        <f t="shared" si="37"/>
        <v>180</v>
      </c>
      <c r="L29" s="259">
        <f t="shared" si="31"/>
        <v>162</v>
      </c>
      <c r="M29" s="274"/>
      <c r="N29" s="272"/>
      <c r="O29" s="272"/>
      <c r="P29" s="272"/>
      <c r="Q29" s="272"/>
      <c r="R29" s="272"/>
      <c r="S29" s="272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7"/>
      <c r="AM29" s="272"/>
      <c r="AN29" s="272"/>
      <c r="AO29" s="272"/>
      <c r="AP29" s="272"/>
      <c r="AQ29" s="273"/>
      <c r="AR29" s="272"/>
      <c r="AS29" s="272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5"/>
      <c r="BY29" s="276"/>
    </row>
    <row r="30" spans="1:77" s="8" customFormat="1" ht="30" hidden="1" customHeight="1" x14ac:dyDescent="0.25">
      <c r="A30" s="158" t="s">
        <v>11</v>
      </c>
      <c r="B30" s="550"/>
      <c r="C30" s="43" t="e">
        <f t="shared" si="32"/>
        <v>#N/A</v>
      </c>
      <c r="D30" s="35">
        <v>193</v>
      </c>
      <c r="E30" s="40" t="s">
        <v>139</v>
      </c>
      <c r="F30" s="36" t="s">
        <v>65</v>
      </c>
      <c r="G30" s="92" t="e">
        <f t="shared" si="29"/>
        <v>#N/A</v>
      </c>
      <c r="H30" s="155">
        <v>0.60416666666666663</v>
      </c>
      <c r="I30" s="155"/>
      <c r="J30" s="36" t="s">
        <v>262</v>
      </c>
      <c r="K30" s="44" t="e">
        <f t="shared" si="37"/>
        <v>#N/A</v>
      </c>
      <c r="L30" s="220" t="e">
        <f t="shared" si="31"/>
        <v>#N/A</v>
      </c>
      <c r="M30" s="239"/>
      <c r="N30" s="237"/>
      <c r="O30" s="237"/>
      <c r="P30" s="237"/>
      <c r="Q30" s="237"/>
      <c r="R30" s="237"/>
      <c r="S30" s="237"/>
      <c r="T30" s="236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40"/>
      <c r="AM30" s="237"/>
      <c r="AN30" s="237"/>
      <c r="AO30" s="237"/>
      <c r="AP30" s="237"/>
      <c r="AQ30" s="238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43"/>
      <c r="BY30" s="150"/>
    </row>
    <row r="31" spans="1:77" s="8" customFormat="1" ht="30" hidden="1" customHeight="1" x14ac:dyDescent="0.25">
      <c r="A31" s="251" t="s">
        <v>104</v>
      </c>
      <c r="B31" s="551"/>
      <c r="C31" s="252" t="e">
        <f t="shared" si="32"/>
        <v>#N/A</v>
      </c>
      <c r="D31" s="268">
        <v>226</v>
      </c>
      <c r="E31" s="269" t="s">
        <v>132</v>
      </c>
      <c r="F31" s="270" t="s">
        <v>64</v>
      </c>
      <c r="G31" s="255" t="str">
        <f t="shared" si="29"/>
        <v>E</v>
      </c>
      <c r="H31" s="256">
        <v>0.60416666666666663</v>
      </c>
      <c r="I31" s="256"/>
      <c r="J31" s="270">
        <v>772</v>
      </c>
      <c r="K31" s="258">
        <f t="shared" si="37"/>
        <v>266</v>
      </c>
      <c r="L31" s="259">
        <f t="shared" si="31"/>
        <v>239</v>
      </c>
      <c r="M31" s="274"/>
      <c r="N31" s="272"/>
      <c r="O31" s="272"/>
      <c r="P31" s="272"/>
      <c r="Q31" s="272"/>
      <c r="R31" s="272"/>
      <c r="S31" s="272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7"/>
      <c r="AM31" s="272"/>
      <c r="AN31" s="272"/>
      <c r="AO31" s="272"/>
      <c r="AP31" s="272"/>
      <c r="AQ31" s="273"/>
      <c r="AR31" s="272"/>
      <c r="AS31" s="272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5"/>
      <c r="BY31" s="276"/>
    </row>
    <row r="32" spans="1:77" s="8" customFormat="1" ht="30" hidden="1" customHeight="1" x14ac:dyDescent="0.25">
      <c r="A32" s="158" t="s">
        <v>116</v>
      </c>
      <c r="B32" s="550"/>
      <c r="C32" s="43" t="e">
        <f t="shared" si="32"/>
        <v>#N/A</v>
      </c>
      <c r="D32" s="35">
        <v>487</v>
      </c>
      <c r="E32" s="40" t="s">
        <v>137</v>
      </c>
      <c r="F32" s="36" t="s">
        <v>64</v>
      </c>
      <c r="G32" s="92" t="str">
        <f t="shared" si="29"/>
        <v>E</v>
      </c>
      <c r="H32" s="155">
        <v>0.66319444444444442</v>
      </c>
      <c r="I32" s="155"/>
      <c r="J32" s="36">
        <v>332</v>
      </c>
      <c r="K32" s="365">
        <v>258</v>
      </c>
      <c r="L32" s="220">
        <f t="shared" si="31"/>
        <v>232</v>
      </c>
      <c r="M32" s="239"/>
      <c r="N32" s="237"/>
      <c r="O32" s="237"/>
      <c r="P32" s="237"/>
      <c r="Q32" s="237"/>
      <c r="R32" s="237"/>
      <c r="S32" s="237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40"/>
      <c r="AM32" s="237"/>
      <c r="AN32" s="237"/>
      <c r="AO32" s="237"/>
      <c r="AP32" s="237"/>
      <c r="AQ32" s="238"/>
      <c r="AR32" s="237"/>
      <c r="AS32" s="237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43"/>
      <c r="BY32" s="150"/>
    </row>
    <row r="33" spans="1:77" s="8" customFormat="1" ht="30" hidden="1" customHeight="1" x14ac:dyDescent="0.25">
      <c r="A33" s="251" t="s">
        <v>110</v>
      </c>
      <c r="B33" s="551"/>
      <c r="C33" s="252" t="e">
        <f t="shared" si="32"/>
        <v>#N/A</v>
      </c>
      <c r="D33" s="268">
        <v>233</v>
      </c>
      <c r="E33" s="269" t="s">
        <v>128</v>
      </c>
      <c r="F33" s="270" t="s">
        <v>65</v>
      </c>
      <c r="G33" s="255" t="str">
        <f t="shared" si="29"/>
        <v>E</v>
      </c>
      <c r="H33" s="256">
        <v>0.67013888888888884</v>
      </c>
      <c r="I33" s="256"/>
      <c r="J33" s="270">
        <v>333</v>
      </c>
      <c r="K33" s="258">
        <f t="shared" ref="K33:K48" si="38">IF(F33="S",VLOOKUP(J33,Aircraft,4,FALSE),VLOOKUP(J33,Aircraft,5,FALSE))</f>
        <v>377</v>
      </c>
      <c r="L33" s="259">
        <f t="shared" si="31"/>
        <v>339</v>
      </c>
      <c r="M33" s="274"/>
      <c r="N33" s="272"/>
      <c r="O33" s="272"/>
      <c r="P33" s="272"/>
      <c r="Q33" s="272"/>
      <c r="R33" s="272"/>
      <c r="S33" s="272"/>
      <c r="T33" s="271"/>
      <c r="U33" s="271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7"/>
      <c r="AM33" s="272"/>
      <c r="AN33" s="272"/>
      <c r="AO33" s="272"/>
      <c r="AP33" s="272"/>
      <c r="AQ33" s="273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5"/>
      <c r="BY33" s="276"/>
    </row>
    <row r="34" spans="1:77" s="8" customFormat="1" ht="30" hidden="1" customHeight="1" x14ac:dyDescent="0.25">
      <c r="A34" s="158" t="s">
        <v>108</v>
      </c>
      <c r="B34" s="550"/>
      <c r="C34" s="43" t="e">
        <f t="shared" si="32"/>
        <v>#N/A</v>
      </c>
      <c r="D34" s="35">
        <v>124</v>
      </c>
      <c r="E34" s="40" t="s">
        <v>128</v>
      </c>
      <c r="F34" s="36" t="s">
        <v>64</v>
      </c>
      <c r="G34" s="92" t="str">
        <f t="shared" si="29"/>
        <v>E</v>
      </c>
      <c r="H34" s="155">
        <v>0.6875</v>
      </c>
      <c r="I34" s="155"/>
      <c r="J34" s="36">
        <v>333</v>
      </c>
      <c r="K34" s="44">
        <f t="shared" si="38"/>
        <v>285</v>
      </c>
      <c r="L34" s="220">
        <f t="shared" si="31"/>
        <v>257</v>
      </c>
      <c r="M34" s="239"/>
      <c r="N34" s="237"/>
      <c r="O34" s="237"/>
      <c r="P34" s="237"/>
      <c r="Q34" s="237"/>
      <c r="R34" s="237"/>
      <c r="S34" s="237"/>
      <c r="T34" s="237"/>
      <c r="U34" s="237"/>
      <c r="V34" s="237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1"/>
      <c r="AR34" s="237"/>
      <c r="AS34" s="237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43"/>
      <c r="BY34" s="150"/>
    </row>
    <row r="35" spans="1:77" s="8" customFormat="1" ht="30" hidden="1" customHeight="1" x14ac:dyDescent="0.25">
      <c r="A35" s="251" t="s">
        <v>111</v>
      </c>
      <c r="B35" s="551"/>
      <c r="C35" s="252" t="e">
        <f t="shared" si="32"/>
        <v>#N/A</v>
      </c>
      <c r="D35" s="268">
        <v>116</v>
      </c>
      <c r="E35" s="269" t="s">
        <v>124</v>
      </c>
      <c r="F35" s="270" t="s">
        <v>65</v>
      </c>
      <c r="G35" s="255" t="str">
        <f t="shared" si="29"/>
        <v>C</v>
      </c>
      <c r="H35" s="256">
        <v>0.70833333333333337</v>
      </c>
      <c r="I35" s="256"/>
      <c r="J35" s="270">
        <v>320</v>
      </c>
      <c r="K35" s="258">
        <f t="shared" si="38"/>
        <v>180</v>
      </c>
      <c r="L35" s="259">
        <f t="shared" si="31"/>
        <v>162</v>
      </c>
      <c r="M35" s="274"/>
      <c r="N35" s="272"/>
      <c r="O35" s="272"/>
      <c r="P35" s="272"/>
      <c r="Q35" s="272"/>
      <c r="R35" s="272"/>
      <c r="S35" s="272"/>
      <c r="T35" s="271"/>
      <c r="U35" s="271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7"/>
      <c r="AM35" s="272"/>
      <c r="AN35" s="272"/>
      <c r="AO35" s="272"/>
      <c r="AP35" s="272"/>
      <c r="AQ35" s="273"/>
      <c r="AR35" s="272"/>
      <c r="AS35" s="272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5"/>
      <c r="BY35" s="276"/>
    </row>
    <row r="36" spans="1:77" s="8" customFormat="1" ht="30" hidden="1" customHeight="1" x14ac:dyDescent="0.25">
      <c r="A36" s="158" t="s">
        <v>109</v>
      </c>
      <c r="B36" s="550"/>
      <c r="C36" s="43" t="e">
        <f t="shared" si="32"/>
        <v>#N/A</v>
      </c>
      <c r="D36" s="35">
        <v>545</v>
      </c>
      <c r="E36" s="40" t="s">
        <v>124</v>
      </c>
      <c r="F36" s="36" t="s">
        <v>65</v>
      </c>
      <c r="G36" s="92" t="str">
        <f t="shared" si="29"/>
        <v>C</v>
      </c>
      <c r="H36" s="155">
        <v>0.71527777777777779</v>
      </c>
      <c r="I36" s="155"/>
      <c r="J36" s="36">
        <v>320</v>
      </c>
      <c r="K36" s="44">
        <f t="shared" si="38"/>
        <v>180</v>
      </c>
      <c r="L36" s="220">
        <f t="shared" si="31"/>
        <v>162</v>
      </c>
      <c r="M36" s="239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41"/>
      <c r="AM36" s="241"/>
      <c r="AN36" s="241"/>
      <c r="AO36" s="236"/>
      <c r="AP36" s="236"/>
      <c r="AQ36" s="236"/>
      <c r="AR36" s="236"/>
      <c r="AS36" s="236"/>
      <c r="AT36" s="242"/>
      <c r="AU36" s="237"/>
      <c r="AV36" s="237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43"/>
      <c r="BY36" s="150"/>
    </row>
    <row r="37" spans="1:77" s="8" customFormat="1" ht="30" hidden="1" customHeight="1" x14ac:dyDescent="0.25">
      <c r="A37" s="251" t="s">
        <v>104</v>
      </c>
      <c r="B37" s="551"/>
      <c r="C37" s="252" t="e">
        <f t="shared" si="32"/>
        <v>#N/A</v>
      </c>
      <c r="D37" s="268">
        <v>214</v>
      </c>
      <c r="E37" s="269" t="s">
        <v>132</v>
      </c>
      <c r="F37" s="270" t="s">
        <v>64</v>
      </c>
      <c r="G37" s="255" t="str">
        <f t="shared" si="29"/>
        <v>E</v>
      </c>
      <c r="H37" s="256">
        <v>0.72916666666666663</v>
      </c>
      <c r="I37" s="256"/>
      <c r="J37" s="270">
        <v>772</v>
      </c>
      <c r="K37" s="258">
        <f t="shared" si="38"/>
        <v>266</v>
      </c>
      <c r="L37" s="259">
        <f t="shared" si="31"/>
        <v>239</v>
      </c>
      <c r="M37" s="274"/>
      <c r="N37" s="272"/>
      <c r="O37" s="272"/>
      <c r="P37" s="272"/>
      <c r="Q37" s="272"/>
      <c r="R37" s="272"/>
      <c r="S37" s="272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7"/>
      <c r="AM37" s="272"/>
      <c r="AN37" s="272"/>
      <c r="AO37" s="272"/>
      <c r="AP37" s="272"/>
      <c r="AQ37" s="273"/>
      <c r="AR37" s="272"/>
      <c r="AS37" s="272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5"/>
      <c r="BY37" s="276"/>
    </row>
    <row r="38" spans="1:77" s="8" customFormat="1" ht="30" hidden="1" customHeight="1" x14ac:dyDescent="0.25">
      <c r="A38" s="158" t="s">
        <v>102</v>
      </c>
      <c r="B38" s="550"/>
      <c r="C38" s="43" t="str">
        <f t="shared" si="32"/>
        <v>Emirates to Dubai, Boeing 777-300ER pax</v>
      </c>
      <c r="D38" s="35">
        <v>423</v>
      </c>
      <c r="E38" s="40" t="s">
        <v>126</v>
      </c>
      <c r="F38" s="36" t="s">
        <v>64</v>
      </c>
      <c r="G38" s="92" t="e">
        <f t="shared" si="29"/>
        <v>#N/A</v>
      </c>
      <c r="H38" s="155">
        <v>0.74305555555555558</v>
      </c>
      <c r="I38" s="155"/>
      <c r="J38" s="36" t="s">
        <v>929</v>
      </c>
      <c r="K38" s="44" t="e">
        <f t="shared" si="38"/>
        <v>#N/A</v>
      </c>
      <c r="L38" s="220" t="e">
        <f t="shared" si="31"/>
        <v>#N/A</v>
      </c>
      <c r="M38" s="239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1"/>
      <c r="AU38" s="237"/>
      <c r="AV38" s="237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43"/>
      <c r="BY38" s="150"/>
    </row>
    <row r="39" spans="1:77" s="8" customFormat="1" ht="30" hidden="1" customHeight="1" x14ac:dyDescent="0.25">
      <c r="A39" s="251" t="s">
        <v>117</v>
      </c>
      <c r="B39" s="551"/>
      <c r="C39" s="252" t="e">
        <f t="shared" si="32"/>
        <v>#N/A</v>
      </c>
      <c r="D39" s="268">
        <v>176</v>
      </c>
      <c r="E39" s="269" t="s">
        <v>140</v>
      </c>
      <c r="F39" s="270" t="s">
        <v>64</v>
      </c>
      <c r="G39" s="255" t="e">
        <f t="shared" si="29"/>
        <v>#N/A</v>
      </c>
      <c r="H39" s="256">
        <v>0.78472222222222221</v>
      </c>
      <c r="I39" s="256"/>
      <c r="J39" s="270">
        <v>789</v>
      </c>
      <c r="K39" s="258" t="e">
        <f t="shared" si="38"/>
        <v>#N/A</v>
      </c>
      <c r="L39" s="259" t="e">
        <f t="shared" si="31"/>
        <v>#N/A</v>
      </c>
      <c r="M39" s="274"/>
      <c r="N39" s="272"/>
      <c r="O39" s="272"/>
      <c r="P39" s="272"/>
      <c r="Q39" s="272"/>
      <c r="R39" s="272"/>
      <c r="S39" s="272"/>
      <c r="T39" s="271"/>
      <c r="U39" s="27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7"/>
      <c r="AM39" s="272"/>
      <c r="AN39" s="272"/>
      <c r="AO39" s="272"/>
      <c r="AP39" s="272"/>
      <c r="AQ39" s="273"/>
      <c r="AR39" s="272"/>
      <c r="AS39" s="272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5"/>
      <c r="BY39" s="276"/>
    </row>
    <row r="40" spans="1:77" s="8" customFormat="1" ht="30" hidden="1" customHeight="1" x14ac:dyDescent="0.25">
      <c r="A40" s="158" t="s">
        <v>121</v>
      </c>
      <c r="B40" s="550"/>
      <c r="C40" s="43" t="e">
        <f t="shared" si="32"/>
        <v>#N/A</v>
      </c>
      <c r="D40" s="35">
        <v>7</v>
      </c>
      <c r="E40" s="40" t="s">
        <v>132</v>
      </c>
      <c r="F40" s="36" t="s">
        <v>65</v>
      </c>
      <c r="G40" s="92" t="str">
        <f t="shared" si="29"/>
        <v>E</v>
      </c>
      <c r="H40" s="155">
        <v>0.79861111111111116</v>
      </c>
      <c r="I40" s="155"/>
      <c r="J40" s="36">
        <v>772</v>
      </c>
      <c r="K40" s="44">
        <f t="shared" si="38"/>
        <v>305</v>
      </c>
      <c r="L40" s="220">
        <f t="shared" si="31"/>
        <v>275</v>
      </c>
      <c r="M40" s="239"/>
      <c r="N40" s="237"/>
      <c r="O40" s="237"/>
      <c r="P40" s="237"/>
      <c r="Q40" s="237"/>
      <c r="R40" s="237"/>
      <c r="S40" s="237"/>
      <c r="T40" s="237"/>
      <c r="U40" s="237"/>
      <c r="V40" s="237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1"/>
      <c r="AR40" s="237"/>
      <c r="AS40" s="237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43"/>
      <c r="BY40" s="150"/>
    </row>
    <row r="41" spans="1:77" s="8" customFormat="1" ht="30" hidden="1" customHeight="1" x14ac:dyDescent="0.25">
      <c r="A41" s="251" t="s">
        <v>11</v>
      </c>
      <c r="B41" s="551"/>
      <c r="C41" s="252" t="e">
        <f t="shared" si="32"/>
        <v>#N/A</v>
      </c>
      <c r="D41" s="268">
        <v>59</v>
      </c>
      <c r="E41" s="269" t="s">
        <v>124</v>
      </c>
      <c r="F41" s="270" t="s">
        <v>65</v>
      </c>
      <c r="G41" s="255" t="e">
        <f t="shared" si="29"/>
        <v>#N/A</v>
      </c>
      <c r="H41" s="256">
        <v>0.80902777777777779</v>
      </c>
      <c r="I41" s="256"/>
      <c r="J41" s="270" t="s">
        <v>262</v>
      </c>
      <c r="K41" s="258" t="e">
        <f t="shared" si="38"/>
        <v>#N/A</v>
      </c>
      <c r="L41" s="259" t="e">
        <f t="shared" si="31"/>
        <v>#N/A</v>
      </c>
      <c r="M41" s="274"/>
      <c r="N41" s="272"/>
      <c r="O41" s="272"/>
      <c r="P41" s="272"/>
      <c r="Q41" s="272"/>
      <c r="R41" s="272"/>
      <c r="S41" s="272"/>
      <c r="T41" s="271"/>
      <c r="U41" s="271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7"/>
      <c r="AM41" s="272"/>
      <c r="AN41" s="272"/>
      <c r="AO41" s="272"/>
      <c r="AP41" s="272"/>
      <c r="AQ41" s="273"/>
      <c r="AR41" s="272"/>
      <c r="AS41" s="272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5"/>
      <c r="BY41" s="276"/>
    </row>
    <row r="42" spans="1:77" s="8" customFormat="1" ht="30" hidden="1" customHeight="1" x14ac:dyDescent="0.25">
      <c r="A42" s="158" t="s">
        <v>109</v>
      </c>
      <c r="B42" s="550"/>
      <c r="C42" s="43" t="e">
        <f t="shared" si="32"/>
        <v>#N/A</v>
      </c>
      <c r="D42" s="35">
        <v>537</v>
      </c>
      <c r="E42" s="40" t="s">
        <v>124</v>
      </c>
      <c r="F42" s="36" t="s">
        <v>65</v>
      </c>
      <c r="G42" s="92" t="str">
        <f t="shared" si="29"/>
        <v>C</v>
      </c>
      <c r="H42" s="155">
        <v>0.83680555555555558</v>
      </c>
      <c r="I42" s="155"/>
      <c r="J42" s="36">
        <v>320</v>
      </c>
      <c r="K42" s="44">
        <f t="shared" si="38"/>
        <v>180</v>
      </c>
      <c r="L42" s="220">
        <f t="shared" si="31"/>
        <v>162</v>
      </c>
      <c r="M42" s="239"/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41"/>
      <c r="AM42" s="241"/>
      <c r="AN42" s="241"/>
      <c r="AO42" s="236"/>
      <c r="AP42" s="236"/>
      <c r="AQ42" s="236"/>
      <c r="AR42" s="236"/>
      <c r="AS42" s="236"/>
      <c r="AT42" s="242"/>
      <c r="AU42" s="237"/>
      <c r="AV42" s="237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43"/>
      <c r="BY42" s="150"/>
    </row>
    <row r="43" spans="1:77" s="8" customFormat="1" ht="30" hidden="1" customHeight="1" x14ac:dyDescent="0.25">
      <c r="A43" s="251" t="s">
        <v>112</v>
      </c>
      <c r="B43" s="551"/>
      <c r="C43" s="252" t="e">
        <f t="shared" si="32"/>
        <v>#N/A</v>
      </c>
      <c r="D43" s="268">
        <v>725</v>
      </c>
      <c r="E43" s="269" t="s">
        <v>142</v>
      </c>
      <c r="F43" s="270" t="s">
        <v>64</v>
      </c>
      <c r="G43" s="255" t="str">
        <f t="shared" si="29"/>
        <v>C</v>
      </c>
      <c r="H43" s="256">
        <v>0.84375</v>
      </c>
      <c r="I43" s="256"/>
      <c r="J43" s="270">
        <v>738</v>
      </c>
      <c r="K43" s="258">
        <f t="shared" si="38"/>
        <v>168</v>
      </c>
      <c r="L43" s="259">
        <f t="shared" si="31"/>
        <v>151</v>
      </c>
      <c r="M43" s="274"/>
      <c r="N43" s="272"/>
      <c r="O43" s="272"/>
      <c r="P43" s="272"/>
      <c r="Q43" s="272"/>
      <c r="R43" s="272"/>
      <c r="S43" s="272"/>
      <c r="T43" s="271"/>
      <c r="U43" s="271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7"/>
      <c r="AM43" s="272"/>
      <c r="AN43" s="272"/>
      <c r="AO43" s="272"/>
      <c r="AP43" s="272"/>
      <c r="AQ43" s="273"/>
      <c r="AR43" s="272"/>
      <c r="AS43" s="272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5"/>
      <c r="BY43" s="276"/>
    </row>
    <row r="44" spans="1:77" s="8" customFormat="1" ht="30" hidden="1" customHeight="1" x14ac:dyDescent="0.25">
      <c r="A44" s="158" t="s">
        <v>927</v>
      </c>
      <c r="B44" s="550"/>
      <c r="C44" s="43" t="e">
        <f t="shared" si="32"/>
        <v>#N/A</v>
      </c>
      <c r="D44" s="35">
        <v>111</v>
      </c>
      <c r="E44" s="40" t="s">
        <v>140</v>
      </c>
      <c r="F44" s="36" t="s">
        <v>64</v>
      </c>
      <c r="G44" s="92" t="str">
        <f t="shared" si="29"/>
        <v>E</v>
      </c>
      <c r="H44" s="155">
        <v>0.85416666666666663</v>
      </c>
      <c r="I44" s="155"/>
      <c r="J44" s="36">
        <v>332</v>
      </c>
      <c r="K44" s="44">
        <f t="shared" si="38"/>
        <v>245</v>
      </c>
      <c r="L44" s="220">
        <f t="shared" si="31"/>
        <v>221</v>
      </c>
      <c r="M44" s="239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1"/>
      <c r="AU44" s="237"/>
      <c r="AV44" s="237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43"/>
      <c r="BY44" s="150"/>
    </row>
    <row r="45" spans="1:77" s="8" customFormat="1" ht="30" hidden="1" customHeight="1" x14ac:dyDescent="0.25">
      <c r="A45" s="251" t="s">
        <v>120</v>
      </c>
      <c r="B45" s="551"/>
      <c r="C45" s="252" t="e">
        <f t="shared" si="32"/>
        <v>#N/A</v>
      </c>
      <c r="D45" s="268">
        <v>2717</v>
      </c>
      <c r="E45" s="269" t="s">
        <v>132</v>
      </c>
      <c r="F45" s="270" t="s">
        <v>65</v>
      </c>
      <c r="G45" s="255" t="str">
        <f t="shared" si="29"/>
        <v>C</v>
      </c>
      <c r="H45" s="256">
        <v>0.90625</v>
      </c>
      <c r="I45" s="256"/>
      <c r="J45" s="270">
        <v>320</v>
      </c>
      <c r="K45" s="258">
        <f t="shared" si="38"/>
        <v>180</v>
      </c>
      <c r="L45" s="259">
        <f t="shared" si="31"/>
        <v>162</v>
      </c>
      <c r="M45" s="274"/>
      <c r="N45" s="272"/>
      <c r="O45" s="272"/>
      <c r="P45" s="272"/>
      <c r="Q45" s="272"/>
      <c r="R45" s="272"/>
      <c r="S45" s="272"/>
      <c r="T45" s="271"/>
      <c r="U45" s="271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7"/>
      <c r="AM45" s="272"/>
      <c r="AN45" s="272"/>
      <c r="AO45" s="272"/>
      <c r="AP45" s="272"/>
      <c r="AQ45" s="273"/>
      <c r="AR45" s="272"/>
      <c r="AS45" s="272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5"/>
      <c r="BY45" s="276"/>
    </row>
    <row r="46" spans="1:77" s="8" customFormat="1" ht="30" hidden="1" customHeight="1" x14ac:dyDescent="0.25">
      <c r="A46" s="158" t="s">
        <v>102</v>
      </c>
      <c r="B46" s="550"/>
      <c r="C46" s="43" t="str">
        <f t="shared" si="32"/>
        <v>Emirates to Dubai, Boeing 777-300ER pax</v>
      </c>
      <c r="D46" s="35">
        <v>421</v>
      </c>
      <c r="E46" s="40" t="s">
        <v>126</v>
      </c>
      <c r="F46" s="36" t="s">
        <v>64</v>
      </c>
      <c r="G46" s="92" t="e">
        <f t="shared" si="29"/>
        <v>#N/A</v>
      </c>
      <c r="H46" s="155">
        <v>0.92013888888888884</v>
      </c>
      <c r="I46" s="155"/>
      <c r="J46" s="36" t="s">
        <v>929</v>
      </c>
      <c r="K46" s="44" t="e">
        <f t="shared" si="38"/>
        <v>#N/A</v>
      </c>
      <c r="L46" s="220" t="e">
        <f t="shared" si="31"/>
        <v>#N/A</v>
      </c>
      <c r="M46" s="239"/>
      <c r="N46" s="237"/>
      <c r="O46" s="237"/>
      <c r="P46" s="237"/>
      <c r="Q46" s="237"/>
      <c r="R46" s="237"/>
      <c r="S46" s="237"/>
      <c r="T46" s="237"/>
      <c r="U46" s="237"/>
      <c r="V46" s="237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1"/>
      <c r="AR46" s="237"/>
      <c r="AS46" s="237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43"/>
      <c r="BY46" s="150"/>
    </row>
    <row r="47" spans="1:77" s="8" customFormat="1" ht="30" hidden="1" customHeight="1" x14ac:dyDescent="0.25">
      <c r="A47" s="251" t="s">
        <v>118</v>
      </c>
      <c r="B47" s="551"/>
      <c r="C47" s="252" t="e">
        <f t="shared" si="32"/>
        <v>#N/A</v>
      </c>
      <c r="D47" s="268">
        <v>901</v>
      </c>
      <c r="E47" s="269" t="s">
        <v>143</v>
      </c>
      <c r="F47" s="270" t="s">
        <v>64</v>
      </c>
      <c r="G47" s="255" t="e">
        <f t="shared" si="29"/>
        <v>#N/A</v>
      </c>
      <c r="H47" s="256">
        <v>0.94444444444444442</v>
      </c>
      <c r="I47" s="256"/>
      <c r="J47" s="270" t="s">
        <v>929</v>
      </c>
      <c r="K47" s="258" t="e">
        <f t="shared" si="38"/>
        <v>#N/A</v>
      </c>
      <c r="L47" s="259" t="e">
        <f t="shared" si="31"/>
        <v>#N/A</v>
      </c>
      <c r="M47" s="274"/>
      <c r="N47" s="272"/>
      <c r="O47" s="272"/>
      <c r="P47" s="272"/>
      <c r="Q47" s="272"/>
      <c r="R47" s="272"/>
      <c r="S47" s="272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7"/>
      <c r="AM47" s="272"/>
      <c r="AN47" s="272"/>
      <c r="AO47" s="272"/>
      <c r="AP47" s="272"/>
      <c r="AQ47" s="273"/>
      <c r="AR47" s="272"/>
      <c r="AS47" s="272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5"/>
      <c r="BY47" s="276"/>
    </row>
    <row r="48" spans="1:77" s="8" customFormat="1" ht="30" hidden="1" customHeight="1" x14ac:dyDescent="0.25">
      <c r="A48" s="158" t="s">
        <v>119</v>
      </c>
      <c r="B48" s="550"/>
      <c r="C48" s="43" t="e">
        <f t="shared" si="32"/>
        <v>#N/A</v>
      </c>
      <c r="D48" s="35">
        <v>281</v>
      </c>
      <c r="E48" s="40" t="s">
        <v>145</v>
      </c>
      <c r="F48" s="36" t="s">
        <v>64</v>
      </c>
      <c r="G48" s="92" t="e">
        <f t="shared" si="29"/>
        <v>#N/A</v>
      </c>
      <c r="H48" s="155">
        <v>0.98958333333333337</v>
      </c>
      <c r="I48" s="155"/>
      <c r="J48" s="36">
        <v>346</v>
      </c>
      <c r="K48" s="44" t="e">
        <f t="shared" si="38"/>
        <v>#N/A</v>
      </c>
      <c r="L48" s="220" t="e">
        <f t="shared" si="31"/>
        <v>#N/A</v>
      </c>
      <c r="M48" s="239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41"/>
      <c r="AM48" s="241"/>
      <c r="AN48" s="241"/>
      <c r="AO48" s="236"/>
      <c r="AP48" s="236"/>
      <c r="AQ48" s="236"/>
      <c r="AR48" s="236"/>
      <c r="AS48" s="236"/>
      <c r="AT48" s="242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43"/>
      <c r="BY48" s="150"/>
    </row>
    <row r="49" spans="1:77" s="8" customFormat="1" ht="30" customHeight="1" x14ac:dyDescent="0.25">
      <c r="A49" s="251" t="s">
        <v>106</v>
      </c>
      <c r="B49" s="551"/>
      <c r="C49" s="252" t="e">
        <f t="shared" si="32"/>
        <v>#N/A</v>
      </c>
      <c r="D49" s="268">
        <v>170</v>
      </c>
      <c r="E49" s="269" t="s">
        <v>130</v>
      </c>
      <c r="F49" s="270" t="s">
        <v>64</v>
      </c>
      <c r="G49" s="255" t="str">
        <f t="shared" si="29"/>
        <v>E</v>
      </c>
      <c r="H49" s="256">
        <v>0.99652777777777779</v>
      </c>
      <c r="I49" s="256"/>
      <c r="J49" s="270">
        <v>333</v>
      </c>
      <c r="K49" s="258">
        <v>242</v>
      </c>
      <c r="L49" s="259">
        <f t="shared" si="31"/>
        <v>218</v>
      </c>
      <c r="M49" s="274"/>
      <c r="N49" s="272"/>
      <c r="O49" s="272"/>
      <c r="P49" s="272"/>
      <c r="Q49" s="272"/>
      <c r="R49" s="272"/>
      <c r="S49" s="272"/>
      <c r="T49" s="271"/>
      <c r="U49" s="271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7"/>
      <c r="AM49" s="272"/>
      <c r="AN49" s="272"/>
      <c r="AO49" s="272"/>
      <c r="AP49" s="272"/>
      <c r="AQ49" s="273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5"/>
      <c r="BY49" s="276"/>
    </row>
    <row r="50" spans="1:77" s="8" customFormat="1" ht="30" customHeight="1" thickBot="1" x14ac:dyDescent="0.3">
      <c r="A50" s="464" t="s">
        <v>95</v>
      </c>
      <c r="B50" s="465"/>
      <c r="C50" s="465"/>
      <c r="D50" s="466"/>
      <c r="E50" s="466"/>
      <c r="F50" s="467"/>
      <c r="G50" s="467"/>
      <c r="H50" s="467"/>
      <c r="I50" s="466"/>
      <c r="J50" s="466"/>
      <c r="K50" s="466"/>
      <c r="L50" s="468" t="s">
        <v>999</v>
      </c>
      <c r="M50" s="469" t="e">
        <f t="shared" ref="M50:AR50" si="39">SUM(M7:M49)</f>
        <v>#N/A</v>
      </c>
      <c r="N50" s="470" t="e">
        <f t="shared" si="39"/>
        <v>#N/A</v>
      </c>
      <c r="O50" s="470" t="e">
        <f t="shared" si="39"/>
        <v>#N/A</v>
      </c>
      <c r="P50" s="470" t="e">
        <f t="shared" si="39"/>
        <v>#N/A</v>
      </c>
      <c r="Q50" s="470" t="e">
        <f t="shared" si="39"/>
        <v>#N/A</v>
      </c>
      <c r="R50" s="470" t="e">
        <f t="shared" si="39"/>
        <v>#N/A</v>
      </c>
      <c r="S50" s="470" t="e">
        <f t="shared" si="39"/>
        <v>#N/A</v>
      </c>
      <c r="T50" s="470" t="e">
        <f t="shared" si="39"/>
        <v>#N/A</v>
      </c>
      <c r="U50" s="470" t="e">
        <f t="shared" si="39"/>
        <v>#N/A</v>
      </c>
      <c r="V50" s="470" t="e">
        <f t="shared" si="39"/>
        <v>#N/A</v>
      </c>
      <c r="W50" s="470" t="e">
        <f t="shared" si="39"/>
        <v>#N/A</v>
      </c>
      <c r="X50" s="470" t="e">
        <f t="shared" si="39"/>
        <v>#N/A</v>
      </c>
      <c r="Y50" s="470" t="e">
        <f t="shared" si="39"/>
        <v>#N/A</v>
      </c>
      <c r="Z50" s="470" t="e">
        <f t="shared" si="39"/>
        <v>#N/A</v>
      </c>
      <c r="AA50" s="470" t="e">
        <f t="shared" si="39"/>
        <v>#N/A</v>
      </c>
      <c r="AB50" s="470" t="e">
        <f t="shared" si="39"/>
        <v>#N/A</v>
      </c>
      <c r="AC50" s="470" t="e">
        <f t="shared" si="39"/>
        <v>#N/A</v>
      </c>
      <c r="AD50" s="470" t="e">
        <f t="shared" si="39"/>
        <v>#N/A</v>
      </c>
      <c r="AE50" s="470" t="e">
        <f t="shared" si="39"/>
        <v>#N/A</v>
      </c>
      <c r="AF50" s="470" t="e">
        <f t="shared" si="39"/>
        <v>#N/A</v>
      </c>
      <c r="AG50" s="470" t="e">
        <f t="shared" si="39"/>
        <v>#N/A</v>
      </c>
      <c r="AH50" s="470" t="e">
        <f t="shared" si="39"/>
        <v>#N/A</v>
      </c>
      <c r="AI50" s="470" t="e">
        <f t="shared" si="39"/>
        <v>#N/A</v>
      </c>
      <c r="AJ50" s="470" t="e">
        <f t="shared" si="39"/>
        <v>#N/A</v>
      </c>
      <c r="AK50" s="470" t="e">
        <f t="shared" si="39"/>
        <v>#N/A</v>
      </c>
      <c r="AL50" s="470" t="e">
        <f t="shared" si="39"/>
        <v>#N/A</v>
      </c>
      <c r="AM50" s="470" t="e">
        <f t="shared" si="39"/>
        <v>#N/A</v>
      </c>
      <c r="AN50" s="470" t="e">
        <f t="shared" si="39"/>
        <v>#N/A</v>
      </c>
      <c r="AO50" s="470" t="e">
        <f t="shared" si="39"/>
        <v>#N/A</v>
      </c>
      <c r="AP50" s="470" t="e">
        <f t="shared" si="39"/>
        <v>#N/A</v>
      </c>
      <c r="AQ50" s="470" t="e">
        <f t="shared" si="39"/>
        <v>#N/A</v>
      </c>
      <c r="AR50" s="470" t="e">
        <f t="shared" si="39"/>
        <v>#N/A</v>
      </c>
      <c r="AS50" s="470" t="e">
        <f t="shared" ref="AS50:BX50" si="40">SUM(AS7:AS49)</f>
        <v>#N/A</v>
      </c>
      <c r="AT50" s="470" t="e">
        <f t="shared" si="40"/>
        <v>#N/A</v>
      </c>
      <c r="AU50" s="470" t="e">
        <f t="shared" si="40"/>
        <v>#N/A</v>
      </c>
      <c r="AV50" s="470" t="e">
        <f t="shared" si="40"/>
        <v>#N/A</v>
      </c>
      <c r="AW50" s="470" t="e">
        <f t="shared" si="40"/>
        <v>#N/A</v>
      </c>
      <c r="AX50" s="470" t="e">
        <f t="shared" si="40"/>
        <v>#N/A</v>
      </c>
      <c r="AY50" s="470" t="e">
        <f t="shared" si="40"/>
        <v>#N/A</v>
      </c>
      <c r="AZ50" s="470" t="e">
        <f t="shared" si="40"/>
        <v>#N/A</v>
      </c>
      <c r="BA50" s="470" t="e">
        <f t="shared" si="40"/>
        <v>#N/A</v>
      </c>
      <c r="BB50" s="470" t="e">
        <f t="shared" si="40"/>
        <v>#N/A</v>
      </c>
      <c r="BC50" s="470" t="e">
        <f t="shared" si="40"/>
        <v>#N/A</v>
      </c>
      <c r="BD50" s="470" t="e">
        <f t="shared" si="40"/>
        <v>#N/A</v>
      </c>
      <c r="BE50" s="470" t="e">
        <f t="shared" si="40"/>
        <v>#N/A</v>
      </c>
      <c r="BF50" s="470" t="e">
        <f t="shared" si="40"/>
        <v>#N/A</v>
      </c>
      <c r="BG50" s="470" t="e">
        <f t="shared" si="40"/>
        <v>#N/A</v>
      </c>
      <c r="BH50" s="470" t="e">
        <f t="shared" si="40"/>
        <v>#N/A</v>
      </c>
      <c r="BI50" s="470" t="e">
        <f t="shared" si="40"/>
        <v>#N/A</v>
      </c>
      <c r="BJ50" s="470" t="e">
        <f t="shared" si="40"/>
        <v>#N/A</v>
      </c>
      <c r="BK50" s="470" t="e">
        <f t="shared" si="40"/>
        <v>#N/A</v>
      </c>
      <c r="BL50" s="470" t="e">
        <f t="shared" si="40"/>
        <v>#N/A</v>
      </c>
      <c r="BM50" s="470" t="e">
        <f t="shared" si="40"/>
        <v>#N/A</v>
      </c>
      <c r="BN50" s="470" t="e">
        <f t="shared" si="40"/>
        <v>#N/A</v>
      </c>
      <c r="BO50" s="470" t="e">
        <f t="shared" si="40"/>
        <v>#N/A</v>
      </c>
      <c r="BP50" s="470" t="e">
        <f t="shared" si="40"/>
        <v>#N/A</v>
      </c>
      <c r="BQ50" s="470" t="e">
        <f t="shared" si="40"/>
        <v>#N/A</v>
      </c>
      <c r="BR50" s="470" t="e">
        <f t="shared" si="40"/>
        <v>#N/A</v>
      </c>
      <c r="BS50" s="470" t="e">
        <f t="shared" si="40"/>
        <v>#N/A</v>
      </c>
      <c r="BT50" s="470" t="e">
        <f t="shared" si="40"/>
        <v>#N/A</v>
      </c>
      <c r="BU50" s="470" t="e">
        <f t="shared" si="40"/>
        <v>#N/A</v>
      </c>
      <c r="BV50" s="470" t="e">
        <f t="shared" si="40"/>
        <v>#N/A</v>
      </c>
      <c r="BW50" s="470">
        <f t="shared" si="40"/>
        <v>110.16</v>
      </c>
      <c r="BX50" s="470">
        <f t="shared" si="40"/>
        <v>124.73999999999998</v>
      </c>
      <c r="BY50" s="471"/>
    </row>
    <row r="51" spans="1:77" s="8" customFormat="1" ht="24" hidden="1" customHeight="1" thickTop="1" x14ac:dyDescent="0.3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4"/>
      <c r="L51" s="135"/>
      <c r="M51" s="178"/>
      <c r="N51" s="165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6"/>
      <c r="BY51" s="136"/>
    </row>
    <row r="52" spans="1:77" s="8" customFormat="1" ht="24" hidden="1" customHeight="1" x14ac:dyDescent="0.3">
      <c r="A52" s="103"/>
      <c r="B52" s="104"/>
      <c r="C52" s="105"/>
      <c r="D52" s="104"/>
      <c r="E52" s="104"/>
      <c r="F52" s="104"/>
      <c r="G52" s="104"/>
      <c r="H52" s="104"/>
      <c r="I52" s="104"/>
      <c r="J52" s="106"/>
      <c r="K52" s="107" t="s">
        <v>91</v>
      </c>
      <c r="L52" s="113">
        <v>0.1</v>
      </c>
      <c r="M52" s="179" t="e">
        <f>$L52*#REF!</f>
        <v>#REF!</v>
      </c>
      <c r="N52" s="167" t="e">
        <f>$L52*#REF!</f>
        <v>#REF!</v>
      </c>
      <c r="O52" s="167" t="e">
        <f>$L52*#REF!</f>
        <v>#REF!</v>
      </c>
      <c r="P52" s="167" t="e">
        <f>$L52*#REF!</f>
        <v>#REF!</v>
      </c>
      <c r="Q52" s="167" t="e">
        <f>$L52*#REF!</f>
        <v>#REF!</v>
      </c>
      <c r="R52" s="167" t="e">
        <f>$L52*#REF!</f>
        <v>#REF!</v>
      </c>
      <c r="S52" s="167" t="e">
        <f>$L52*#REF!</f>
        <v>#REF!</v>
      </c>
      <c r="T52" s="167" t="e">
        <f>$L52*#REF!</f>
        <v>#REF!</v>
      </c>
      <c r="U52" s="167" t="e">
        <f>$L52*#REF!</f>
        <v>#REF!</v>
      </c>
      <c r="V52" s="167" t="e">
        <f>$L52*#REF!</f>
        <v>#REF!</v>
      </c>
      <c r="W52" s="167" t="e">
        <f>$L52*#REF!</f>
        <v>#REF!</v>
      </c>
      <c r="X52" s="167" t="e">
        <f>$L52*#REF!</f>
        <v>#REF!</v>
      </c>
      <c r="Y52" s="167" t="e">
        <f>$L52*#REF!</f>
        <v>#REF!</v>
      </c>
      <c r="Z52" s="167" t="e">
        <f>$L52*#REF!</f>
        <v>#REF!</v>
      </c>
      <c r="AA52" s="167" t="e">
        <f>$L52*#REF!</f>
        <v>#REF!</v>
      </c>
      <c r="AB52" s="167" t="e">
        <f>$L52*#REF!</f>
        <v>#REF!</v>
      </c>
      <c r="AC52" s="167" t="e">
        <f>$L52*#REF!</f>
        <v>#REF!</v>
      </c>
      <c r="AD52" s="167" t="e">
        <f>$L52*#REF!</f>
        <v>#REF!</v>
      </c>
      <c r="AE52" s="167" t="e">
        <f>$L52*#REF!</f>
        <v>#REF!</v>
      </c>
      <c r="AF52" s="167" t="e">
        <f>$L52*#REF!</f>
        <v>#REF!</v>
      </c>
      <c r="AG52" s="167" t="e">
        <f>$L52*#REF!</f>
        <v>#REF!</v>
      </c>
      <c r="AH52" s="167" t="e">
        <f>$L52*#REF!</f>
        <v>#REF!</v>
      </c>
      <c r="AI52" s="167" t="e">
        <f>$L52*#REF!</f>
        <v>#REF!</v>
      </c>
      <c r="AJ52" s="167" t="e">
        <f>$L52*#REF!</f>
        <v>#REF!</v>
      </c>
      <c r="AK52" s="167" t="e">
        <f>$L52*#REF!</f>
        <v>#REF!</v>
      </c>
      <c r="AL52" s="167" t="e">
        <f>$L52*#REF!</f>
        <v>#REF!</v>
      </c>
      <c r="AM52" s="167" t="e">
        <f>$L52*#REF!</f>
        <v>#REF!</v>
      </c>
      <c r="AN52" s="167" t="e">
        <f>$L52*#REF!</f>
        <v>#REF!</v>
      </c>
      <c r="AO52" s="167" t="e">
        <f>$L52*#REF!</f>
        <v>#REF!</v>
      </c>
      <c r="AP52" s="167" t="e">
        <f>$L52*#REF!</f>
        <v>#REF!</v>
      </c>
      <c r="AQ52" s="167" t="e">
        <f>$L52*#REF!</f>
        <v>#REF!</v>
      </c>
      <c r="AR52" s="167" t="e">
        <f>$L52*#REF!</f>
        <v>#REF!</v>
      </c>
      <c r="AS52" s="167" t="e">
        <f>$L52*#REF!</f>
        <v>#REF!</v>
      </c>
      <c r="AT52" s="167" t="e">
        <f>$L52*#REF!</f>
        <v>#REF!</v>
      </c>
      <c r="AU52" s="167" t="e">
        <f>$L52*#REF!</f>
        <v>#REF!</v>
      </c>
      <c r="AV52" s="167" t="e">
        <f>$L52*#REF!</f>
        <v>#REF!</v>
      </c>
      <c r="AW52" s="167" t="e">
        <f>$L52*#REF!</f>
        <v>#REF!</v>
      </c>
      <c r="AX52" s="167" t="e">
        <f>$L52*#REF!</f>
        <v>#REF!</v>
      </c>
      <c r="AY52" s="167" t="e">
        <f>$L52*#REF!</f>
        <v>#REF!</v>
      </c>
      <c r="AZ52" s="167"/>
      <c r="BA52" s="167"/>
      <c r="BB52" s="167"/>
      <c r="BC52" s="167"/>
      <c r="BD52" s="167"/>
      <c r="BE52" s="167"/>
      <c r="BF52" s="167"/>
      <c r="BG52" s="167"/>
      <c r="BH52" s="167"/>
      <c r="BI52" s="167"/>
      <c r="BJ52" s="167" t="e">
        <f>$L52*#REF!</f>
        <v>#REF!</v>
      </c>
      <c r="BK52" s="167"/>
      <c r="BL52" s="167"/>
      <c r="BM52" s="167"/>
      <c r="BN52" s="167"/>
      <c r="BO52" s="167"/>
      <c r="BP52" s="167"/>
      <c r="BQ52" s="167"/>
      <c r="BR52" s="167"/>
      <c r="BS52" s="167"/>
      <c r="BT52" s="167"/>
      <c r="BU52" s="167"/>
      <c r="BV52" s="167" t="e">
        <f>$L52*#REF!</f>
        <v>#REF!</v>
      </c>
      <c r="BW52" s="167" t="e">
        <f>$L52*#REF!</f>
        <v>#REF!</v>
      </c>
      <c r="BX52" s="168" t="e">
        <f>$L52*#REF!</f>
        <v>#REF!</v>
      </c>
      <c r="BY52" s="124"/>
    </row>
    <row r="53" spans="1:77" s="8" customFormat="1" ht="24" hidden="1" customHeight="1" x14ac:dyDescent="0.3">
      <c r="A53" s="110"/>
      <c r="B53" s="111"/>
      <c r="C53" s="114"/>
      <c r="D53" s="111"/>
      <c r="E53" s="111"/>
      <c r="F53" s="111"/>
      <c r="G53" s="111"/>
      <c r="H53" s="111"/>
      <c r="I53" s="111"/>
      <c r="J53" s="112" t="s">
        <v>87</v>
      </c>
      <c r="K53" s="116">
        <v>40</v>
      </c>
      <c r="L53" s="115">
        <v>0.1</v>
      </c>
      <c r="M53" s="177" t="e">
        <f>IF(#REF!*$L53&gt;$K53,$K53,#REF!*$L53)</f>
        <v>#REF!</v>
      </c>
      <c r="N53" s="164" t="e">
        <f>IF(#REF!*$L53&gt;$K53,$K53,#REF!*$L53)</f>
        <v>#REF!</v>
      </c>
      <c r="O53" s="164" t="e">
        <f>IF(#REF!*$L53&gt;$K53,$K53,#REF!*$L53)</f>
        <v>#REF!</v>
      </c>
      <c r="P53" s="164" t="e">
        <f>IF(#REF!*$L53&gt;$K53,$K53,#REF!*$L53)</f>
        <v>#REF!</v>
      </c>
      <c r="Q53" s="164" t="e">
        <f>IF(#REF!*$L53&gt;$K53,$K53,#REF!*$L53)</f>
        <v>#REF!</v>
      </c>
      <c r="R53" s="164" t="e">
        <f>IF(#REF!*$L53&gt;$K53,$K53,#REF!*$L53)</f>
        <v>#REF!</v>
      </c>
      <c r="S53" s="164" t="e">
        <f>IF(#REF!*$L53&gt;$K53,$K53,#REF!*$L53)</f>
        <v>#REF!</v>
      </c>
      <c r="T53" s="164" t="e">
        <f>IF(#REF!*$L53&gt;$K53,$K53,#REF!*$L53)</f>
        <v>#REF!</v>
      </c>
      <c r="U53" s="164" t="e">
        <f>IF(#REF!*$L53&gt;$K53,$K53,#REF!*$L53)</f>
        <v>#REF!</v>
      </c>
      <c r="V53" s="164" t="e">
        <f>IF(#REF!*$L53&gt;$K53,$K53,#REF!*$L53)</f>
        <v>#REF!</v>
      </c>
      <c r="W53" s="164" t="e">
        <f>IF(#REF!*$L53&gt;$K53,$K53,#REF!*$L53)</f>
        <v>#REF!</v>
      </c>
      <c r="X53" s="164" t="e">
        <f>IF(#REF!*$L53&gt;$K53,$K53,#REF!*$L53)</f>
        <v>#REF!</v>
      </c>
      <c r="Y53" s="164" t="e">
        <f>IF(#REF!*$L53&gt;$K53,$K53,#REF!*$L53)</f>
        <v>#REF!</v>
      </c>
      <c r="Z53" s="164" t="e">
        <f>IF(#REF!*$L53&gt;$K53,$K53,#REF!*$L53)</f>
        <v>#REF!</v>
      </c>
      <c r="AA53" s="164" t="e">
        <f>IF(#REF!*$L53&gt;$K53,$K53,#REF!*$L53)</f>
        <v>#REF!</v>
      </c>
      <c r="AB53" s="164" t="e">
        <f>IF(#REF!*$L53&gt;$K53,$K53,#REF!*$L53)</f>
        <v>#REF!</v>
      </c>
      <c r="AC53" s="164" t="e">
        <f>IF(#REF!*$L53&gt;$K53,$K53,#REF!*$L53)</f>
        <v>#REF!</v>
      </c>
      <c r="AD53" s="164" t="e">
        <f>IF(#REF!*$L53&gt;$K53,$K53,#REF!*$L53)</f>
        <v>#REF!</v>
      </c>
      <c r="AE53" s="164" t="e">
        <f>IF(#REF!*$L53&gt;$K53,$K53,#REF!*$L53)</f>
        <v>#REF!</v>
      </c>
      <c r="AF53" s="164" t="e">
        <f>IF(#REF!*$L53&gt;$K53,$K53,#REF!*$L53)</f>
        <v>#REF!</v>
      </c>
      <c r="AG53" s="164" t="e">
        <f>IF(#REF!*$L53&gt;$K53,$K53,#REF!*$L53)</f>
        <v>#REF!</v>
      </c>
      <c r="AH53" s="164" t="e">
        <f>IF(#REF!*$L53&gt;$K53,$K53,#REF!*$L53)</f>
        <v>#REF!</v>
      </c>
      <c r="AI53" s="164" t="e">
        <f>IF(#REF!*$L53&gt;$K53,$K53,#REF!*$L53)</f>
        <v>#REF!</v>
      </c>
      <c r="AJ53" s="164" t="e">
        <f>IF(#REF!*$L53&gt;$K53,$K53,#REF!*$L53)</f>
        <v>#REF!</v>
      </c>
      <c r="AK53" s="164" t="e">
        <f>IF(#REF!*$L53&gt;$K53,$K53,#REF!*$L53)</f>
        <v>#REF!</v>
      </c>
      <c r="AL53" s="164" t="e">
        <f>IF(#REF!*$L53&gt;$K53,$K53,#REF!*$L53)</f>
        <v>#REF!</v>
      </c>
      <c r="AM53" s="164" t="e">
        <f>IF(#REF!*$L53&gt;$K53,$K53,#REF!*$L53)</f>
        <v>#REF!</v>
      </c>
      <c r="AN53" s="164" t="e">
        <f>IF(#REF!*$L53&gt;$K53,$K53,#REF!*$L53)</f>
        <v>#REF!</v>
      </c>
      <c r="AO53" s="164" t="e">
        <f>IF(#REF!*$L53&gt;$K53,$K53,#REF!*$L53)</f>
        <v>#REF!</v>
      </c>
      <c r="AP53" s="164" t="e">
        <f>IF(#REF!*$L53&gt;$K53,$K53,#REF!*$L53)</f>
        <v>#REF!</v>
      </c>
      <c r="AQ53" s="164" t="e">
        <f>IF(#REF!*$L53&gt;$K53,$K53,#REF!*$L53)</f>
        <v>#REF!</v>
      </c>
      <c r="AR53" s="164" t="e">
        <f>IF(#REF!*$L53&gt;$K53,$K53,#REF!*$L53)</f>
        <v>#REF!</v>
      </c>
      <c r="AS53" s="164" t="e">
        <f>IF(#REF!*$L53&gt;$K53,$K53,#REF!*$L53)</f>
        <v>#REF!</v>
      </c>
      <c r="AT53" s="164" t="e">
        <f>IF(#REF!*$L53&gt;$K53,$K53,#REF!*$L53)</f>
        <v>#REF!</v>
      </c>
      <c r="AU53" s="164" t="e">
        <f>IF(#REF!*$L53&gt;$K53,$K53,#REF!*$L53)</f>
        <v>#REF!</v>
      </c>
      <c r="AV53" s="164" t="e">
        <f>IF(#REF!*$L53&gt;$K53,$K53,#REF!*$L53)</f>
        <v>#REF!</v>
      </c>
      <c r="AW53" s="164" t="e">
        <f>IF(#REF!*$L53&gt;$K53,$K53,#REF!*$L53)</f>
        <v>#REF!</v>
      </c>
      <c r="AX53" s="164" t="e">
        <f>IF(#REF!*$L53&gt;$K53,$K53,#REF!*$L53)</f>
        <v>#REF!</v>
      </c>
      <c r="AY53" s="164" t="e">
        <f>IF(#REF!*$L53&gt;$K53,$K53,#REF!*$L53)</f>
        <v>#REF!</v>
      </c>
      <c r="AZ53" s="164"/>
      <c r="BA53" s="164"/>
      <c r="BB53" s="164"/>
      <c r="BC53" s="164"/>
      <c r="BD53" s="164"/>
      <c r="BE53" s="164"/>
      <c r="BF53" s="164"/>
      <c r="BG53" s="164"/>
      <c r="BH53" s="164"/>
      <c r="BI53" s="164"/>
      <c r="BJ53" s="164" t="e">
        <f>IF(#REF!*$L53&gt;$K53,$K53,#REF!*$L53)</f>
        <v>#REF!</v>
      </c>
      <c r="BK53" s="164"/>
      <c r="BL53" s="164"/>
      <c r="BM53" s="164"/>
      <c r="BN53" s="164"/>
      <c r="BO53" s="164"/>
      <c r="BP53" s="164"/>
      <c r="BQ53" s="164"/>
      <c r="BR53" s="164"/>
      <c r="BS53" s="164"/>
      <c r="BT53" s="164"/>
      <c r="BU53" s="164"/>
      <c r="BV53" s="164" t="e">
        <f>IF(#REF!*$L53&gt;$K53,$K53,#REF!*$L53)</f>
        <v>#REF!</v>
      </c>
      <c r="BW53" s="164" t="e">
        <f>IF(#REF!*$L53&gt;$K53,$K53,#REF!*$L53)</f>
        <v>#REF!</v>
      </c>
      <c r="BX53" s="169" t="e">
        <f>IF(#REF!*$L53&gt;$K53,$K53,#REF!*$L53)</f>
        <v>#REF!</v>
      </c>
      <c r="BY53" s="125"/>
    </row>
    <row r="54" spans="1:77" s="8" customFormat="1" ht="30" hidden="1" customHeight="1" x14ac:dyDescent="0.3">
      <c r="A54" s="131"/>
      <c r="B54" s="60"/>
      <c r="C54" s="119"/>
      <c r="D54" s="60"/>
      <c r="E54" s="60"/>
      <c r="F54" s="60"/>
      <c r="G54" s="60"/>
      <c r="H54" s="60"/>
      <c r="I54" s="60"/>
      <c r="J54" s="120"/>
      <c r="K54" s="147" t="s">
        <v>88</v>
      </c>
      <c r="L54" s="121"/>
      <c r="M54" s="180" t="e">
        <f>#REF!-(M52+M53)</f>
        <v>#REF!</v>
      </c>
      <c r="N54" s="170" t="e">
        <f>#REF!-(N52+N53)</f>
        <v>#REF!</v>
      </c>
      <c r="O54" s="17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87" t="e">
        <f>#REF!-(V52+V53)</f>
        <v>#REF!</v>
      </c>
      <c r="W54" s="187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 t="e">
        <f>#REF!-(BJ52+BJ53)</f>
        <v>#REF!</v>
      </c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 t="e">
        <f>#REF!-(BV52+BV53)</f>
        <v>#REF!</v>
      </c>
      <c r="BW54" s="187" t="e">
        <f>#REF!-(BW52+BW53)</f>
        <v>#REF!</v>
      </c>
      <c r="BX54" s="188" t="e">
        <f>#REF!-(BX52+BX53)</f>
        <v>#REF!</v>
      </c>
      <c r="BY54" s="126"/>
    </row>
    <row r="55" spans="1:77" s="8" customFormat="1" ht="24" hidden="1" customHeight="1" x14ac:dyDescent="0.3">
      <c r="A55" s="100"/>
      <c r="B55" s="101"/>
      <c r="C55" s="102"/>
      <c r="D55" s="101"/>
      <c r="E55" s="101"/>
      <c r="F55" s="101"/>
      <c r="G55" s="101"/>
      <c r="H55" s="101"/>
      <c r="I55" s="101"/>
      <c r="J55" s="122"/>
      <c r="K55" s="123" t="s">
        <v>90</v>
      </c>
      <c r="L55" s="153" t="e">
        <f>#REF!</f>
        <v>#REF!</v>
      </c>
      <c r="M55" s="181" t="e">
        <f>M54/$L55</f>
        <v>#REF!</v>
      </c>
      <c r="N55" s="171" t="e">
        <f>N54/$L55</f>
        <v>#REF!</v>
      </c>
      <c r="O55" s="171" t="e">
        <f t="shared" ref="O55:BX55" si="41">O54/$L55</f>
        <v>#REF!</v>
      </c>
      <c r="P55" s="171" t="e">
        <f t="shared" si="41"/>
        <v>#REF!</v>
      </c>
      <c r="Q55" s="171" t="e">
        <f t="shared" si="41"/>
        <v>#REF!</v>
      </c>
      <c r="R55" s="171" t="e">
        <f t="shared" si="41"/>
        <v>#REF!</v>
      </c>
      <c r="S55" s="171" t="e">
        <f t="shared" si="41"/>
        <v>#REF!</v>
      </c>
      <c r="T55" s="171" t="e">
        <f t="shared" si="41"/>
        <v>#REF!</v>
      </c>
      <c r="U55" s="171" t="e">
        <f t="shared" si="41"/>
        <v>#REF!</v>
      </c>
      <c r="V55" s="189" t="e">
        <f t="shared" si="41"/>
        <v>#REF!</v>
      </c>
      <c r="W55" s="189" t="e">
        <f t="shared" si="41"/>
        <v>#REF!</v>
      </c>
      <c r="X55" s="189" t="e">
        <f t="shared" si="41"/>
        <v>#REF!</v>
      </c>
      <c r="Y55" s="189" t="e">
        <f t="shared" si="41"/>
        <v>#REF!</v>
      </c>
      <c r="Z55" s="189" t="e">
        <f t="shared" si="41"/>
        <v>#REF!</v>
      </c>
      <c r="AA55" s="189" t="e">
        <f t="shared" si="41"/>
        <v>#REF!</v>
      </c>
      <c r="AB55" s="189" t="e">
        <f t="shared" si="41"/>
        <v>#REF!</v>
      </c>
      <c r="AC55" s="189" t="e">
        <f t="shared" si="41"/>
        <v>#REF!</v>
      </c>
      <c r="AD55" s="189" t="e">
        <f t="shared" si="41"/>
        <v>#REF!</v>
      </c>
      <c r="AE55" s="189" t="e">
        <f t="shared" si="41"/>
        <v>#REF!</v>
      </c>
      <c r="AF55" s="189" t="e">
        <f t="shared" si="41"/>
        <v>#REF!</v>
      </c>
      <c r="AG55" s="189" t="e">
        <f t="shared" si="41"/>
        <v>#REF!</v>
      </c>
      <c r="AH55" s="189" t="e">
        <f t="shared" si="41"/>
        <v>#REF!</v>
      </c>
      <c r="AI55" s="189" t="e">
        <f t="shared" si="41"/>
        <v>#REF!</v>
      </c>
      <c r="AJ55" s="189" t="e">
        <f t="shared" si="41"/>
        <v>#REF!</v>
      </c>
      <c r="AK55" s="189" t="e">
        <f t="shared" si="41"/>
        <v>#REF!</v>
      </c>
      <c r="AL55" s="189" t="e">
        <f t="shared" si="41"/>
        <v>#REF!</v>
      </c>
      <c r="AM55" s="189" t="e">
        <f t="shared" si="41"/>
        <v>#REF!</v>
      </c>
      <c r="AN55" s="189" t="e">
        <f t="shared" si="41"/>
        <v>#REF!</v>
      </c>
      <c r="AO55" s="189" t="e">
        <f t="shared" si="41"/>
        <v>#REF!</v>
      </c>
      <c r="AP55" s="189" t="e">
        <f t="shared" si="41"/>
        <v>#REF!</v>
      </c>
      <c r="AQ55" s="189" t="e">
        <f t="shared" si="41"/>
        <v>#REF!</v>
      </c>
      <c r="AR55" s="189" t="e">
        <f t="shared" si="41"/>
        <v>#REF!</v>
      </c>
      <c r="AS55" s="189" t="e">
        <f t="shared" si="41"/>
        <v>#REF!</v>
      </c>
      <c r="AT55" s="189" t="e">
        <f t="shared" si="41"/>
        <v>#REF!</v>
      </c>
      <c r="AU55" s="189" t="e">
        <f t="shared" si="41"/>
        <v>#REF!</v>
      </c>
      <c r="AV55" s="189" t="e">
        <f t="shared" si="41"/>
        <v>#REF!</v>
      </c>
      <c r="AW55" s="189" t="e">
        <f t="shared" si="41"/>
        <v>#REF!</v>
      </c>
      <c r="AX55" s="189" t="e">
        <f t="shared" si="41"/>
        <v>#REF!</v>
      </c>
      <c r="AY55" s="189" t="e">
        <f t="shared" si="41"/>
        <v>#REF!</v>
      </c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 t="e">
        <f t="shared" si="41"/>
        <v>#REF!</v>
      </c>
      <c r="BK55" s="189"/>
      <c r="BL55" s="189"/>
      <c r="BM55" s="189"/>
      <c r="BN55" s="189"/>
      <c r="BO55" s="189"/>
      <c r="BP55" s="189"/>
      <c r="BQ55" s="189"/>
      <c r="BR55" s="189"/>
      <c r="BS55" s="189"/>
      <c r="BT55" s="189"/>
      <c r="BU55" s="189"/>
      <c r="BV55" s="189" t="e">
        <f t="shared" si="41"/>
        <v>#REF!</v>
      </c>
      <c r="BW55" s="189" t="e">
        <f t="shared" si="41"/>
        <v>#REF!</v>
      </c>
      <c r="BX55" s="190" t="e">
        <f t="shared" si="41"/>
        <v>#REF!</v>
      </c>
      <c r="BY55" s="127"/>
    </row>
    <row r="56" spans="1:77" s="8" customFormat="1" ht="24" hidden="1" customHeight="1" x14ac:dyDescent="0.3">
      <c r="A56" s="110"/>
      <c r="B56" s="111"/>
      <c r="C56" s="114"/>
      <c r="D56" s="111"/>
      <c r="E56" s="111"/>
      <c r="F56" s="111"/>
      <c r="G56" s="111"/>
      <c r="H56" s="111"/>
      <c r="I56" s="111"/>
      <c r="J56" s="144"/>
      <c r="K56" s="112"/>
      <c r="L56" s="145"/>
      <c r="M56" s="18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3"/>
      <c r="BY56" s="125"/>
    </row>
    <row r="57" spans="1:77" s="8" customFormat="1" ht="24" hidden="1" customHeight="1" x14ac:dyDescent="0.3">
      <c r="A57" s="132"/>
      <c r="B57" s="18"/>
      <c r="C57" s="143" t="s">
        <v>86</v>
      </c>
      <c r="D57" s="18"/>
      <c r="E57" s="18"/>
      <c r="F57" s="18"/>
      <c r="G57" s="18"/>
      <c r="H57" s="18"/>
      <c r="I57" s="18"/>
      <c r="J57" s="137"/>
      <c r="K57" s="138" t="s">
        <v>85</v>
      </c>
      <c r="L57" s="152">
        <v>1.7</v>
      </c>
      <c r="M57" s="176" t="e">
        <f t="shared" ref="M57:BX57" si="42">$L57*M54</f>
        <v>#REF!</v>
      </c>
      <c r="N57" s="174" t="e">
        <f t="shared" si="42"/>
        <v>#REF!</v>
      </c>
      <c r="O57" s="174" t="e">
        <f t="shared" si="42"/>
        <v>#REF!</v>
      </c>
      <c r="P57" s="174" t="e">
        <f t="shared" si="42"/>
        <v>#REF!</v>
      </c>
      <c r="Q57" s="174" t="e">
        <f t="shared" si="42"/>
        <v>#REF!</v>
      </c>
      <c r="R57" s="174" t="e">
        <f t="shared" si="42"/>
        <v>#REF!</v>
      </c>
      <c r="S57" s="174" t="e">
        <f t="shared" si="42"/>
        <v>#REF!</v>
      </c>
      <c r="T57" s="174" t="e">
        <f t="shared" si="42"/>
        <v>#REF!</v>
      </c>
      <c r="U57" s="174" t="e">
        <f t="shared" si="42"/>
        <v>#REF!</v>
      </c>
      <c r="V57" s="174" t="e">
        <f t="shared" si="42"/>
        <v>#REF!</v>
      </c>
      <c r="W57" s="174" t="e">
        <f t="shared" si="42"/>
        <v>#REF!</v>
      </c>
      <c r="X57" s="174" t="e">
        <f t="shared" si="42"/>
        <v>#REF!</v>
      </c>
      <c r="Y57" s="174" t="e">
        <f t="shared" si="42"/>
        <v>#REF!</v>
      </c>
      <c r="Z57" s="174" t="e">
        <f t="shared" si="42"/>
        <v>#REF!</v>
      </c>
      <c r="AA57" s="174" t="e">
        <f t="shared" si="42"/>
        <v>#REF!</v>
      </c>
      <c r="AB57" s="174" t="e">
        <f t="shared" si="42"/>
        <v>#REF!</v>
      </c>
      <c r="AC57" s="174" t="e">
        <f t="shared" si="42"/>
        <v>#REF!</v>
      </c>
      <c r="AD57" s="174" t="e">
        <f t="shared" si="42"/>
        <v>#REF!</v>
      </c>
      <c r="AE57" s="174" t="e">
        <f t="shared" si="42"/>
        <v>#REF!</v>
      </c>
      <c r="AF57" s="174" t="e">
        <f t="shared" si="42"/>
        <v>#REF!</v>
      </c>
      <c r="AG57" s="174" t="e">
        <f t="shared" si="42"/>
        <v>#REF!</v>
      </c>
      <c r="AH57" s="174" t="e">
        <f t="shared" si="42"/>
        <v>#REF!</v>
      </c>
      <c r="AI57" s="174" t="e">
        <f t="shared" si="42"/>
        <v>#REF!</v>
      </c>
      <c r="AJ57" s="174" t="e">
        <f t="shared" si="42"/>
        <v>#REF!</v>
      </c>
      <c r="AK57" s="174" t="e">
        <f t="shared" si="42"/>
        <v>#REF!</v>
      </c>
      <c r="AL57" s="174" t="e">
        <f t="shared" si="42"/>
        <v>#REF!</v>
      </c>
      <c r="AM57" s="174" t="e">
        <f t="shared" si="42"/>
        <v>#REF!</v>
      </c>
      <c r="AN57" s="174" t="e">
        <f t="shared" si="42"/>
        <v>#REF!</v>
      </c>
      <c r="AO57" s="174" t="e">
        <f t="shared" si="42"/>
        <v>#REF!</v>
      </c>
      <c r="AP57" s="174" t="e">
        <f t="shared" si="42"/>
        <v>#REF!</v>
      </c>
      <c r="AQ57" s="174" t="e">
        <f t="shared" si="42"/>
        <v>#REF!</v>
      </c>
      <c r="AR57" s="174" t="e">
        <f t="shared" si="42"/>
        <v>#REF!</v>
      </c>
      <c r="AS57" s="174" t="e">
        <f t="shared" si="42"/>
        <v>#REF!</v>
      </c>
      <c r="AT57" s="174" t="e">
        <f t="shared" si="42"/>
        <v>#REF!</v>
      </c>
      <c r="AU57" s="174" t="e">
        <f t="shared" si="42"/>
        <v>#REF!</v>
      </c>
      <c r="AV57" s="174" t="e">
        <f t="shared" si="42"/>
        <v>#REF!</v>
      </c>
      <c r="AW57" s="174" t="e">
        <f t="shared" si="42"/>
        <v>#REF!</v>
      </c>
      <c r="AX57" s="174" t="e">
        <f t="shared" si="42"/>
        <v>#REF!</v>
      </c>
      <c r="AY57" s="174" t="e">
        <f t="shared" si="42"/>
        <v>#REF!</v>
      </c>
      <c r="AZ57" s="174"/>
      <c r="BA57" s="174"/>
      <c r="BB57" s="174"/>
      <c r="BC57" s="174"/>
      <c r="BD57" s="174"/>
      <c r="BE57" s="174"/>
      <c r="BF57" s="174"/>
      <c r="BG57" s="174"/>
      <c r="BH57" s="174"/>
      <c r="BI57" s="174"/>
      <c r="BJ57" s="174" t="e">
        <f t="shared" si="42"/>
        <v>#REF!</v>
      </c>
      <c r="BK57" s="174"/>
      <c r="BL57" s="174"/>
      <c r="BM57" s="174"/>
      <c r="BN57" s="174"/>
      <c r="BO57" s="174"/>
      <c r="BP57" s="174"/>
      <c r="BQ57" s="174"/>
      <c r="BR57" s="174"/>
      <c r="BS57" s="174"/>
      <c r="BT57" s="174"/>
      <c r="BU57" s="174"/>
      <c r="BV57" s="174" t="e">
        <f t="shared" si="42"/>
        <v>#REF!</v>
      </c>
      <c r="BW57" s="174" t="e">
        <f t="shared" si="42"/>
        <v>#REF!</v>
      </c>
      <c r="BX57" s="175" t="e">
        <f t="shared" si="42"/>
        <v>#REF!</v>
      </c>
      <c r="BY57" s="136"/>
    </row>
    <row r="58" spans="1:77" s="8" customFormat="1" ht="30" hidden="1" customHeight="1" x14ac:dyDescent="0.3">
      <c r="A58" s="191"/>
      <c r="B58" s="193"/>
      <c r="C58" s="192"/>
      <c r="D58" s="193"/>
      <c r="E58" s="193"/>
      <c r="F58" s="193"/>
      <c r="G58" s="193"/>
      <c r="H58" s="193"/>
      <c r="I58" s="193"/>
      <c r="J58" s="194"/>
      <c r="K58" s="107" t="s">
        <v>98</v>
      </c>
      <c r="L58" s="195" t="e">
        <f>#REF!</f>
        <v>#REF!</v>
      </c>
      <c r="M58" s="196" t="e">
        <f t="shared" ref="M58:BX58" si="43">IF(M57/$L58&gt;0.95,"F",IF(M57/$L58&gt;0.8,"E",IF(M57/$L58&gt;0.65,"D",IF(M57/$L58&gt;0.5,"C",IF(M57/$L58&gt;0.4,"B","A")))))</f>
        <v>#REF!</v>
      </c>
      <c r="N58" s="197" t="e">
        <f t="shared" si="43"/>
        <v>#REF!</v>
      </c>
      <c r="O58" s="197" t="e">
        <f t="shared" si="43"/>
        <v>#REF!</v>
      </c>
      <c r="P58" s="197" t="e">
        <f t="shared" si="43"/>
        <v>#REF!</v>
      </c>
      <c r="Q58" s="197" t="e">
        <f t="shared" si="43"/>
        <v>#REF!</v>
      </c>
      <c r="R58" s="197" t="e">
        <f t="shared" si="43"/>
        <v>#REF!</v>
      </c>
      <c r="S58" s="197" t="e">
        <f t="shared" si="43"/>
        <v>#REF!</v>
      </c>
      <c r="T58" s="197" t="e">
        <f t="shared" si="43"/>
        <v>#REF!</v>
      </c>
      <c r="U58" s="197" t="e">
        <f t="shared" si="43"/>
        <v>#REF!</v>
      </c>
      <c r="V58" s="198" t="e">
        <f t="shared" si="43"/>
        <v>#REF!</v>
      </c>
      <c r="W58" s="198" t="e">
        <f t="shared" si="43"/>
        <v>#REF!</v>
      </c>
      <c r="X58" s="198" t="e">
        <f t="shared" si="43"/>
        <v>#REF!</v>
      </c>
      <c r="Y58" s="198" t="e">
        <f t="shared" si="43"/>
        <v>#REF!</v>
      </c>
      <c r="Z58" s="198" t="e">
        <f t="shared" si="43"/>
        <v>#REF!</v>
      </c>
      <c r="AA58" s="198" t="e">
        <f t="shared" si="43"/>
        <v>#REF!</v>
      </c>
      <c r="AB58" s="198" t="e">
        <f t="shared" si="43"/>
        <v>#REF!</v>
      </c>
      <c r="AC58" s="198" t="e">
        <f t="shared" si="43"/>
        <v>#REF!</v>
      </c>
      <c r="AD58" s="198" t="e">
        <f t="shared" si="43"/>
        <v>#REF!</v>
      </c>
      <c r="AE58" s="198" t="e">
        <f t="shared" si="43"/>
        <v>#REF!</v>
      </c>
      <c r="AF58" s="198" t="e">
        <f t="shared" si="43"/>
        <v>#REF!</v>
      </c>
      <c r="AG58" s="198" t="e">
        <f t="shared" si="43"/>
        <v>#REF!</v>
      </c>
      <c r="AH58" s="198" t="e">
        <f t="shared" si="43"/>
        <v>#REF!</v>
      </c>
      <c r="AI58" s="198" t="e">
        <f t="shared" si="43"/>
        <v>#REF!</v>
      </c>
      <c r="AJ58" s="198" t="e">
        <f t="shared" si="43"/>
        <v>#REF!</v>
      </c>
      <c r="AK58" s="198" t="e">
        <f t="shared" si="43"/>
        <v>#REF!</v>
      </c>
      <c r="AL58" s="198" t="e">
        <f t="shared" si="43"/>
        <v>#REF!</v>
      </c>
      <c r="AM58" s="198" t="e">
        <f t="shared" si="43"/>
        <v>#REF!</v>
      </c>
      <c r="AN58" s="198" t="e">
        <f t="shared" si="43"/>
        <v>#REF!</v>
      </c>
      <c r="AO58" s="198" t="e">
        <f t="shared" si="43"/>
        <v>#REF!</v>
      </c>
      <c r="AP58" s="198" t="e">
        <f t="shared" si="43"/>
        <v>#REF!</v>
      </c>
      <c r="AQ58" s="198" t="e">
        <f t="shared" si="43"/>
        <v>#REF!</v>
      </c>
      <c r="AR58" s="198" t="e">
        <f t="shared" si="43"/>
        <v>#REF!</v>
      </c>
      <c r="AS58" s="198" t="e">
        <f t="shared" si="43"/>
        <v>#REF!</v>
      </c>
      <c r="AT58" s="198" t="e">
        <f t="shared" si="43"/>
        <v>#REF!</v>
      </c>
      <c r="AU58" s="198" t="e">
        <f t="shared" si="43"/>
        <v>#REF!</v>
      </c>
      <c r="AV58" s="198" t="e">
        <f t="shared" si="43"/>
        <v>#REF!</v>
      </c>
      <c r="AW58" s="198" t="e">
        <f t="shared" si="43"/>
        <v>#REF!</v>
      </c>
      <c r="AX58" s="198" t="e">
        <f t="shared" si="43"/>
        <v>#REF!</v>
      </c>
      <c r="AY58" s="198" t="e">
        <f t="shared" si="43"/>
        <v>#REF!</v>
      </c>
      <c r="AZ58" s="198"/>
      <c r="BA58" s="198"/>
      <c r="BB58" s="198"/>
      <c r="BC58" s="198"/>
      <c r="BD58" s="198"/>
      <c r="BE58" s="198"/>
      <c r="BF58" s="198"/>
      <c r="BG58" s="198"/>
      <c r="BH58" s="198"/>
      <c r="BI58" s="198"/>
      <c r="BJ58" s="198" t="e">
        <f t="shared" si="43"/>
        <v>#REF!</v>
      </c>
      <c r="BK58" s="198"/>
      <c r="BL58" s="198"/>
      <c r="BM58" s="198"/>
      <c r="BN58" s="198"/>
      <c r="BO58" s="198"/>
      <c r="BP58" s="198"/>
      <c r="BQ58" s="198"/>
      <c r="BR58" s="198"/>
      <c r="BS58" s="198"/>
      <c r="BT58" s="198"/>
      <c r="BU58" s="198"/>
      <c r="BV58" s="198" t="e">
        <f t="shared" si="43"/>
        <v>#REF!</v>
      </c>
      <c r="BW58" s="198" t="e">
        <f t="shared" si="43"/>
        <v>#REF!</v>
      </c>
      <c r="BX58" s="199" t="e">
        <f t="shared" si="43"/>
        <v>#REF!</v>
      </c>
      <c r="BY58" s="149"/>
    </row>
    <row r="59" spans="1:77" s="8" customFormat="1" ht="30" hidden="1" customHeight="1" thickBot="1" x14ac:dyDescent="0.3">
      <c r="A59" s="108"/>
      <c r="B59" s="109"/>
      <c r="C59" s="128"/>
      <c r="D59" s="109"/>
      <c r="E59" s="109"/>
      <c r="F59" s="109"/>
      <c r="G59" s="109"/>
      <c r="H59" s="109"/>
      <c r="I59" s="109"/>
      <c r="J59" s="129"/>
      <c r="K59" s="130" t="s">
        <v>97</v>
      </c>
      <c r="L59" s="200"/>
      <c r="M59" s="201"/>
      <c r="N59" s="201"/>
      <c r="O59" s="201"/>
      <c r="P59" s="201"/>
      <c r="Q59" s="201"/>
      <c r="R59" s="201"/>
      <c r="S59" s="201"/>
      <c r="T59" s="201"/>
      <c r="U59" s="201"/>
      <c r="V59" s="203"/>
      <c r="W59" s="183" t="e">
        <f>IF(W57/$L58&lt;0.65,"",W57/0.6-$L58)</f>
        <v>#REF!</v>
      </c>
      <c r="X59" s="183" t="e">
        <f t="shared" ref="X59:BW59" si="44">IF(X57/$L58&lt;0.65,"",X57/0.6-$L58)</f>
        <v>#REF!</v>
      </c>
      <c r="Y59" s="183" t="e">
        <f t="shared" si="44"/>
        <v>#REF!</v>
      </c>
      <c r="Z59" s="183" t="e">
        <f t="shared" si="44"/>
        <v>#REF!</v>
      </c>
      <c r="AA59" s="183" t="e">
        <f t="shared" si="44"/>
        <v>#REF!</v>
      </c>
      <c r="AB59" s="183" t="e">
        <f t="shared" si="44"/>
        <v>#REF!</v>
      </c>
      <c r="AC59" s="183" t="e">
        <f t="shared" si="44"/>
        <v>#REF!</v>
      </c>
      <c r="AD59" s="183" t="e">
        <f t="shared" si="44"/>
        <v>#REF!</v>
      </c>
      <c r="AE59" s="183" t="e">
        <f t="shared" si="44"/>
        <v>#REF!</v>
      </c>
      <c r="AF59" s="183" t="e">
        <f t="shared" si="44"/>
        <v>#REF!</v>
      </c>
      <c r="AG59" s="183" t="e">
        <f t="shared" si="44"/>
        <v>#REF!</v>
      </c>
      <c r="AH59" s="183" t="e">
        <f t="shared" si="44"/>
        <v>#REF!</v>
      </c>
      <c r="AI59" s="183" t="e">
        <f t="shared" si="44"/>
        <v>#REF!</v>
      </c>
      <c r="AJ59" s="183" t="e">
        <f t="shared" si="44"/>
        <v>#REF!</v>
      </c>
      <c r="AK59" s="183" t="e">
        <f t="shared" si="44"/>
        <v>#REF!</v>
      </c>
      <c r="AL59" s="183" t="e">
        <f t="shared" si="44"/>
        <v>#REF!</v>
      </c>
      <c r="AM59" s="183" t="e">
        <f t="shared" si="44"/>
        <v>#REF!</v>
      </c>
      <c r="AN59" s="183" t="e">
        <f t="shared" si="44"/>
        <v>#REF!</v>
      </c>
      <c r="AO59" s="183" t="e">
        <f t="shared" si="44"/>
        <v>#REF!</v>
      </c>
      <c r="AP59" s="183" t="e">
        <f t="shared" si="44"/>
        <v>#REF!</v>
      </c>
      <c r="AQ59" s="183" t="e">
        <f t="shared" si="44"/>
        <v>#REF!</v>
      </c>
      <c r="AR59" s="183" t="e">
        <f t="shared" si="44"/>
        <v>#REF!</v>
      </c>
      <c r="AS59" s="183" t="e">
        <f t="shared" si="44"/>
        <v>#REF!</v>
      </c>
      <c r="AT59" s="183" t="e">
        <f t="shared" si="44"/>
        <v>#REF!</v>
      </c>
      <c r="AU59" s="183" t="e">
        <f t="shared" si="44"/>
        <v>#REF!</v>
      </c>
      <c r="AV59" s="183" t="e">
        <f t="shared" si="44"/>
        <v>#REF!</v>
      </c>
      <c r="AW59" s="183" t="e">
        <f t="shared" si="44"/>
        <v>#REF!</v>
      </c>
      <c r="AX59" s="183" t="e">
        <f t="shared" si="44"/>
        <v>#REF!</v>
      </c>
      <c r="AY59" s="183" t="e">
        <f t="shared" si="44"/>
        <v>#REF!</v>
      </c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 t="e">
        <f t="shared" si="44"/>
        <v>#REF!</v>
      </c>
      <c r="BK59" s="183"/>
      <c r="BL59" s="183"/>
      <c r="BM59" s="183"/>
      <c r="BN59" s="183"/>
      <c r="BO59" s="183"/>
      <c r="BP59" s="183"/>
      <c r="BQ59" s="183"/>
      <c r="BR59" s="183"/>
      <c r="BS59" s="183"/>
      <c r="BT59" s="183"/>
      <c r="BU59" s="183"/>
      <c r="BV59" s="183" t="e">
        <f t="shared" si="44"/>
        <v>#REF!</v>
      </c>
      <c r="BW59" s="183" t="e">
        <f t="shared" si="44"/>
        <v>#REF!</v>
      </c>
      <c r="BX59" s="186"/>
      <c r="BY59" s="202"/>
    </row>
    <row r="60" spans="1:77" s="8" customFormat="1" ht="24" hidden="1" customHeight="1" thickBot="1" x14ac:dyDescent="0.3">
      <c r="J60" s="38"/>
      <c r="K60" s="39"/>
      <c r="L60" s="3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BX60" s="7"/>
      <c r="BY60" s="13"/>
    </row>
    <row r="61" spans="1:77" s="8" customFormat="1" ht="24" customHeight="1" x14ac:dyDescent="0.25">
      <c r="A61" s="159" t="s">
        <v>84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140" t="s">
        <v>1000</v>
      </c>
      <c r="M61" s="472">
        <f t="shared" ref="M61:AR61" si="45">SUMIF(M7:M49,"DEP",$L7:$L49)</f>
        <v>0</v>
      </c>
      <c r="N61" s="473">
        <f t="shared" si="45"/>
        <v>0</v>
      </c>
      <c r="O61" s="473">
        <f t="shared" si="45"/>
        <v>0</v>
      </c>
      <c r="P61" s="473">
        <f t="shared" si="45"/>
        <v>0</v>
      </c>
      <c r="Q61" s="473">
        <f t="shared" si="45"/>
        <v>0</v>
      </c>
      <c r="R61" s="473">
        <f t="shared" si="45"/>
        <v>0</v>
      </c>
      <c r="S61" s="473">
        <f t="shared" si="45"/>
        <v>0</v>
      </c>
      <c r="T61" s="473">
        <f t="shared" si="45"/>
        <v>0</v>
      </c>
      <c r="U61" s="473">
        <f t="shared" si="45"/>
        <v>0</v>
      </c>
      <c r="V61" s="473">
        <f t="shared" si="45"/>
        <v>0</v>
      </c>
      <c r="W61" s="473">
        <f t="shared" si="45"/>
        <v>162</v>
      </c>
      <c r="X61" s="473">
        <f t="shared" si="45"/>
        <v>0</v>
      </c>
      <c r="Y61" s="473">
        <f t="shared" si="45"/>
        <v>0</v>
      </c>
      <c r="Z61" s="473">
        <f t="shared" si="45"/>
        <v>0</v>
      </c>
      <c r="AA61" s="473">
        <f t="shared" si="45"/>
        <v>0</v>
      </c>
      <c r="AB61" s="473">
        <f t="shared" si="45"/>
        <v>0</v>
      </c>
      <c r="AC61" s="473">
        <f t="shared" si="45"/>
        <v>0</v>
      </c>
      <c r="AD61" s="473">
        <f t="shared" si="45"/>
        <v>0</v>
      </c>
      <c r="AE61" s="473">
        <f t="shared" si="45"/>
        <v>0</v>
      </c>
      <c r="AF61" s="473">
        <f t="shared" si="45"/>
        <v>0</v>
      </c>
      <c r="AG61" s="473">
        <f t="shared" si="45"/>
        <v>0</v>
      </c>
      <c r="AH61" s="473">
        <f t="shared" si="45"/>
        <v>0</v>
      </c>
      <c r="AI61" s="473">
        <f t="shared" si="45"/>
        <v>0</v>
      </c>
      <c r="AJ61" s="473">
        <f t="shared" si="45"/>
        <v>0</v>
      </c>
      <c r="AK61" s="473">
        <f t="shared" si="45"/>
        <v>0</v>
      </c>
      <c r="AL61" s="473">
        <f t="shared" si="45"/>
        <v>440</v>
      </c>
      <c r="AM61" s="473">
        <f t="shared" si="45"/>
        <v>0</v>
      </c>
      <c r="AN61" s="473">
        <f t="shared" si="45"/>
        <v>238</v>
      </c>
      <c r="AO61" s="473">
        <f t="shared" si="45"/>
        <v>0</v>
      </c>
      <c r="AP61" s="473">
        <f t="shared" si="45"/>
        <v>0</v>
      </c>
      <c r="AQ61" s="473">
        <f t="shared" si="45"/>
        <v>134</v>
      </c>
      <c r="AR61" s="473">
        <f t="shared" si="45"/>
        <v>0</v>
      </c>
      <c r="AS61" s="473">
        <f t="shared" ref="AS61:BX61" si="46">SUMIF(AS7:AS49,"DEP",$L7:$L49)</f>
        <v>596</v>
      </c>
      <c r="AT61" s="473" t="e">
        <f t="shared" si="46"/>
        <v>#N/A</v>
      </c>
      <c r="AU61" s="473">
        <f t="shared" si="46"/>
        <v>0</v>
      </c>
      <c r="AV61" s="473">
        <f t="shared" si="46"/>
        <v>0</v>
      </c>
      <c r="AW61" s="473">
        <f t="shared" si="46"/>
        <v>0</v>
      </c>
      <c r="AX61" s="473">
        <f t="shared" si="46"/>
        <v>0</v>
      </c>
      <c r="AY61" s="473">
        <f t="shared" si="46"/>
        <v>0</v>
      </c>
      <c r="AZ61" s="473">
        <f t="shared" si="46"/>
        <v>0</v>
      </c>
      <c r="BA61" s="473">
        <f t="shared" si="46"/>
        <v>0</v>
      </c>
      <c r="BB61" s="473">
        <f t="shared" si="46"/>
        <v>302</v>
      </c>
      <c r="BC61" s="473">
        <f t="shared" si="46"/>
        <v>0</v>
      </c>
      <c r="BD61" s="473">
        <f t="shared" si="46"/>
        <v>257</v>
      </c>
      <c r="BE61" s="473">
        <f t="shared" si="46"/>
        <v>218</v>
      </c>
      <c r="BF61" s="473">
        <f t="shared" si="46"/>
        <v>0</v>
      </c>
      <c r="BG61" s="473">
        <f t="shared" si="46"/>
        <v>257</v>
      </c>
      <c r="BH61" s="473">
        <f t="shared" si="46"/>
        <v>0</v>
      </c>
      <c r="BI61" s="473">
        <f t="shared" si="46"/>
        <v>0</v>
      </c>
      <c r="BJ61" s="473">
        <f t="shared" si="46"/>
        <v>0</v>
      </c>
      <c r="BK61" s="473">
        <f t="shared" si="46"/>
        <v>0</v>
      </c>
      <c r="BL61" s="473">
        <f t="shared" si="46"/>
        <v>238</v>
      </c>
      <c r="BM61" s="473">
        <f t="shared" si="46"/>
        <v>0</v>
      </c>
      <c r="BN61" s="473">
        <f t="shared" si="46"/>
        <v>162</v>
      </c>
      <c r="BO61" s="473">
        <f t="shared" si="46"/>
        <v>257</v>
      </c>
      <c r="BP61" s="473">
        <f t="shared" si="46"/>
        <v>0</v>
      </c>
      <c r="BQ61" s="473">
        <f t="shared" si="46"/>
        <v>0</v>
      </c>
      <c r="BR61" s="473">
        <f t="shared" si="46"/>
        <v>0</v>
      </c>
      <c r="BS61" s="473">
        <f t="shared" si="46"/>
        <v>0</v>
      </c>
      <c r="BT61" s="473">
        <f t="shared" si="46"/>
        <v>0</v>
      </c>
      <c r="BU61" s="473">
        <f t="shared" si="46"/>
        <v>0</v>
      </c>
      <c r="BV61" s="473">
        <f t="shared" si="46"/>
        <v>0</v>
      </c>
      <c r="BW61" s="473">
        <f t="shared" si="46"/>
        <v>238</v>
      </c>
      <c r="BX61" s="474">
        <f t="shared" si="46"/>
        <v>0</v>
      </c>
      <c r="BY61" s="83"/>
    </row>
    <row r="62" spans="1:77" s="8" customFormat="1" ht="24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141" t="s">
        <v>1001</v>
      </c>
      <c r="M62" s="475">
        <f>SUM(A61:M61)</f>
        <v>0</v>
      </c>
      <c r="N62" s="476">
        <f>SUM(C61:N61)</f>
        <v>0</v>
      </c>
      <c r="O62" s="476">
        <f>SUM(D61:O61)</f>
        <v>0</v>
      </c>
      <c r="P62" s="476">
        <f>SUM(E61:P61)</f>
        <v>0</v>
      </c>
      <c r="Q62" s="476">
        <f>SUM(F61:Q61)</f>
        <v>0</v>
      </c>
      <c r="R62" s="476">
        <f>SUM(G61:R61)</f>
        <v>0</v>
      </c>
      <c r="S62" s="476">
        <f t="shared" ref="S62" si="47">SUM(H61:S61)</f>
        <v>0</v>
      </c>
      <c r="T62" s="476">
        <f t="shared" ref="T62" si="48">SUM(I61:T61)</f>
        <v>0</v>
      </c>
      <c r="U62" s="476">
        <f t="shared" ref="U62" si="49">SUM(J61:U61)</f>
        <v>0</v>
      </c>
      <c r="V62" s="476">
        <f t="shared" ref="V62" si="50">SUM(K61:V61)</f>
        <v>0</v>
      </c>
      <c r="W62" s="476">
        <f>SUM(L61:W61)</f>
        <v>162</v>
      </c>
      <c r="X62" s="476">
        <f t="shared" ref="X62:AC62" si="51">SUM(M61:X61)</f>
        <v>162</v>
      </c>
      <c r="Y62" s="476">
        <f t="shared" si="51"/>
        <v>162</v>
      </c>
      <c r="Z62" s="476">
        <f t="shared" si="51"/>
        <v>162</v>
      </c>
      <c r="AA62" s="476">
        <f t="shared" si="51"/>
        <v>162</v>
      </c>
      <c r="AB62" s="476">
        <f t="shared" si="51"/>
        <v>162</v>
      </c>
      <c r="AC62" s="476">
        <f t="shared" si="51"/>
        <v>162</v>
      </c>
      <c r="AD62" s="476">
        <f>SUM(S61:AD61)</f>
        <v>162</v>
      </c>
      <c r="AE62" s="476">
        <f t="shared" ref="AE62:AY62" si="52">SUM(T61:AE61)</f>
        <v>162</v>
      </c>
      <c r="AF62" s="476">
        <f t="shared" si="52"/>
        <v>162</v>
      </c>
      <c r="AG62" s="476">
        <f t="shared" si="52"/>
        <v>162</v>
      </c>
      <c r="AH62" s="476">
        <f t="shared" si="52"/>
        <v>162</v>
      </c>
      <c r="AI62" s="476">
        <f t="shared" si="52"/>
        <v>0</v>
      </c>
      <c r="AJ62" s="476">
        <f t="shared" si="52"/>
        <v>0</v>
      </c>
      <c r="AK62" s="476">
        <f t="shared" si="52"/>
        <v>0</v>
      </c>
      <c r="AL62" s="476">
        <f t="shared" si="52"/>
        <v>440</v>
      </c>
      <c r="AM62" s="476">
        <f t="shared" si="52"/>
        <v>440</v>
      </c>
      <c r="AN62" s="476">
        <f t="shared" si="52"/>
        <v>678</v>
      </c>
      <c r="AO62" s="476">
        <f t="shared" si="52"/>
        <v>678</v>
      </c>
      <c r="AP62" s="476">
        <f t="shared" si="52"/>
        <v>678</v>
      </c>
      <c r="AQ62" s="476">
        <f t="shared" si="52"/>
        <v>812</v>
      </c>
      <c r="AR62" s="476">
        <f t="shared" si="52"/>
        <v>812</v>
      </c>
      <c r="AS62" s="476">
        <f t="shared" si="52"/>
        <v>1408</v>
      </c>
      <c r="AT62" s="476" t="e">
        <f t="shared" si="52"/>
        <v>#N/A</v>
      </c>
      <c r="AU62" s="476" t="e">
        <f t="shared" si="52"/>
        <v>#N/A</v>
      </c>
      <c r="AV62" s="476" t="e">
        <f t="shared" si="52"/>
        <v>#N/A</v>
      </c>
      <c r="AW62" s="476" t="e">
        <f t="shared" si="52"/>
        <v>#N/A</v>
      </c>
      <c r="AX62" s="476" t="e">
        <f t="shared" si="52"/>
        <v>#N/A</v>
      </c>
      <c r="AY62" s="476" t="e">
        <f t="shared" si="52"/>
        <v>#N/A</v>
      </c>
      <c r="AZ62" s="476" t="e">
        <f t="shared" ref="AZ62" si="53">SUM(AO61:AZ61)</f>
        <v>#N/A</v>
      </c>
      <c r="BA62" s="476" t="e">
        <f t="shared" ref="BA62" si="54">SUM(AP61:BA61)</f>
        <v>#N/A</v>
      </c>
      <c r="BB62" s="476" t="e">
        <f t="shared" ref="BB62" si="55">SUM(AQ61:BB61)</f>
        <v>#N/A</v>
      </c>
      <c r="BC62" s="476" t="e">
        <f t="shared" ref="BC62" si="56">SUM(AR61:BC61)</f>
        <v>#N/A</v>
      </c>
      <c r="BD62" s="476" t="e">
        <f t="shared" ref="BD62" si="57">SUM(AS61:BD61)</f>
        <v>#N/A</v>
      </c>
      <c r="BE62" s="476" t="e">
        <f t="shared" ref="BE62" si="58">SUM(AT61:BE61)</f>
        <v>#N/A</v>
      </c>
      <c r="BF62" s="476">
        <f t="shared" ref="BF62" si="59">SUM(AU61:BF61)</f>
        <v>777</v>
      </c>
      <c r="BG62" s="476">
        <f t="shared" ref="BG62" si="60">SUM(AV61:BG61)</f>
        <v>1034</v>
      </c>
      <c r="BH62" s="476">
        <f t="shared" ref="BH62" si="61">SUM(AW61:BH61)</f>
        <v>1034</v>
      </c>
      <c r="BI62" s="476">
        <f t="shared" ref="BI62" si="62">SUM(AX61:BI61)</f>
        <v>1034</v>
      </c>
      <c r="BJ62" s="476">
        <f t="shared" ref="BJ62" si="63">SUM(AY61:BJ61)</f>
        <v>1034</v>
      </c>
      <c r="BK62" s="476">
        <f t="shared" ref="BK62" si="64">SUM(AZ61:BK61)</f>
        <v>1034</v>
      </c>
      <c r="BL62" s="476">
        <f t="shared" ref="BL62" si="65">SUM(BA61:BL61)</f>
        <v>1272</v>
      </c>
      <c r="BM62" s="476">
        <f t="shared" ref="BM62" si="66">SUM(BB61:BM61)</f>
        <v>1272</v>
      </c>
      <c r="BN62" s="476">
        <f t="shared" ref="BN62" si="67">SUM(BC61:BN61)</f>
        <v>1132</v>
      </c>
      <c r="BO62" s="476">
        <f t="shared" ref="BO62" si="68">SUM(BD61:BO61)</f>
        <v>1389</v>
      </c>
      <c r="BP62" s="476">
        <f t="shared" ref="BP62" si="69">SUM(BE61:BP61)</f>
        <v>1132</v>
      </c>
      <c r="BQ62" s="476">
        <f t="shared" ref="BQ62" si="70">SUM(BF61:BQ61)</f>
        <v>914</v>
      </c>
      <c r="BR62" s="476">
        <f t="shared" ref="BR62" si="71">SUM(BG61:BR61)</f>
        <v>914</v>
      </c>
      <c r="BS62" s="476">
        <f t="shared" ref="BS62" si="72">SUM(BH61:BS61)</f>
        <v>657</v>
      </c>
      <c r="BT62" s="476">
        <f t="shared" ref="BT62" si="73">SUM(BI61:BT61)</f>
        <v>657</v>
      </c>
      <c r="BU62" s="476">
        <f t="shared" ref="BU62" si="74">SUM(BJ61:BU61)</f>
        <v>657</v>
      </c>
      <c r="BV62" s="476">
        <f t="shared" ref="BV62" si="75">SUM(BK61:BV61)</f>
        <v>657</v>
      </c>
      <c r="BW62" s="476">
        <f t="shared" ref="BW62" si="76">SUM(BL61:BW61)</f>
        <v>895</v>
      </c>
      <c r="BX62" s="477">
        <f t="shared" ref="BX62" si="77">SUM(BM61:BX61)</f>
        <v>657</v>
      </c>
      <c r="BY62" s="85"/>
    </row>
    <row r="63" spans="1:77" s="8" customFormat="1" ht="24" customHeight="1" x14ac:dyDescent="0.25">
      <c r="A63" s="160"/>
      <c r="B63" s="555"/>
      <c r="D63" s="105"/>
      <c r="E63" s="105"/>
      <c r="F63" s="105"/>
      <c r="G63" s="488" t="s">
        <v>1003</v>
      </c>
      <c r="H63" s="487" t="e">
        <f>MAX(M50:BX50)/MAX(M62:BX62)</f>
        <v>#N/A</v>
      </c>
      <c r="I63" s="105"/>
      <c r="J63" s="105"/>
      <c r="K63" s="105"/>
      <c r="L63" s="142"/>
      <c r="M63" s="482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L63" s="478" t="s">
        <v>949</v>
      </c>
      <c r="AM63" s="484"/>
      <c r="AN63" s="484"/>
      <c r="AO63" s="638" t="s">
        <v>1028</v>
      </c>
      <c r="AP63" s="484"/>
      <c r="AQ63" s="484"/>
      <c r="AR63" s="484"/>
      <c r="AS63" s="484"/>
      <c r="AT63" s="484"/>
      <c r="AU63" s="484"/>
      <c r="AV63" s="484"/>
      <c r="AW63" s="479" t="s">
        <v>950</v>
      </c>
      <c r="AX63" s="483"/>
      <c r="AY63" s="483"/>
      <c r="AZ63" s="483"/>
      <c r="BA63" s="483"/>
      <c r="BB63" s="483"/>
      <c r="BC63" s="483"/>
      <c r="BD63" s="483"/>
      <c r="BQ63" s="483"/>
      <c r="BR63" s="483"/>
      <c r="BS63" s="483"/>
      <c r="BT63" s="483"/>
      <c r="BU63" s="483"/>
      <c r="BV63" s="483"/>
      <c r="BW63" s="483"/>
      <c r="BX63" s="485"/>
      <c r="BY63" s="486"/>
    </row>
    <row r="64" spans="1:77" s="8" customFormat="1" ht="24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141" t="s">
        <v>1002</v>
      </c>
      <c r="M64" s="476">
        <f t="shared" ref="M64:AR64" si="78">SUMIF(M7:M49,"DEP",$K7:$K49)</f>
        <v>0</v>
      </c>
      <c r="N64" s="476">
        <f t="shared" si="78"/>
        <v>0</v>
      </c>
      <c r="O64" s="476">
        <f t="shared" si="78"/>
        <v>0</v>
      </c>
      <c r="P64" s="476">
        <f t="shared" si="78"/>
        <v>0</v>
      </c>
      <c r="Q64" s="476">
        <f t="shared" si="78"/>
        <v>0</v>
      </c>
      <c r="R64" s="476">
        <f t="shared" si="78"/>
        <v>0</v>
      </c>
      <c r="S64" s="476">
        <f t="shared" si="78"/>
        <v>0</v>
      </c>
      <c r="T64" s="476">
        <f t="shared" si="78"/>
        <v>0</v>
      </c>
      <c r="U64" s="476">
        <f t="shared" si="78"/>
        <v>0</v>
      </c>
      <c r="V64" s="476">
        <f t="shared" si="78"/>
        <v>0</v>
      </c>
      <c r="W64" s="476">
        <f t="shared" si="78"/>
        <v>180</v>
      </c>
      <c r="X64" s="476">
        <f t="shared" si="78"/>
        <v>0</v>
      </c>
      <c r="Y64" s="476">
        <f t="shared" si="78"/>
        <v>0</v>
      </c>
      <c r="Z64" s="476">
        <f t="shared" si="78"/>
        <v>0</v>
      </c>
      <c r="AA64" s="476">
        <f t="shared" si="78"/>
        <v>0</v>
      </c>
      <c r="AB64" s="476">
        <f t="shared" si="78"/>
        <v>0</v>
      </c>
      <c r="AC64" s="476">
        <f t="shared" si="78"/>
        <v>0</v>
      </c>
      <c r="AD64" s="476">
        <f t="shared" si="78"/>
        <v>0</v>
      </c>
      <c r="AE64" s="476">
        <f t="shared" si="78"/>
        <v>0</v>
      </c>
      <c r="AF64" s="476">
        <f t="shared" si="78"/>
        <v>0</v>
      </c>
      <c r="AG64" s="476">
        <f t="shared" si="78"/>
        <v>0</v>
      </c>
      <c r="AH64" s="476">
        <f t="shared" si="78"/>
        <v>0</v>
      </c>
      <c r="AI64" s="476">
        <f t="shared" si="78"/>
        <v>0</v>
      </c>
      <c r="AJ64" s="476">
        <f t="shared" si="78"/>
        <v>0</v>
      </c>
      <c r="AK64" s="476">
        <f t="shared" si="78"/>
        <v>0</v>
      </c>
      <c r="AL64" s="476">
        <f t="shared" si="78"/>
        <v>489</v>
      </c>
      <c r="AM64" s="476">
        <f t="shared" si="78"/>
        <v>0</v>
      </c>
      <c r="AN64" s="476">
        <f t="shared" si="78"/>
        <v>264</v>
      </c>
      <c r="AO64" s="476">
        <f t="shared" si="78"/>
        <v>0</v>
      </c>
      <c r="AP64" s="476">
        <f t="shared" si="78"/>
        <v>0</v>
      </c>
      <c r="AQ64" s="476">
        <f t="shared" si="78"/>
        <v>149</v>
      </c>
      <c r="AR64" s="476">
        <f t="shared" si="78"/>
        <v>0</v>
      </c>
      <c r="AS64" s="476">
        <f t="shared" ref="AS64:BX64" si="79">SUMIF(AS7:AS49,"DEP",$K7:$K49)</f>
        <v>662</v>
      </c>
      <c r="AT64" s="476" t="e">
        <f t="shared" si="79"/>
        <v>#N/A</v>
      </c>
      <c r="AU64" s="476">
        <f t="shared" si="79"/>
        <v>0</v>
      </c>
      <c r="AV64" s="476">
        <f t="shared" si="79"/>
        <v>0</v>
      </c>
      <c r="AW64" s="476">
        <f t="shared" si="79"/>
        <v>0</v>
      </c>
      <c r="AX64" s="476">
        <f t="shared" si="79"/>
        <v>0</v>
      </c>
      <c r="AY64" s="476">
        <f t="shared" si="79"/>
        <v>0</v>
      </c>
      <c r="AZ64" s="476">
        <f t="shared" si="79"/>
        <v>0</v>
      </c>
      <c r="BA64" s="476">
        <f t="shared" si="79"/>
        <v>0</v>
      </c>
      <c r="BB64" s="476">
        <f t="shared" si="79"/>
        <v>335</v>
      </c>
      <c r="BC64" s="476">
        <f t="shared" si="79"/>
        <v>0</v>
      </c>
      <c r="BD64" s="476">
        <f t="shared" si="79"/>
        <v>285</v>
      </c>
      <c r="BE64" s="476">
        <f t="shared" si="79"/>
        <v>242</v>
      </c>
      <c r="BF64" s="476">
        <f t="shared" si="79"/>
        <v>0</v>
      </c>
      <c r="BG64" s="476">
        <f t="shared" si="79"/>
        <v>285</v>
      </c>
      <c r="BH64" s="476">
        <f t="shared" si="79"/>
        <v>0</v>
      </c>
      <c r="BI64" s="476">
        <f t="shared" si="79"/>
        <v>0</v>
      </c>
      <c r="BJ64" s="476">
        <f t="shared" si="79"/>
        <v>0</v>
      </c>
      <c r="BK64" s="476">
        <f t="shared" si="79"/>
        <v>0</v>
      </c>
      <c r="BL64" s="476">
        <f t="shared" si="79"/>
        <v>264</v>
      </c>
      <c r="BM64" s="476">
        <f t="shared" si="79"/>
        <v>0</v>
      </c>
      <c r="BN64" s="476">
        <f t="shared" si="79"/>
        <v>180</v>
      </c>
      <c r="BO64" s="476">
        <f t="shared" si="79"/>
        <v>285</v>
      </c>
      <c r="BP64" s="476">
        <f t="shared" si="79"/>
        <v>0</v>
      </c>
      <c r="BQ64" s="476">
        <f t="shared" si="79"/>
        <v>0</v>
      </c>
      <c r="BR64" s="476">
        <f t="shared" si="79"/>
        <v>0</v>
      </c>
      <c r="BS64" s="476">
        <f t="shared" si="79"/>
        <v>0</v>
      </c>
      <c r="BT64" s="476">
        <f t="shared" si="79"/>
        <v>0</v>
      </c>
      <c r="BU64" s="476">
        <f t="shared" si="79"/>
        <v>0</v>
      </c>
      <c r="BV64" s="476">
        <f t="shared" si="79"/>
        <v>0</v>
      </c>
      <c r="BW64" s="476">
        <f t="shared" si="79"/>
        <v>264</v>
      </c>
      <c r="BX64" s="477">
        <f t="shared" si="79"/>
        <v>0</v>
      </c>
      <c r="BY64" s="85"/>
    </row>
    <row r="65" spans="1:77" s="8" customFormat="1" ht="24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463" t="s">
        <v>63</v>
      </c>
      <c r="M65" s="480">
        <f>SUM(A64:M64)</f>
        <v>0</v>
      </c>
      <c r="N65" s="480">
        <f>SUM(C64:N64)</f>
        <v>0</v>
      </c>
      <c r="O65" s="480">
        <f>SUM(D64:O64)</f>
        <v>0</v>
      </c>
      <c r="P65" s="480">
        <f>SUM(E64:P64)</f>
        <v>0</v>
      </c>
      <c r="Q65" s="480">
        <f>SUM(F64:Q64)</f>
        <v>0</v>
      </c>
      <c r="R65" s="480">
        <f>SUM(G64:R64)</f>
        <v>0</v>
      </c>
      <c r="S65" s="480">
        <f t="shared" ref="S65" si="80">SUM(H64:S64)</f>
        <v>0</v>
      </c>
      <c r="T65" s="480">
        <f t="shared" ref="T65" si="81">SUM(I64:T64)</f>
        <v>0</v>
      </c>
      <c r="U65" s="480">
        <f t="shared" ref="U65" si="82">SUM(J64:U64)</f>
        <v>0</v>
      </c>
      <c r="V65" s="480">
        <f t="shared" ref="V65" si="83">SUM(K64:V64)</f>
        <v>0</v>
      </c>
      <c r="W65" s="480">
        <f t="shared" ref="W65" si="84">SUM(L64:W64)</f>
        <v>180</v>
      </c>
      <c r="X65" s="480">
        <f t="shared" ref="X65:AY65" si="85">SUM(M64:X64)</f>
        <v>180</v>
      </c>
      <c r="Y65" s="480">
        <f t="shared" si="85"/>
        <v>180</v>
      </c>
      <c r="Z65" s="480">
        <f t="shared" si="85"/>
        <v>180</v>
      </c>
      <c r="AA65" s="480">
        <f t="shared" si="85"/>
        <v>180</v>
      </c>
      <c r="AB65" s="480">
        <f t="shared" si="85"/>
        <v>180</v>
      </c>
      <c r="AC65" s="480">
        <f t="shared" si="85"/>
        <v>180</v>
      </c>
      <c r="AD65" s="480">
        <f t="shared" si="85"/>
        <v>180</v>
      </c>
      <c r="AE65" s="480">
        <f t="shared" si="85"/>
        <v>180</v>
      </c>
      <c r="AF65" s="480">
        <f t="shared" si="85"/>
        <v>180</v>
      </c>
      <c r="AG65" s="480">
        <f t="shared" si="85"/>
        <v>180</v>
      </c>
      <c r="AH65" s="480">
        <f t="shared" si="85"/>
        <v>180</v>
      </c>
      <c r="AI65" s="480">
        <f t="shared" si="85"/>
        <v>0</v>
      </c>
      <c r="AJ65" s="480">
        <f t="shared" si="85"/>
        <v>0</v>
      </c>
      <c r="AK65" s="480">
        <f t="shared" si="85"/>
        <v>0</v>
      </c>
      <c r="AL65" s="480">
        <f t="shared" si="85"/>
        <v>489</v>
      </c>
      <c r="AM65" s="480">
        <f t="shared" si="85"/>
        <v>489</v>
      </c>
      <c r="AN65" s="480">
        <f t="shared" si="85"/>
        <v>753</v>
      </c>
      <c r="AO65" s="480">
        <f t="shared" si="85"/>
        <v>753</v>
      </c>
      <c r="AP65" s="480">
        <f t="shared" si="85"/>
        <v>753</v>
      </c>
      <c r="AQ65" s="480">
        <f t="shared" si="85"/>
        <v>902</v>
      </c>
      <c r="AR65" s="480">
        <f t="shared" si="85"/>
        <v>902</v>
      </c>
      <c r="AS65" s="480">
        <f t="shared" si="85"/>
        <v>1564</v>
      </c>
      <c r="AT65" s="480" t="e">
        <f t="shared" si="85"/>
        <v>#N/A</v>
      </c>
      <c r="AU65" s="480" t="e">
        <f t="shared" si="85"/>
        <v>#N/A</v>
      </c>
      <c r="AV65" s="480" t="e">
        <f t="shared" si="85"/>
        <v>#N/A</v>
      </c>
      <c r="AW65" s="480" t="e">
        <f t="shared" si="85"/>
        <v>#N/A</v>
      </c>
      <c r="AX65" s="480" t="e">
        <f t="shared" si="85"/>
        <v>#N/A</v>
      </c>
      <c r="AY65" s="480" t="e">
        <f t="shared" si="85"/>
        <v>#N/A</v>
      </c>
      <c r="AZ65" s="480" t="e">
        <f t="shared" ref="AZ65" si="86">SUM(AO64:AZ64)</f>
        <v>#N/A</v>
      </c>
      <c r="BA65" s="480" t="e">
        <f t="shared" ref="BA65" si="87">SUM(AP64:BA64)</f>
        <v>#N/A</v>
      </c>
      <c r="BB65" s="480" t="e">
        <f t="shared" ref="BB65" si="88">SUM(AQ64:BB64)</f>
        <v>#N/A</v>
      </c>
      <c r="BC65" s="480" t="e">
        <f t="shared" ref="BC65" si="89">SUM(AR64:BC64)</f>
        <v>#N/A</v>
      </c>
      <c r="BD65" s="480" t="e">
        <f t="shared" ref="BD65" si="90">SUM(AS64:BD64)</f>
        <v>#N/A</v>
      </c>
      <c r="BE65" s="480" t="e">
        <f t="shared" ref="BE65" si="91">SUM(AT64:BE64)</f>
        <v>#N/A</v>
      </c>
      <c r="BF65" s="480">
        <f t="shared" ref="BF65" si="92">SUM(AU64:BF64)</f>
        <v>862</v>
      </c>
      <c r="BG65" s="480">
        <f t="shared" ref="BG65" si="93">SUM(AV64:BG64)</f>
        <v>1147</v>
      </c>
      <c r="BH65" s="480">
        <f t="shared" ref="BH65" si="94">SUM(AW64:BH64)</f>
        <v>1147</v>
      </c>
      <c r="BI65" s="480">
        <f t="shared" ref="BI65" si="95">SUM(AX64:BI64)</f>
        <v>1147</v>
      </c>
      <c r="BJ65" s="480">
        <f t="shared" ref="BJ65" si="96">SUM(AY64:BJ64)</f>
        <v>1147</v>
      </c>
      <c r="BK65" s="480">
        <f t="shared" ref="BK65" si="97">SUM(AZ64:BK64)</f>
        <v>1147</v>
      </c>
      <c r="BL65" s="480">
        <f t="shared" ref="BL65" si="98">SUM(BA64:BL64)</f>
        <v>1411</v>
      </c>
      <c r="BM65" s="480">
        <f t="shared" ref="BM65" si="99">SUM(BB64:BM64)</f>
        <v>1411</v>
      </c>
      <c r="BN65" s="480">
        <f t="shared" ref="BN65" si="100">SUM(BC64:BN64)</f>
        <v>1256</v>
      </c>
      <c r="BO65" s="480">
        <f t="shared" ref="BO65" si="101">SUM(BD64:BO64)</f>
        <v>1541</v>
      </c>
      <c r="BP65" s="480">
        <f t="shared" ref="BP65" si="102">SUM(BE64:BP64)</f>
        <v>1256</v>
      </c>
      <c r="BQ65" s="480">
        <f t="shared" ref="BQ65" si="103">SUM(BF64:BQ64)</f>
        <v>1014</v>
      </c>
      <c r="BR65" s="480">
        <f t="shared" ref="BR65" si="104">SUM(BG64:BR64)</f>
        <v>1014</v>
      </c>
      <c r="BS65" s="480">
        <f t="shared" ref="BS65" si="105">SUM(BH64:BS64)</f>
        <v>729</v>
      </c>
      <c r="BT65" s="480">
        <f t="shared" ref="BT65" si="106">SUM(BI64:BT64)</f>
        <v>729</v>
      </c>
      <c r="BU65" s="480">
        <f t="shared" ref="BU65" si="107">SUM(BJ64:BU64)</f>
        <v>729</v>
      </c>
      <c r="BV65" s="480">
        <f t="shared" ref="BV65" si="108">SUM(BK64:BV64)</f>
        <v>729</v>
      </c>
      <c r="BW65" s="480">
        <f t="shared" ref="BW65" si="109">SUM(BL64:BW64)</f>
        <v>993</v>
      </c>
      <c r="BX65" s="481">
        <f t="shared" ref="BX65" si="110">SUM(BM64:BX64)</f>
        <v>729</v>
      </c>
      <c r="BY65" s="87"/>
    </row>
    <row r="66" spans="1:77" s="8" customFormat="1" ht="24" customHeight="1" x14ac:dyDescent="0.25">
      <c r="A66"/>
      <c r="B66"/>
      <c r="C66" s="980" t="s">
        <v>1008</v>
      </c>
      <c r="D66" s="980"/>
      <c r="E66" s="980"/>
      <c r="F66"/>
      <c r="G66"/>
      <c r="H66"/>
      <c r="I66"/>
      <c r="J66"/>
      <c r="K66"/>
      <c r="L66"/>
      <c r="M66"/>
      <c r="N66"/>
      <c r="O66" s="148" t="s">
        <v>27</v>
      </c>
      <c r="P66" s="28" t="s">
        <v>1064</v>
      </c>
      <c r="Q66"/>
      <c r="R66"/>
      <c r="S66"/>
      <c r="T66"/>
      <c r="U66"/>
      <c r="V66"/>
      <c r="W66" s="736" t="s">
        <v>27</v>
      </c>
      <c r="X66" s="28" t="s">
        <v>1078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85">
        <v>334</v>
      </c>
      <c r="AU66" s="26" t="s">
        <v>89</v>
      </c>
      <c r="AV66"/>
      <c r="AW66"/>
      <c r="AX66"/>
      <c r="AY66" s="489">
        <v>339</v>
      </c>
      <c r="AZ66" s="26" t="s">
        <v>96</v>
      </c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</row>
    <row r="67" spans="1:77" s="8" customFormat="1" ht="24" customHeight="1" x14ac:dyDescent="0.25">
      <c r="A67"/>
      <c r="B67"/>
      <c r="C67" s="525"/>
      <c r="D67" s="525"/>
      <c r="E67" s="525"/>
      <c r="F67"/>
      <c r="G67"/>
      <c r="H67"/>
      <c r="I67"/>
      <c r="J67"/>
      <c r="K67"/>
      <c r="L67"/>
      <c r="M67"/>
      <c r="N67"/>
      <c r="Q67" s="84"/>
      <c r="R67" s="84"/>
      <c r="S67" s="84"/>
      <c r="T67" s="84"/>
      <c r="U67" s="84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BA67" s="278"/>
      <c r="BB67" s="278"/>
      <c r="BC67" s="278"/>
      <c r="BD67" s="278"/>
      <c r="BE67" s="278"/>
      <c r="BF67" s="278"/>
      <c r="BG67" s="278"/>
      <c r="BH67" s="278"/>
      <c r="BI67" s="278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/>
      <c r="BW67"/>
      <c r="BX67"/>
      <c r="BY67"/>
    </row>
    <row r="68" spans="1:77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</row>
    <row r="69" spans="1:77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</row>
    <row r="70" spans="1:77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</row>
    <row r="71" spans="1:77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</row>
    <row r="72" spans="1:77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</row>
    <row r="73" spans="1:77" s="8" customFormat="1" ht="24" customHeigh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</row>
    <row r="74" spans="1:77" s="8" customFormat="1" ht="24" customHeigh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</row>
    <row r="75" spans="1:77" s="8" customFormat="1" ht="24" customHeigh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</row>
    <row r="76" spans="1:77" s="8" customFormat="1" ht="24" customHeigh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</row>
    <row r="77" spans="1:77" s="8" customFormat="1" ht="24" customHeigh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</row>
    <row r="78" spans="1:77" s="8" customFormat="1" ht="24" customHeigh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</row>
    <row r="79" spans="1:77" s="8" customFormat="1" ht="24" customHeigh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</row>
    <row r="80" spans="1:77" s="8" customFormat="1" ht="24" customHeigh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</row>
    <row r="81" spans="1:77" s="8" customFormat="1" ht="24" customHeigh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</row>
    <row r="82" spans="1:77" s="8" customFormat="1" ht="24" customHeigh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</row>
    <row r="83" spans="1:77" s="8" customFormat="1" ht="24" customHeigh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</row>
    <row r="84" spans="1:77" s="8" customFormat="1" ht="24" customHeigh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</row>
    <row r="85" spans="1:77" s="8" customFormat="1" ht="24" customHeigh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</row>
    <row r="86" spans="1:77" s="8" customFormat="1" ht="24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</row>
    <row r="87" spans="1:77" s="8" customFormat="1" ht="24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</row>
    <row r="88" spans="1:77" s="8" customFormat="1" ht="24" customHeigh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</row>
    <row r="89" spans="1:77" s="8" customFormat="1" ht="24" customHeigh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</row>
    <row r="90" spans="1:77" s="8" customFormat="1" ht="24" customHeigh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</row>
    <row r="91" spans="1:77" s="8" customFormat="1" ht="24" customHeigh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</row>
    <row r="92" spans="1:77" s="8" customFormat="1" ht="24" customHeigh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</row>
    <row r="93" spans="1:77" s="8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</row>
    <row r="94" spans="1:77" s="8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</row>
    <row r="95" spans="1:77" s="8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</row>
    <row r="96" spans="1:77" s="8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</row>
    <row r="97" spans="1:77" s="8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</row>
    <row r="98" spans="1:77" s="8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</row>
    <row r="99" spans="1:77" s="8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</row>
    <row r="100" spans="1:77" s="8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</row>
    <row r="101" spans="1:77" s="8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</row>
    <row r="102" spans="1:77" s="8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</row>
    <row r="103" spans="1:7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</row>
    <row r="104" spans="1:7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</row>
    <row r="105" spans="1:7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</row>
    <row r="106" spans="1:7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</row>
    <row r="107" spans="1:7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</row>
    <row r="108" spans="1:7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</row>
    <row r="109" spans="1:77" x14ac:dyDescent="0.25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1:77" x14ac:dyDescent="0.25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77" x14ac:dyDescent="0.25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1:77" x14ac:dyDescent="0.25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1:73" x14ac:dyDescent="0.25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73" x14ac:dyDescent="0.25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1:73" x14ac:dyDescent="0.25">
      <c r="A115" s="25"/>
      <c r="B115" s="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1:73" x14ac:dyDescent="0.25">
      <c r="A116" s="25"/>
      <c r="B116" s="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73" x14ac:dyDescent="0.25">
      <c r="A117" s="25"/>
      <c r="B117" s="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1:73" x14ac:dyDescent="0.25">
      <c r="A118" s="25"/>
      <c r="B118" s="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</row>
    <row r="119" spans="1:73" x14ac:dyDescent="0.25">
      <c r="A119" s="25"/>
      <c r="B119" s="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</row>
    <row r="120" spans="1:73" x14ac:dyDescent="0.25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</row>
    <row r="121" spans="1:73" x14ac:dyDescent="0.25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</row>
    <row r="122" spans="1:73" x14ac:dyDescent="0.25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</row>
    <row r="123" spans="1:73" x14ac:dyDescent="0.25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</row>
    <row r="124" spans="1:73" x14ac:dyDescent="0.25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</row>
    <row r="125" spans="1:73" x14ac:dyDescent="0.25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</row>
    <row r="126" spans="1:73" x14ac:dyDescent="0.25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</row>
    <row r="127" spans="1:73" x14ac:dyDescent="0.25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</row>
    <row r="128" spans="1:73" x14ac:dyDescent="0.25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</row>
    <row r="129" spans="2:73" x14ac:dyDescent="0.25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</row>
    <row r="130" spans="2:73" x14ac:dyDescent="0.25"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</row>
    <row r="131" spans="2:73" x14ac:dyDescent="0.25"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</row>
    <row r="132" spans="2:73" x14ac:dyDescent="0.25"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</row>
    <row r="133" spans="2:73" x14ac:dyDescent="0.25"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</row>
    <row r="134" spans="2:73" x14ac:dyDescent="0.25"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</row>
    <row r="135" spans="2:73" x14ac:dyDescent="0.25"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</row>
    <row r="136" spans="2:73" x14ac:dyDescent="0.25"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</row>
    <row r="137" spans="2:73" x14ac:dyDescent="0.25"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</row>
    <row r="138" spans="2:73" x14ac:dyDescent="0.25"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</row>
    <row r="139" spans="2:73" x14ac:dyDescent="0.25"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</row>
    <row r="140" spans="2:73" x14ac:dyDescent="0.25"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</row>
    <row r="141" spans="2:73" x14ac:dyDescent="0.25"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</row>
    <row r="142" spans="2:73" x14ac:dyDescent="0.25"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</row>
    <row r="143" spans="2:73" x14ac:dyDescent="0.25"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</row>
    <row r="144" spans="2:73" x14ac:dyDescent="0.25"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</row>
    <row r="145" spans="2:73" x14ac:dyDescent="0.25"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</row>
    <row r="146" spans="2:73" x14ac:dyDescent="0.25"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</row>
    <row r="147" spans="2:73" x14ac:dyDescent="0.25"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</row>
    <row r="148" spans="2:73" x14ac:dyDescent="0.25"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</row>
    <row r="149" spans="2:73" x14ac:dyDescent="0.25"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</row>
    <row r="150" spans="2:73" x14ac:dyDescent="0.25"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</row>
    <row r="151" spans="2:73" x14ac:dyDescent="0.25"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</row>
    <row r="152" spans="2:73" x14ac:dyDescent="0.25"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</row>
  </sheetData>
  <mergeCells count="10">
    <mergeCell ref="C66:E66"/>
    <mergeCell ref="A4:C5"/>
    <mergeCell ref="H4:H6"/>
    <mergeCell ref="F3:L3"/>
    <mergeCell ref="H2:I2"/>
    <mergeCell ref="D4:D5"/>
    <mergeCell ref="G4:G6"/>
    <mergeCell ref="F4:F6"/>
    <mergeCell ref="E2:G2"/>
    <mergeCell ref="A6:C6"/>
  </mergeCells>
  <conditionalFormatting sqref="M55:BX55">
    <cfRule type="top10" dxfId="95" priority="23" rank="1"/>
    <cfRule type="top10" dxfId="94" priority="24" percent="1" rank="10"/>
  </conditionalFormatting>
  <conditionalFormatting sqref="M58:M59">
    <cfRule type="expression" dxfId="93" priority="19">
      <formula>M57/$L$58&gt;0.6</formula>
    </cfRule>
  </conditionalFormatting>
  <conditionalFormatting sqref="N58:N59">
    <cfRule type="expression" dxfId="92" priority="18">
      <formula>N57/$L$58&gt;0.6</formula>
    </cfRule>
  </conditionalFormatting>
  <conditionalFormatting sqref="O58:AN58 O59:V59">
    <cfRule type="cellIs" dxfId="91" priority="17" operator="equal">
      <formula>"E"</formula>
    </cfRule>
  </conditionalFormatting>
  <conditionalFormatting sqref="AO58:BW58">
    <cfRule type="cellIs" dxfId="90" priority="16" operator="equal">
      <formula>"D"</formula>
    </cfRule>
  </conditionalFormatting>
  <conditionalFormatting sqref="V58:BX58 V59 BX59">
    <cfRule type="cellIs" dxfId="89" priority="13" operator="equal">
      <formula>"A"</formula>
    </cfRule>
    <cfRule type="cellIs" dxfId="88" priority="14" operator="equal">
      <formula>"B"</formula>
    </cfRule>
    <cfRule type="cellIs" dxfId="87" priority="15" operator="equal">
      <formula>"C"</formula>
    </cfRule>
  </conditionalFormatting>
  <conditionalFormatting sqref="W59">
    <cfRule type="top10" dxfId="86" priority="12" rank="1"/>
  </conditionalFormatting>
  <conditionalFormatting sqref="X59:BW59">
    <cfRule type="top10" dxfId="85" priority="11" rank="1"/>
  </conditionalFormatting>
  <conditionalFormatting sqref="N51:BX51">
    <cfRule type="top10" dxfId="84" priority="41" rank="1"/>
    <cfRule type="top10" dxfId="83" priority="42" percent="1" rank="10"/>
  </conditionalFormatting>
  <conditionalFormatting sqref="M62:BX62">
    <cfRule type="top10" dxfId="82" priority="5" rank="1"/>
  </conditionalFormatting>
  <conditionalFormatting sqref="M50:BX50">
    <cfRule type="top10" dxfId="81" priority="3" percent="1" rank="10"/>
    <cfRule type="top10" dxfId="80" priority="4" rank="1"/>
  </conditionalFormatting>
  <conditionalFormatting sqref="M65:BX65">
    <cfRule type="top10" dxfId="79" priority="1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B153"/>
  <sheetViews>
    <sheetView zoomScale="70" zoomScaleNormal="70" workbookViewId="0">
      <pane xSplit="14" ySplit="6" topLeftCell="O7" activePane="bottomRight" state="frozen"/>
      <selection activeCell="M11" sqref="M11"/>
      <selection pane="topRight" activeCell="M11" sqref="M11"/>
      <selection pane="bottomLeft" activeCell="M11" sqref="M11"/>
      <selection pane="bottomRight" activeCell="AK14" sqref="AK14"/>
    </sheetView>
  </sheetViews>
  <sheetFormatPr defaultRowHeight="15" x14ac:dyDescent="0.25"/>
  <cols>
    <col min="1" max="2" width="4.7109375" style="562" customWidth="1"/>
    <col min="3" max="3" width="36.5703125" style="562" customWidth="1"/>
    <col min="4" max="5" width="6.7109375" style="4" customWidth="1"/>
    <col min="6" max="7" width="4.7109375" style="4" customWidth="1"/>
    <col min="8" max="9" width="6.5703125" style="4" customWidth="1"/>
    <col min="10" max="10" width="12.7109375" style="4" customWidth="1"/>
    <col min="11" max="11" width="8.7109375" style="4" hidden="1" customWidth="1"/>
    <col min="12" max="13" width="6.7109375" style="4" customWidth="1"/>
    <col min="14" max="14" width="9.7109375" style="4" customWidth="1"/>
    <col min="15" max="34" width="6.7109375" style="4" customWidth="1"/>
    <col min="35" max="78" width="6.7109375" style="562" customWidth="1"/>
    <col min="79" max="79" width="30.7109375" style="562" customWidth="1"/>
    <col min="80" max="16384" width="9.140625" style="562"/>
  </cols>
  <sheetData>
    <row r="1" spans="1:79" ht="24" customHeight="1" x14ac:dyDescent="0.35">
      <c r="A1" s="1" t="s">
        <v>0</v>
      </c>
      <c r="B1" s="1"/>
      <c r="C1" s="3"/>
      <c r="O1" s="5" t="s">
        <v>1091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4"/>
    </row>
    <row r="2" spans="1:79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2"/>
      <c r="F2" s="992"/>
      <c r="G2" s="992"/>
      <c r="H2" s="561"/>
      <c r="I2" s="561"/>
      <c r="J2" s="989"/>
      <c r="K2" s="989"/>
      <c r="L2" s="11"/>
      <c r="M2" s="11"/>
      <c r="N2" s="41" t="s">
        <v>1</v>
      </c>
      <c r="O2" s="11" t="str">
        <f>'Departure Lounge 2027'!M2</f>
        <v>PERTH: New International Pier (STEP) - Project Definition Update</v>
      </c>
      <c r="Z2" s="11"/>
      <c r="AA2" s="11"/>
      <c r="AB2" s="11"/>
      <c r="AC2" s="11"/>
      <c r="AD2" s="11"/>
      <c r="AE2" s="11"/>
      <c r="AF2" s="11"/>
      <c r="AG2" s="11"/>
      <c r="AH2" s="11"/>
      <c r="AI2" s="10"/>
    </row>
    <row r="3" spans="1:79" s="8" customFormat="1" ht="24" customHeight="1" thickBot="1" x14ac:dyDescent="0.3">
      <c r="A3" s="156" t="s">
        <v>2</v>
      </c>
      <c r="B3" s="549"/>
      <c r="C3" s="706">
        <f>'Departure Lounge 2027'!C3</f>
        <v>42075</v>
      </c>
      <c r="D3" s="347" t="s">
        <v>968</v>
      </c>
      <c r="E3" s="707">
        <f>'Departure Lounge 2027'!E3</f>
        <v>7</v>
      </c>
      <c r="F3" s="988" t="str">
        <f>VLOOKUP(E3,Revision,3,FALSE)</f>
        <v>Workbook audited for release to PAPL</v>
      </c>
      <c r="G3" s="988"/>
      <c r="H3" s="998"/>
      <c r="I3" s="998"/>
      <c r="J3" s="988"/>
      <c r="K3" s="988"/>
      <c r="L3" s="988"/>
      <c r="M3" s="988"/>
      <c r="N3" s="988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4"/>
      <c r="BZ3" s="14"/>
      <c r="CA3" s="14"/>
    </row>
    <row r="4" spans="1:79" s="8" customFormat="1" ht="24" customHeight="1" x14ac:dyDescent="0.25">
      <c r="A4" s="999" t="str">
        <f>'Departure Lounge 2027'!A4:C5</f>
        <v>STEP: 24/Jan/15 Schedule (Sat.) with 5 added &amp; 3 upsized flights</v>
      </c>
      <c r="B4" s="1000"/>
      <c r="C4" s="1000"/>
      <c r="D4" s="990">
        <v>2</v>
      </c>
      <c r="E4" s="279"/>
      <c r="F4" s="985" t="s">
        <v>944</v>
      </c>
      <c r="G4" s="985" t="s">
        <v>943</v>
      </c>
      <c r="H4" s="1006" t="s">
        <v>1063</v>
      </c>
      <c r="I4" s="1003" t="s">
        <v>1080</v>
      </c>
      <c r="J4" s="985" t="s">
        <v>93</v>
      </c>
      <c r="K4" s="279"/>
      <c r="L4" s="634"/>
      <c r="M4" s="281" t="s">
        <v>29</v>
      </c>
      <c r="N4" s="770">
        <f>'Departure Lounge 2027'!L4</f>
        <v>0.9</v>
      </c>
      <c r="O4" s="282"/>
      <c r="P4" s="283" t="s">
        <v>939</v>
      </c>
      <c r="Q4" s="280"/>
      <c r="R4" s="280"/>
      <c r="S4" s="282"/>
      <c r="T4" s="280"/>
      <c r="U4" s="280"/>
      <c r="V4" s="280"/>
      <c r="W4" s="280"/>
      <c r="X4" s="280"/>
      <c r="Y4" s="283"/>
      <c r="Z4" s="280"/>
      <c r="AA4" s="280"/>
      <c r="AB4" s="280"/>
      <c r="AC4" s="280"/>
      <c r="AD4" s="280"/>
      <c r="AE4" s="280"/>
      <c r="AF4" s="280"/>
      <c r="AG4" s="280"/>
      <c r="AH4" s="280"/>
      <c r="AI4" s="284"/>
      <c r="AJ4" s="284"/>
      <c r="AK4" s="285"/>
      <c r="AL4" s="280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84"/>
      <c r="BN4" s="284"/>
      <c r="BO4" s="284"/>
      <c r="BP4" s="284"/>
      <c r="BQ4" s="284"/>
      <c r="BR4" s="284"/>
      <c r="BS4" s="284"/>
      <c r="BT4" s="284"/>
      <c r="BU4" s="284"/>
      <c r="BV4" s="284"/>
      <c r="BW4" s="284"/>
      <c r="BX4" s="284"/>
      <c r="BY4" s="284"/>
      <c r="BZ4" s="280"/>
      <c r="CA4" s="287"/>
    </row>
    <row r="5" spans="1:79" s="8" customFormat="1" ht="24" customHeight="1" thickBot="1" x14ac:dyDescent="0.3">
      <c r="A5" s="1001"/>
      <c r="B5" s="1002"/>
      <c r="C5" s="1002"/>
      <c r="D5" s="991"/>
      <c r="E5" s="288"/>
      <c r="F5" s="986"/>
      <c r="G5" s="986"/>
      <c r="H5" s="1007"/>
      <c r="I5" s="1004"/>
      <c r="J5" s="986"/>
      <c r="K5" s="288"/>
      <c r="L5" s="976" t="str">
        <f>'Departure Lounge 2027'!J5</f>
        <v>Typical for 'Busy Hour'</v>
      </c>
      <c r="M5" s="636"/>
      <c r="N5" s="637"/>
      <c r="O5" s="290"/>
      <c r="P5" s="289"/>
      <c r="Q5" s="289"/>
      <c r="R5" s="289"/>
      <c r="S5" s="290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91"/>
      <c r="AJ5" s="291"/>
      <c r="AK5" s="292"/>
      <c r="AL5" s="289"/>
      <c r="AM5" s="293"/>
      <c r="AN5" s="293"/>
      <c r="AO5" s="293"/>
      <c r="AP5" s="293"/>
      <c r="AQ5" s="293"/>
      <c r="AR5" s="293"/>
      <c r="AS5" s="293"/>
      <c r="AT5" s="293"/>
      <c r="AU5" s="293"/>
      <c r="AV5" s="293"/>
      <c r="AW5" s="291"/>
      <c r="AX5" s="291"/>
      <c r="AY5" s="291"/>
      <c r="AZ5" s="291"/>
      <c r="BA5" s="291"/>
      <c r="BB5" s="291"/>
      <c r="BC5" s="291"/>
      <c r="BD5" s="291"/>
      <c r="BE5" s="291"/>
      <c r="BF5" s="291"/>
      <c r="BG5" s="291"/>
      <c r="BH5" s="291"/>
      <c r="BI5" s="291"/>
      <c r="BJ5" s="291"/>
      <c r="BK5" s="291"/>
      <c r="BL5" s="291"/>
      <c r="BM5" s="291"/>
      <c r="BN5" s="291"/>
      <c r="BO5" s="291"/>
      <c r="BP5" s="291"/>
      <c r="BQ5" s="291"/>
      <c r="BR5" s="291"/>
      <c r="BS5" s="291"/>
      <c r="BT5" s="291"/>
      <c r="BU5" s="291"/>
      <c r="BV5" s="291"/>
      <c r="BW5" s="291"/>
      <c r="BX5" s="291"/>
      <c r="BY5" s="291"/>
      <c r="BZ5" s="289"/>
      <c r="CA5" s="294"/>
    </row>
    <row r="6" spans="1:79" s="8" customFormat="1" ht="45" customHeight="1" x14ac:dyDescent="0.25">
      <c r="A6" s="1009" t="e">
        <f>'Departure Lounge 2027'!A6:C6</f>
        <v>#N/A</v>
      </c>
      <c r="B6" s="1010"/>
      <c r="C6" s="1010"/>
      <c r="D6" s="295" t="s">
        <v>25</v>
      </c>
      <c r="E6" s="295" t="s">
        <v>26</v>
      </c>
      <c r="F6" s="987"/>
      <c r="G6" s="987"/>
      <c r="H6" s="1008"/>
      <c r="I6" s="1005"/>
      <c r="J6" s="987"/>
      <c r="K6" s="296" t="s">
        <v>94</v>
      </c>
      <c r="L6" s="297" t="s">
        <v>46</v>
      </c>
      <c r="M6" s="298" t="s">
        <v>67</v>
      </c>
      <c r="N6" s="295" t="s">
        <v>3</v>
      </c>
      <c r="O6" s="778">
        <v>0.16666666666666666</v>
      </c>
      <c r="P6" s="779">
        <f t="shared" ref="P6:AK6" si="0">O6+5/(60*24)</f>
        <v>0.17013888888888887</v>
      </c>
      <c r="Q6" s="779">
        <f t="shared" si="0"/>
        <v>0.17361111111111108</v>
      </c>
      <c r="R6" s="779">
        <f t="shared" si="0"/>
        <v>0.17708333333333329</v>
      </c>
      <c r="S6" s="779">
        <f t="shared" si="0"/>
        <v>0.1805555555555555</v>
      </c>
      <c r="T6" s="779">
        <f t="shared" si="0"/>
        <v>0.18402777777777771</v>
      </c>
      <c r="U6" s="779">
        <f t="shared" si="0"/>
        <v>0.18749999999999992</v>
      </c>
      <c r="V6" s="779">
        <f t="shared" si="0"/>
        <v>0.19097222222222213</v>
      </c>
      <c r="W6" s="779">
        <f t="shared" si="0"/>
        <v>0.19444444444444434</v>
      </c>
      <c r="X6" s="779">
        <f t="shared" si="0"/>
        <v>0.19791666666666655</v>
      </c>
      <c r="Y6" s="779">
        <f t="shared" si="0"/>
        <v>0.20138888888888876</v>
      </c>
      <c r="Z6" s="779">
        <f t="shared" si="0"/>
        <v>0.20486111111111097</v>
      </c>
      <c r="AA6" s="777">
        <f t="shared" si="0"/>
        <v>0.20833333333333318</v>
      </c>
      <c r="AB6" s="779">
        <f t="shared" si="0"/>
        <v>0.21180555555555539</v>
      </c>
      <c r="AC6" s="779">
        <f t="shared" si="0"/>
        <v>0.2152777777777776</v>
      </c>
      <c r="AD6" s="779">
        <f t="shared" si="0"/>
        <v>0.21874999999999981</v>
      </c>
      <c r="AE6" s="779">
        <f t="shared" si="0"/>
        <v>0.22222222222222202</v>
      </c>
      <c r="AF6" s="779">
        <f t="shared" si="0"/>
        <v>0.22569444444444423</v>
      </c>
      <c r="AG6" s="779">
        <f t="shared" si="0"/>
        <v>0.22916666666666644</v>
      </c>
      <c r="AH6" s="779">
        <f t="shared" si="0"/>
        <v>0.23263888888888865</v>
      </c>
      <c r="AI6" s="779">
        <f t="shared" si="0"/>
        <v>0.23611111111111086</v>
      </c>
      <c r="AJ6" s="779">
        <f t="shared" si="0"/>
        <v>0.23958333333333307</v>
      </c>
      <c r="AK6" s="779">
        <f t="shared" si="0"/>
        <v>0.24305555555555527</v>
      </c>
      <c r="AL6" s="779">
        <f>AK6+5/(60*24)</f>
        <v>0.24652777777777748</v>
      </c>
      <c r="AM6" s="780">
        <f t="shared" ref="AM6:BZ6" si="1">AL6+5/(60*24)</f>
        <v>0.24999999999999969</v>
      </c>
      <c r="AN6" s="779">
        <f t="shared" si="1"/>
        <v>0.25347222222222193</v>
      </c>
      <c r="AO6" s="779">
        <f t="shared" si="1"/>
        <v>0.25694444444444414</v>
      </c>
      <c r="AP6" s="779">
        <f t="shared" si="1"/>
        <v>0.26041666666666635</v>
      </c>
      <c r="AQ6" s="779">
        <f t="shared" si="1"/>
        <v>0.26388888888888856</v>
      </c>
      <c r="AR6" s="779">
        <f t="shared" si="1"/>
        <v>0.26736111111111077</v>
      </c>
      <c r="AS6" s="779">
        <f t="shared" si="1"/>
        <v>0.27083333333333298</v>
      </c>
      <c r="AT6" s="779">
        <f t="shared" si="1"/>
        <v>0.27430555555555519</v>
      </c>
      <c r="AU6" s="779">
        <f t="shared" si="1"/>
        <v>0.2777777777777774</v>
      </c>
      <c r="AV6" s="779">
        <f t="shared" si="1"/>
        <v>0.28124999999999961</v>
      </c>
      <c r="AW6" s="779">
        <f t="shared" si="1"/>
        <v>0.28472222222222182</v>
      </c>
      <c r="AX6" s="779">
        <f t="shared" si="1"/>
        <v>0.28819444444444403</v>
      </c>
      <c r="AY6" s="780">
        <f t="shared" si="1"/>
        <v>0.29166666666666624</v>
      </c>
      <c r="AZ6" s="779">
        <f t="shared" si="1"/>
        <v>0.29513888888888845</v>
      </c>
      <c r="BA6" s="779">
        <f t="shared" si="1"/>
        <v>0.29861111111111066</v>
      </c>
      <c r="BB6" s="779">
        <f t="shared" si="1"/>
        <v>0.30208333333333287</v>
      </c>
      <c r="BC6" s="779">
        <f t="shared" si="1"/>
        <v>0.30555555555555508</v>
      </c>
      <c r="BD6" s="779">
        <f t="shared" si="1"/>
        <v>0.30902777777777729</v>
      </c>
      <c r="BE6" s="779">
        <f t="shared" si="1"/>
        <v>0.3124999999999995</v>
      </c>
      <c r="BF6" s="779">
        <f t="shared" si="1"/>
        <v>0.31597222222222171</v>
      </c>
      <c r="BG6" s="779">
        <f t="shared" si="1"/>
        <v>0.31944444444444392</v>
      </c>
      <c r="BH6" s="779">
        <f t="shared" si="1"/>
        <v>0.32291666666666613</v>
      </c>
      <c r="BI6" s="779">
        <f t="shared" si="1"/>
        <v>0.32638888888888834</v>
      </c>
      <c r="BJ6" s="779">
        <f t="shared" si="1"/>
        <v>0.32986111111111055</v>
      </c>
      <c r="BK6" s="781">
        <f t="shared" si="1"/>
        <v>0.33333333333333276</v>
      </c>
      <c r="BL6" s="779">
        <f t="shared" si="1"/>
        <v>0.33680555555555497</v>
      </c>
      <c r="BM6" s="779">
        <f t="shared" si="1"/>
        <v>0.34027777777777718</v>
      </c>
      <c r="BN6" s="779">
        <f t="shared" si="1"/>
        <v>0.34374999999999939</v>
      </c>
      <c r="BO6" s="779">
        <f t="shared" si="1"/>
        <v>0.3472222222222216</v>
      </c>
      <c r="BP6" s="779">
        <f t="shared" si="1"/>
        <v>0.35069444444444381</v>
      </c>
      <c r="BQ6" s="779">
        <f t="shared" si="1"/>
        <v>0.35416666666666602</v>
      </c>
      <c r="BR6" s="779">
        <f t="shared" si="1"/>
        <v>0.35763888888888823</v>
      </c>
      <c r="BS6" s="779">
        <f t="shared" si="1"/>
        <v>0.36111111111111044</v>
      </c>
      <c r="BT6" s="779">
        <f t="shared" si="1"/>
        <v>0.36458333333333265</v>
      </c>
      <c r="BU6" s="779">
        <f t="shared" si="1"/>
        <v>0.36805555555555486</v>
      </c>
      <c r="BV6" s="779">
        <f t="shared" si="1"/>
        <v>0.37152777777777707</v>
      </c>
      <c r="BW6" s="780">
        <f t="shared" si="1"/>
        <v>0.37499999999999928</v>
      </c>
      <c r="BX6" s="779">
        <f t="shared" si="1"/>
        <v>0.37847222222222149</v>
      </c>
      <c r="BY6" s="779">
        <f t="shared" si="1"/>
        <v>0.3819444444444437</v>
      </c>
      <c r="BZ6" s="779">
        <f t="shared" si="1"/>
        <v>0.38541666666666591</v>
      </c>
      <c r="CA6" s="301" t="s">
        <v>153</v>
      </c>
    </row>
    <row r="7" spans="1:79" s="8" customFormat="1" ht="30" customHeight="1" x14ac:dyDescent="0.25">
      <c r="A7" s="157" t="s">
        <v>107</v>
      </c>
      <c r="B7" s="550"/>
      <c r="C7" s="43" t="e">
        <f>CONCATENATE(VLOOKUP(A7,Airlines,2,FALSE)," to ",VLOOKUP(E7,Destinations,2,FALSE),", ",VLOOKUP(L7,Aircraft,2,FALSE))</f>
        <v>#N/A</v>
      </c>
      <c r="D7" s="78">
        <v>132</v>
      </c>
      <c r="E7" s="79" t="s">
        <v>132</v>
      </c>
      <c r="F7" s="80" t="s">
        <v>65</v>
      </c>
      <c r="G7" s="221" t="str">
        <f t="shared" ref="G7:G49" si="2">VLOOKUP(L7,Aircraft,3,FALSE)</f>
        <v>C</v>
      </c>
      <c r="H7" s="722"/>
      <c r="I7" s="723"/>
      <c r="J7" s="154">
        <v>6.9444444444444441E-3</v>
      </c>
      <c r="K7" s="154"/>
      <c r="L7" s="80">
        <v>320</v>
      </c>
      <c r="M7" s="44">
        <f t="shared" ref="M7:M18" si="3">IF(F7="S",VLOOKUP(L7,Aircraft,4,FALSE),VLOOKUP(L7,Aircraft,5,FALSE))</f>
        <v>180</v>
      </c>
      <c r="N7" s="219">
        <f t="shared" ref="N7:N49" si="4">ROUND(M7*N$4,0)</f>
        <v>162</v>
      </c>
      <c r="O7" s="222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4"/>
      <c r="AG7" s="223"/>
      <c r="AH7" s="223"/>
      <c r="AI7" s="223"/>
      <c r="AJ7" s="223"/>
      <c r="AK7" s="225"/>
      <c r="AL7" s="226"/>
      <c r="AM7" s="226"/>
      <c r="AN7" s="227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6"/>
      <c r="AZ7" s="226"/>
      <c r="BA7" s="226"/>
      <c r="BB7" s="226"/>
      <c r="BC7" s="226"/>
      <c r="BD7" s="226"/>
      <c r="BE7" s="226"/>
      <c r="BF7" s="226"/>
      <c r="BG7" s="226"/>
      <c r="BH7" s="226"/>
      <c r="BI7" s="226"/>
      <c r="BJ7" s="226"/>
      <c r="BK7" s="226"/>
      <c r="BL7" s="226"/>
      <c r="BM7" s="226"/>
      <c r="BN7" s="226"/>
      <c r="BO7" s="226"/>
      <c r="BP7" s="226"/>
      <c r="BQ7" s="226"/>
      <c r="BR7" s="226"/>
      <c r="BS7" s="226"/>
      <c r="BT7" s="226"/>
      <c r="BU7" s="226"/>
      <c r="BV7" s="226"/>
      <c r="BW7" s="226"/>
      <c r="BX7" s="226"/>
      <c r="BY7" s="226"/>
      <c r="BZ7" s="228"/>
      <c r="CA7" s="359"/>
    </row>
    <row r="8" spans="1:79" s="8" customFormat="1" ht="30" hidden="1" customHeight="1" x14ac:dyDescent="0.25">
      <c r="A8" s="251" t="s">
        <v>107</v>
      </c>
      <c r="B8" s="551"/>
      <c r="C8" s="252" t="e">
        <f>CONCATENATE(VLOOKUP(A8,Airlines,2,FALSE)," to ",VLOOKUP(E8,Destinations,2,FALSE),", ",VLOOKUP(L8,Aircraft,2,FALSE))</f>
        <v>#N/A</v>
      </c>
      <c r="D8" s="253">
        <v>138</v>
      </c>
      <c r="E8" s="254" t="s">
        <v>132</v>
      </c>
      <c r="F8" s="270" t="s">
        <v>65</v>
      </c>
      <c r="G8" s="255" t="str">
        <f t="shared" si="2"/>
        <v>C</v>
      </c>
      <c r="H8" s="724"/>
      <c r="I8" s="725"/>
      <c r="J8" s="256">
        <v>2.7777777777777776E-2</v>
      </c>
      <c r="K8" s="256"/>
      <c r="L8" s="257">
        <v>320</v>
      </c>
      <c r="M8" s="258">
        <f t="shared" si="3"/>
        <v>180</v>
      </c>
      <c r="N8" s="259">
        <f t="shared" si="4"/>
        <v>162</v>
      </c>
      <c r="O8" s="260"/>
      <c r="P8" s="261"/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1"/>
      <c r="AG8" s="262"/>
      <c r="AH8" s="261"/>
      <c r="AI8" s="261"/>
      <c r="AJ8" s="261"/>
      <c r="AK8" s="263"/>
      <c r="AL8" s="264"/>
      <c r="AM8" s="264"/>
      <c r="AN8" s="265"/>
      <c r="AO8" s="264"/>
      <c r="AP8" s="264"/>
      <c r="AQ8" s="264"/>
      <c r="AR8" s="264"/>
      <c r="AS8" s="264"/>
      <c r="AT8" s="264"/>
      <c r="AU8" s="264"/>
      <c r="AV8" s="264"/>
      <c r="AW8" s="264"/>
      <c r="AX8" s="264"/>
      <c r="AY8" s="264"/>
      <c r="AZ8" s="264"/>
      <c r="BA8" s="264"/>
      <c r="BB8" s="264"/>
      <c r="BC8" s="264"/>
      <c r="BD8" s="264"/>
      <c r="BE8" s="264"/>
      <c r="BF8" s="264"/>
      <c r="BG8" s="264"/>
      <c r="BH8" s="264"/>
      <c r="BI8" s="264"/>
      <c r="BJ8" s="264"/>
      <c r="BK8" s="264"/>
      <c r="BL8" s="264"/>
      <c r="BM8" s="264"/>
      <c r="BN8" s="264"/>
      <c r="BO8" s="264"/>
      <c r="BP8" s="264"/>
      <c r="BQ8" s="264"/>
      <c r="BR8" s="264"/>
      <c r="BS8" s="264"/>
      <c r="BT8" s="264"/>
      <c r="BU8" s="264"/>
      <c r="BV8" s="264"/>
      <c r="BW8" s="264"/>
      <c r="BX8" s="264"/>
      <c r="BY8" s="264"/>
      <c r="BZ8" s="266"/>
      <c r="CA8" s="360"/>
    </row>
    <row r="9" spans="1:79" s="8" customFormat="1" ht="30" hidden="1" customHeight="1" x14ac:dyDescent="0.25">
      <c r="A9" s="158" t="s">
        <v>104</v>
      </c>
      <c r="B9" s="550"/>
      <c r="C9" s="43" t="e">
        <f t="shared" ref="C9:C49" si="5">CONCATENATE(VLOOKUP(A9,Airlines,2,FALSE)," to ",VLOOKUP(E9,Destinations,2,FALSE),", ",VLOOKUP(L9,All_Aircraft,3,FALSE))</f>
        <v>#N/A</v>
      </c>
      <c r="D9" s="81">
        <v>216</v>
      </c>
      <c r="E9" s="82" t="s">
        <v>132</v>
      </c>
      <c r="F9" s="59" t="s">
        <v>64</v>
      </c>
      <c r="G9" s="92" t="str">
        <f t="shared" si="2"/>
        <v>E</v>
      </c>
      <c r="H9" s="726"/>
      <c r="I9" s="727"/>
      <c r="J9" s="155">
        <v>8.6805555555555552E-2</v>
      </c>
      <c r="K9" s="155"/>
      <c r="L9" s="59">
        <v>333</v>
      </c>
      <c r="M9" s="44">
        <f t="shared" si="3"/>
        <v>285</v>
      </c>
      <c r="N9" s="220">
        <f t="shared" si="4"/>
        <v>257</v>
      </c>
      <c r="O9" s="229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1"/>
      <c r="AH9" s="230"/>
      <c r="AI9" s="230"/>
      <c r="AJ9" s="230"/>
      <c r="AK9" s="232"/>
      <c r="AL9" s="233"/>
      <c r="AM9" s="233"/>
      <c r="AN9" s="234"/>
      <c r="AO9" s="233"/>
      <c r="AP9" s="233"/>
      <c r="AQ9" s="233"/>
      <c r="AR9" s="233"/>
      <c r="AS9" s="233"/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233"/>
      <c r="BG9" s="233"/>
      <c r="BH9" s="233"/>
      <c r="BI9" s="233"/>
      <c r="BJ9" s="233"/>
      <c r="BK9" s="233"/>
      <c r="BL9" s="233"/>
      <c r="BM9" s="233"/>
      <c r="BN9" s="233"/>
      <c r="BO9" s="233"/>
      <c r="BP9" s="233"/>
      <c r="BQ9" s="233"/>
      <c r="BR9" s="233"/>
      <c r="BS9" s="233"/>
      <c r="BT9" s="233"/>
      <c r="BU9" s="233"/>
      <c r="BV9" s="233"/>
      <c r="BW9" s="233"/>
      <c r="BX9" s="233"/>
      <c r="BY9" s="233"/>
      <c r="BZ9" s="235"/>
      <c r="CA9" s="151"/>
    </row>
    <row r="10" spans="1:79" s="8" customFormat="1" ht="30" customHeight="1" thickBot="1" x14ac:dyDescent="0.3">
      <c r="A10" s="563" t="s">
        <v>108</v>
      </c>
      <c r="B10" s="564"/>
      <c r="C10" s="565" t="e">
        <f t="shared" si="5"/>
        <v>#N/A</v>
      </c>
      <c r="D10" s="566">
        <v>126</v>
      </c>
      <c r="E10" s="567" t="s">
        <v>128</v>
      </c>
      <c r="F10" s="568" t="s">
        <v>64</v>
      </c>
      <c r="G10" s="569" t="str">
        <f t="shared" si="2"/>
        <v>E</v>
      </c>
      <c r="H10" s="728"/>
      <c r="I10" s="729"/>
      <c r="J10" s="570">
        <v>0.10416666666666667</v>
      </c>
      <c r="K10" s="570"/>
      <c r="L10" s="568">
        <v>333</v>
      </c>
      <c r="M10" s="571">
        <f t="shared" si="3"/>
        <v>285</v>
      </c>
      <c r="N10" s="572">
        <f t="shared" si="4"/>
        <v>257</v>
      </c>
      <c r="O10" s="573"/>
      <c r="P10" s="574"/>
      <c r="Q10" s="574"/>
      <c r="R10" s="574"/>
      <c r="S10" s="574"/>
      <c r="T10" s="574"/>
      <c r="U10" s="574"/>
      <c r="V10" s="574"/>
      <c r="W10" s="574"/>
      <c r="X10" s="574"/>
      <c r="Y10" s="574"/>
      <c r="Z10" s="574"/>
      <c r="AA10" s="574"/>
      <c r="AB10" s="574"/>
      <c r="AC10" s="574"/>
      <c r="AD10" s="574"/>
      <c r="AE10" s="574"/>
      <c r="AF10" s="574"/>
      <c r="AG10" s="574"/>
      <c r="AH10" s="574"/>
      <c r="AI10" s="574"/>
      <c r="AJ10" s="574"/>
      <c r="AK10" s="575"/>
      <c r="AL10" s="576"/>
      <c r="AM10" s="576"/>
      <c r="AN10" s="577"/>
      <c r="AO10" s="576"/>
      <c r="AP10" s="576"/>
      <c r="AQ10" s="576"/>
      <c r="AR10" s="576"/>
      <c r="AS10" s="576"/>
      <c r="AT10" s="576"/>
      <c r="AU10" s="576"/>
      <c r="AV10" s="576"/>
      <c r="AW10" s="576"/>
      <c r="AX10" s="576"/>
      <c r="AY10" s="576"/>
      <c r="AZ10" s="576"/>
      <c r="BA10" s="576"/>
      <c r="BB10" s="576"/>
      <c r="BC10" s="576"/>
      <c r="BD10" s="576"/>
      <c r="BE10" s="576"/>
      <c r="BF10" s="576"/>
      <c r="BG10" s="576"/>
      <c r="BH10" s="576"/>
      <c r="BI10" s="576"/>
      <c r="BJ10" s="576"/>
      <c r="BK10" s="576"/>
      <c r="BL10" s="576"/>
      <c r="BM10" s="576"/>
      <c r="BN10" s="576"/>
      <c r="BO10" s="576"/>
      <c r="BP10" s="576"/>
      <c r="BQ10" s="576"/>
      <c r="BR10" s="576"/>
      <c r="BS10" s="576"/>
      <c r="BT10" s="576"/>
      <c r="BU10" s="576"/>
      <c r="BV10" s="576"/>
      <c r="BW10" s="576"/>
      <c r="BX10" s="576"/>
      <c r="BY10" s="576"/>
      <c r="BZ10" s="578"/>
      <c r="CA10" s="579"/>
    </row>
    <row r="11" spans="1:79" s="8" customFormat="1" ht="30" customHeight="1" x14ac:dyDescent="0.25">
      <c r="A11" s="739" t="str">
        <f>'Departure Lounge 2027'!A11</f>
        <v>QZ</v>
      </c>
      <c r="B11" s="741" t="str">
        <f>IF(ISBLANK('Departure Lounge 2027'!B11),"",'Departure Lounge 2027'!B11)</f>
        <v/>
      </c>
      <c r="C11" s="361" t="e">
        <f t="shared" si="5"/>
        <v>#N/A</v>
      </c>
      <c r="D11" s="516">
        <f>IF(ISBLANK('Departure Lounge 2027'!D11),"",'Departure Lounge 2027'!D11)</f>
        <v>547</v>
      </c>
      <c r="E11" s="516" t="str">
        <f>'Departure Lounge 2027'!E11</f>
        <v xml:space="preserve"> </v>
      </c>
      <c r="F11" s="521" t="str">
        <f>'Departure Lounge 2027'!F11</f>
        <v>L</v>
      </c>
      <c r="G11" s="521" t="str">
        <f t="shared" si="2"/>
        <v>C</v>
      </c>
      <c r="H11" s="787">
        <v>155</v>
      </c>
      <c r="I11" s="730" t="str">
        <f t="shared" ref="I11:I26" si="6">VLOOKUP(H11,Boarding,2,FALSE)</f>
        <v>A</v>
      </c>
      <c r="J11" s="740">
        <f>'Departure Lounge 2027'!H11</f>
        <v>0.2013888888888889</v>
      </c>
      <c r="K11" s="515"/>
      <c r="L11" s="521">
        <f>'Departure Lounge 2027'!J11</f>
        <v>320</v>
      </c>
      <c r="M11" s="516">
        <f t="shared" si="3"/>
        <v>180</v>
      </c>
      <c r="N11" s="522">
        <f t="shared" si="4"/>
        <v>162</v>
      </c>
      <c r="O11" s="435">
        <f>'Pax Profile C'!AI36*$N11</f>
        <v>29.16</v>
      </c>
      <c r="P11" s="435">
        <f>'Pax Profile C'!AJ36*$N11</f>
        <v>30.78</v>
      </c>
      <c r="Q11" s="435">
        <f>'Pax Profile C'!AK36*$N11</f>
        <v>32.4</v>
      </c>
      <c r="R11" s="435">
        <f>'Pax Profile C'!AL36*$N11</f>
        <v>34.020000000000003</v>
      </c>
      <c r="S11" s="435">
        <f>'Pax Profile C'!AM36*$N11</f>
        <v>43.74</v>
      </c>
      <c r="T11" s="435">
        <f>'Pax Profile C'!AN36*$N11</f>
        <v>87.48</v>
      </c>
      <c r="U11" s="435">
        <f>'Pax Profile C'!AO36*$N11</f>
        <v>64.8</v>
      </c>
      <c r="V11" s="435">
        <f>'Pax Profile C'!AP36*$N11</f>
        <v>3.2400000000000024</v>
      </c>
      <c r="W11" s="435">
        <f>'Pax Profile C'!AQ36*$N11</f>
        <v>0</v>
      </c>
      <c r="X11" s="435">
        <f>'Pax Profile C'!AR36*$N11</f>
        <v>0</v>
      </c>
      <c r="Y11" s="163" t="s">
        <v>27</v>
      </c>
      <c r="Z11" s="236"/>
      <c r="AA11" s="236"/>
      <c r="AB11" s="236"/>
      <c r="AC11" s="236"/>
      <c r="AD11" s="236"/>
      <c r="AE11" s="236"/>
      <c r="AF11" s="236"/>
      <c r="AG11" s="236"/>
      <c r="AH11" s="236"/>
      <c r="AI11" s="236"/>
      <c r="AJ11" s="236"/>
      <c r="AK11" s="240"/>
      <c r="AL11" s="237"/>
      <c r="AM11" s="237"/>
      <c r="AN11" s="237"/>
      <c r="AO11" s="237"/>
      <c r="AP11" s="237"/>
      <c r="AQ11" s="237"/>
      <c r="AR11" s="237"/>
      <c r="AS11" s="238"/>
      <c r="AT11" s="237"/>
      <c r="AU11" s="237"/>
      <c r="AV11" s="237"/>
      <c r="AW11" s="237"/>
      <c r="AX11" s="237"/>
      <c r="AY11" s="237"/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237"/>
      <c r="BW11" s="237"/>
      <c r="BX11" s="237"/>
      <c r="BY11" s="237"/>
      <c r="BZ11" s="243"/>
      <c r="CA11" s="906">
        <f>'Departure Lounge 2027'!BY11</f>
        <v>0</v>
      </c>
    </row>
    <row r="12" spans="1:79" s="8" customFormat="1" ht="30" customHeight="1" x14ac:dyDescent="0.25">
      <c r="A12" s="749" t="str">
        <f>'Departure Lounge 2027'!A12</f>
        <v>EK</v>
      </c>
      <c r="B12" s="750" t="str">
        <f>IF(ISBLANK('Departure Lounge 2027'!B12),"",'Departure Lounge 2027'!B12)</f>
        <v>U</v>
      </c>
      <c r="C12" s="751" t="str">
        <f t="shared" si="5"/>
        <v>Emirates to Dubai, Airbus A380 pax</v>
      </c>
      <c r="D12" s="752">
        <f>IF(ISBLANK('Departure Lounge 2027'!D12),"",'Departure Lounge 2027'!D12)</f>
        <v>425</v>
      </c>
      <c r="E12" s="752" t="str">
        <f>'Departure Lounge 2027'!E12</f>
        <v>DXB</v>
      </c>
      <c r="F12" s="753" t="str">
        <f>'Departure Lounge 2027'!F12</f>
        <v>S</v>
      </c>
      <c r="G12" s="753" t="str">
        <f t="shared" si="2"/>
        <v>F</v>
      </c>
      <c r="H12" s="788">
        <v>157</v>
      </c>
      <c r="I12" s="754" t="str">
        <f t="shared" si="6"/>
        <v>B</v>
      </c>
      <c r="J12" s="755">
        <f>'Departure Lounge 2027'!H12</f>
        <v>0.25347222222222221</v>
      </c>
      <c r="K12" s="756"/>
      <c r="L12" s="753">
        <f>'Departure Lounge 2027'!J12</f>
        <v>380</v>
      </c>
      <c r="M12" s="621">
        <f t="shared" si="3"/>
        <v>489</v>
      </c>
      <c r="N12" s="622">
        <f t="shared" si="4"/>
        <v>440</v>
      </c>
      <c r="O12" s="623">
        <f>'Pax Profile A'!T36*$N12</f>
        <v>0</v>
      </c>
      <c r="P12" s="623">
        <f>'Pax Profile A'!U36*$N12</f>
        <v>0</v>
      </c>
      <c r="Q12" s="623">
        <f>'Pax Profile A'!V36*$N12</f>
        <v>0</v>
      </c>
      <c r="R12" s="623">
        <f>'Pax Profile A'!W36*$N12</f>
        <v>0</v>
      </c>
      <c r="S12" s="623">
        <f>'Pax Profile A'!X36*$N12</f>
        <v>0</v>
      </c>
      <c r="T12" s="623">
        <f>'Pax Profile A'!Y36*$N12</f>
        <v>0</v>
      </c>
      <c r="U12" s="623" t="e">
        <f>'Pax Profile A'!Z36*$N12</f>
        <v>#N/A</v>
      </c>
      <c r="V12" s="623" t="e">
        <f>'Pax Profile A'!AA36*$N12</f>
        <v>#N/A</v>
      </c>
      <c r="W12" s="623" t="e">
        <f>'Pax Profile A'!AB36*$N12</f>
        <v>#N/A</v>
      </c>
      <c r="X12" s="623" t="e">
        <f>'Pax Profile A'!AC36*$N12</f>
        <v>#N/A</v>
      </c>
      <c r="Y12" s="623" t="e">
        <f>'Pax Profile A'!AD36*$N12</f>
        <v>#N/A</v>
      </c>
      <c r="Z12" s="623" t="e">
        <f>'Pax Profile A'!AE36*$N12</f>
        <v>#N/A</v>
      </c>
      <c r="AA12" s="623" t="e">
        <f>'Pax Profile A'!AF36*$N12</f>
        <v>#N/A</v>
      </c>
      <c r="AB12" s="623" t="e">
        <f>'Pax Profile A'!AG36*$N12</f>
        <v>#N/A</v>
      </c>
      <c r="AC12" s="623" t="e">
        <f>'Pax Profile A'!AH36*$N12</f>
        <v>#N/A</v>
      </c>
      <c r="AD12" s="623" t="e">
        <f>'Pax Profile A'!AI36*$N12</f>
        <v>#N/A</v>
      </c>
      <c r="AE12" s="623" t="e">
        <f>'Pax Profile A'!AJ36*$N12</f>
        <v>#N/A</v>
      </c>
      <c r="AF12" s="623" t="e">
        <f>'Pax Profile A'!AK36*$N12</f>
        <v>#N/A</v>
      </c>
      <c r="AG12" s="623" t="e">
        <f>'Pax Profile A'!AL36*$N12</f>
        <v>#N/A</v>
      </c>
      <c r="AH12" s="623" t="e">
        <f>'Pax Profile A'!AM36*$N12</f>
        <v>#N/A</v>
      </c>
      <c r="AI12" s="623" t="e">
        <f>'Pax Profile A'!AN36*$N12</f>
        <v>#N/A</v>
      </c>
      <c r="AJ12" s="623" t="e">
        <f>'Pax Profile A'!AO36*$N12</f>
        <v>#N/A</v>
      </c>
      <c r="AK12" s="623" t="e">
        <f>'Pax Profile A'!AP36*$N12</f>
        <v>#N/A</v>
      </c>
      <c r="AL12" s="623" t="e">
        <f>'Pax Profile A'!AQ36*$N12</f>
        <v>#N/A</v>
      </c>
      <c r="AM12" s="623" t="e">
        <f>'Pax Profile A'!AR36*$N12</f>
        <v>#N/A</v>
      </c>
      <c r="AN12" s="163" t="s">
        <v>27</v>
      </c>
      <c r="AO12" s="624"/>
      <c r="AP12" s="625"/>
      <c r="AQ12" s="625"/>
      <c r="AR12" s="625"/>
      <c r="AS12" s="626"/>
      <c r="AT12" s="625"/>
      <c r="AU12" s="625"/>
      <c r="AV12" s="625"/>
      <c r="AW12" s="625"/>
      <c r="AX12" s="625"/>
      <c r="AY12" s="625"/>
      <c r="AZ12" s="625"/>
      <c r="BA12" s="625"/>
      <c r="BB12" s="625"/>
      <c r="BC12" s="625"/>
      <c r="BD12" s="625"/>
      <c r="BE12" s="625"/>
      <c r="BF12" s="625"/>
      <c r="BG12" s="625"/>
      <c r="BH12" s="625"/>
      <c r="BI12" s="625"/>
      <c r="BJ12" s="625"/>
      <c r="BK12" s="625"/>
      <c r="BL12" s="625"/>
      <c r="BM12" s="625"/>
      <c r="BN12" s="625"/>
      <c r="BO12" s="625"/>
      <c r="BP12" s="625"/>
      <c r="BQ12" s="625"/>
      <c r="BR12" s="625"/>
      <c r="BS12" s="625"/>
      <c r="BT12" s="625"/>
      <c r="BU12" s="625"/>
      <c r="BV12" s="625"/>
      <c r="BW12" s="625"/>
      <c r="BX12" s="625"/>
      <c r="BY12" s="625"/>
      <c r="BZ12" s="627"/>
      <c r="CA12" s="905" t="str">
        <f>'Departure Lounge 2027'!BY12</f>
        <v>Aircraft upgraded from B777-200 to A380</v>
      </c>
    </row>
    <row r="13" spans="1:79" s="8" customFormat="1" ht="30" customHeight="1" x14ac:dyDescent="0.25">
      <c r="A13" s="766" t="str">
        <f>'Departure Lounge 2027'!A13</f>
        <v>JL</v>
      </c>
      <c r="B13" s="769" t="str">
        <f>IF(ISBLANK('Departure Lounge 2027'!B13),"",'Departure Lounge 2027'!B13)</f>
        <v>N</v>
      </c>
      <c r="C13" s="599" t="e">
        <f t="shared" si="5"/>
        <v>#N/A</v>
      </c>
      <c r="D13" s="605" t="str">
        <f>IF(ISBLANK('Departure Lounge 2027'!D13),"",'Departure Lounge 2027'!D13)</f>
        <v/>
      </c>
      <c r="E13" s="605" t="str">
        <f>'Departure Lounge 2027'!E13</f>
        <v>NRT</v>
      </c>
      <c r="F13" s="767" t="str">
        <f>'Departure Lounge 2027'!F13</f>
        <v>S</v>
      </c>
      <c r="G13" s="613" t="str">
        <f t="shared" si="2"/>
        <v>E</v>
      </c>
      <c r="H13" s="789">
        <v>167</v>
      </c>
      <c r="I13" s="732" t="str">
        <f t="shared" si="6"/>
        <v>F</v>
      </c>
      <c r="J13" s="768">
        <f>'Departure Lounge 2027'!H13</f>
        <v>0.26041666666666669</v>
      </c>
      <c r="K13" s="604"/>
      <c r="L13" s="767">
        <f>'Departure Lounge 2027'!J13</f>
        <v>788</v>
      </c>
      <c r="M13" s="605">
        <f t="shared" si="3"/>
        <v>264</v>
      </c>
      <c r="N13" s="606">
        <f t="shared" si="4"/>
        <v>238</v>
      </c>
      <c r="O13" s="607">
        <f>'Pax Profile A'!R36*$N13</f>
        <v>0</v>
      </c>
      <c r="P13" s="607">
        <f>'Pax Profile A'!S36*$N13</f>
        <v>0</v>
      </c>
      <c r="Q13" s="607">
        <f>'Pax Profile A'!T36*$N13</f>
        <v>0</v>
      </c>
      <c r="R13" s="607">
        <f>'Pax Profile A'!U36*$N13</f>
        <v>0</v>
      </c>
      <c r="S13" s="607">
        <f>'Pax Profile A'!V36*$N13</f>
        <v>0</v>
      </c>
      <c r="T13" s="607">
        <f>'Pax Profile A'!W36*$N13</f>
        <v>0</v>
      </c>
      <c r="U13" s="607">
        <f>'Pax Profile A'!X36*$N13</f>
        <v>0</v>
      </c>
      <c r="V13" s="607">
        <f>'Pax Profile A'!Y36*$N13</f>
        <v>0</v>
      </c>
      <c r="W13" s="607" t="e">
        <f>'Pax Profile A'!Z36*$N13</f>
        <v>#N/A</v>
      </c>
      <c r="X13" s="607" t="e">
        <f>'Pax Profile A'!AA36*$N13</f>
        <v>#N/A</v>
      </c>
      <c r="Y13" s="607" t="e">
        <f>'Pax Profile A'!AB36*$N13</f>
        <v>#N/A</v>
      </c>
      <c r="Z13" s="607" t="e">
        <f>'Pax Profile A'!AC36*$N13</f>
        <v>#N/A</v>
      </c>
      <c r="AA13" s="607" t="e">
        <f>'Pax Profile A'!AD36*$N13</f>
        <v>#N/A</v>
      </c>
      <c r="AB13" s="607" t="e">
        <f>'Pax Profile A'!AE36*$N13</f>
        <v>#N/A</v>
      </c>
      <c r="AC13" s="607" t="e">
        <f>'Pax Profile A'!AF36*$N13</f>
        <v>#N/A</v>
      </c>
      <c r="AD13" s="607" t="e">
        <f>'Pax Profile A'!AG36*$N13</f>
        <v>#N/A</v>
      </c>
      <c r="AE13" s="607" t="e">
        <f>'Pax Profile A'!AH36*$N13</f>
        <v>#N/A</v>
      </c>
      <c r="AF13" s="607" t="e">
        <f>'Pax Profile A'!AI36*$N13</f>
        <v>#N/A</v>
      </c>
      <c r="AG13" s="607" t="e">
        <f>'Pax Profile A'!AJ36*$N13</f>
        <v>#N/A</v>
      </c>
      <c r="AH13" s="607" t="e">
        <f>'Pax Profile A'!AK36*$N13</f>
        <v>#N/A</v>
      </c>
      <c r="AI13" s="607" t="e">
        <f>'Pax Profile A'!AL36*$N13</f>
        <v>#N/A</v>
      </c>
      <c r="AJ13" s="607" t="e">
        <f>'Pax Profile A'!AM36*$N13</f>
        <v>#N/A</v>
      </c>
      <c r="AK13" s="607" t="e">
        <f>'Pax Profile A'!AN36*$N13</f>
        <v>#N/A</v>
      </c>
      <c r="AL13" s="607" t="e">
        <f>'Pax Profile A'!AO36*$N13</f>
        <v>#N/A</v>
      </c>
      <c r="AM13" s="607" t="e">
        <f>'Pax Profile A'!AP36*$N13</f>
        <v>#N/A</v>
      </c>
      <c r="AN13" s="607" t="e">
        <f>'Pax Profile A'!AQ36*$N13</f>
        <v>#N/A</v>
      </c>
      <c r="AO13" s="607" t="e">
        <f>'Pax Profile A'!AR36*$N13</f>
        <v>#N/A</v>
      </c>
      <c r="AP13" s="673" t="s">
        <v>27</v>
      </c>
      <c r="AQ13" s="609"/>
      <c r="AR13" s="609"/>
      <c r="AS13" s="609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10"/>
      <c r="CA13" s="909" t="str">
        <f>'Departure Lounge 2027'!BY13</f>
        <v>New Flight (new destination)</v>
      </c>
    </row>
    <row r="14" spans="1:79" s="8" customFormat="1" ht="30" customHeight="1" x14ac:dyDescent="0.25">
      <c r="A14" s="766" t="str">
        <f>'Departure Lounge 2027'!A14</f>
        <v>9W</v>
      </c>
      <c r="B14" s="769" t="str">
        <f>IF(ISBLANK('Departure Lounge 2027'!B14),"",'Departure Lounge 2027'!B14)</f>
        <v>N</v>
      </c>
      <c r="C14" s="599" t="e">
        <f t="shared" si="5"/>
        <v>#N/A</v>
      </c>
      <c r="D14" s="605" t="str">
        <f>IF(ISBLANK('Departure Lounge 2027'!D14),"",'Departure Lounge 2027'!D14)</f>
        <v/>
      </c>
      <c r="E14" s="605" t="str">
        <f>'Departure Lounge 2027'!E14</f>
        <v>BOM</v>
      </c>
      <c r="F14" s="767" t="str">
        <f>'Departure Lounge 2027'!F14</f>
        <v>S</v>
      </c>
      <c r="G14" s="603" t="str">
        <f t="shared" si="2"/>
        <v>C</v>
      </c>
      <c r="H14" s="789">
        <v>155</v>
      </c>
      <c r="I14" s="732" t="str">
        <f t="shared" si="6"/>
        <v>A</v>
      </c>
      <c r="J14" s="768">
        <f>'Departure Lounge 2027'!H14</f>
        <v>0.27083333333333331</v>
      </c>
      <c r="K14" s="604"/>
      <c r="L14" s="977">
        <f>'Departure Lounge 2027'!J14</f>
        <v>738</v>
      </c>
      <c r="M14" s="977">
        <f>'Departure Lounge 2027'!K14</f>
        <v>149</v>
      </c>
      <c r="N14" s="606">
        <f t="shared" si="4"/>
        <v>134</v>
      </c>
      <c r="O14" s="607">
        <f>'Pax Profile A'!O36*$N14</f>
        <v>0</v>
      </c>
      <c r="P14" s="607">
        <f>'Pax Profile A'!P36*$N14</f>
        <v>0</v>
      </c>
      <c r="Q14" s="607">
        <f>'Pax Profile A'!Q36*$N14</f>
        <v>0</v>
      </c>
      <c r="R14" s="607">
        <f>'Pax Profile A'!R36*$N14</f>
        <v>0</v>
      </c>
      <c r="S14" s="607">
        <f>'Pax Profile A'!S36*$N14</f>
        <v>0</v>
      </c>
      <c r="T14" s="607">
        <f>'Pax Profile A'!T36*$N14</f>
        <v>0</v>
      </c>
      <c r="U14" s="607">
        <f>'Pax Profile A'!U36*$N14</f>
        <v>0</v>
      </c>
      <c r="V14" s="607">
        <f>'Pax Profile A'!V36*$N14</f>
        <v>0</v>
      </c>
      <c r="W14" s="607">
        <f>'Pax Profile A'!W36*$N14</f>
        <v>0</v>
      </c>
      <c r="X14" s="607">
        <f>'Pax Profile A'!X36*$N14</f>
        <v>0</v>
      </c>
      <c r="Y14" s="607">
        <f>'Pax Profile A'!Y36*$N14</f>
        <v>0</v>
      </c>
      <c r="Z14" s="607" t="e">
        <f>'Pax Profile A'!Z36*$N14</f>
        <v>#N/A</v>
      </c>
      <c r="AA14" s="607" t="e">
        <f>'Pax Profile A'!AA36*$N14</f>
        <v>#N/A</v>
      </c>
      <c r="AB14" s="607" t="e">
        <f>'Pax Profile A'!AB36*$N14</f>
        <v>#N/A</v>
      </c>
      <c r="AC14" s="607" t="e">
        <f>'Pax Profile A'!AC36*$N14</f>
        <v>#N/A</v>
      </c>
      <c r="AD14" s="607" t="e">
        <f>'Pax Profile A'!AD36*$N14</f>
        <v>#N/A</v>
      </c>
      <c r="AE14" s="607" t="e">
        <f>'Pax Profile A'!AE36*$N14</f>
        <v>#N/A</v>
      </c>
      <c r="AF14" s="607" t="e">
        <f>'Pax Profile A'!AF36*$N14</f>
        <v>#N/A</v>
      </c>
      <c r="AG14" s="607" t="e">
        <f>'Pax Profile A'!AG36*$N14</f>
        <v>#N/A</v>
      </c>
      <c r="AH14" s="607" t="e">
        <f>'Pax Profile A'!AH36*$N14</f>
        <v>#N/A</v>
      </c>
      <c r="AI14" s="607" t="e">
        <f>'Pax Profile A'!AI36*$N14</f>
        <v>#N/A</v>
      </c>
      <c r="AJ14" s="607" t="e">
        <f>'Pax Profile A'!AJ36*$N14</f>
        <v>#N/A</v>
      </c>
      <c r="AK14" s="607" t="e">
        <f>'Pax Profile A'!AK36*$N14</f>
        <v>#N/A</v>
      </c>
      <c r="AL14" s="607" t="e">
        <f>'Pax Profile A'!AL36*$N14</f>
        <v>#N/A</v>
      </c>
      <c r="AM14" s="607" t="e">
        <f>'Pax Profile A'!AM36*$N14</f>
        <v>#N/A</v>
      </c>
      <c r="AN14" s="607" t="e">
        <f>'Pax Profile A'!AN36*$N14</f>
        <v>#N/A</v>
      </c>
      <c r="AO14" s="607" t="e">
        <f>'Pax Profile A'!AO36*$N14</f>
        <v>#N/A</v>
      </c>
      <c r="AP14" s="607" t="e">
        <f>'Pax Profile A'!AP36*$N14</f>
        <v>#N/A</v>
      </c>
      <c r="AQ14" s="607" t="e">
        <f>'Pax Profile A'!AQ36*$N14</f>
        <v>#N/A</v>
      </c>
      <c r="AR14" s="607" t="e">
        <f>'Pax Profile A'!AR36*$N14</f>
        <v>#N/A</v>
      </c>
      <c r="AS14" s="673" t="s">
        <v>27</v>
      </c>
      <c r="AT14" s="608"/>
      <c r="AU14" s="608"/>
      <c r="AV14" s="608"/>
      <c r="AW14" s="608"/>
      <c r="AX14" s="608"/>
      <c r="AY14" s="608"/>
      <c r="AZ14" s="608"/>
      <c r="BA14" s="608"/>
      <c r="BB14" s="608"/>
      <c r="BC14" s="608"/>
      <c r="BD14" s="608"/>
      <c r="BE14" s="608"/>
      <c r="BF14" s="608"/>
      <c r="BG14" s="608"/>
      <c r="BH14" s="608"/>
      <c r="BI14" s="608"/>
      <c r="BJ14" s="608"/>
      <c r="BK14" s="608"/>
      <c r="BL14" s="608"/>
      <c r="BM14" s="608"/>
      <c r="BN14" s="608"/>
      <c r="BO14" s="608"/>
      <c r="BP14" s="608"/>
      <c r="BQ14" s="608"/>
      <c r="BR14" s="608"/>
      <c r="BS14" s="608"/>
      <c r="BT14" s="608"/>
      <c r="BU14" s="608"/>
      <c r="BV14" s="608"/>
      <c r="BW14" s="608"/>
      <c r="BX14" s="608"/>
      <c r="BY14" s="608"/>
      <c r="BZ14" s="610"/>
      <c r="CA14" s="909" t="str">
        <f>'Departure Lounge 2027'!BY14</f>
        <v>New Flight (new destination)</v>
      </c>
    </row>
    <row r="15" spans="1:79" s="8" customFormat="1" ht="30" customHeight="1" x14ac:dyDescent="0.25">
      <c r="A15" s="739" t="str">
        <f>'Departure Lounge 2027'!A15</f>
        <v>D7</v>
      </c>
      <c r="B15" s="741" t="str">
        <f>IF(ISBLANK('Departure Lounge 2027'!B15),"",'Departure Lounge 2027'!B15)</f>
        <v/>
      </c>
      <c r="C15" s="540" t="e">
        <f t="shared" si="5"/>
        <v>#N/A</v>
      </c>
      <c r="D15" s="516">
        <f>IF(ISBLANK('Departure Lounge 2027'!D15),"",'Departure Lounge 2027'!D15)</f>
        <v>237</v>
      </c>
      <c r="E15" s="516" t="str">
        <f>'Departure Lounge 2027'!E15</f>
        <v>KUL</v>
      </c>
      <c r="F15" s="521" t="str">
        <f>'Departure Lounge 2027'!F15</f>
        <v>L</v>
      </c>
      <c r="G15" s="544" t="str">
        <f t="shared" si="2"/>
        <v>E</v>
      </c>
      <c r="H15" s="790">
        <v>154</v>
      </c>
      <c r="I15" s="730" t="str">
        <f t="shared" si="6"/>
        <v>A</v>
      </c>
      <c r="J15" s="746">
        <f>'Departure Lounge 2027'!H15</f>
        <v>0.27777777777777779</v>
      </c>
      <c r="K15" s="515"/>
      <c r="L15" s="521">
        <f>'Departure Lounge 2027'!J15</f>
        <v>333</v>
      </c>
      <c r="M15" s="546">
        <f t="shared" si="3"/>
        <v>377</v>
      </c>
      <c r="N15" s="547">
        <f t="shared" si="4"/>
        <v>339</v>
      </c>
      <c r="O15" s="435">
        <f>'Pax Profile B'!M36*$N15</f>
        <v>0</v>
      </c>
      <c r="P15" s="435">
        <f>'Pax Profile B'!N36*$N15</f>
        <v>0</v>
      </c>
      <c r="Q15" s="435">
        <f>'Pax Profile B'!O36*$N15</f>
        <v>0</v>
      </c>
      <c r="R15" s="435">
        <f>'Pax Profile B'!P36*$N15</f>
        <v>0</v>
      </c>
      <c r="S15" s="435">
        <f>'Pax Profile B'!Q36*$N15</f>
        <v>0</v>
      </c>
      <c r="T15" s="435">
        <f>'Pax Profile B'!R36*$N15</f>
        <v>0</v>
      </c>
      <c r="U15" s="435">
        <f>'Pax Profile B'!S36*$N15</f>
        <v>0</v>
      </c>
      <c r="V15" s="435">
        <f>'Pax Profile B'!T36*$N15</f>
        <v>0</v>
      </c>
      <c r="W15" s="435">
        <f>'Pax Profile B'!U36*$N15</f>
        <v>0</v>
      </c>
      <c r="X15" s="435">
        <f>'Pax Profile B'!V36*$N15</f>
        <v>0</v>
      </c>
      <c r="Y15" s="435">
        <f>'Pax Profile B'!W36*$N15</f>
        <v>0</v>
      </c>
      <c r="Z15" s="435">
        <f>'Pax Profile B'!X36*$N15</f>
        <v>0</v>
      </c>
      <c r="AA15" s="435">
        <f>'Pax Profile B'!Y36*$N15</f>
        <v>0</v>
      </c>
      <c r="AB15" s="435">
        <f>'Pax Profile B'!Z36*$N15</f>
        <v>0</v>
      </c>
      <c r="AC15" s="435">
        <f>'Pax Profile B'!AA36*$N15</f>
        <v>3.39</v>
      </c>
      <c r="AD15" s="435">
        <f>'Pax Profile B'!AB36*$N15</f>
        <v>6.78</v>
      </c>
      <c r="AE15" s="435">
        <f>'Pax Profile B'!AC36*$N15</f>
        <v>13.56</v>
      </c>
      <c r="AF15" s="435">
        <f>'Pax Profile B'!AD36*$N15</f>
        <v>20.34</v>
      </c>
      <c r="AG15" s="435">
        <f>'Pax Profile B'!AE36*$N15</f>
        <v>27.12</v>
      </c>
      <c r="AH15" s="435">
        <f>'Pax Profile B'!AF36*$N15</f>
        <v>37.29</v>
      </c>
      <c r="AI15" s="435">
        <f>'Pax Profile B'!AG36*$N15</f>
        <v>47.460000000000008</v>
      </c>
      <c r="AJ15" s="435">
        <f>'Pax Profile B'!AH36*$N15</f>
        <v>57.63</v>
      </c>
      <c r="AK15" s="435">
        <f>'Pax Profile B'!AI36*$N15</f>
        <v>71.19</v>
      </c>
      <c r="AL15" s="435">
        <f>'Pax Profile B'!AJ36*$N15</f>
        <v>84.75</v>
      </c>
      <c r="AM15" s="435">
        <f>'Pax Profile B'!AK36*$N15</f>
        <v>98.309999999999988</v>
      </c>
      <c r="AN15" s="435">
        <f>'Pax Profile B'!AL36*$N15</f>
        <v>189.83999999999997</v>
      </c>
      <c r="AO15" s="435">
        <f>'Pax Profile B'!AM36*$N15</f>
        <v>189.83999999999995</v>
      </c>
      <c r="AP15" s="435">
        <f>'Pax Profile B'!AN36*$N15</f>
        <v>132.20999999999995</v>
      </c>
      <c r="AQ15" s="435">
        <f>'Pax Profile B'!AO36*$N15</f>
        <v>54.239999999999945</v>
      </c>
      <c r="AR15" s="435">
        <f>'Pax Profile B'!AP36*$N15</f>
        <v>6.7799999999999541</v>
      </c>
      <c r="AS15" s="435">
        <f>'Pax Profile B'!AQ36*$N15</f>
        <v>-4.6040042844870595E-14</v>
      </c>
      <c r="AT15" s="435">
        <f>'Pax Profile B'!AR36*$N15</f>
        <v>0</v>
      </c>
      <c r="AU15" s="163" t="s">
        <v>27</v>
      </c>
      <c r="AV15" s="237"/>
      <c r="AW15" s="237"/>
      <c r="AX15" s="237"/>
      <c r="AY15" s="237"/>
      <c r="AZ15" s="237"/>
      <c r="BA15" s="237"/>
      <c r="BB15" s="237"/>
      <c r="BC15" s="237"/>
      <c r="BD15" s="237"/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237"/>
      <c r="BW15" s="237"/>
      <c r="BX15" s="237"/>
      <c r="BY15" s="237"/>
      <c r="BZ15" s="243"/>
      <c r="CA15" s="907">
        <f>'Departure Lounge 2027'!BY15</f>
        <v>0</v>
      </c>
    </row>
    <row r="16" spans="1:79" s="8" customFormat="1" ht="30" customHeight="1" x14ac:dyDescent="0.25">
      <c r="A16" s="739" t="str">
        <f>'Departure Lounge 2027'!A16</f>
        <v>SQ</v>
      </c>
      <c r="B16" s="741" t="str">
        <f>IF(ISBLANK('Departure Lounge 2027'!B16),"",'Departure Lounge 2027'!B16)</f>
        <v/>
      </c>
      <c r="C16" s="540" t="e">
        <f t="shared" si="5"/>
        <v>#N/A</v>
      </c>
      <c r="D16" s="546">
        <f>IF(ISBLANK('Departure Lounge 2027'!D16),"",'Departure Lounge 2027'!D16)</f>
        <v>224</v>
      </c>
      <c r="E16" s="546" t="str">
        <f>'Departure Lounge 2027'!E16</f>
        <v>SIN</v>
      </c>
      <c r="F16" s="759" t="str">
        <f>'Departure Lounge 2027'!F16</f>
        <v>S</v>
      </c>
      <c r="G16" s="544" t="str">
        <f t="shared" si="2"/>
        <v>E</v>
      </c>
      <c r="H16" s="790">
        <v>165</v>
      </c>
      <c r="I16" s="760" t="str">
        <f t="shared" si="6"/>
        <v>E</v>
      </c>
      <c r="J16" s="761">
        <f>'Departure Lounge 2027'!H16</f>
        <v>0.27777777777777779</v>
      </c>
      <c r="K16" s="545"/>
      <c r="L16" s="759">
        <f>'Departure Lounge 2027'!J16</f>
        <v>333</v>
      </c>
      <c r="M16" s="546">
        <f t="shared" si="3"/>
        <v>285</v>
      </c>
      <c r="N16" s="547">
        <f t="shared" si="4"/>
        <v>257</v>
      </c>
      <c r="O16" s="435">
        <f>'Pax Profile A'!M36*$N16</f>
        <v>0</v>
      </c>
      <c r="P16" s="435">
        <f>'Pax Profile A'!N36*$N16</f>
        <v>0</v>
      </c>
      <c r="Q16" s="435">
        <f>'Pax Profile A'!O36*$N16</f>
        <v>0</v>
      </c>
      <c r="R16" s="435">
        <f>'Pax Profile A'!P36*$N16</f>
        <v>0</v>
      </c>
      <c r="S16" s="435">
        <f>'Pax Profile A'!Q36*$N16</f>
        <v>0</v>
      </c>
      <c r="T16" s="435">
        <f>'Pax Profile A'!R36*$N16</f>
        <v>0</v>
      </c>
      <c r="U16" s="435">
        <f>'Pax Profile A'!S36*$N16</f>
        <v>0</v>
      </c>
      <c r="V16" s="435">
        <f>'Pax Profile A'!T36*$N16</f>
        <v>0</v>
      </c>
      <c r="W16" s="435">
        <f>'Pax Profile A'!U36*$N16</f>
        <v>0</v>
      </c>
      <c r="X16" s="435">
        <f>'Pax Profile A'!V36*$N16</f>
        <v>0</v>
      </c>
      <c r="Y16" s="435">
        <f>'Pax Profile A'!W36*$N16</f>
        <v>0</v>
      </c>
      <c r="Z16" s="435">
        <f>'Pax Profile A'!X36*$N16</f>
        <v>0</v>
      </c>
      <c r="AA16" s="435">
        <f>'Pax Profile A'!Y36*$N16</f>
        <v>0</v>
      </c>
      <c r="AB16" s="435" t="e">
        <f>'Pax Profile A'!Z36*$N16</f>
        <v>#N/A</v>
      </c>
      <c r="AC16" s="435" t="e">
        <f>'Pax Profile A'!AA36*$N16</f>
        <v>#N/A</v>
      </c>
      <c r="AD16" s="435" t="e">
        <f>'Pax Profile A'!AB36*$N16</f>
        <v>#N/A</v>
      </c>
      <c r="AE16" s="435" t="e">
        <f>'Pax Profile A'!AC36*$N16</f>
        <v>#N/A</v>
      </c>
      <c r="AF16" s="435" t="e">
        <f>'Pax Profile A'!AD36*$N16</f>
        <v>#N/A</v>
      </c>
      <c r="AG16" s="435" t="e">
        <f>'Pax Profile A'!AE36*$N16</f>
        <v>#N/A</v>
      </c>
      <c r="AH16" s="435" t="e">
        <f>'Pax Profile A'!AF36*$N16</f>
        <v>#N/A</v>
      </c>
      <c r="AI16" s="435" t="e">
        <f>'Pax Profile A'!AG36*$N16</f>
        <v>#N/A</v>
      </c>
      <c r="AJ16" s="435" t="e">
        <f>'Pax Profile A'!AH36*$N16</f>
        <v>#N/A</v>
      </c>
      <c r="AK16" s="435" t="e">
        <f>'Pax Profile A'!AI36*$N16</f>
        <v>#N/A</v>
      </c>
      <c r="AL16" s="435" t="e">
        <f>'Pax Profile A'!AJ36*$N16</f>
        <v>#N/A</v>
      </c>
      <c r="AM16" s="435" t="e">
        <f>'Pax Profile A'!AK36*$N16</f>
        <v>#N/A</v>
      </c>
      <c r="AN16" s="435" t="e">
        <f>'Pax Profile A'!AL36*$N16</f>
        <v>#N/A</v>
      </c>
      <c r="AO16" s="435" t="e">
        <f>'Pax Profile A'!AM36*$N16</f>
        <v>#N/A</v>
      </c>
      <c r="AP16" s="435" t="e">
        <f>'Pax Profile A'!AN36*$N16</f>
        <v>#N/A</v>
      </c>
      <c r="AQ16" s="435" t="e">
        <f>'Pax Profile A'!AO36*$N16</f>
        <v>#N/A</v>
      </c>
      <c r="AR16" s="435" t="e">
        <f>'Pax Profile A'!AP36*$N16</f>
        <v>#N/A</v>
      </c>
      <c r="AS16" s="435" t="e">
        <f>'Pax Profile A'!AQ36*$N16</f>
        <v>#N/A</v>
      </c>
      <c r="AT16" s="435" t="e">
        <f>'Pax Profile A'!AR36*$N16</f>
        <v>#N/A</v>
      </c>
      <c r="AU16" s="163" t="s">
        <v>27</v>
      </c>
      <c r="AV16" s="237"/>
      <c r="AW16" s="237"/>
      <c r="AX16" s="237"/>
      <c r="AY16" s="237"/>
      <c r="AZ16" s="237"/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237"/>
      <c r="BW16" s="237"/>
      <c r="BX16" s="237"/>
      <c r="BY16" s="237"/>
      <c r="BZ16" s="243"/>
      <c r="CA16" s="907">
        <f>'Departure Lounge 2027'!BY16</f>
        <v>0</v>
      </c>
    </row>
    <row r="17" spans="1:79" s="8" customFormat="1" ht="30" customHeight="1" x14ac:dyDescent="0.25">
      <c r="A17" s="766" t="str">
        <f>'Departure Lounge 2027'!A17</f>
        <v>NZ</v>
      </c>
      <c r="B17" s="769" t="str">
        <f>IF(ISBLANK('Departure Lounge 2027'!B17),"",'Departure Lounge 2027'!B17)</f>
        <v>N</v>
      </c>
      <c r="C17" s="599" t="e">
        <f t="shared" si="5"/>
        <v>#N/A</v>
      </c>
      <c r="D17" s="605" t="str">
        <f>IF(ISBLANK('Departure Lounge 2027'!D17),"",'Departure Lounge 2027'!D17)</f>
        <v/>
      </c>
      <c r="E17" s="605" t="str">
        <f>'Departure Lounge 2027'!E17</f>
        <v>AKL</v>
      </c>
      <c r="F17" s="767" t="str">
        <f>'Departure Lounge 2027'!F17</f>
        <v>S</v>
      </c>
      <c r="G17" s="603" t="e">
        <f t="shared" si="2"/>
        <v>#N/A</v>
      </c>
      <c r="H17" s="789">
        <v>158</v>
      </c>
      <c r="I17" s="732" t="str">
        <f t="shared" si="6"/>
        <v>B</v>
      </c>
      <c r="J17" s="768">
        <f>'Departure Lounge 2027'!H17</f>
        <v>0.28125</v>
      </c>
      <c r="K17" s="604"/>
      <c r="L17" s="767">
        <f>'Departure Lounge 2027'!J17</f>
        <v>789</v>
      </c>
      <c r="M17" s="605" t="e">
        <f t="shared" si="3"/>
        <v>#N/A</v>
      </c>
      <c r="N17" s="606" t="e">
        <f t="shared" si="4"/>
        <v>#N/A</v>
      </c>
      <c r="O17" s="607" t="e">
        <f>'Pax Profile A'!L36*$N17</f>
        <v>#N/A</v>
      </c>
      <c r="P17" s="607" t="e">
        <f>'Pax Profile A'!M36*$N17</f>
        <v>#N/A</v>
      </c>
      <c r="Q17" s="607" t="e">
        <f>'Pax Profile A'!N36*$N17</f>
        <v>#N/A</v>
      </c>
      <c r="R17" s="607" t="e">
        <f>'Pax Profile A'!O36*$N17</f>
        <v>#N/A</v>
      </c>
      <c r="S17" s="607" t="e">
        <f>'Pax Profile A'!P36*$N17</f>
        <v>#N/A</v>
      </c>
      <c r="T17" s="607" t="e">
        <f>'Pax Profile A'!Q36*$N17</f>
        <v>#N/A</v>
      </c>
      <c r="U17" s="607" t="e">
        <f>'Pax Profile A'!R36*$N17</f>
        <v>#N/A</v>
      </c>
      <c r="V17" s="607" t="e">
        <f>'Pax Profile A'!S36*$N17</f>
        <v>#N/A</v>
      </c>
      <c r="W17" s="607" t="e">
        <f>'Pax Profile A'!T36*$N17</f>
        <v>#N/A</v>
      </c>
      <c r="X17" s="607" t="e">
        <f>'Pax Profile A'!U36*$N17</f>
        <v>#N/A</v>
      </c>
      <c r="Y17" s="607" t="e">
        <f>'Pax Profile A'!V36*$N17</f>
        <v>#N/A</v>
      </c>
      <c r="Z17" s="607" t="e">
        <f>'Pax Profile A'!W36*$N17</f>
        <v>#N/A</v>
      </c>
      <c r="AA17" s="607" t="e">
        <f>'Pax Profile A'!X36*$N17</f>
        <v>#N/A</v>
      </c>
      <c r="AB17" s="607" t="e">
        <f>'Pax Profile A'!Y36*$N17</f>
        <v>#N/A</v>
      </c>
      <c r="AC17" s="607" t="e">
        <f>'Pax Profile A'!Z36*$N17</f>
        <v>#N/A</v>
      </c>
      <c r="AD17" s="607" t="e">
        <f>'Pax Profile A'!AA36*$N17</f>
        <v>#N/A</v>
      </c>
      <c r="AE17" s="607" t="e">
        <f>'Pax Profile A'!AB36*$N17</f>
        <v>#N/A</v>
      </c>
      <c r="AF17" s="607" t="e">
        <f>'Pax Profile A'!AC36*$N17</f>
        <v>#N/A</v>
      </c>
      <c r="AG17" s="607" t="e">
        <f>'Pax Profile A'!AD36*$N17</f>
        <v>#N/A</v>
      </c>
      <c r="AH17" s="607" t="e">
        <f>'Pax Profile A'!AE36*$N17</f>
        <v>#N/A</v>
      </c>
      <c r="AI17" s="607" t="e">
        <f>'Pax Profile A'!AF36*$N17</f>
        <v>#N/A</v>
      </c>
      <c r="AJ17" s="607" t="e">
        <f>'Pax Profile A'!AG36*$N17</f>
        <v>#N/A</v>
      </c>
      <c r="AK17" s="607" t="e">
        <f>'Pax Profile A'!AH36*$N17</f>
        <v>#N/A</v>
      </c>
      <c r="AL17" s="607" t="e">
        <f>'Pax Profile A'!AI36*$N17</f>
        <v>#N/A</v>
      </c>
      <c r="AM17" s="607" t="e">
        <f>'Pax Profile A'!AJ36*$N17</f>
        <v>#N/A</v>
      </c>
      <c r="AN17" s="607" t="e">
        <f>'Pax Profile A'!AK36*$N17</f>
        <v>#N/A</v>
      </c>
      <c r="AO17" s="607" t="e">
        <f>'Pax Profile A'!AL36*$N17</f>
        <v>#N/A</v>
      </c>
      <c r="AP17" s="607" t="e">
        <f>'Pax Profile A'!AM36*$N17</f>
        <v>#N/A</v>
      </c>
      <c r="AQ17" s="607" t="e">
        <f>'Pax Profile A'!AN36*$N17</f>
        <v>#N/A</v>
      </c>
      <c r="AR17" s="607" t="e">
        <f>'Pax Profile A'!AO36*$N17</f>
        <v>#N/A</v>
      </c>
      <c r="AS17" s="607" t="e">
        <f>'Pax Profile A'!AP36*$N17</f>
        <v>#N/A</v>
      </c>
      <c r="AT17" s="607" t="e">
        <f>'Pax Profile A'!AQ36*$N17</f>
        <v>#N/A</v>
      </c>
      <c r="AU17" s="607" t="e">
        <f>'Pax Profile A'!AR36*$N17</f>
        <v>#N/A</v>
      </c>
      <c r="AV17" s="673" t="s">
        <v>27</v>
      </c>
      <c r="AW17" s="608"/>
      <c r="AX17" s="608"/>
      <c r="AY17" s="608"/>
      <c r="AZ17" s="608"/>
      <c r="BA17" s="608"/>
      <c r="BB17" s="608"/>
      <c r="BC17" s="608"/>
      <c r="BD17" s="608"/>
      <c r="BE17" s="608"/>
      <c r="BF17" s="608"/>
      <c r="BG17" s="608"/>
      <c r="BH17" s="608"/>
      <c r="BI17" s="608"/>
      <c r="BJ17" s="608"/>
      <c r="BK17" s="608"/>
      <c r="BL17" s="608"/>
      <c r="BM17" s="608"/>
      <c r="BN17" s="608"/>
      <c r="BO17" s="608"/>
      <c r="BP17" s="608"/>
      <c r="BQ17" s="608"/>
      <c r="BR17" s="608"/>
      <c r="BS17" s="608"/>
      <c r="BT17" s="608"/>
      <c r="BU17" s="608"/>
      <c r="BV17" s="608"/>
      <c r="BW17" s="608"/>
      <c r="BX17" s="608"/>
      <c r="BY17" s="608"/>
      <c r="BZ17" s="610"/>
      <c r="CA17" s="909" t="str">
        <f>'Departure Lounge 2027'!BY17</f>
        <v>New Flight (existing destination)</v>
      </c>
    </row>
    <row r="18" spans="1:79" s="8" customFormat="1" ht="30" customHeight="1" x14ac:dyDescent="0.25">
      <c r="A18" s="762" t="str">
        <f>'Departure Lounge 2027'!A18</f>
        <v>JQ</v>
      </c>
      <c r="B18" s="763" t="str">
        <f>IF(ISBLANK('Departure Lounge 2027'!B18),"",'Departure Lounge 2027'!B18)</f>
        <v>U</v>
      </c>
      <c r="C18" s="615" t="e">
        <f t="shared" si="5"/>
        <v>#N/A</v>
      </c>
      <c r="D18" s="621">
        <f>IF(ISBLANK('Departure Lounge 2027'!D18),"",'Departure Lounge 2027'!D18)</f>
        <v>110</v>
      </c>
      <c r="E18" s="621" t="str">
        <f>'Departure Lounge 2027'!E18</f>
        <v>DPS</v>
      </c>
      <c r="F18" s="764" t="str">
        <f>'Departure Lounge 2027'!F18</f>
        <v>L</v>
      </c>
      <c r="G18" s="619" t="str">
        <f t="shared" si="2"/>
        <v>E</v>
      </c>
      <c r="H18" s="791">
        <v>156</v>
      </c>
      <c r="I18" s="731" t="str">
        <f t="shared" si="6"/>
        <v>A</v>
      </c>
      <c r="J18" s="765">
        <f>'Departure Lounge 2027'!H18</f>
        <v>0.30902777777777779</v>
      </c>
      <c r="K18" s="620"/>
      <c r="L18" s="764">
        <f>'Departure Lounge 2027'!J18</f>
        <v>788</v>
      </c>
      <c r="M18" s="621">
        <f t="shared" si="3"/>
        <v>335</v>
      </c>
      <c r="N18" s="622">
        <f t="shared" si="4"/>
        <v>302</v>
      </c>
      <c r="O18" s="623"/>
      <c r="P18" s="623"/>
      <c r="Q18" s="623"/>
      <c r="R18" s="623"/>
      <c r="S18" s="623"/>
      <c r="T18" s="623">
        <f>'Pax Profile B'!I36*$N18</f>
        <v>0</v>
      </c>
      <c r="U18" s="623">
        <f>'Pax Profile B'!J36*$N18</f>
        <v>0</v>
      </c>
      <c r="V18" s="623">
        <f>'Pax Profile B'!K36*$N18</f>
        <v>0</v>
      </c>
      <c r="W18" s="623">
        <f>'Pax Profile B'!L36*$N18</f>
        <v>0</v>
      </c>
      <c r="X18" s="623">
        <f>'Pax Profile B'!M36*$N18</f>
        <v>0</v>
      </c>
      <c r="Y18" s="623">
        <f>'Pax Profile B'!N36*$N18</f>
        <v>0</v>
      </c>
      <c r="Z18" s="623">
        <f>'Pax Profile B'!O36*$N18</f>
        <v>0</v>
      </c>
      <c r="AA18" s="623">
        <f>'Pax Profile B'!P36*$N18</f>
        <v>0</v>
      </c>
      <c r="AB18" s="623">
        <f>'Pax Profile B'!Q36*$N18</f>
        <v>0</v>
      </c>
      <c r="AC18" s="623">
        <f>'Pax Profile B'!R36*$N18</f>
        <v>0</v>
      </c>
      <c r="AD18" s="623">
        <f>'Pax Profile B'!S36*$N18</f>
        <v>0</v>
      </c>
      <c r="AE18" s="623">
        <f>'Pax Profile B'!T36*$N18</f>
        <v>0</v>
      </c>
      <c r="AF18" s="623">
        <f>'Pax Profile B'!U36*$N18</f>
        <v>0</v>
      </c>
      <c r="AG18" s="623">
        <f>'Pax Profile B'!V36*$N18</f>
        <v>0</v>
      </c>
      <c r="AH18" s="623">
        <f>'Pax Profile B'!W36*$N18</f>
        <v>0</v>
      </c>
      <c r="AI18" s="623">
        <f>'Pax Profile B'!X36*$N18</f>
        <v>0</v>
      </c>
      <c r="AJ18" s="623">
        <f>'Pax Profile B'!Y36*$N18</f>
        <v>0</v>
      </c>
      <c r="AK18" s="623">
        <f>'Pax Profile B'!Z36*$N18</f>
        <v>0</v>
      </c>
      <c r="AL18" s="623">
        <f>'Pax Profile B'!AA36*$N18</f>
        <v>3.02</v>
      </c>
      <c r="AM18" s="623">
        <f>'Pax Profile B'!AB36*$N18</f>
        <v>6.04</v>
      </c>
      <c r="AN18" s="623">
        <f>'Pax Profile B'!AC36*$N18</f>
        <v>12.08</v>
      </c>
      <c r="AO18" s="623">
        <f>'Pax Profile B'!AD36*$N18</f>
        <v>18.12</v>
      </c>
      <c r="AP18" s="623">
        <f>'Pax Profile B'!AE36*$N18</f>
        <v>24.16</v>
      </c>
      <c r="AQ18" s="623">
        <f>'Pax Profile B'!AF36*$N18</f>
        <v>33.22</v>
      </c>
      <c r="AR18" s="623">
        <f>'Pax Profile B'!AG36*$N18</f>
        <v>42.28</v>
      </c>
      <c r="AS18" s="623">
        <f>'Pax Profile B'!AH36*$N18</f>
        <v>51.34</v>
      </c>
      <c r="AT18" s="623">
        <f>'Pax Profile B'!AI36*$N18</f>
        <v>63.419999999999995</v>
      </c>
      <c r="AU18" s="623">
        <f>'Pax Profile B'!AJ36*$N18</f>
        <v>75.5</v>
      </c>
      <c r="AV18" s="623">
        <f>'Pax Profile B'!AK36*$N18</f>
        <v>87.58</v>
      </c>
      <c r="AW18" s="623">
        <f>'Pax Profile B'!AL36*$N18</f>
        <v>169.11999999999998</v>
      </c>
      <c r="AX18" s="623">
        <f>'Pax Profile B'!AM36*$N18</f>
        <v>169.11999999999995</v>
      </c>
      <c r="AY18" s="623">
        <f>'Pax Profile B'!AN36*$N18</f>
        <v>117.77999999999996</v>
      </c>
      <c r="AZ18" s="623">
        <f>'Pax Profile B'!AO36*$N18</f>
        <v>48.319999999999951</v>
      </c>
      <c r="BA18" s="623">
        <f>'Pax Profile B'!AP36*$N18</f>
        <v>6.0399999999999592</v>
      </c>
      <c r="BB18" s="623">
        <f>'Pax Profile B'!AQ36*$N18</f>
        <v>-4.1015023419324244E-14</v>
      </c>
      <c r="BC18" s="623">
        <f>'Pax Profile B'!AR36*$N18</f>
        <v>0</v>
      </c>
      <c r="BD18" s="163" t="s">
        <v>27</v>
      </c>
      <c r="BE18" s="625"/>
      <c r="BF18" s="625"/>
      <c r="BG18" s="625"/>
      <c r="BH18" s="625"/>
      <c r="BI18" s="625"/>
      <c r="BJ18" s="625"/>
      <c r="BK18" s="625"/>
      <c r="BL18" s="625"/>
      <c r="BM18" s="625"/>
      <c r="BN18" s="625"/>
      <c r="BO18" s="625"/>
      <c r="BP18" s="625"/>
      <c r="BQ18" s="625"/>
      <c r="BR18" s="625"/>
      <c r="BS18" s="625"/>
      <c r="BT18" s="625"/>
      <c r="BU18" s="625"/>
      <c r="BV18" s="625"/>
      <c r="BW18" s="625"/>
      <c r="BX18" s="625"/>
      <c r="BY18" s="625"/>
      <c r="BZ18" s="627"/>
      <c r="CA18" s="905" t="str">
        <f>'Departure Lounge 2027'!BY18</f>
        <v>Aircraft upgraded from A320 to B787-800</v>
      </c>
    </row>
    <row r="19" spans="1:79" s="8" customFormat="1" ht="30" customHeight="1" x14ac:dyDescent="0.25">
      <c r="A19" s="766" t="str">
        <f>'Departure Lounge 2027'!A19</f>
        <v>VN</v>
      </c>
      <c r="B19" s="769" t="str">
        <f>IF(ISBLANK('Departure Lounge 2027'!B19),"",'Departure Lounge 2027'!B19)</f>
        <v>N</v>
      </c>
      <c r="C19" s="599" t="e">
        <f t="shared" si="5"/>
        <v>#N/A</v>
      </c>
      <c r="D19" s="605" t="str">
        <f>IF(ISBLANK('Departure Lounge 2027'!D19),"",'Departure Lounge 2027'!D19)</f>
        <v/>
      </c>
      <c r="E19" s="605" t="str">
        <f>'Departure Lounge 2027'!E19</f>
        <v>SGN</v>
      </c>
      <c r="F19" s="767" t="str">
        <f>'Departure Lounge 2027'!F19</f>
        <v>S</v>
      </c>
      <c r="G19" s="603" t="str">
        <f t="shared" si="2"/>
        <v>E</v>
      </c>
      <c r="H19" s="789">
        <v>159</v>
      </c>
      <c r="I19" s="732" t="str">
        <f t="shared" si="6"/>
        <v>B</v>
      </c>
      <c r="J19" s="768">
        <f>'Departure Lounge 2027'!H19</f>
        <v>0.31597222222222221</v>
      </c>
      <c r="K19" s="604"/>
      <c r="L19" s="767">
        <f>'Departure Lounge 2027'!J19</f>
        <v>333</v>
      </c>
      <c r="M19" s="605">
        <f t="shared" ref="M19" si="7">IF(F19="S",VLOOKUP(L19,Aircraft,4,FALSE),VLOOKUP(L19,Aircraft,5,FALSE))</f>
        <v>285</v>
      </c>
      <c r="N19" s="606">
        <f t="shared" ref="N19" si="8">ROUND(M19*N$4,0)</f>
        <v>257</v>
      </c>
      <c r="O19" s="607"/>
      <c r="P19" s="607"/>
      <c r="Q19" s="607"/>
      <c r="R19" s="607"/>
      <c r="S19" s="607"/>
      <c r="T19" s="607"/>
      <c r="U19" s="607"/>
      <c r="V19" s="607">
        <f>'Pax Profile A'!I36*$N19</f>
        <v>0</v>
      </c>
      <c r="W19" s="607">
        <f>'Pax Profile A'!J36*$N19</f>
        <v>0</v>
      </c>
      <c r="X19" s="607">
        <f>'Pax Profile A'!K36*$N19</f>
        <v>0</v>
      </c>
      <c r="Y19" s="607">
        <f>'Pax Profile A'!L36*$N19</f>
        <v>0</v>
      </c>
      <c r="Z19" s="607">
        <f>'Pax Profile A'!M36*$N19</f>
        <v>0</v>
      </c>
      <c r="AA19" s="607">
        <f>'Pax Profile A'!N36*$N19</f>
        <v>0</v>
      </c>
      <c r="AB19" s="607">
        <f>'Pax Profile A'!O36*$N19</f>
        <v>0</v>
      </c>
      <c r="AC19" s="607">
        <f>'Pax Profile A'!P36*$N19</f>
        <v>0</v>
      </c>
      <c r="AD19" s="607">
        <f>'Pax Profile A'!Q36*$N19</f>
        <v>0</v>
      </c>
      <c r="AE19" s="607">
        <f>'Pax Profile A'!R36*$N19</f>
        <v>0</v>
      </c>
      <c r="AF19" s="607">
        <f>'Pax Profile A'!S36*$N19</f>
        <v>0</v>
      </c>
      <c r="AG19" s="607">
        <f>'Pax Profile A'!T36*$N19</f>
        <v>0</v>
      </c>
      <c r="AH19" s="607">
        <f>'Pax Profile A'!U36*$N19</f>
        <v>0</v>
      </c>
      <c r="AI19" s="607">
        <f>'Pax Profile A'!V36*$N19</f>
        <v>0</v>
      </c>
      <c r="AJ19" s="607">
        <f>'Pax Profile A'!W36*$N19</f>
        <v>0</v>
      </c>
      <c r="AK19" s="607">
        <f>'Pax Profile A'!X36*$N19</f>
        <v>0</v>
      </c>
      <c r="AL19" s="607">
        <f>'Pax Profile A'!Y36*$N19</f>
        <v>0</v>
      </c>
      <c r="AM19" s="607" t="e">
        <f>'Pax Profile A'!Z36*$N19</f>
        <v>#N/A</v>
      </c>
      <c r="AN19" s="607" t="e">
        <f>'Pax Profile A'!AA36*$N19</f>
        <v>#N/A</v>
      </c>
      <c r="AO19" s="607" t="e">
        <f>'Pax Profile A'!AB36*$N19</f>
        <v>#N/A</v>
      </c>
      <c r="AP19" s="607" t="e">
        <f>'Pax Profile A'!AC36*$N19</f>
        <v>#N/A</v>
      </c>
      <c r="AQ19" s="607" t="e">
        <f>'Pax Profile A'!AD36*$N19</f>
        <v>#N/A</v>
      </c>
      <c r="AR19" s="607" t="e">
        <f>'Pax Profile A'!AE36*$N19</f>
        <v>#N/A</v>
      </c>
      <c r="AS19" s="607" t="e">
        <f>'Pax Profile A'!AF36*$N19</f>
        <v>#N/A</v>
      </c>
      <c r="AT19" s="607" t="e">
        <f>'Pax Profile A'!AG36*$N19</f>
        <v>#N/A</v>
      </c>
      <c r="AU19" s="607" t="e">
        <f>'Pax Profile A'!AH36*$N19</f>
        <v>#N/A</v>
      </c>
      <c r="AV19" s="607" t="e">
        <f>'Pax Profile A'!AI36*$N19</f>
        <v>#N/A</v>
      </c>
      <c r="AW19" s="607" t="e">
        <f>'Pax Profile A'!AJ36*$N19</f>
        <v>#N/A</v>
      </c>
      <c r="AX19" s="607" t="e">
        <f>'Pax Profile A'!AK36*$N19</f>
        <v>#N/A</v>
      </c>
      <c r="AY19" s="607" t="e">
        <f>'Pax Profile A'!AL36*$N19</f>
        <v>#N/A</v>
      </c>
      <c r="AZ19" s="607" t="e">
        <f>'Pax Profile A'!AM36*$N19</f>
        <v>#N/A</v>
      </c>
      <c r="BA19" s="607" t="e">
        <f>'Pax Profile A'!AN36*$N19</f>
        <v>#N/A</v>
      </c>
      <c r="BB19" s="607" t="e">
        <f>'Pax Profile A'!AO36*$N19</f>
        <v>#N/A</v>
      </c>
      <c r="BC19" s="607" t="e">
        <f>'Pax Profile A'!AP36*$N19</f>
        <v>#N/A</v>
      </c>
      <c r="BD19" s="607" t="e">
        <f>'Pax Profile A'!AQ36*$N19</f>
        <v>#N/A</v>
      </c>
      <c r="BE19" s="607" t="e">
        <f>'Pax Profile A'!AR36*$N19</f>
        <v>#N/A</v>
      </c>
      <c r="BF19" s="673" t="s">
        <v>27</v>
      </c>
      <c r="BG19" s="608"/>
      <c r="BH19" s="608"/>
      <c r="BI19" s="608"/>
      <c r="BJ19" s="608"/>
      <c r="BK19" s="608"/>
      <c r="BL19" s="608"/>
      <c r="BM19" s="608"/>
      <c r="BN19" s="608"/>
      <c r="BO19" s="608"/>
      <c r="BP19" s="608"/>
      <c r="BQ19" s="608"/>
      <c r="BR19" s="608"/>
      <c r="BS19" s="608"/>
      <c r="BT19" s="608"/>
      <c r="BU19" s="608"/>
      <c r="BV19" s="608"/>
      <c r="BW19" s="608"/>
      <c r="BX19" s="608"/>
      <c r="BY19" s="608"/>
      <c r="BZ19" s="610"/>
      <c r="CA19" s="909" t="str">
        <f>'Departure Lounge 2027'!BY19</f>
        <v>New Flight (new destination)</v>
      </c>
    </row>
    <row r="20" spans="1:79" s="8" customFormat="1" ht="30" customHeight="1" x14ac:dyDescent="0.25">
      <c r="A20" s="739" t="str">
        <f>'Departure Lounge 2027'!A20</f>
        <v>CX</v>
      </c>
      <c r="B20" s="741" t="str">
        <f>IF(ISBLANK('Departure Lounge 2027'!B20),"",'Departure Lounge 2027'!B20)</f>
        <v/>
      </c>
      <c r="C20" s="540" t="e">
        <f t="shared" si="5"/>
        <v>#N/A</v>
      </c>
      <c r="D20" s="516">
        <f>IF(ISBLANK('Departure Lounge 2027'!D20),"",'Departure Lounge 2027'!D20)</f>
        <v>136</v>
      </c>
      <c r="E20" s="516" t="str">
        <f>'Departure Lounge 2027'!E20</f>
        <v>HKG</v>
      </c>
      <c r="F20" s="521" t="str">
        <f>'Departure Lounge 2027'!F20</f>
        <v>S</v>
      </c>
      <c r="G20" s="544" t="str">
        <f t="shared" si="2"/>
        <v>E</v>
      </c>
      <c r="H20" s="790">
        <v>157</v>
      </c>
      <c r="I20" s="730" t="str">
        <f t="shared" si="6"/>
        <v>B</v>
      </c>
      <c r="J20" s="746">
        <f>'Departure Lounge 2027'!H20</f>
        <v>0.31944444444444442</v>
      </c>
      <c r="K20" s="515"/>
      <c r="L20" s="521">
        <f>'Departure Lounge 2027'!J20</f>
        <v>333</v>
      </c>
      <c r="M20" s="633">
        <v>242</v>
      </c>
      <c r="N20" s="547">
        <f t="shared" si="4"/>
        <v>218</v>
      </c>
      <c r="O20" s="434"/>
      <c r="P20" s="434"/>
      <c r="Q20" s="434"/>
      <c r="R20" s="434"/>
      <c r="S20" s="434"/>
      <c r="T20" s="434"/>
      <c r="U20" s="434"/>
      <c r="V20" s="434"/>
      <c r="W20" s="435">
        <f>'Pax Profile A'!I36*$N20</f>
        <v>0</v>
      </c>
      <c r="X20" s="435">
        <f>'Pax Profile A'!J36*$N20</f>
        <v>0</v>
      </c>
      <c r="Y20" s="435">
        <f>'Pax Profile A'!K36*$N20</f>
        <v>0</v>
      </c>
      <c r="Z20" s="435">
        <f>'Pax Profile A'!L36*$N20</f>
        <v>0</v>
      </c>
      <c r="AA20" s="435">
        <f>'Pax Profile A'!M36*$N20</f>
        <v>0</v>
      </c>
      <c r="AB20" s="435">
        <f>'Pax Profile A'!N36*$N20</f>
        <v>0</v>
      </c>
      <c r="AC20" s="435">
        <f>'Pax Profile A'!O36*$N20</f>
        <v>0</v>
      </c>
      <c r="AD20" s="435">
        <f>'Pax Profile A'!P36*$N20</f>
        <v>0</v>
      </c>
      <c r="AE20" s="435">
        <f>'Pax Profile A'!Q36*$N20</f>
        <v>0</v>
      </c>
      <c r="AF20" s="435">
        <f>'Pax Profile A'!R36*$N20</f>
        <v>0</v>
      </c>
      <c r="AG20" s="435">
        <f>'Pax Profile A'!S36*$N20</f>
        <v>0</v>
      </c>
      <c r="AH20" s="435">
        <f>'Pax Profile A'!T36*$N20</f>
        <v>0</v>
      </c>
      <c r="AI20" s="435">
        <f>'Pax Profile A'!U36*$N20</f>
        <v>0</v>
      </c>
      <c r="AJ20" s="435">
        <f>'Pax Profile A'!V36*$N20</f>
        <v>0</v>
      </c>
      <c r="AK20" s="435">
        <f>'Pax Profile A'!W36*$N20</f>
        <v>0</v>
      </c>
      <c r="AL20" s="435">
        <f>'Pax Profile A'!X36*$N20</f>
        <v>0</v>
      </c>
      <c r="AM20" s="435">
        <f>'Pax Profile A'!Y36*$N20</f>
        <v>0</v>
      </c>
      <c r="AN20" s="435" t="e">
        <f>'Pax Profile A'!Z36*$N20</f>
        <v>#N/A</v>
      </c>
      <c r="AO20" s="435" t="e">
        <f>'Pax Profile A'!AA36*$N20</f>
        <v>#N/A</v>
      </c>
      <c r="AP20" s="435" t="e">
        <f>'Pax Profile A'!AB36*$N20</f>
        <v>#N/A</v>
      </c>
      <c r="AQ20" s="435" t="e">
        <f>'Pax Profile A'!AC36*$N20</f>
        <v>#N/A</v>
      </c>
      <c r="AR20" s="435" t="e">
        <f>'Pax Profile A'!AD36*$N20</f>
        <v>#N/A</v>
      </c>
      <c r="AS20" s="435" t="e">
        <f>'Pax Profile A'!AE36*$N20</f>
        <v>#N/A</v>
      </c>
      <c r="AT20" s="435" t="e">
        <f>'Pax Profile A'!AF36*$N20</f>
        <v>#N/A</v>
      </c>
      <c r="AU20" s="435" t="e">
        <f>'Pax Profile A'!AG36*$N20</f>
        <v>#N/A</v>
      </c>
      <c r="AV20" s="435" t="e">
        <f>'Pax Profile A'!AH36*$N20</f>
        <v>#N/A</v>
      </c>
      <c r="AW20" s="435" t="e">
        <f>'Pax Profile A'!AI36*$N20</f>
        <v>#N/A</v>
      </c>
      <c r="AX20" s="435" t="e">
        <f>'Pax Profile A'!AJ36*$N20</f>
        <v>#N/A</v>
      </c>
      <c r="AY20" s="435" t="e">
        <f>'Pax Profile A'!AK36*$N20</f>
        <v>#N/A</v>
      </c>
      <c r="AZ20" s="435" t="e">
        <f>'Pax Profile A'!AL36*$N20</f>
        <v>#N/A</v>
      </c>
      <c r="BA20" s="435" t="e">
        <f>'Pax Profile A'!AM36*$N20</f>
        <v>#N/A</v>
      </c>
      <c r="BB20" s="435" t="e">
        <f>'Pax Profile A'!AN36*$N20</f>
        <v>#N/A</v>
      </c>
      <c r="BC20" s="435" t="e">
        <f>'Pax Profile A'!AO36*$N20</f>
        <v>#N/A</v>
      </c>
      <c r="BD20" s="435" t="e">
        <f>'Pax Profile A'!AP36*$N20</f>
        <v>#N/A</v>
      </c>
      <c r="BE20" s="435" t="e">
        <f>'Pax Profile A'!AQ36*$N20</f>
        <v>#N/A</v>
      </c>
      <c r="BF20" s="435" t="e">
        <f>'Pax Profile A'!AR36*$N20</f>
        <v>#N/A</v>
      </c>
      <c r="BG20" s="163" t="s">
        <v>27</v>
      </c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237"/>
      <c r="BW20" s="237"/>
      <c r="BX20" s="237"/>
      <c r="BY20" s="237"/>
      <c r="BZ20" s="243"/>
      <c r="CA20" s="907">
        <f>'Departure Lounge 2027'!BY20</f>
        <v>0</v>
      </c>
    </row>
    <row r="21" spans="1:79" s="8" customFormat="1" ht="30" customHeight="1" x14ac:dyDescent="0.25">
      <c r="A21" s="739" t="str">
        <f>'Departure Lounge 2027'!A21</f>
        <v>GA</v>
      </c>
      <c r="B21" s="741" t="str">
        <f>IF(ISBLANK('Departure Lounge 2027'!B21),"",'Departure Lounge 2027'!B21)</f>
        <v/>
      </c>
      <c r="C21" s="361" t="e">
        <f t="shared" si="5"/>
        <v>#N/A</v>
      </c>
      <c r="D21" s="516">
        <f>IF(ISBLANK('Departure Lounge 2027'!D21),"",'Departure Lounge 2027'!D21)</f>
        <v>727</v>
      </c>
      <c r="E21" s="516" t="str">
        <f>'Departure Lounge 2027'!E21</f>
        <v>DPS</v>
      </c>
      <c r="F21" s="521" t="str">
        <f>'Departure Lounge 2027'!F21</f>
        <v>S</v>
      </c>
      <c r="G21" s="514" t="str">
        <f t="shared" si="2"/>
        <v>E</v>
      </c>
      <c r="H21" s="978">
        <v>164</v>
      </c>
      <c r="I21" s="730" t="str">
        <f t="shared" si="6"/>
        <v>E</v>
      </c>
      <c r="J21" s="746">
        <f>'Departure Lounge 2027'!H21</f>
        <v>0.3263888888888889</v>
      </c>
      <c r="K21" s="515"/>
      <c r="L21" s="521">
        <f>'Departure Lounge 2027'!J21</f>
        <v>333</v>
      </c>
      <c r="M21" s="516">
        <f>IF(F21="S",VLOOKUP(L21,Aircraft,4,FALSE),VLOOKUP(L21,Aircraft,5,FALSE))</f>
        <v>285</v>
      </c>
      <c r="N21" s="220">
        <f t="shared" si="4"/>
        <v>257</v>
      </c>
      <c r="O21" s="239"/>
      <c r="P21" s="237"/>
      <c r="Q21" s="237"/>
      <c r="R21" s="237"/>
      <c r="S21" s="237"/>
      <c r="T21" s="237"/>
      <c r="U21" s="237"/>
      <c r="V21" s="236"/>
      <c r="W21" s="434"/>
      <c r="X21" s="434"/>
      <c r="Y21" s="435">
        <f>'Pax Profile A'!I36*$N21</f>
        <v>0</v>
      </c>
      <c r="Z21" s="435">
        <f>'Pax Profile A'!J36*$N21</f>
        <v>0</v>
      </c>
      <c r="AA21" s="435">
        <f>'Pax Profile A'!K36*$N21</f>
        <v>0</v>
      </c>
      <c r="AB21" s="435">
        <f>'Pax Profile A'!L36*$N21</f>
        <v>0</v>
      </c>
      <c r="AC21" s="435">
        <f>'Pax Profile A'!M36*$N21</f>
        <v>0</v>
      </c>
      <c r="AD21" s="435">
        <f>'Pax Profile A'!N36*$N21</f>
        <v>0</v>
      </c>
      <c r="AE21" s="435">
        <f>'Pax Profile A'!O36*$N21</f>
        <v>0</v>
      </c>
      <c r="AF21" s="435">
        <f>'Pax Profile A'!P36*$N21</f>
        <v>0</v>
      </c>
      <c r="AG21" s="435">
        <f>'Pax Profile A'!Q36*$N21</f>
        <v>0</v>
      </c>
      <c r="AH21" s="435">
        <f>'Pax Profile A'!R36*$N21</f>
        <v>0</v>
      </c>
      <c r="AI21" s="435">
        <f>'Pax Profile A'!S36*$N21</f>
        <v>0</v>
      </c>
      <c r="AJ21" s="435">
        <f>'Pax Profile A'!T36*$N21</f>
        <v>0</v>
      </c>
      <c r="AK21" s="435">
        <f>'Pax Profile A'!U36*$N21</f>
        <v>0</v>
      </c>
      <c r="AL21" s="435">
        <f>'Pax Profile A'!V36*$N21</f>
        <v>0</v>
      </c>
      <c r="AM21" s="435">
        <f>'Pax Profile A'!W36*$N21</f>
        <v>0</v>
      </c>
      <c r="AN21" s="435">
        <f>'Pax Profile A'!X36*$N21</f>
        <v>0</v>
      </c>
      <c r="AO21" s="435">
        <f>'Pax Profile A'!Y36*$N21</f>
        <v>0</v>
      </c>
      <c r="AP21" s="435" t="e">
        <f>'Pax Profile A'!Z36*$N21</f>
        <v>#N/A</v>
      </c>
      <c r="AQ21" s="435" t="e">
        <f>'Pax Profile A'!AA36*$N21</f>
        <v>#N/A</v>
      </c>
      <c r="AR21" s="435" t="e">
        <f>'Pax Profile A'!AB36*$N21</f>
        <v>#N/A</v>
      </c>
      <c r="AS21" s="435" t="e">
        <f>'Pax Profile A'!AC36*$N21</f>
        <v>#N/A</v>
      </c>
      <c r="AT21" s="435" t="e">
        <f>'Pax Profile A'!AD36*$N21</f>
        <v>#N/A</v>
      </c>
      <c r="AU21" s="435" t="e">
        <f>'Pax Profile A'!AE36*$N21</f>
        <v>#N/A</v>
      </c>
      <c r="AV21" s="435" t="e">
        <f>'Pax Profile A'!AF36*$N21</f>
        <v>#N/A</v>
      </c>
      <c r="AW21" s="435" t="e">
        <f>'Pax Profile A'!AG36*$N21</f>
        <v>#N/A</v>
      </c>
      <c r="AX21" s="435" t="e">
        <f>'Pax Profile A'!AH36*$N21</f>
        <v>#N/A</v>
      </c>
      <c r="AY21" s="435" t="e">
        <f>'Pax Profile A'!AI36*$N21</f>
        <v>#N/A</v>
      </c>
      <c r="AZ21" s="435" t="e">
        <f>'Pax Profile A'!AJ36*$N21</f>
        <v>#N/A</v>
      </c>
      <c r="BA21" s="435" t="e">
        <f>'Pax Profile A'!AK36*$N21</f>
        <v>#N/A</v>
      </c>
      <c r="BB21" s="435" t="e">
        <f>'Pax Profile A'!AL36*$N21</f>
        <v>#N/A</v>
      </c>
      <c r="BC21" s="435" t="e">
        <f>'Pax Profile A'!AM36*$N21</f>
        <v>#N/A</v>
      </c>
      <c r="BD21" s="435" t="e">
        <f>'Pax Profile A'!AN36*$N21</f>
        <v>#N/A</v>
      </c>
      <c r="BE21" s="435" t="e">
        <f>'Pax Profile A'!AO36*$N21</f>
        <v>#N/A</v>
      </c>
      <c r="BF21" s="435" t="e">
        <f>'Pax Profile A'!AP36*$N21</f>
        <v>#N/A</v>
      </c>
      <c r="BG21" s="435" t="e">
        <f>'Pax Profile A'!AQ36*$N21</f>
        <v>#N/A</v>
      </c>
      <c r="BH21" s="435" t="e">
        <f>'Pax Profile A'!AR36*$N21</f>
        <v>#N/A</v>
      </c>
      <c r="BI21" s="163" t="s">
        <v>27</v>
      </c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237"/>
      <c r="BW21" s="237"/>
      <c r="BX21" s="237"/>
      <c r="BY21" s="237"/>
      <c r="BZ21" s="243"/>
      <c r="CA21" s="907">
        <f>'Departure Lounge 2027'!BY21</f>
        <v>0</v>
      </c>
    </row>
    <row r="22" spans="1:79" s="8" customFormat="1" ht="30" customHeight="1" x14ac:dyDescent="0.25">
      <c r="A22" s="766" t="str">
        <f>'Departure Lounge 2027'!A22</f>
        <v>TG</v>
      </c>
      <c r="B22" s="769" t="str">
        <f>IF(ISBLANK('Departure Lounge 2027'!B22),"",'Departure Lounge 2027'!B22)</f>
        <v>N</v>
      </c>
      <c r="C22" s="599" t="e">
        <f t="shared" si="5"/>
        <v>#N/A</v>
      </c>
      <c r="D22" s="605" t="str">
        <f>IF(ISBLANK('Departure Lounge 2027'!D22),"",'Departure Lounge 2027'!D22)</f>
        <v/>
      </c>
      <c r="E22" s="605" t="str">
        <f>'Departure Lounge 2027'!E22</f>
        <v>HKT</v>
      </c>
      <c r="F22" s="767" t="str">
        <f>'Departure Lounge 2027'!F22</f>
        <v>S</v>
      </c>
      <c r="G22" s="603" t="str">
        <f t="shared" si="2"/>
        <v>E</v>
      </c>
      <c r="H22" s="789">
        <v>155</v>
      </c>
      <c r="I22" s="732" t="str">
        <f t="shared" si="6"/>
        <v>A</v>
      </c>
      <c r="J22" s="768">
        <f>'Departure Lounge 2027'!H22</f>
        <v>0.34375</v>
      </c>
      <c r="K22" s="604"/>
      <c r="L22" s="767">
        <f>'Departure Lounge 2027'!J22</f>
        <v>788</v>
      </c>
      <c r="M22" s="630">
        <v>170</v>
      </c>
      <c r="N22" s="606">
        <f t="shared" si="4"/>
        <v>153</v>
      </c>
      <c r="O22" s="631"/>
      <c r="P22" s="631"/>
      <c r="Q22" s="631"/>
      <c r="R22" s="631"/>
      <c r="S22" s="631"/>
      <c r="T22" s="631"/>
      <c r="U22" s="631"/>
      <c r="V22" s="631"/>
      <c r="W22" s="607"/>
      <c r="X22" s="607"/>
      <c r="Y22" s="607"/>
      <c r="Z22" s="607"/>
      <c r="AA22" s="607"/>
      <c r="AB22" s="607"/>
      <c r="AC22" s="607"/>
      <c r="AD22" s="607">
        <f>'Pax Profile D'!I36*$N22</f>
        <v>0</v>
      </c>
      <c r="AE22" s="607">
        <f>'Pax Profile D'!J36*$N22</f>
        <v>0</v>
      </c>
      <c r="AF22" s="607">
        <f>'Pax Profile D'!K36*$N22</f>
        <v>0</v>
      </c>
      <c r="AG22" s="607">
        <f>'Pax Profile D'!L36*$N22</f>
        <v>0</v>
      </c>
      <c r="AH22" s="607">
        <f>'Pax Profile D'!M36*$N22</f>
        <v>0</v>
      </c>
      <c r="AI22" s="607">
        <f>'Pax Profile D'!N36*$N22</f>
        <v>0</v>
      </c>
      <c r="AJ22" s="607">
        <f>'Pax Profile D'!O36*$N22</f>
        <v>0</v>
      </c>
      <c r="AK22" s="607">
        <f>'Pax Profile D'!P36*$N22</f>
        <v>0</v>
      </c>
      <c r="AL22" s="607">
        <f>'Pax Profile D'!Q36*$N22</f>
        <v>0</v>
      </c>
      <c r="AM22" s="607">
        <f>'Pax Profile D'!R36*$N22</f>
        <v>0</v>
      </c>
      <c r="AN22" s="607">
        <f>'Pax Profile D'!S36*$N22</f>
        <v>0</v>
      </c>
      <c r="AO22" s="607">
        <f>'Pax Profile D'!T36*$N22</f>
        <v>0</v>
      </c>
      <c r="AP22" s="607">
        <f>'Pax Profile D'!U36*$N22</f>
        <v>0</v>
      </c>
      <c r="AQ22" s="607">
        <f>'Pax Profile D'!V36*$N22</f>
        <v>0</v>
      </c>
      <c r="AR22" s="607">
        <f>'Pax Profile D'!W36*$N22</f>
        <v>0</v>
      </c>
      <c r="AS22" s="607">
        <f>'Pax Profile D'!X36*$N22</f>
        <v>0</v>
      </c>
      <c r="AT22" s="607">
        <f>'Pax Profile D'!Y36*$N22</f>
        <v>0</v>
      </c>
      <c r="AU22" s="607">
        <f>'Pax Profile D'!Z36*$N22</f>
        <v>0</v>
      </c>
      <c r="AV22" s="607">
        <f>'Pax Profile D'!AA36*$N22</f>
        <v>0</v>
      </c>
      <c r="AW22" s="607">
        <f>'Pax Profile D'!AB36*$N22</f>
        <v>0</v>
      </c>
      <c r="AX22" s="607">
        <f>'Pax Profile D'!AC36*$N22</f>
        <v>1.53</v>
      </c>
      <c r="AY22" s="607">
        <f>'Pax Profile D'!AD36*$N22</f>
        <v>4.59</v>
      </c>
      <c r="AZ22" s="607">
        <f>'Pax Profile D'!AE36*$N22</f>
        <v>9.18</v>
      </c>
      <c r="BA22" s="607">
        <f>'Pax Profile D'!AF36*$N22</f>
        <v>15.3</v>
      </c>
      <c r="BB22" s="607">
        <f>'Pax Profile D'!AG36*$N22</f>
        <v>21.42</v>
      </c>
      <c r="BC22" s="607">
        <f>'Pax Profile D'!AH36*$N22</f>
        <v>26.01</v>
      </c>
      <c r="BD22" s="607">
        <f>'Pax Profile D'!AI36*$N22</f>
        <v>27.540000000000003</v>
      </c>
      <c r="BE22" s="607">
        <f>'Pax Profile D'!AJ36*$N22</f>
        <v>29.070000000000004</v>
      </c>
      <c r="BF22" s="607">
        <f>'Pax Profile D'!AK36*$N22</f>
        <v>30.600000000000005</v>
      </c>
      <c r="BG22" s="607">
        <f>'Pax Profile D'!AL36*$N22</f>
        <v>32.130000000000003</v>
      </c>
      <c r="BH22" s="607">
        <f>'Pax Profile D'!AM36*$N22</f>
        <v>41.31</v>
      </c>
      <c r="BI22" s="607">
        <f>'Pax Profile D'!AN36*$N22</f>
        <v>82.62</v>
      </c>
      <c r="BJ22" s="607">
        <f>'Pax Profile D'!AO36*$N22</f>
        <v>61.2</v>
      </c>
      <c r="BK22" s="607">
        <f>'Pax Profile D'!AP36*$N22</f>
        <v>3.0600000000000023</v>
      </c>
      <c r="BL22" s="607">
        <f>'Pax Profile D'!AQ36*$N22</f>
        <v>0</v>
      </c>
      <c r="BM22" s="607" t="e">
        <f>'Pax Profile A'!AR36*$N22</f>
        <v>#N/A</v>
      </c>
      <c r="BN22" s="673" t="s">
        <v>27</v>
      </c>
      <c r="BO22" s="608"/>
      <c r="BP22" s="608"/>
      <c r="BQ22" s="608"/>
      <c r="BR22" s="608"/>
      <c r="BS22" s="608"/>
      <c r="BT22" s="608"/>
      <c r="BU22" s="608"/>
      <c r="BV22" s="608"/>
      <c r="BW22" s="608"/>
      <c r="BX22" s="608"/>
      <c r="BY22" s="608"/>
      <c r="BZ22" s="610"/>
      <c r="CA22" s="909" t="str">
        <f>'Departure Lounge 2027'!BY22</f>
        <v>New Flight (existing destination)</v>
      </c>
    </row>
    <row r="23" spans="1:79" s="8" customFormat="1" ht="30" customHeight="1" x14ac:dyDescent="0.25">
      <c r="A23" s="757" t="str">
        <f>'Departure Lounge 2027'!A23</f>
        <v>3K</v>
      </c>
      <c r="B23" s="758" t="str">
        <f>IF(ISBLANK('Departure Lounge 2027'!B23),"",'Departure Lounge 2027'!B23)</f>
        <v/>
      </c>
      <c r="C23" s="540" t="e">
        <f t="shared" si="5"/>
        <v>#N/A</v>
      </c>
      <c r="D23" s="546">
        <f>IF(ISBLANK('Departure Lounge 2027'!D23),"",'Departure Lounge 2027'!D23)</f>
        <v>134</v>
      </c>
      <c r="E23" s="546" t="str">
        <f>'Departure Lounge 2027'!E23</f>
        <v>SIN</v>
      </c>
      <c r="F23" s="759" t="str">
        <f>'Departure Lounge 2027'!F23</f>
        <v>L</v>
      </c>
      <c r="G23" s="544" t="str">
        <f t="shared" si="2"/>
        <v>C</v>
      </c>
      <c r="H23" s="790">
        <v>165</v>
      </c>
      <c r="I23" s="760" t="str">
        <f t="shared" si="6"/>
        <v>E</v>
      </c>
      <c r="J23" s="761">
        <f>'Departure Lounge 2027'!H23</f>
        <v>0.35069444444444442</v>
      </c>
      <c r="K23" s="545"/>
      <c r="L23" s="759">
        <f>'Departure Lounge 2027'!J23</f>
        <v>320</v>
      </c>
      <c r="M23" s="546">
        <f t="shared" ref="M23:M31" si="9">IF(F23="S",VLOOKUP(L23,Aircraft,4,FALSE),VLOOKUP(L23,Aircraft,5,FALSE))</f>
        <v>180</v>
      </c>
      <c r="N23" s="547">
        <f t="shared" si="4"/>
        <v>162</v>
      </c>
      <c r="O23" s="239"/>
      <c r="P23" s="237"/>
      <c r="Q23" s="237"/>
      <c r="R23" s="237"/>
      <c r="S23" s="237"/>
      <c r="T23" s="237"/>
      <c r="U23" s="435"/>
      <c r="V23" s="435"/>
      <c r="W23" s="435"/>
      <c r="X23" s="435"/>
      <c r="Y23" s="435"/>
      <c r="Z23" s="435"/>
      <c r="AA23" s="435"/>
      <c r="AB23" s="435"/>
      <c r="AC23" s="435"/>
      <c r="AD23" s="435"/>
      <c r="AE23" s="435"/>
      <c r="AF23" s="435">
        <f>'Pax Profile C'!I36*$N23</f>
        <v>0</v>
      </c>
      <c r="AG23" s="435">
        <f>'Pax Profile C'!J36*$N23</f>
        <v>0</v>
      </c>
      <c r="AH23" s="435">
        <f>'Pax Profile C'!K36*$N23</f>
        <v>0</v>
      </c>
      <c r="AI23" s="435">
        <f>'Pax Profile C'!L36*$N23</f>
        <v>0</v>
      </c>
      <c r="AJ23" s="435">
        <f>'Pax Profile C'!M36*$N23</f>
        <v>0</v>
      </c>
      <c r="AK23" s="435">
        <f>'Pax Profile C'!N36*$N23</f>
        <v>0</v>
      </c>
      <c r="AL23" s="435">
        <f>'Pax Profile C'!O36*$N23</f>
        <v>0</v>
      </c>
      <c r="AM23" s="435">
        <f>'Pax Profile C'!P36*$N23</f>
        <v>0</v>
      </c>
      <c r="AN23" s="435">
        <f>'Pax Profile C'!Q36*$N23</f>
        <v>0</v>
      </c>
      <c r="AO23" s="435">
        <f>'Pax Profile C'!R36*$N23</f>
        <v>0</v>
      </c>
      <c r="AP23" s="435">
        <f>'Pax Profile C'!S36*$N23</f>
        <v>0</v>
      </c>
      <c r="AQ23" s="435">
        <f>'Pax Profile C'!T36*$N23</f>
        <v>0</v>
      </c>
      <c r="AR23" s="435">
        <f>'Pax Profile C'!U36*$N23</f>
        <v>0</v>
      </c>
      <c r="AS23" s="435">
        <f>'Pax Profile C'!V36*$N23</f>
        <v>0</v>
      </c>
      <c r="AT23" s="435">
        <f>'Pax Profile C'!W36*$N23</f>
        <v>0</v>
      </c>
      <c r="AU23" s="435">
        <f>'Pax Profile C'!X36*$N23</f>
        <v>0</v>
      </c>
      <c r="AV23" s="435">
        <f>'Pax Profile C'!Y36*$N23</f>
        <v>0</v>
      </c>
      <c r="AW23" s="435">
        <f>'Pax Profile C'!Z36*$N23</f>
        <v>0</v>
      </c>
      <c r="AX23" s="435">
        <f>'Pax Profile C'!AA36*$N23</f>
        <v>0</v>
      </c>
      <c r="AY23" s="435">
        <f>'Pax Profile C'!AB36*$N23</f>
        <v>0</v>
      </c>
      <c r="AZ23" s="435">
        <f>'Pax Profile C'!AC36*$N23</f>
        <v>3.24</v>
      </c>
      <c r="BA23" s="435">
        <f>'Pax Profile C'!AD36*$N23</f>
        <v>8.1</v>
      </c>
      <c r="BB23" s="435">
        <f>'Pax Profile C'!AE36*$N23</f>
        <v>12.96</v>
      </c>
      <c r="BC23" s="435">
        <f>'Pax Profile C'!AF36*$N23</f>
        <v>19.439999999999998</v>
      </c>
      <c r="BD23" s="435">
        <f>'Pax Profile C'!AG36*$N23</f>
        <v>24.3</v>
      </c>
      <c r="BE23" s="435">
        <f>'Pax Profile C'!AH36*$N23</f>
        <v>27.54</v>
      </c>
      <c r="BF23" s="435">
        <f>'Pax Profile C'!AI36*$N23</f>
        <v>29.16</v>
      </c>
      <c r="BG23" s="435">
        <f>'Pax Profile C'!AJ36*$N23</f>
        <v>30.78</v>
      </c>
      <c r="BH23" s="435">
        <f>'Pax Profile C'!AK36*$N23</f>
        <v>32.4</v>
      </c>
      <c r="BI23" s="435">
        <f>'Pax Profile C'!AL36*$N23</f>
        <v>34.020000000000003</v>
      </c>
      <c r="BJ23" s="435">
        <f>'Pax Profile C'!AM36*$N23</f>
        <v>43.74</v>
      </c>
      <c r="BK23" s="435">
        <f>'Pax Profile C'!AN36*$N23</f>
        <v>87.48</v>
      </c>
      <c r="BL23" s="435">
        <f>'Pax Profile C'!AO36*$N23</f>
        <v>64.8</v>
      </c>
      <c r="BM23" s="435">
        <f>'Pax Profile C'!AP36*$N23</f>
        <v>3.2400000000000024</v>
      </c>
      <c r="BN23" s="435">
        <f>'Pax Profile C'!AQ36*$N23</f>
        <v>0</v>
      </c>
      <c r="BO23" s="435">
        <f>'Pax Profile C'!AR36*$N23</f>
        <v>0</v>
      </c>
      <c r="BP23" s="163" t="s">
        <v>27</v>
      </c>
      <c r="BQ23" s="237"/>
      <c r="BR23" s="237"/>
      <c r="BS23" s="237"/>
      <c r="BT23" s="237"/>
      <c r="BU23" s="237"/>
      <c r="BV23" s="237"/>
      <c r="BW23" s="237"/>
      <c r="BX23" s="237"/>
      <c r="BY23" s="237"/>
      <c r="BZ23" s="243"/>
      <c r="CA23" s="907">
        <f>'Departure Lounge 2027'!BY23</f>
        <v>0</v>
      </c>
    </row>
    <row r="24" spans="1:79" s="8" customFormat="1" ht="30" customHeight="1" x14ac:dyDescent="0.25">
      <c r="A24" s="762" t="str">
        <f>'Departure Lounge 2027'!A24</f>
        <v>CZ</v>
      </c>
      <c r="B24" s="763" t="s">
        <v>1021</v>
      </c>
      <c r="C24" s="615" t="e">
        <f t="shared" si="5"/>
        <v>#N/A</v>
      </c>
      <c r="D24" s="621">
        <f>IF(ISBLANK('Departure Lounge 2027'!D24),"",'Departure Lounge 2027'!D24)</f>
        <v>320</v>
      </c>
      <c r="E24" s="621" t="str">
        <f>'Departure Lounge 2027'!E24</f>
        <v>CAN</v>
      </c>
      <c r="F24" s="764" t="str">
        <f>'Departure Lounge 2027'!F24</f>
        <v>S</v>
      </c>
      <c r="G24" s="619" t="str">
        <f t="shared" si="2"/>
        <v>E</v>
      </c>
      <c r="H24" s="791">
        <v>166</v>
      </c>
      <c r="I24" s="731" t="str">
        <f t="shared" si="6"/>
        <v>F</v>
      </c>
      <c r="J24" s="765">
        <f>'Departure Lounge 2027'!H24</f>
        <v>0.35416666666666669</v>
      </c>
      <c r="K24" s="620"/>
      <c r="L24" s="764">
        <f>'Departure Lounge 2027'!J24</f>
        <v>333</v>
      </c>
      <c r="M24" s="621">
        <f t="shared" si="9"/>
        <v>285</v>
      </c>
      <c r="N24" s="622">
        <f t="shared" si="4"/>
        <v>257</v>
      </c>
      <c r="O24" s="629"/>
      <c r="P24" s="625"/>
      <c r="Q24" s="625"/>
      <c r="R24" s="625"/>
      <c r="S24" s="625"/>
      <c r="T24" s="625"/>
      <c r="U24" s="625"/>
      <c r="V24" s="639"/>
      <c r="W24" s="639"/>
      <c r="X24" s="639"/>
      <c r="Y24" s="639"/>
      <c r="Z24" s="639"/>
      <c r="AA24" s="639"/>
      <c r="AB24" s="640"/>
      <c r="AC24" s="640"/>
      <c r="AD24" s="640"/>
      <c r="AE24" s="640"/>
      <c r="AF24" s="640"/>
      <c r="AG24" s="623">
        <f>'Pax Profile A'!I36*$N24</f>
        <v>0</v>
      </c>
      <c r="AH24" s="623">
        <f>'Pax Profile A'!J36*$N24</f>
        <v>0</v>
      </c>
      <c r="AI24" s="623">
        <f>'Pax Profile A'!K36*$N24</f>
        <v>0</v>
      </c>
      <c r="AJ24" s="623">
        <f>'Pax Profile A'!L36*$N24</f>
        <v>0</v>
      </c>
      <c r="AK24" s="623">
        <f>'Pax Profile A'!M36*$N24</f>
        <v>0</v>
      </c>
      <c r="AL24" s="623">
        <f>'Pax Profile A'!N36*$N24</f>
        <v>0</v>
      </c>
      <c r="AM24" s="623">
        <f>'Pax Profile A'!O36*$N24</f>
        <v>0</v>
      </c>
      <c r="AN24" s="623">
        <f>'Pax Profile A'!P36*$N24</f>
        <v>0</v>
      </c>
      <c r="AO24" s="623">
        <f>'Pax Profile A'!Q36*$N24</f>
        <v>0</v>
      </c>
      <c r="AP24" s="623">
        <f>'Pax Profile A'!R36*$N24</f>
        <v>0</v>
      </c>
      <c r="AQ24" s="623">
        <f>'Pax Profile A'!S36*$N24</f>
        <v>0</v>
      </c>
      <c r="AR24" s="623">
        <f>'Pax Profile A'!T36*$N24</f>
        <v>0</v>
      </c>
      <c r="AS24" s="623">
        <f>'Pax Profile A'!U36*$N24</f>
        <v>0</v>
      </c>
      <c r="AT24" s="623">
        <f>'Pax Profile A'!V36*$N24</f>
        <v>0</v>
      </c>
      <c r="AU24" s="623">
        <f>'Pax Profile A'!W36*$N24</f>
        <v>0</v>
      </c>
      <c r="AV24" s="623">
        <f>'Pax Profile A'!X36*$N24</f>
        <v>0</v>
      </c>
      <c r="AW24" s="623">
        <f>'Pax Profile A'!Y36*$N24</f>
        <v>0</v>
      </c>
      <c r="AX24" s="623" t="e">
        <f>'Pax Profile A'!Z36*$N24</f>
        <v>#N/A</v>
      </c>
      <c r="AY24" s="623" t="e">
        <f>'Pax Profile A'!AA36*$N24</f>
        <v>#N/A</v>
      </c>
      <c r="AZ24" s="623" t="e">
        <f>'Pax Profile A'!AB36*$N24</f>
        <v>#N/A</v>
      </c>
      <c r="BA24" s="623" t="e">
        <f>'Pax Profile A'!AC36*$N24</f>
        <v>#N/A</v>
      </c>
      <c r="BB24" s="623" t="e">
        <f>'Pax Profile A'!AD36*$N24</f>
        <v>#N/A</v>
      </c>
      <c r="BC24" s="623" t="e">
        <f>'Pax Profile A'!AE36*$N24</f>
        <v>#N/A</v>
      </c>
      <c r="BD24" s="623" t="e">
        <f>'Pax Profile A'!AF36*$N24</f>
        <v>#N/A</v>
      </c>
      <c r="BE24" s="623" t="e">
        <f>'Pax Profile A'!AG36*$N24</f>
        <v>#N/A</v>
      </c>
      <c r="BF24" s="623" t="e">
        <f>'Pax Profile A'!AH36*$N24</f>
        <v>#N/A</v>
      </c>
      <c r="BG24" s="623" t="e">
        <f>'Pax Profile A'!AI36*$N24</f>
        <v>#N/A</v>
      </c>
      <c r="BH24" s="623" t="e">
        <f>'Pax Profile A'!AJ36*$N24</f>
        <v>#N/A</v>
      </c>
      <c r="BI24" s="623" t="e">
        <f>'Pax Profile A'!AK36*$N24</f>
        <v>#N/A</v>
      </c>
      <c r="BJ24" s="623" t="e">
        <f>'Pax Profile A'!AL36*$N24</f>
        <v>#N/A</v>
      </c>
      <c r="BK24" s="623" t="e">
        <f>'Pax Profile A'!AM36*$N24</f>
        <v>#N/A</v>
      </c>
      <c r="BL24" s="623" t="e">
        <f>'Pax Profile A'!AN36*$N24</f>
        <v>#N/A</v>
      </c>
      <c r="BM24" s="623" t="e">
        <f>'Pax Profile A'!AO36*$N24</f>
        <v>#N/A</v>
      </c>
      <c r="BN24" s="623" t="e">
        <f>'Pax Profile A'!AP36*$N24</f>
        <v>#N/A</v>
      </c>
      <c r="BO24" s="623" t="e">
        <f>'Pax Profile A'!AQ36*$N24</f>
        <v>#N/A</v>
      </c>
      <c r="BP24" s="623" t="e">
        <f>'Pax Profile A'!AR36*$N24</f>
        <v>#N/A</v>
      </c>
      <c r="BQ24" s="163" t="s">
        <v>27</v>
      </c>
      <c r="BR24" s="625"/>
      <c r="BS24" s="625"/>
      <c r="BT24" s="625"/>
      <c r="BU24" s="625"/>
      <c r="BV24" s="625"/>
      <c r="BW24" s="625"/>
      <c r="BX24" s="625"/>
      <c r="BY24" s="625"/>
      <c r="BZ24" s="627"/>
      <c r="CA24" s="905" t="str">
        <f>'Departure Lounge 2027'!BY24</f>
        <v>Aircraft upgraded from A330-200 to A330-300</v>
      </c>
    </row>
    <row r="25" spans="1:79" s="8" customFormat="1" ht="30" customHeight="1" x14ac:dyDescent="0.25">
      <c r="A25" s="739" t="str">
        <f>'Departure Lounge 2027'!A25</f>
        <v>TG</v>
      </c>
      <c r="B25" s="741" t="str">
        <f>IF(ISBLANK('Departure Lounge 2027'!B25),"",'Departure Lounge 2027'!B25)</f>
        <v/>
      </c>
      <c r="C25" s="540" t="e">
        <f t="shared" si="5"/>
        <v>#N/A</v>
      </c>
      <c r="D25" s="516">
        <f>IF(ISBLANK('Departure Lounge 2027'!D25),"",'Departure Lounge 2027'!D25)</f>
        <v>484</v>
      </c>
      <c r="E25" s="516" t="str">
        <f>'Departure Lounge 2027'!E25</f>
        <v>BKK</v>
      </c>
      <c r="F25" s="521" t="str">
        <f>'Departure Lounge 2027'!F25</f>
        <v>S</v>
      </c>
      <c r="G25" s="544" t="str">
        <f t="shared" si="2"/>
        <v>E</v>
      </c>
      <c r="H25" s="790">
        <v>158</v>
      </c>
      <c r="I25" s="730" t="str">
        <f t="shared" si="6"/>
        <v>B</v>
      </c>
      <c r="J25" s="746">
        <f>'Departure Lounge 2027'!H25</f>
        <v>0.38194444444444442</v>
      </c>
      <c r="K25" s="515"/>
      <c r="L25" s="521">
        <f>'Departure Lounge 2027'!J25</f>
        <v>788</v>
      </c>
      <c r="M25" s="546">
        <f t="shared" si="9"/>
        <v>264</v>
      </c>
      <c r="N25" s="547">
        <f t="shared" si="4"/>
        <v>238</v>
      </c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5">
        <f>'Pax Profile A'!I36*$N25</f>
        <v>0</v>
      </c>
      <c r="AP25" s="435">
        <f>'Pax Profile A'!J36*$N25</f>
        <v>0</v>
      </c>
      <c r="AQ25" s="435">
        <f>'Pax Profile A'!K36*$N25</f>
        <v>0</v>
      </c>
      <c r="AR25" s="435">
        <f>'Pax Profile A'!L36*$N25</f>
        <v>0</v>
      </c>
      <c r="AS25" s="435">
        <f>'Pax Profile A'!M36*$N25</f>
        <v>0</v>
      </c>
      <c r="AT25" s="435">
        <f>'Pax Profile A'!N36*$N25</f>
        <v>0</v>
      </c>
      <c r="AU25" s="435">
        <f>'Pax Profile A'!O36*$N25</f>
        <v>0</v>
      </c>
      <c r="AV25" s="435">
        <f>'Pax Profile A'!P36*$N25</f>
        <v>0</v>
      </c>
      <c r="AW25" s="435">
        <f>'Pax Profile A'!Q36*$N25</f>
        <v>0</v>
      </c>
      <c r="AX25" s="435">
        <f>'Pax Profile A'!R36*$N25</f>
        <v>0</v>
      </c>
      <c r="AY25" s="435">
        <f>'Pax Profile A'!S36*$N25</f>
        <v>0</v>
      </c>
      <c r="AZ25" s="435">
        <f>'Pax Profile A'!T36*$N25</f>
        <v>0</v>
      </c>
      <c r="BA25" s="435">
        <f>'Pax Profile A'!U36*$N25</f>
        <v>0</v>
      </c>
      <c r="BB25" s="435">
        <f>'Pax Profile A'!V36*$N25</f>
        <v>0</v>
      </c>
      <c r="BC25" s="435">
        <f>'Pax Profile A'!W36*$N25</f>
        <v>0</v>
      </c>
      <c r="BD25" s="435">
        <f>'Pax Profile A'!X36*$N25</f>
        <v>0</v>
      </c>
      <c r="BE25" s="435">
        <f>'Pax Profile A'!Y36*$N25</f>
        <v>0</v>
      </c>
      <c r="BF25" s="435" t="e">
        <f>'Pax Profile A'!Z36*$N25</f>
        <v>#N/A</v>
      </c>
      <c r="BG25" s="435" t="e">
        <f>'Pax Profile A'!AA36*$N25</f>
        <v>#N/A</v>
      </c>
      <c r="BH25" s="435" t="e">
        <f>'Pax Profile A'!AB36*$N25</f>
        <v>#N/A</v>
      </c>
      <c r="BI25" s="435" t="e">
        <f>'Pax Profile A'!AC36*$N25</f>
        <v>#N/A</v>
      </c>
      <c r="BJ25" s="435" t="e">
        <f>'Pax Profile A'!AD36*$N25</f>
        <v>#N/A</v>
      </c>
      <c r="BK25" s="435" t="e">
        <f>'Pax Profile A'!AE36*$N25</f>
        <v>#N/A</v>
      </c>
      <c r="BL25" s="435" t="e">
        <f>'Pax Profile A'!AF36*$N25</f>
        <v>#N/A</v>
      </c>
      <c r="BM25" s="435" t="e">
        <f>'Pax Profile A'!AG36*$N25</f>
        <v>#N/A</v>
      </c>
      <c r="BN25" s="435" t="e">
        <f>'Pax Profile A'!AH36*$N25</f>
        <v>#N/A</v>
      </c>
      <c r="BO25" s="435" t="e">
        <f>'Pax Profile A'!AI36*$N25</f>
        <v>#N/A</v>
      </c>
      <c r="BP25" s="435" t="e">
        <f>'Pax Profile A'!AJ36*$N25</f>
        <v>#N/A</v>
      </c>
      <c r="BQ25" s="435" t="e">
        <f>'Pax Profile A'!AK36*$N25</f>
        <v>#N/A</v>
      </c>
      <c r="BR25" s="435" t="e">
        <f>'Pax Profile A'!AL36*$N25</f>
        <v>#N/A</v>
      </c>
      <c r="BS25" s="435" t="e">
        <f>'Pax Profile A'!AM36*$N25</f>
        <v>#N/A</v>
      </c>
      <c r="BT25" s="435" t="e">
        <f>'Pax Profile A'!AN36*$N25</f>
        <v>#N/A</v>
      </c>
      <c r="BU25" s="435" t="e">
        <f>'Pax Profile A'!AO36*$N25</f>
        <v>#N/A</v>
      </c>
      <c r="BV25" s="435" t="e">
        <f>'Pax Profile A'!AP36*$N25</f>
        <v>#N/A</v>
      </c>
      <c r="BW25" s="435" t="e">
        <f>'Pax Profile A'!AQ36*$N25</f>
        <v>#N/A</v>
      </c>
      <c r="BX25" s="435" t="e">
        <f>'Pax Profile A'!AR36*$N25</f>
        <v>#N/A</v>
      </c>
      <c r="BY25" s="163" t="s">
        <v>27</v>
      </c>
      <c r="BZ25" s="243"/>
      <c r="CA25" s="907">
        <f>'Departure Lounge 2027'!BY25</f>
        <v>0</v>
      </c>
    </row>
    <row r="26" spans="1:79" s="8" customFormat="1" ht="30" customHeight="1" thickBot="1" x14ac:dyDescent="0.3">
      <c r="A26" s="742" t="str">
        <f>'Departure Lounge 2027'!A26</f>
        <v>QZ</v>
      </c>
      <c r="B26" s="743" t="str">
        <f>IF(ISBLANK('Departure Lounge 2027'!B26),"",'Departure Lounge 2027'!B26)</f>
        <v/>
      </c>
      <c r="C26" s="582" t="e">
        <f t="shared" si="5"/>
        <v>#N/A</v>
      </c>
      <c r="D26" s="745">
        <f>IF(ISBLANK('Departure Lounge 2027'!D26),"",'Departure Lounge 2027'!D26)</f>
        <v>535</v>
      </c>
      <c r="E26" s="745" t="str">
        <f>'Departure Lounge 2027'!E26</f>
        <v>DPS</v>
      </c>
      <c r="F26" s="744" t="str">
        <f>'Departure Lounge 2027'!F26</f>
        <v>L</v>
      </c>
      <c r="G26" s="586" t="str">
        <f t="shared" si="2"/>
        <v>C</v>
      </c>
      <c r="H26" s="792">
        <v>165</v>
      </c>
      <c r="I26" s="733" t="str">
        <f t="shared" si="6"/>
        <v>E</v>
      </c>
      <c r="J26" s="747">
        <f>'Departure Lounge 2027'!H26</f>
        <v>0.44791666666666669</v>
      </c>
      <c r="K26" s="748"/>
      <c r="L26" s="744">
        <f>'Departure Lounge 2027'!J26</f>
        <v>320</v>
      </c>
      <c r="M26" s="588">
        <f t="shared" si="9"/>
        <v>180</v>
      </c>
      <c r="N26" s="589">
        <f t="shared" si="4"/>
        <v>162</v>
      </c>
      <c r="O26" s="590"/>
      <c r="P26" s="591"/>
      <c r="Q26" s="591"/>
      <c r="R26" s="591"/>
      <c r="S26" s="591"/>
      <c r="T26" s="591"/>
      <c r="U26" s="591"/>
      <c r="V26" s="592"/>
      <c r="W26" s="592"/>
      <c r="X26" s="592"/>
      <c r="Y26" s="592"/>
      <c r="Z26" s="592"/>
      <c r="AA26" s="592"/>
      <c r="AB26" s="592"/>
      <c r="AC26" s="592"/>
      <c r="AD26" s="592"/>
      <c r="AE26" s="592"/>
      <c r="AF26" s="592"/>
      <c r="AG26" s="592"/>
      <c r="AH26" s="592"/>
      <c r="AI26" s="592"/>
      <c r="AJ26" s="592"/>
      <c r="AK26" s="592"/>
      <c r="AL26" s="592"/>
      <c r="AM26" s="592"/>
      <c r="AN26" s="593"/>
      <c r="AO26" s="591"/>
      <c r="AP26" s="591"/>
      <c r="AQ26" s="591"/>
      <c r="AR26" s="591"/>
      <c r="AS26" s="594"/>
      <c r="AT26" s="591"/>
      <c r="AU26" s="591"/>
      <c r="AV26" s="591"/>
      <c r="AW26" s="591"/>
      <c r="AX26" s="591"/>
      <c r="AY26" s="591"/>
      <c r="AZ26" s="591"/>
      <c r="BA26" s="591"/>
      <c r="BB26" s="591"/>
      <c r="BC26" s="591"/>
      <c r="BD26" s="591"/>
      <c r="BE26" s="595"/>
      <c r="BF26" s="595"/>
      <c r="BG26" s="595"/>
      <c r="BH26" s="595">
        <f>'Pax Profile C'!I36*$N26</f>
        <v>0</v>
      </c>
      <c r="BI26" s="595">
        <f>'Pax Profile C'!J36*$N26</f>
        <v>0</v>
      </c>
      <c r="BJ26" s="595">
        <f>'Pax Profile C'!K36*$N26</f>
        <v>0</v>
      </c>
      <c r="BK26" s="595">
        <f>'Pax Profile C'!L36*$N26</f>
        <v>0</v>
      </c>
      <c r="BL26" s="595">
        <f>'Pax Profile C'!M36*$N26</f>
        <v>0</v>
      </c>
      <c r="BM26" s="595">
        <f>'Pax Profile C'!N36*$N26</f>
        <v>0</v>
      </c>
      <c r="BN26" s="595">
        <f>'Pax Profile C'!O36*$N26</f>
        <v>0</v>
      </c>
      <c r="BO26" s="595">
        <f>'Pax Profile C'!P36*$N26</f>
        <v>0</v>
      </c>
      <c r="BP26" s="595">
        <f>'Pax Profile C'!Q36*$N26</f>
        <v>0</v>
      </c>
      <c r="BQ26" s="595">
        <f>'Pax Profile C'!R36*$N26</f>
        <v>0</v>
      </c>
      <c r="BR26" s="595">
        <f>'Pax Profile C'!S36*$N26</f>
        <v>0</v>
      </c>
      <c r="BS26" s="595">
        <f>'Pax Profile C'!T36*$N26</f>
        <v>0</v>
      </c>
      <c r="BT26" s="595">
        <f>'Pax Profile C'!U36*$N26</f>
        <v>0</v>
      </c>
      <c r="BU26" s="595">
        <f>'Pax Profile C'!V36*$N26</f>
        <v>0</v>
      </c>
      <c r="BV26" s="595">
        <f>'Pax Profile C'!W36*$N26</f>
        <v>0</v>
      </c>
      <c r="BW26" s="595">
        <f>'Pax Profile C'!X36*$N26</f>
        <v>0</v>
      </c>
      <c r="BX26" s="595">
        <f>'Pax Profile C'!Y36*$N26</f>
        <v>0</v>
      </c>
      <c r="BY26" s="595">
        <f>'Pax Profile C'!Z36*$N26</f>
        <v>0</v>
      </c>
      <c r="BZ26" s="595">
        <f>'Pax Profile C'!AA36*$N26</f>
        <v>0</v>
      </c>
      <c r="CA26" s="908">
        <f>'Departure Lounge 2027'!BY26</f>
        <v>0</v>
      </c>
    </row>
    <row r="27" spans="1:79" s="8" customFormat="1" ht="30" customHeight="1" x14ac:dyDescent="0.25">
      <c r="A27" s="267" t="s">
        <v>115</v>
      </c>
      <c r="B27" s="551"/>
      <c r="C27" s="252" t="e">
        <f t="shared" si="5"/>
        <v>#N/A</v>
      </c>
      <c r="D27" s="268">
        <v>3441</v>
      </c>
      <c r="E27" s="269" t="s">
        <v>133</v>
      </c>
      <c r="F27" s="270" t="s">
        <v>64</v>
      </c>
      <c r="G27" s="523" t="str">
        <f t="shared" si="2"/>
        <v>E</v>
      </c>
      <c r="H27" s="724"/>
      <c r="I27" s="725"/>
      <c r="J27" s="256">
        <v>0.54513888888888884</v>
      </c>
      <c r="K27" s="256"/>
      <c r="L27" s="270">
        <v>332</v>
      </c>
      <c r="M27" s="258">
        <f t="shared" si="9"/>
        <v>245</v>
      </c>
      <c r="N27" s="524">
        <f t="shared" si="4"/>
        <v>221</v>
      </c>
      <c r="O27" s="274"/>
      <c r="P27" s="272"/>
      <c r="Q27" s="272"/>
      <c r="R27" s="272"/>
      <c r="S27" s="272"/>
      <c r="T27" s="272"/>
      <c r="U27" s="272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7"/>
      <c r="AO27" s="272"/>
      <c r="AP27" s="272"/>
      <c r="AQ27" s="272"/>
      <c r="AR27" s="272"/>
      <c r="AS27" s="273"/>
      <c r="AT27" s="272"/>
      <c r="AU27" s="272"/>
      <c r="AV27" s="272"/>
      <c r="AW27" s="272"/>
      <c r="AX27" s="272"/>
      <c r="AY27" s="272"/>
      <c r="AZ27" s="272"/>
      <c r="BA27" s="272"/>
      <c r="BB27" s="272"/>
      <c r="BC27" s="272"/>
      <c r="BD27" s="272"/>
      <c r="BE27" s="272"/>
      <c r="BF27" s="272"/>
      <c r="BG27" s="272"/>
      <c r="BH27" s="272"/>
      <c r="BI27" s="272"/>
      <c r="BJ27" s="272"/>
      <c r="BK27" s="272"/>
      <c r="BL27" s="272"/>
      <c r="BM27" s="272"/>
      <c r="BN27" s="272"/>
      <c r="BO27" s="272"/>
      <c r="BP27" s="272"/>
      <c r="BQ27" s="272"/>
      <c r="BR27" s="272"/>
      <c r="BS27" s="272"/>
      <c r="BT27" s="272"/>
      <c r="BU27" s="272"/>
      <c r="BV27" s="272"/>
      <c r="BW27" s="272"/>
      <c r="BX27" s="272"/>
      <c r="BY27" s="272"/>
      <c r="BZ27" s="275"/>
      <c r="CA27" s="276"/>
    </row>
    <row r="28" spans="1:79" s="8" customFormat="1" ht="30" customHeight="1" x14ac:dyDescent="0.25">
      <c r="A28" s="158" t="s">
        <v>109</v>
      </c>
      <c r="B28" s="550"/>
      <c r="C28" s="43" t="e">
        <f t="shared" si="5"/>
        <v>#N/A</v>
      </c>
      <c r="D28" s="35">
        <v>549</v>
      </c>
      <c r="E28" s="40" t="s">
        <v>124</v>
      </c>
      <c r="F28" s="36" t="s">
        <v>65</v>
      </c>
      <c r="G28" s="92" t="str">
        <f t="shared" si="2"/>
        <v>C</v>
      </c>
      <c r="H28" s="726"/>
      <c r="I28" s="727"/>
      <c r="J28" s="155">
        <v>0.55555555555555558</v>
      </c>
      <c r="K28" s="155"/>
      <c r="L28" s="36">
        <v>320</v>
      </c>
      <c r="M28" s="44">
        <f t="shared" si="9"/>
        <v>180</v>
      </c>
      <c r="N28" s="220">
        <f t="shared" si="4"/>
        <v>162</v>
      </c>
      <c r="O28" s="239"/>
      <c r="P28" s="237"/>
      <c r="Q28" s="237"/>
      <c r="R28" s="237"/>
      <c r="S28" s="237"/>
      <c r="T28" s="237"/>
      <c r="U28" s="237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40"/>
      <c r="AO28" s="237"/>
      <c r="AP28" s="237"/>
      <c r="AQ28" s="237"/>
      <c r="AR28" s="237"/>
      <c r="AS28" s="238"/>
      <c r="AT28" s="237"/>
      <c r="AU28" s="237"/>
      <c r="AV28" s="237"/>
      <c r="AW28" s="237"/>
      <c r="AX28" s="237"/>
      <c r="AY28" s="237"/>
      <c r="AZ28" s="237"/>
      <c r="BA28" s="237"/>
      <c r="BB28" s="237"/>
      <c r="BC28" s="237"/>
      <c r="BD28" s="237"/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237"/>
      <c r="BW28" s="237"/>
      <c r="BX28" s="237"/>
      <c r="BY28" s="237"/>
      <c r="BZ28" s="243"/>
      <c r="CA28" s="150"/>
    </row>
    <row r="29" spans="1:79" s="8" customFormat="1" ht="30" hidden="1" customHeight="1" x14ac:dyDescent="0.25">
      <c r="A29" s="251" t="s">
        <v>111</v>
      </c>
      <c r="B29" s="551"/>
      <c r="C29" s="252" t="e">
        <f t="shared" si="5"/>
        <v>#N/A</v>
      </c>
      <c r="D29" s="268">
        <v>106</v>
      </c>
      <c r="E29" s="269" t="s">
        <v>124</v>
      </c>
      <c r="F29" s="270" t="s">
        <v>65</v>
      </c>
      <c r="G29" s="255" t="str">
        <f t="shared" si="2"/>
        <v>C</v>
      </c>
      <c r="H29" s="724"/>
      <c r="I29" s="725"/>
      <c r="J29" s="256">
        <v>0.5625</v>
      </c>
      <c r="K29" s="256"/>
      <c r="L29" s="270">
        <v>320</v>
      </c>
      <c r="M29" s="258">
        <f t="shared" si="9"/>
        <v>180</v>
      </c>
      <c r="N29" s="259">
        <f t="shared" si="4"/>
        <v>162</v>
      </c>
      <c r="O29" s="274"/>
      <c r="P29" s="272"/>
      <c r="Q29" s="272"/>
      <c r="R29" s="272"/>
      <c r="S29" s="272"/>
      <c r="T29" s="272"/>
      <c r="U29" s="272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7"/>
      <c r="AO29" s="272"/>
      <c r="AP29" s="272"/>
      <c r="AQ29" s="272"/>
      <c r="AR29" s="272"/>
      <c r="AS29" s="273"/>
      <c r="AT29" s="272"/>
      <c r="AU29" s="272"/>
      <c r="AV29" s="272"/>
      <c r="AW29" s="272"/>
      <c r="AX29" s="272"/>
      <c r="AY29" s="272"/>
      <c r="AZ29" s="272"/>
      <c r="BA29" s="272"/>
      <c r="BB29" s="272"/>
      <c r="BC29" s="272"/>
      <c r="BD29" s="272"/>
      <c r="BE29" s="272"/>
      <c r="BF29" s="272"/>
      <c r="BG29" s="272"/>
      <c r="BH29" s="272"/>
      <c r="BI29" s="272"/>
      <c r="BJ29" s="272"/>
      <c r="BK29" s="272"/>
      <c r="BL29" s="272"/>
      <c r="BM29" s="272"/>
      <c r="BN29" s="272"/>
      <c r="BO29" s="272"/>
      <c r="BP29" s="272"/>
      <c r="BQ29" s="272"/>
      <c r="BR29" s="272"/>
      <c r="BS29" s="272"/>
      <c r="BT29" s="272"/>
      <c r="BU29" s="272"/>
      <c r="BV29" s="272"/>
      <c r="BW29" s="272"/>
      <c r="BX29" s="272"/>
      <c r="BY29" s="272"/>
      <c r="BZ29" s="275"/>
      <c r="CA29" s="276"/>
    </row>
    <row r="30" spans="1:79" s="8" customFormat="1" ht="30" hidden="1" customHeight="1" x14ac:dyDescent="0.25">
      <c r="A30" s="158" t="s">
        <v>11</v>
      </c>
      <c r="B30" s="550"/>
      <c r="C30" s="43" t="e">
        <f t="shared" si="5"/>
        <v>#N/A</v>
      </c>
      <c r="D30" s="35">
        <v>193</v>
      </c>
      <c r="E30" s="40" t="s">
        <v>139</v>
      </c>
      <c r="F30" s="36" t="s">
        <v>65</v>
      </c>
      <c r="G30" s="92" t="e">
        <f t="shared" si="2"/>
        <v>#N/A</v>
      </c>
      <c r="H30" s="726"/>
      <c r="I30" s="727"/>
      <c r="J30" s="155">
        <v>0.60416666666666663</v>
      </c>
      <c r="K30" s="155"/>
      <c r="L30" s="36" t="s">
        <v>262</v>
      </c>
      <c r="M30" s="44" t="e">
        <f t="shared" si="9"/>
        <v>#N/A</v>
      </c>
      <c r="N30" s="220" t="e">
        <f t="shared" si="4"/>
        <v>#N/A</v>
      </c>
      <c r="O30" s="239"/>
      <c r="P30" s="237"/>
      <c r="Q30" s="237"/>
      <c r="R30" s="237"/>
      <c r="S30" s="237"/>
      <c r="T30" s="237"/>
      <c r="U30" s="237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40"/>
      <c r="AO30" s="237"/>
      <c r="AP30" s="237"/>
      <c r="AQ30" s="237"/>
      <c r="AR30" s="237"/>
      <c r="AS30" s="238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7"/>
      <c r="BW30" s="237"/>
      <c r="BX30" s="237"/>
      <c r="BY30" s="237"/>
      <c r="BZ30" s="243"/>
      <c r="CA30" s="150"/>
    </row>
    <row r="31" spans="1:79" s="8" customFormat="1" ht="30" hidden="1" customHeight="1" x14ac:dyDescent="0.25">
      <c r="A31" s="251" t="s">
        <v>104</v>
      </c>
      <c r="B31" s="551"/>
      <c r="C31" s="252" t="e">
        <f t="shared" si="5"/>
        <v>#N/A</v>
      </c>
      <c r="D31" s="268">
        <v>226</v>
      </c>
      <c r="E31" s="269" t="s">
        <v>132</v>
      </c>
      <c r="F31" s="270" t="s">
        <v>64</v>
      </c>
      <c r="G31" s="255" t="str">
        <f t="shared" si="2"/>
        <v>E</v>
      </c>
      <c r="H31" s="724"/>
      <c r="I31" s="725"/>
      <c r="J31" s="256">
        <v>0.60416666666666663</v>
      </c>
      <c r="K31" s="256"/>
      <c r="L31" s="270">
        <v>772</v>
      </c>
      <c r="M31" s="258">
        <f t="shared" si="9"/>
        <v>266</v>
      </c>
      <c r="N31" s="259">
        <f t="shared" si="4"/>
        <v>239</v>
      </c>
      <c r="O31" s="274"/>
      <c r="P31" s="272"/>
      <c r="Q31" s="272"/>
      <c r="R31" s="272"/>
      <c r="S31" s="272"/>
      <c r="T31" s="272"/>
      <c r="U31" s="272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7"/>
      <c r="AO31" s="272"/>
      <c r="AP31" s="272"/>
      <c r="AQ31" s="272"/>
      <c r="AR31" s="272"/>
      <c r="AS31" s="273"/>
      <c r="AT31" s="272"/>
      <c r="AU31" s="272"/>
      <c r="AV31" s="272"/>
      <c r="AW31" s="272"/>
      <c r="AX31" s="272"/>
      <c r="AY31" s="272"/>
      <c r="AZ31" s="272"/>
      <c r="BA31" s="272"/>
      <c r="BB31" s="272"/>
      <c r="BC31" s="272"/>
      <c r="BD31" s="272"/>
      <c r="BE31" s="272"/>
      <c r="BF31" s="272"/>
      <c r="BG31" s="272"/>
      <c r="BH31" s="272"/>
      <c r="BI31" s="272"/>
      <c r="BJ31" s="272"/>
      <c r="BK31" s="272"/>
      <c r="BL31" s="272"/>
      <c r="BM31" s="272"/>
      <c r="BN31" s="272"/>
      <c r="BO31" s="272"/>
      <c r="BP31" s="272"/>
      <c r="BQ31" s="272"/>
      <c r="BR31" s="272"/>
      <c r="BS31" s="272"/>
      <c r="BT31" s="272"/>
      <c r="BU31" s="272"/>
      <c r="BV31" s="272"/>
      <c r="BW31" s="272"/>
      <c r="BX31" s="272"/>
      <c r="BY31" s="272"/>
      <c r="BZ31" s="275"/>
      <c r="CA31" s="276"/>
    </row>
    <row r="32" spans="1:79" s="8" customFormat="1" ht="30" hidden="1" customHeight="1" x14ac:dyDescent="0.25">
      <c r="A32" s="158" t="s">
        <v>116</v>
      </c>
      <c r="B32" s="550"/>
      <c r="C32" s="43" t="e">
        <f t="shared" si="5"/>
        <v>#N/A</v>
      </c>
      <c r="D32" s="35">
        <v>487</v>
      </c>
      <c r="E32" s="40" t="s">
        <v>137</v>
      </c>
      <c r="F32" s="36" t="s">
        <v>64</v>
      </c>
      <c r="G32" s="92" t="str">
        <f t="shared" si="2"/>
        <v>E</v>
      </c>
      <c r="H32" s="726"/>
      <c r="I32" s="727"/>
      <c r="J32" s="155">
        <v>0.66319444444444442</v>
      </c>
      <c r="K32" s="155"/>
      <c r="L32" s="36">
        <v>332</v>
      </c>
      <c r="M32" s="365">
        <v>258</v>
      </c>
      <c r="N32" s="220">
        <f t="shared" si="4"/>
        <v>232</v>
      </c>
      <c r="O32" s="239"/>
      <c r="P32" s="237"/>
      <c r="Q32" s="237"/>
      <c r="R32" s="237"/>
      <c r="S32" s="237"/>
      <c r="T32" s="237"/>
      <c r="U32" s="237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236"/>
      <c r="AL32" s="236"/>
      <c r="AM32" s="236"/>
      <c r="AN32" s="240"/>
      <c r="AO32" s="237"/>
      <c r="AP32" s="237"/>
      <c r="AQ32" s="237"/>
      <c r="AR32" s="237"/>
      <c r="AS32" s="238"/>
      <c r="AT32" s="237"/>
      <c r="AU32" s="237"/>
      <c r="AV32" s="237"/>
      <c r="AW32" s="237"/>
      <c r="AX32" s="237"/>
      <c r="AY32" s="237"/>
      <c r="AZ32" s="237"/>
      <c r="BA32" s="237"/>
      <c r="BB32" s="237"/>
      <c r="BC32" s="237"/>
      <c r="BD32" s="237"/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237"/>
      <c r="BU32" s="237"/>
      <c r="BV32" s="237"/>
      <c r="BW32" s="237"/>
      <c r="BX32" s="237"/>
      <c r="BY32" s="237"/>
      <c r="BZ32" s="243"/>
      <c r="CA32" s="150"/>
    </row>
    <row r="33" spans="1:79" s="8" customFormat="1" ht="30" hidden="1" customHeight="1" x14ac:dyDescent="0.25">
      <c r="A33" s="251" t="s">
        <v>110</v>
      </c>
      <c r="B33" s="551"/>
      <c r="C33" s="252" t="e">
        <f t="shared" si="5"/>
        <v>#N/A</v>
      </c>
      <c r="D33" s="268">
        <v>233</v>
      </c>
      <c r="E33" s="269" t="s">
        <v>128</v>
      </c>
      <c r="F33" s="270" t="s">
        <v>65</v>
      </c>
      <c r="G33" s="255" t="str">
        <f t="shared" si="2"/>
        <v>E</v>
      </c>
      <c r="H33" s="724"/>
      <c r="I33" s="725"/>
      <c r="J33" s="256">
        <v>0.67013888888888884</v>
      </c>
      <c r="K33" s="256"/>
      <c r="L33" s="270">
        <v>333</v>
      </c>
      <c r="M33" s="258">
        <f t="shared" ref="M33:M48" si="10">IF(F33="S",VLOOKUP(L33,Aircraft,4,FALSE),VLOOKUP(L33,Aircraft,5,FALSE))</f>
        <v>377</v>
      </c>
      <c r="N33" s="259">
        <f t="shared" si="4"/>
        <v>339</v>
      </c>
      <c r="O33" s="274"/>
      <c r="P33" s="272"/>
      <c r="Q33" s="272"/>
      <c r="R33" s="272"/>
      <c r="S33" s="272"/>
      <c r="T33" s="272"/>
      <c r="U33" s="272"/>
      <c r="V33" s="271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1"/>
      <c r="AN33" s="277"/>
      <c r="AO33" s="272"/>
      <c r="AP33" s="272"/>
      <c r="AQ33" s="272"/>
      <c r="AR33" s="272"/>
      <c r="AS33" s="273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  <c r="BN33" s="272"/>
      <c r="BO33" s="272"/>
      <c r="BP33" s="272"/>
      <c r="BQ33" s="272"/>
      <c r="BR33" s="272"/>
      <c r="BS33" s="272"/>
      <c r="BT33" s="272"/>
      <c r="BU33" s="272"/>
      <c r="BV33" s="272"/>
      <c r="BW33" s="272"/>
      <c r="BX33" s="272"/>
      <c r="BY33" s="272"/>
      <c r="BZ33" s="275"/>
      <c r="CA33" s="276"/>
    </row>
    <row r="34" spans="1:79" s="8" customFormat="1" ht="30" hidden="1" customHeight="1" x14ac:dyDescent="0.25">
      <c r="A34" s="158" t="s">
        <v>108</v>
      </c>
      <c r="B34" s="550"/>
      <c r="C34" s="43" t="e">
        <f t="shared" si="5"/>
        <v>#N/A</v>
      </c>
      <c r="D34" s="35">
        <v>124</v>
      </c>
      <c r="E34" s="40" t="s">
        <v>128</v>
      </c>
      <c r="F34" s="36" t="s">
        <v>64</v>
      </c>
      <c r="G34" s="92" t="str">
        <f t="shared" si="2"/>
        <v>E</v>
      </c>
      <c r="H34" s="726"/>
      <c r="I34" s="727"/>
      <c r="J34" s="155">
        <v>0.6875</v>
      </c>
      <c r="K34" s="155"/>
      <c r="L34" s="36">
        <v>333</v>
      </c>
      <c r="M34" s="44">
        <f t="shared" si="10"/>
        <v>285</v>
      </c>
      <c r="N34" s="220">
        <f t="shared" si="4"/>
        <v>257</v>
      </c>
      <c r="O34" s="239"/>
      <c r="P34" s="237"/>
      <c r="Q34" s="237"/>
      <c r="R34" s="237"/>
      <c r="S34" s="237"/>
      <c r="T34" s="237"/>
      <c r="U34" s="237"/>
      <c r="V34" s="237"/>
      <c r="W34" s="237"/>
      <c r="X34" s="237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1"/>
      <c r="AT34" s="237"/>
      <c r="AU34" s="237"/>
      <c r="AV34" s="237"/>
      <c r="AW34" s="237"/>
      <c r="AX34" s="237"/>
      <c r="AY34" s="237"/>
      <c r="AZ34" s="237"/>
      <c r="BA34" s="237"/>
      <c r="BB34" s="237"/>
      <c r="BC34" s="237"/>
      <c r="BD34" s="237"/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237"/>
      <c r="BW34" s="237"/>
      <c r="BX34" s="237"/>
      <c r="BY34" s="237"/>
      <c r="BZ34" s="243"/>
      <c r="CA34" s="150"/>
    </row>
    <row r="35" spans="1:79" s="8" customFormat="1" ht="30" hidden="1" customHeight="1" x14ac:dyDescent="0.25">
      <c r="A35" s="251" t="s">
        <v>111</v>
      </c>
      <c r="B35" s="551"/>
      <c r="C35" s="252" t="e">
        <f t="shared" si="5"/>
        <v>#N/A</v>
      </c>
      <c r="D35" s="268">
        <v>116</v>
      </c>
      <c r="E35" s="269" t="s">
        <v>124</v>
      </c>
      <c r="F35" s="270" t="s">
        <v>65</v>
      </c>
      <c r="G35" s="255" t="str">
        <f t="shared" si="2"/>
        <v>C</v>
      </c>
      <c r="H35" s="724"/>
      <c r="I35" s="725"/>
      <c r="J35" s="256">
        <v>0.70833333333333337</v>
      </c>
      <c r="K35" s="256"/>
      <c r="L35" s="270">
        <v>320</v>
      </c>
      <c r="M35" s="258">
        <f t="shared" si="10"/>
        <v>180</v>
      </c>
      <c r="N35" s="259">
        <f t="shared" si="4"/>
        <v>162</v>
      </c>
      <c r="O35" s="274"/>
      <c r="P35" s="272"/>
      <c r="Q35" s="272"/>
      <c r="R35" s="272"/>
      <c r="S35" s="272"/>
      <c r="T35" s="272"/>
      <c r="U35" s="272"/>
      <c r="V35" s="271"/>
      <c r="W35" s="271"/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7"/>
      <c r="AO35" s="272"/>
      <c r="AP35" s="272"/>
      <c r="AQ35" s="272"/>
      <c r="AR35" s="272"/>
      <c r="AS35" s="273"/>
      <c r="AT35" s="272"/>
      <c r="AU35" s="272"/>
      <c r="AV35" s="272"/>
      <c r="AW35" s="272"/>
      <c r="AX35" s="272"/>
      <c r="AY35" s="272"/>
      <c r="AZ35" s="272"/>
      <c r="BA35" s="272"/>
      <c r="BB35" s="272"/>
      <c r="BC35" s="272"/>
      <c r="BD35" s="272"/>
      <c r="BE35" s="272"/>
      <c r="BF35" s="272"/>
      <c r="BG35" s="272"/>
      <c r="BH35" s="272"/>
      <c r="BI35" s="272"/>
      <c r="BJ35" s="272"/>
      <c r="BK35" s="272"/>
      <c r="BL35" s="272"/>
      <c r="BM35" s="272"/>
      <c r="BN35" s="272"/>
      <c r="BO35" s="272"/>
      <c r="BP35" s="272"/>
      <c r="BQ35" s="272"/>
      <c r="BR35" s="272"/>
      <c r="BS35" s="272"/>
      <c r="BT35" s="272"/>
      <c r="BU35" s="272"/>
      <c r="BV35" s="272"/>
      <c r="BW35" s="272"/>
      <c r="BX35" s="272"/>
      <c r="BY35" s="272"/>
      <c r="BZ35" s="275"/>
      <c r="CA35" s="276"/>
    </row>
    <row r="36" spans="1:79" s="8" customFormat="1" ht="30" hidden="1" customHeight="1" x14ac:dyDescent="0.25">
      <c r="A36" s="158" t="s">
        <v>109</v>
      </c>
      <c r="B36" s="550"/>
      <c r="C36" s="43" t="e">
        <f t="shared" si="5"/>
        <v>#N/A</v>
      </c>
      <c r="D36" s="35">
        <v>545</v>
      </c>
      <c r="E36" s="40" t="s">
        <v>124</v>
      </c>
      <c r="F36" s="36" t="s">
        <v>65</v>
      </c>
      <c r="G36" s="92" t="str">
        <f t="shared" si="2"/>
        <v>C</v>
      </c>
      <c r="H36" s="726"/>
      <c r="I36" s="727"/>
      <c r="J36" s="155">
        <v>0.71527777777777779</v>
      </c>
      <c r="K36" s="155"/>
      <c r="L36" s="36">
        <v>320</v>
      </c>
      <c r="M36" s="44">
        <f t="shared" si="10"/>
        <v>180</v>
      </c>
      <c r="N36" s="220">
        <f t="shared" si="4"/>
        <v>162</v>
      </c>
      <c r="O36" s="239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41"/>
      <c r="AO36" s="241"/>
      <c r="AP36" s="241"/>
      <c r="AQ36" s="236"/>
      <c r="AR36" s="236"/>
      <c r="AS36" s="236"/>
      <c r="AT36" s="236"/>
      <c r="AU36" s="236"/>
      <c r="AV36" s="242"/>
      <c r="AW36" s="237"/>
      <c r="AX36" s="237"/>
      <c r="AY36" s="237"/>
      <c r="AZ36" s="237"/>
      <c r="BA36" s="237"/>
      <c r="BB36" s="237"/>
      <c r="BC36" s="237"/>
      <c r="BD36" s="237"/>
      <c r="BE36" s="237"/>
      <c r="BF36" s="237"/>
      <c r="BG36" s="237"/>
      <c r="BH36" s="237"/>
      <c r="BI36" s="237"/>
      <c r="BJ36" s="237"/>
      <c r="BK36" s="237"/>
      <c r="BL36" s="237"/>
      <c r="BM36" s="237"/>
      <c r="BN36" s="237"/>
      <c r="BO36" s="237"/>
      <c r="BP36" s="237"/>
      <c r="BQ36" s="237"/>
      <c r="BR36" s="237"/>
      <c r="BS36" s="237"/>
      <c r="BT36" s="237"/>
      <c r="BU36" s="237"/>
      <c r="BV36" s="237"/>
      <c r="BW36" s="237"/>
      <c r="BX36" s="237"/>
      <c r="BY36" s="237"/>
      <c r="BZ36" s="243"/>
      <c r="CA36" s="150"/>
    </row>
    <row r="37" spans="1:79" s="8" customFormat="1" ht="30" hidden="1" customHeight="1" x14ac:dyDescent="0.25">
      <c r="A37" s="251" t="s">
        <v>104</v>
      </c>
      <c r="B37" s="551"/>
      <c r="C37" s="252" t="e">
        <f t="shared" si="5"/>
        <v>#N/A</v>
      </c>
      <c r="D37" s="268">
        <v>214</v>
      </c>
      <c r="E37" s="269" t="s">
        <v>132</v>
      </c>
      <c r="F37" s="270" t="s">
        <v>64</v>
      </c>
      <c r="G37" s="255" t="str">
        <f t="shared" si="2"/>
        <v>E</v>
      </c>
      <c r="H37" s="724"/>
      <c r="I37" s="725"/>
      <c r="J37" s="256">
        <v>0.72916666666666663</v>
      </c>
      <c r="K37" s="256"/>
      <c r="L37" s="270">
        <v>772</v>
      </c>
      <c r="M37" s="258">
        <f t="shared" si="10"/>
        <v>266</v>
      </c>
      <c r="N37" s="259">
        <f t="shared" si="4"/>
        <v>239</v>
      </c>
      <c r="O37" s="274"/>
      <c r="P37" s="272"/>
      <c r="Q37" s="272"/>
      <c r="R37" s="272"/>
      <c r="S37" s="272"/>
      <c r="T37" s="272"/>
      <c r="U37" s="272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7"/>
      <c r="AO37" s="272"/>
      <c r="AP37" s="272"/>
      <c r="AQ37" s="272"/>
      <c r="AR37" s="272"/>
      <c r="AS37" s="273"/>
      <c r="AT37" s="272"/>
      <c r="AU37" s="272"/>
      <c r="AV37" s="272"/>
      <c r="AW37" s="272"/>
      <c r="AX37" s="272"/>
      <c r="AY37" s="272"/>
      <c r="AZ37" s="272"/>
      <c r="BA37" s="272"/>
      <c r="BB37" s="272"/>
      <c r="BC37" s="272"/>
      <c r="BD37" s="272"/>
      <c r="BE37" s="272"/>
      <c r="BF37" s="272"/>
      <c r="BG37" s="272"/>
      <c r="BH37" s="272"/>
      <c r="BI37" s="272"/>
      <c r="BJ37" s="272"/>
      <c r="BK37" s="272"/>
      <c r="BL37" s="272"/>
      <c r="BM37" s="272"/>
      <c r="BN37" s="272"/>
      <c r="BO37" s="272"/>
      <c r="BP37" s="272"/>
      <c r="BQ37" s="272"/>
      <c r="BR37" s="272"/>
      <c r="BS37" s="272"/>
      <c r="BT37" s="272"/>
      <c r="BU37" s="272"/>
      <c r="BV37" s="272"/>
      <c r="BW37" s="272"/>
      <c r="BX37" s="272"/>
      <c r="BY37" s="272"/>
      <c r="BZ37" s="275"/>
      <c r="CA37" s="276"/>
    </row>
    <row r="38" spans="1:79" s="8" customFormat="1" ht="30" hidden="1" customHeight="1" x14ac:dyDescent="0.25">
      <c r="A38" s="158" t="s">
        <v>102</v>
      </c>
      <c r="B38" s="550"/>
      <c r="C38" s="43" t="str">
        <f t="shared" si="5"/>
        <v>Emirates to Dubai, Boeing 777-300ER pax</v>
      </c>
      <c r="D38" s="35">
        <v>423</v>
      </c>
      <c r="E38" s="40" t="s">
        <v>126</v>
      </c>
      <c r="F38" s="36" t="s">
        <v>64</v>
      </c>
      <c r="G38" s="92" t="e">
        <f t="shared" si="2"/>
        <v>#N/A</v>
      </c>
      <c r="H38" s="726"/>
      <c r="I38" s="727"/>
      <c r="J38" s="155">
        <v>0.74305555555555558</v>
      </c>
      <c r="K38" s="155"/>
      <c r="L38" s="36" t="s">
        <v>929</v>
      </c>
      <c r="M38" s="44" t="e">
        <f t="shared" si="10"/>
        <v>#N/A</v>
      </c>
      <c r="N38" s="220" t="e">
        <f t="shared" si="4"/>
        <v>#N/A</v>
      </c>
      <c r="O38" s="239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  <c r="AB38" s="236"/>
      <c r="AC38" s="236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1"/>
      <c r="AW38" s="237"/>
      <c r="AX38" s="237"/>
      <c r="AY38" s="237"/>
      <c r="AZ38" s="237"/>
      <c r="BA38" s="237"/>
      <c r="BB38" s="237"/>
      <c r="BC38" s="237"/>
      <c r="BD38" s="237"/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237"/>
      <c r="BW38" s="237"/>
      <c r="BX38" s="237"/>
      <c r="BY38" s="237"/>
      <c r="BZ38" s="243"/>
      <c r="CA38" s="150"/>
    </row>
    <row r="39" spans="1:79" s="8" customFormat="1" ht="30" hidden="1" customHeight="1" x14ac:dyDescent="0.25">
      <c r="A39" s="251" t="s">
        <v>117</v>
      </c>
      <c r="B39" s="551"/>
      <c r="C39" s="252" t="e">
        <f t="shared" si="5"/>
        <v>#N/A</v>
      </c>
      <c r="D39" s="268">
        <v>176</v>
      </c>
      <c r="E39" s="269" t="s">
        <v>140</v>
      </c>
      <c r="F39" s="270" t="s">
        <v>64</v>
      </c>
      <c r="G39" s="255" t="e">
        <f t="shared" si="2"/>
        <v>#N/A</v>
      </c>
      <c r="H39" s="724"/>
      <c r="I39" s="725"/>
      <c r="J39" s="256">
        <v>0.78472222222222221</v>
      </c>
      <c r="K39" s="256"/>
      <c r="L39" s="270">
        <v>789</v>
      </c>
      <c r="M39" s="258" t="e">
        <f t="shared" si="10"/>
        <v>#N/A</v>
      </c>
      <c r="N39" s="259" t="e">
        <f t="shared" si="4"/>
        <v>#N/A</v>
      </c>
      <c r="O39" s="274"/>
      <c r="P39" s="272"/>
      <c r="Q39" s="272"/>
      <c r="R39" s="272"/>
      <c r="S39" s="272"/>
      <c r="T39" s="272"/>
      <c r="U39" s="272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271"/>
      <c r="AK39" s="271"/>
      <c r="AL39" s="271"/>
      <c r="AM39" s="271"/>
      <c r="AN39" s="277"/>
      <c r="AO39" s="272"/>
      <c r="AP39" s="272"/>
      <c r="AQ39" s="272"/>
      <c r="AR39" s="272"/>
      <c r="AS39" s="273"/>
      <c r="AT39" s="272"/>
      <c r="AU39" s="272"/>
      <c r="AV39" s="272"/>
      <c r="AW39" s="272"/>
      <c r="AX39" s="272"/>
      <c r="AY39" s="272"/>
      <c r="AZ39" s="272"/>
      <c r="BA39" s="272"/>
      <c r="BB39" s="272"/>
      <c r="BC39" s="272"/>
      <c r="BD39" s="272"/>
      <c r="BE39" s="272"/>
      <c r="BF39" s="272"/>
      <c r="BG39" s="272"/>
      <c r="BH39" s="272"/>
      <c r="BI39" s="272"/>
      <c r="BJ39" s="272"/>
      <c r="BK39" s="272"/>
      <c r="BL39" s="272"/>
      <c r="BM39" s="272"/>
      <c r="BN39" s="272"/>
      <c r="BO39" s="272"/>
      <c r="BP39" s="272"/>
      <c r="BQ39" s="272"/>
      <c r="BR39" s="272"/>
      <c r="BS39" s="272"/>
      <c r="BT39" s="272"/>
      <c r="BU39" s="272"/>
      <c r="BV39" s="272"/>
      <c r="BW39" s="272"/>
      <c r="BX39" s="272"/>
      <c r="BY39" s="272"/>
      <c r="BZ39" s="275"/>
      <c r="CA39" s="276"/>
    </row>
    <row r="40" spans="1:79" s="8" customFormat="1" ht="30" hidden="1" customHeight="1" x14ac:dyDescent="0.25">
      <c r="A40" s="158" t="s">
        <v>121</v>
      </c>
      <c r="B40" s="550"/>
      <c r="C40" s="43" t="e">
        <f t="shared" si="5"/>
        <v>#N/A</v>
      </c>
      <c r="D40" s="35">
        <v>7</v>
      </c>
      <c r="E40" s="40" t="s">
        <v>132</v>
      </c>
      <c r="F40" s="36" t="s">
        <v>65</v>
      </c>
      <c r="G40" s="92" t="str">
        <f t="shared" si="2"/>
        <v>E</v>
      </c>
      <c r="H40" s="726"/>
      <c r="I40" s="727"/>
      <c r="J40" s="155">
        <v>0.79861111111111116</v>
      </c>
      <c r="K40" s="155"/>
      <c r="L40" s="36">
        <v>772</v>
      </c>
      <c r="M40" s="44">
        <f t="shared" si="10"/>
        <v>305</v>
      </c>
      <c r="N40" s="220">
        <f t="shared" si="4"/>
        <v>275</v>
      </c>
      <c r="O40" s="239"/>
      <c r="P40" s="237"/>
      <c r="Q40" s="237"/>
      <c r="R40" s="237"/>
      <c r="S40" s="237"/>
      <c r="T40" s="237"/>
      <c r="U40" s="237"/>
      <c r="V40" s="237"/>
      <c r="W40" s="237"/>
      <c r="X40" s="237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236"/>
      <c r="AL40" s="236"/>
      <c r="AM40" s="236"/>
      <c r="AN40" s="236"/>
      <c r="AO40" s="236"/>
      <c r="AP40" s="236"/>
      <c r="AQ40" s="236"/>
      <c r="AR40" s="236"/>
      <c r="AS40" s="231"/>
      <c r="AT40" s="237"/>
      <c r="AU40" s="237"/>
      <c r="AV40" s="237"/>
      <c r="AW40" s="237"/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43"/>
      <c r="CA40" s="150"/>
    </row>
    <row r="41" spans="1:79" s="8" customFormat="1" ht="30" hidden="1" customHeight="1" x14ac:dyDescent="0.25">
      <c r="A41" s="251" t="s">
        <v>11</v>
      </c>
      <c r="B41" s="551"/>
      <c r="C41" s="252" t="e">
        <f t="shared" si="5"/>
        <v>#N/A</v>
      </c>
      <c r="D41" s="268">
        <v>59</v>
      </c>
      <c r="E41" s="269" t="s">
        <v>124</v>
      </c>
      <c r="F41" s="270" t="s">
        <v>65</v>
      </c>
      <c r="G41" s="255" t="e">
        <f t="shared" si="2"/>
        <v>#N/A</v>
      </c>
      <c r="H41" s="724"/>
      <c r="I41" s="725"/>
      <c r="J41" s="256">
        <v>0.80902777777777779</v>
      </c>
      <c r="K41" s="256"/>
      <c r="L41" s="270" t="s">
        <v>262</v>
      </c>
      <c r="M41" s="258" t="e">
        <f t="shared" si="10"/>
        <v>#N/A</v>
      </c>
      <c r="N41" s="259" t="e">
        <f t="shared" si="4"/>
        <v>#N/A</v>
      </c>
      <c r="O41" s="274"/>
      <c r="P41" s="272"/>
      <c r="Q41" s="272"/>
      <c r="R41" s="272"/>
      <c r="S41" s="272"/>
      <c r="T41" s="272"/>
      <c r="U41" s="272"/>
      <c r="V41" s="271"/>
      <c r="W41" s="271"/>
      <c r="X41" s="271"/>
      <c r="Y41" s="271"/>
      <c r="Z41" s="271"/>
      <c r="AA41" s="271"/>
      <c r="AB41" s="271"/>
      <c r="AC41" s="271"/>
      <c r="AD41" s="271"/>
      <c r="AE41" s="271"/>
      <c r="AF41" s="271"/>
      <c r="AG41" s="271"/>
      <c r="AH41" s="271"/>
      <c r="AI41" s="271"/>
      <c r="AJ41" s="271"/>
      <c r="AK41" s="271"/>
      <c r="AL41" s="271"/>
      <c r="AM41" s="271"/>
      <c r="AN41" s="277"/>
      <c r="AO41" s="272"/>
      <c r="AP41" s="272"/>
      <c r="AQ41" s="272"/>
      <c r="AR41" s="272"/>
      <c r="AS41" s="273"/>
      <c r="AT41" s="272"/>
      <c r="AU41" s="272"/>
      <c r="AV41" s="272"/>
      <c r="AW41" s="272"/>
      <c r="AX41" s="272"/>
      <c r="AY41" s="272"/>
      <c r="AZ41" s="272"/>
      <c r="BA41" s="272"/>
      <c r="BB41" s="272"/>
      <c r="BC41" s="272"/>
      <c r="BD41" s="272"/>
      <c r="BE41" s="272"/>
      <c r="BF41" s="272"/>
      <c r="BG41" s="272"/>
      <c r="BH41" s="272"/>
      <c r="BI41" s="272"/>
      <c r="BJ41" s="272"/>
      <c r="BK41" s="272"/>
      <c r="BL41" s="272"/>
      <c r="BM41" s="272"/>
      <c r="BN41" s="272"/>
      <c r="BO41" s="272"/>
      <c r="BP41" s="272"/>
      <c r="BQ41" s="272"/>
      <c r="BR41" s="272"/>
      <c r="BS41" s="272"/>
      <c r="BT41" s="272"/>
      <c r="BU41" s="272"/>
      <c r="BV41" s="272"/>
      <c r="BW41" s="272"/>
      <c r="BX41" s="272"/>
      <c r="BY41" s="272"/>
      <c r="BZ41" s="275"/>
      <c r="CA41" s="276"/>
    </row>
    <row r="42" spans="1:79" s="8" customFormat="1" ht="30" hidden="1" customHeight="1" x14ac:dyDescent="0.25">
      <c r="A42" s="158" t="s">
        <v>109</v>
      </c>
      <c r="B42" s="550"/>
      <c r="C42" s="43" t="e">
        <f t="shared" si="5"/>
        <v>#N/A</v>
      </c>
      <c r="D42" s="35">
        <v>537</v>
      </c>
      <c r="E42" s="40" t="s">
        <v>124</v>
      </c>
      <c r="F42" s="36" t="s">
        <v>65</v>
      </c>
      <c r="G42" s="92" t="str">
        <f t="shared" si="2"/>
        <v>C</v>
      </c>
      <c r="H42" s="726"/>
      <c r="I42" s="727"/>
      <c r="J42" s="155">
        <v>0.83680555555555558</v>
      </c>
      <c r="K42" s="155"/>
      <c r="L42" s="36">
        <v>320</v>
      </c>
      <c r="M42" s="44">
        <f t="shared" si="10"/>
        <v>180</v>
      </c>
      <c r="N42" s="220">
        <f t="shared" si="4"/>
        <v>162</v>
      </c>
      <c r="O42" s="239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41"/>
      <c r="AO42" s="241"/>
      <c r="AP42" s="241"/>
      <c r="AQ42" s="236"/>
      <c r="AR42" s="236"/>
      <c r="AS42" s="236"/>
      <c r="AT42" s="236"/>
      <c r="AU42" s="236"/>
      <c r="AV42" s="242"/>
      <c r="AW42" s="237"/>
      <c r="AX42" s="237"/>
      <c r="AY42" s="237"/>
      <c r="AZ42" s="237"/>
      <c r="BA42" s="237"/>
      <c r="BB42" s="237"/>
      <c r="BC42" s="237"/>
      <c r="BD42" s="237"/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237"/>
      <c r="BW42" s="237"/>
      <c r="BX42" s="237"/>
      <c r="BY42" s="237"/>
      <c r="BZ42" s="243"/>
      <c r="CA42" s="150"/>
    </row>
    <row r="43" spans="1:79" s="8" customFormat="1" ht="30" hidden="1" customHeight="1" x14ac:dyDescent="0.25">
      <c r="A43" s="251" t="s">
        <v>112</v>
      </c>
      <c r="B43" s="551"/>
      <c r="C43" s="252" t="e">
        <f t="shared" si="5"/>
        <v>#N/A</v>
      </c>
      <c r="D43" s="268">
        <v>725</v>
      </c>
      <c r="E43" s="269" t="s">
        <v>142</v>
      </c>
      <c r="F43" s="270" t="s">
        <v>64</v>
      </c>
      <c r="G43" s="255" t="str">
        <f t="shared" si="2"/>
        <v>C</v>
      </c>
      <c r="H43" s="724"/>
      <c r="I43" s="725"/>
      <c r="J43" s="256">
        <v>0.84375</v>
      </c>
      <c r="K43" s="256"/>
      <c r="L43" s="270">
        <v>738</v>
      </c>
      <c r="M43" s="258">
        <f t="shared" si="10"/>
        <v>168</v>
      </c>
      <c r="N43" s="259">
        <f t="shared" si="4"/>
        <v>151</v>
      </c>
      <c r="O43" s="274"/>
      <c r="P43" s="272"/>
      <c r="Q43" s="272"/>
      <c r="R43" s="272"/>
      <c r="S43" s="272"/>
      <c r="T43" s="272"/>
      <c r="U43" s="272"/>
      <c r="V43" s="271"/>
      <c r="W43" s="271"/>
      <c r="X43" s="271"/>
      <c r="Y43" s="271"/>
      <c r="Z43" s="271"/>
      <c r="AA43" s="271"/>
      <c r="AB43" s="271"/>
      <c r="AC43" s="271"/>
      <c r="AD43" s="271"/>
      <c r="AE43" s="271"/>
      <c r="AF43" s="271"/>
      <c r="AG43" s="271"/>
      <c r="AH43" s="271"/>
      <c r="AI43" s="271"/>
      <c r="AJ43" s="271"/>
      <c r="AK43" s="271"/>
      <c r="AL43" s="271"/>
      <c r="AM43" s="271"/>
      <c r="AN43" s="277"/>
      <c r="AO43" s="272"/>
      <c r="AP43" s="272"/>
      <c r="AQ43" s="272"/>
      <c r="AR43" s="272"/>
      <c r="AS43" s="273"/>
      <c r="AT43" s="272"/>
      <c r="AU43" s="272"/>
      <c r="AV43" s="272"/>
      <c r="AW43" s="272"/>
      <c r="AX43" s="272"/>
      <c r="AY43" s="272"/>
      <c r="AZ43" s="272"/>
      <c r="BA43" s="272"/>
      <c r="BB43" s="272"/>
      <c r="BC43" s="272"/>
      <c r="BD43" s="272"/>
      <c r="BE43" s="272"/>
      <c r="BF43" s="272"/>
      <c r="BG43" s="272"/>
      <c r="BH43" s="272"/>
      <c r="BI43" s="272"/>
      <c r="BJ43" s="272"/>
      <c r="BK43" s="272"/>
      <c r="BL43" s="272"/>
      <c r="BM43" s="272"/>
      <c r="BN43" s="272"/>
      <c r="BO43" s="272"/>
      <c r="BP43" s="272"/>
      <c r="BQ43" s="272"/>
      <c r="BR43" s="272"/>
      <c r="BS43" s="272"/>
      <c r="BT43" s="272"/>
      <c r="BU43" s="272"/>
      <c r="BV43" s="272"/>
      <c r="BW43" s="272"/>
      <c r="BX43" s="272"/>
      <c r="BY43" s="272"/>
      <c r="BZ43" s="275"/>
      <c r="CA43" s="276"/>
    </row>
    <row r="44" spans="1:79" s="8" customFormat="1" ht="30" hidden="1" customHeight="1" x14ac:dyDescent="0.25">
      <c r="A44" s="158" t="s">
        <v>927</v>
      </c>
      <c r="B44" s="550"/>
      <c r="C44" s="43" t="e">
        <f t="shared" si="5"/>
        <v>#N/A</v>
      </c>
      <c r="D44" s="35">
        <v>111</v>
      </c>
      <c r="E44" s="40" t="s">
        <v>140</v>
      </c>
      <c r="F44" s="36" t="s">
        <v>64</v>
      </c>
      <c r="G44" s="92" t="str">
        <f t="shared" si="2"/>
        <v>E</v>
      </c>
      <c r="H44" s="726"/>
      <c r="I44" s="727"/>
      <c r="J44" s="155">
        <v>0.85416666666666663</v>
      </c>
      <c r="K44" s="155"/>
      <c r="L44" s="36">
        <v>332</v>
      </c>
      <c r="M44" s="44">
        <f t="shared" si="10"/>
        <v>245</v>
      </c>
      <c r="N44" s="220">
        <f t="shared" si="4"/>
        <v>221</v>
      </c>
      <c r="O44" s="239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  <c r="AB44" s="236"/>
      <c r="AC44" s="236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1"/>
      <c r="AW44" s="237"/>
      <c r="AX44" s="237"/>
      <c r="AY44" s="237"/>
      <c r="AZ44" s="237"/>
      <c r="BA44" s="237"/>
      <c r="BB44" s="237"/>
      <c r="BC44" s="237"/>
      <c r="BD44" s="237"/>
      <c r="BE44" s="237"/>
      <c r="BF44" s="237"/>
      <c r="BG44" s="237"/>
      <c r="BH44" s="237"/>
      <c r="BI44" s="237"/>
      <c r="BJ44" s="237"/>
      <c r="BK44" s="237"/>
      <c r="BL44" s="237"/>
      <c r="BM44" s="237"/>
      <c r="BN44" s="237"/>
      <c r="BO44" s="237"/>
      <c r="BP44" s="237"/>
      <c r="BQ44" s="237"/>
      <c r="BR44" s="237"/>
      <c r="BS44" s="237"/>
      <c r="BT44" s="237"/>
      <c r="BU44" s="237"/>
      <c r="BV44" s="237"/>
      <c r="BW44" s="237"/>
      <c r="BX44" s="237"/>
      <c r="BY44" s="237"/>
      <c r="BZ44" s="243"/>
      <c r="CA44" s="150"/>
    </row>
    <row r="45" spans="1:79" s="8" customFormat="1" ht="30" hidden="1" customHeight="1" x14ac:dyDescent="0.25">
      <c r="A45" s="251" t="s">
        <v>120</v>
      </c>
      <c r="B45" s="551"/>
      <c r="C45" s="252" t="e">
        <f t="shared" si="5"/>
        <v>#N/A</v>
      </c>
      <c r="D45" s="268">
        <v>2717</v>
      </c>
      <c r="E45" s="269" t="s">
        <v>132</v>
      </c>
      <c r="F45" s="270" t="s">
        <v>65</v>
      </c>
      <c r="G45" s="255" t="str">
        <f t="shared" si="2"/>
        <v>C</v>
      </c>
      <c r="H45" s="724"/>
      <c r="I45" s="725"/>
      <c r="J45" s="256">
        <v>0.90625</v>
      </c>
      <c r="K45" s="256"/>
      <c r="L45" s="270">
        <v>320</v>
      </c>
      <c r="M45" s="258">
        <f t="shared" si="10"/>
        <v>180</v>
      </c>
      <c r="N45" s="259">
        <f t="shared" si="4"/>
        <v>162</v>
      </c>
      <c r="O45" s="274"/>
      <c r="P45" s="272"/>
      <c r="Q45" s="272"/>
      <c r="R45" s="272"/>
      <c r="S45" s="272"/>
      <c r="T45" s="272"/>
      <c r="U45" s="272"/>
      <c r="V45" s="271"/>
      <c r="W45" s="271"/>
      <c r="X45" s="271"/>
      <c r="Y45" s="271"/>
      <c r="Z45" s="271"/>
      <c r="AA45" s="271"/>
      <c r="AB45" s="271"/>
      <c r="AC45" s="271"/>
      <c r="AD45" s="271"/>
      <c r="AE45" s="271"/>
      <c r="AF45" s="271"/>
      <c r="AG45" s="271"/>
      <c r="AH45" s="271"/>
      <c r="AI45" s="271"/>
      <c r="AJ45" s="271"/>
      <c r="AK45" s="271"/>
      <c r="AL45" s="271"/>
      <c r="AM45" s="271"/>
      <c r="AN45" s="277"/>
      <c r="AO45" s="272"/>
      <c r="AP45" s="272"/>
      <c r="AQ45" s="272"/>
      <c r="AR45" s="272"/>
      <c r="AS45" s="273"/>
      <c r="AT45" s="272"/>
      <c r="AU45" s="272"/>
      <c r="AV45" s="272"/>
      <c r="AW45" s="272"/>
      <c r="AX45" s="272"/>
      <c r="AY45" s="272"/>
      <c r="AZ45" s="272"/>
      <c r="BA45" s="272"/>
      <c r="BB45" s="272"/>
      <c r="BC45" s="272"/>
      <c r="BD45" s="272"/>
      <c r="BE45" s="272"/>
      <c r="BF45" s="272"/>
      <c r="BG45" s="272"/>
      <c r="BH45" s="272"/>
      <c r="BI45" s="272"/>
      <c r="BJ45" s="272"/>
      <c r="BK45" s="272"/>
      <c r="BL45" s="272"/>
      <c r="BM45" s="272"/>
      <c r="BN45" s="272"/>
      <c r="BO45" s="272"/>
      <c r="BP45" s="272"/>
      <c r="BQ45" s="272"/>
      <c r="BR45" s="272"/>
      <c r="BS45" s="272"/>
      <c r="BT45" s="272"/>
      <c r="BU45" s="272"/>
      <c r="BV45" s="272"/>
      <c r="BW45" s="272"/>
      <c r="BX45" s="272"/>
      <c r="BY45" s="272"/>
      <c r="BZ45" s="275"/>
      <c r="CA45" s="276"/>
    </row>
    <row r="46" spans="1:79" s="8" customFormat="1" ht="30" hidden="1" customHeight="1" x14ac:dyDescent="0.25">
      <c r="A46" s="158" t="s">
        <v>102</v>
      </c>
      <c r="B46" s="550"/>
      <c r="C46" s="43" t="str">
        <f t="shared" si="5"/>
        <v>Emirates to Dubai, Boeing 777-300ER pax</v>
      </c>
      <c r="D46" s="35">
        <v>421</v>
      </c>
      <c r="E46" s="40" t="s">
        <v>126</v>
      </c>
      <c r="F46" s="36" t="s">
        <v>64</v>
      </c>
      <c r="G46" s="92" t="e">
        <f t="shared" si="2"/>
        <v>#N/A</v>
      </c>
      <c r="H46" s="726"/>
      <c r="I46" s="727"/>
      <c r="J46" s="155">
        <v>0.92013888888888884</v>
      </c>
      <c r="K46" s="155"/>
      <c r="L46" s="36" t="s">
        <v>929</v>
      </c>
      <c r="M46" s="44" t="e">
        <f t="shared" si="10"/>
        <v>#N/A</v>
      </c>
      <c r="N46" s="220" t="e">
        <f t="shared" si="4"/>
        <v>#N/A</v>
      </c>
      <c r="O46" s="239"/>
      <c r="P46" s="237"/>
      <c r="Q46" s="237"/>
      <c r="R46" s="237"/>
      <c r="S46" s="237"/>
      <c r="T46" s="237"/>
      <c r="U46" s="237"/>
      <c r="V46" s="237"/>
      <c r="W46" s="237"/>
      <c r="X46" s="237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1"/>
      <c r="AT46" s="237"/>
      <c r="AU46" s="237"/>
      <c r="AV46" s="237"/>
      <c r="AW46" s="237"/>
      <c r="AX46" s="237"/>
      <c r="AY46" s="237"/>
      <c r="AZ46" s="237"/>
      <c r="BA46" s="237"/>
      <c r="BB46" s="237"/>
      <c r="BC46" s="237"/>
      <c r="BD46" s="237"/>
      <c r="BE46" s="237"/>
      <c r="BF46" s="237"/>
      <c r="BG46" s="237"/>
      <c r="BH46" s="237"/>
      <c r="BI46" s="237"/>
      <c r="BJ46" s="237"/>
      <c r="BK46" s="237"/>
      <c r="BL46" s="237"/>
      <c r="BM46" s="237"/>
      <c r="BN46" s="237"/>
      <c r="BO46" s="237"/>
      <c r="BP46" s="237"/>
      <c r="BQ46" s="237"/>
      <c r="BR46" s="237"/>
      <c r="BS46" s="237"/>
      <c r="BT46" s="237"/>
      <c r="BU46" s="237"/>
      <c r="BV46" s="237"/>
      <c r="BW46" s="237"/>
      <c r="BX46" s="237"/>
      <c r="BY46" s="237"/>
      <c r="BZ46" s="243"/>
      <c r="CA46" s="150"/>
    </row>
    <row r="47" spans="1:79" s="8" customFormat="1" ht="30" hidden="1" customHeight="1" x14ac:dyDescent="0.25">
      <c r="A47" s="251" t="s">
        <v>118</v>
      </c>
      <c r="B47" s="551"/>
      <c r="C47" s="252" t="e">
        <f t="shared" si="5"/>
        <v>#N/A</v>
      </c>
      <c r="D47" s="268">
        <v>901</v>
      </c>
      <c r="E47" s="269" t="s">
        <v>143</v>
      </c>
      <c r="F47" s="270" t="s">
        <v>64</v>
      </c>
      <c r="G47" s="255" t="e">
        <f t="shared" si="2"/>
        <v>#N/A</v>
      </c>
      <c r="H47" s="724"/>
      <c r="I47" s="725"/>
      <c r="J47" s="256">
        <v>0.94444444444444442</v>
      </c>
      <c r="K47" s="256"/>
      <c r="L47" s="270" t="s">
        <v>929</v>
      </c>
      <c r="M47" s="258" t="e">
        <f t="shared" si="10"/>
        <v>#N/A</v>
      </c>
      <c r="N47" s="259" t="e">
        <f t="shared" si="4"/>
        <v>#N/A</v>
      </c>
      <c r="O47" s="274"/>
      <c r="P47" s="272"/>
      <c r="Q47" s="272"/>
      <c r="R47" s="272"/>
      <c r="S47" s="272"/>
      <c r="T47" s="272"/>
      <c r="U47" s="272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71"/>
      <c r="AH47" s="271"/>
      <c r="AI47" s="271"/>
      <c r="AJ47" s="271"/>
      <c r="AK47" s="271"/>
      <c r="AL47" s="271"/>
      <c r="AM47" s="271"/>
      <c r="AN47" s="277"/>
      <c r="AO47" s="272"/>
      <c r="AP47" s="272"/>
      <c r="AQ47" s="272"/>
      <c r="AR47" s="272"/>
      <c r="AS47" s="273"/>
      <c r="AT47" s="272"/>
      <c r="AU47" s="272"/>
      <c r="AV47" s="272"/>
      <c r="AW47" s="272"/>
      <c r="AX47" s="272"/>
      <c r="AY47" s="272"/>
      <c r="AZ47" s="272"/>
      <c r="BA47" s="272"/>
      <c r="BB47" s="272"/>
      <c r="BC47" s="272"/>
      <c r="BD47" s="272"/>
      <c r="BE47" s="272"/>
      <c r="BF47" s="272"/>
      <c r="BG47" s="272"/>
      <c r="BH47" s="272"/>
      <c r="BI47" s="272"/>
      <c r="BJ47" s="272"/>
      <c r="BK47" s="272"/>
      <c r="BL47" s="272"/>
      <c r="BM47" s="272"/>
      <c r="BN47" s="272"/>
      <c r="BO47" s="272"/>
      <c r="BP47" s="272"/>
      <c r="BQ47" s="272"/>
      <c r="BR47" s="272"/>
      <c r="BS47" s="272"/>
      <c r="BT47" s="272"/>
      <c r="BU47" s="272"/>
      <c r="BV47" s="272"/>
      <c r="BW47" s="272"/>
      <c r="BX47" s="272"/>
      <c r="BY47" s="272"/>
      <c r="BZ47" s="275"/>
      <c r="CA47" s="276"/>
    </row>
    <row r="48" spans="1:79" s="8" customFormat="1" ht="30" hidden="1" customHeight="1" x14ac:dyDescent="0.25">
      <c r="A48" s="158" t="s">
        <v>119</v>
      </c>
      <c r="B48" s="550"/>
      <c r="C48" s="43" t="e">
        <f t="shared" si="5"/>
        <v>#N/A</v>
      </c>
      <c r="D48" s="35">
        <v>281</v>
      </c>
      <c r="E48" s="40" t="s">
        <v>145</v>
      </c>
      <c r="F48" s="36" t="s">
        <v>64</v>
      </c>
      <c r="G48" s="92" t="e">
        <f t="shared" si="2"/>
        <v>#N/A</v>
      </c>
      <c r="H48" s="726"/>
      <c r="I48" s="727"/>
      <c r="J48" s="155">
        <v>0.98958333333333337</v>
      </c>
      <c r="K48" s="155"/>
      <c r="L48" s="36">
        <v>346</v>
      </c>
      <c r="M48" s="44" t="e">
        <f t="shared" si="10"/>
        <v>#N/A</v>
      </c>
      <c r="N48" s="220" t="e">
        <f t="shared" si="4"/>
        <v>#N/A</v>
      </c>
      <c r="O48" s="239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6"/>
      <c r="AA48" s="236"/>
      <c r="AB48" s="236"/>
      <c r="AC48" s="236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41"/>
      <c r="AO48" s="241"/>
      <c r="AP48" s="241"/>
      <c r="AQ48" s="236"/>
      <c r="AR48" s="236"/>
      <c r="AS48" s="236"/>
      <c r="AT48" s="236"/>
      <c r="AU48" s="236"/>
      <c r="AV48" s="242"/>
      <c r="AW48" s="237"/>
      <c r="AX48" s="237"/>
      <c r="AY48" s="237"/>
      <c r="AZ48" s="237"/>
      <c r="BA48" s="237"/>
      <c r="BB48" s="237"/>
      <c r="BC48" s="237"/>
      <c r="BD48" s="237"/>
      <c r="BE48" s="237"/>
      <c r="BF48" s="237"/>
      <c r="BG48" s="237"/>
      <c r="BH48" s="237"/>
      <c r="BI48" s="237"/>
      <c r="BJ48" s="237"/>
      <c r="BK48" s="237"/>
      <c r="BL48" s="237"/>
      <c r="BM48" s="237"/>
      <c r="BN48" s="237"/>
      <c r="BO48" s="237"/>
      <c r="BP48" s="237"/>
      <c r="BQ48" s="237"/>
      <c r="BR48" s="237"/>
      <c r="BS48" s="237"/>
      <c r="BT48" s="237"/>
      <c r="BU48" s="237"/>
      <c r="BV48" s="237"/>
      <c r="BW48" s="237"/>
      <c r="BX48" s="237"/>
      <c r="BY48" s="237"/>
      <c r="BZ48" s="243"/>
      <c r="CA48" s="150"/>
    </row>
    <row r="49" spans="1:79" s="8" customFormat="1" ht="30" customHeight="1" thickBot="1" x14ac:dyDescent="0.3">
      <c r="A49" s="251" t="s">
        <v>106</v>
      </c>
      <c r="B49" s="551"/>
      <c r="C49" s="252" t="e">
        <f t="shared" si="5"/>
        <v>#N/A</v>
      </c>
      <c r="D49" s="268">
        <v>170</v>
      </c>
      <c r="E49" s="269" t="s">
        <v>130</v>
      </c>
      <c r="F49" s="270" t="s">
        <v>64</v>
      </c>
      <c r="G49" s="255" t="str">
        <f t="shared" si="2"/>
        <v>E</v>
      </c>
      <c r="H49" s="734"/>
      <c r="I49" s="735"/>
      <c r="J49" s="256">
        <v>0.99652777777777779</v>
      </c>
      <c r="K49" s="256"/>
      <c r="L49" s="270">
        <v>333</v>
      </c>
      <c r="M49" s="258">
        <v>242</v>
      </c>
      <c r="N49" s="259">
        <f t="shared" si="4"/>
        <v>218</v>
      </c>
      <c r="O49" s="274"/>
      <c r="P49" s="272"/>
      <c r="Q49" s="272"/>
      <c r="R49" s="272"/>
      <c r="S49" s="272"/>
      <c r="T49" s="272"/>
      <c r="U49" s="272"/>
      <c r="V49" s="271"/>
      <c r="W49" s="271"/>
      <c r="X49" s="271"/>
      <c r="Y49" s="271"/>
      <c r="Z49" s="271"/>
      <c r="AA49" s="271"/>
      <c r="AB49" s="271"/>
      <c r="AC49" s="271"/>
      <c r="AD49" s="271"/>
      <c r="AE49" s="271"/>
      <c r="AF49" s="271"/>
      <c r="AG49" s="271"/>
      <c r="AH49" s="271"/>
      <c r="AI49" s="271"/>
      <c r="AJ49" s="271"/>
      <c r="AK49" s="271"/>
      <c r="AL49" s="271"/>
      <c r="AM49" s="271"/>
      <c r="AN49" s="277"/>
      <c r="AO49" s="272"/>
      <c r="AP49" s="272"/>
      <c r="AQ49" s="272"/>
      <c r="AR49" s="272"/>
      <c r="AS49" s="273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  <c r="BN49" s="272"/>
      <c r="BO49" s="272"/>
      <c r="BP49" s="272"/>
      <c r="BQ49" s="272"/>
      <c r="BR49" s="272"/>
      <c r="BS49" s="272"/>
      <c r="BT49" s="272"/>
      <c r="BU49" s="272"/>
      <c r="BV49" s="272"/>
      <c r="BW49" s="272"/>
      <c r="BX49" s="272"/>
      <c r="BY49" s="272"/>
      <c r="BZ49" s="275"/>
      <c r="CA49" s="276"/>
    </row>
    <row r="50" spans="1:79" s="8" customFormat="1" ht="30" customHeight="1" thickBot="1" x14ac:dyDescent="0.3">
      <c r="A50" s="464"/>
      <c r="B50" s="465"/>
      <c r="C50" s="465"/>
      <c r="D50" s="466"/>
      <c r="E50" s="466"/>
      <c r="F50" s="467"/>
      <c r="G50" s="467"/>
      <c r="H50" s="74"/>
      <c r="I50" s="74"/>
      <c r="J50" s="467"/>
      <c r="K50" s="466"/>
      <c r="L50" s="466"/>
      <c r="M50" s="466"/>
      <c r="N50" s="468" t="s">
        <v>1058</v>
      </c>
      <c r="O50" s="469" t="e">
        <f t="shared" ref="O50:BZ50" si="11">SUM(O7:O49)</f>
        <v>#N/A</v>
      </c>
      <c r="P50" s="470" t="e">
        <f t="shared" si="11"/>
        <v>#N/A</v>
      </c>
      <c r="Q50" s="470" t="e">
        <f t="shared" si="11"/>
        <v>#N/A</v>
      </c>
      <c r="R50" s="470" t="e">
        <f t="shared" si="11"/>
        <v>#N/A</v>
      </c>
      <c r="S50" s="470" t="e">
        <f t="shared" si="11"/>
        <v>#N/A</v>
      </c>
      <c r="T50" s="470" t="e">
        <f t="shared" si="11"/>
        <v>#N/A</v>
      </c>
      <c r="U50" s="470" t="e">
        <f t="shared" si="11"/>
        <v>#N/A</v>
      </c>
      <c r="V50" s="470" t="e">
        <f t="shared" si="11"/>
        <v>#N/A</v>
      </c>
      <c r="W50" s="470" t="e">
        <f t="shared" si="11"/>
        <v>#N/A</v>
      </c>
      <c r="X50" s="470" t="e">
        <f t="shared" si="11"/>
        <v>#N/A</v>
      </c>
      <c r="Y50" s="470" t="e">
        <f t="shared" si="11"/>
        <v>#N/A</v>
      </c>
      <c r="Z50" s="470" t="e">
        <f t="shared" si="11"/>
        <v>#N/A</v>
      </c>
      <c r="AA50" s="470" t="e">
        <f t="shared" si="11"/>
        <v>#N/A</v>
      </c>
      <c r="AB50" s="470" t="e">
        <f t="shared" si="11"/>
        <v>#N/A</v>
      </c>
      <c r="AC50" s="470" t="e">
        <f t="shared" si="11"/>
        <v>#N/A</v>
      </c>
      <c r="AD50" s="470" t="e">
        <f t="shared" si="11"/>
        <v>#N/A</v>
      </c>
      <c r="AE50" s="470" t="e">
        <f t="shared" si="11"/>
        <v>#N/A</v>
      </c>
      <c r="AF50" s="470" t="e">
        <f t="shared" si="11"/>
        <v>#N/A</v>
      </c>
      <c r="AG50" s="470" t="e">
        <f t="shared" si="11"/>
        <v>#N/A</v>
      </c>
      <c r="AH50" s="470" t="e">
        <f t="shared" si="11"/>
        <v>#N/A</v>
      </c>
      <c r="AI50" s="470" t="e">
        <f t="shared" si="11"/>
        <v>#N/A</v>
      </c>
      <c r="AJ50" s="470" t="e">
        <f t="shared" si="11"/>
        <v>#N/A</v>
      </c>
      <c r="AK50" s="470" t="e">
        <f t="shared" si="11"/>
        <v>#N/A</v>
      </c>
      <c r="AL50" s="470" t="e">
        <f t="shared" si="11"/>
        <v>#N/A</v>
      </c>
      <c r="AM50" s="470" t="e">
        <f t="shared" si="11"/>
        <v>#N/A</v>
      </c>
      <c r="AN50" s="470" t="e">
        <f t="shared" si="11"/>
        <v>#N/A</v>
      </c>
      <c r="AO50" s="470" t="e">
        <f t="shared" si="11"/>
        <v>#N/A</v>
      </c>
      <c r="AP50" s="470" t="e">
        <f t="shared" si="11"/>
        <v>#N/A</v>
      </c>
      <c r="AQ50" s="470" t="e">
        <f t="shared" si="11"/>
        <v>#N/A</v>
      </c>
      <c r="AR50" s="470" t="e">
        <f t="shared" si="11"/>
        <v>#N/A</v>
      </c>
      <c r="AS50" s="470" t="e">
        <f t="shared" si="11"/>
        <v>#N/A</v>
      </c>
      <c r="AT50" s="470" t="e">
        <f t="shared" si="11"/>
        <v>#N/A</v>
      </c>
      <c r="AU50" s="470" t="e">
        <f t="shared" si="11"/>
        <v>#N/A</v>
      </c>
      <c r="AV50" s="470" t="e">
        <f t="shared" si="11"/>
        <v>#N/A</v>
      </c>
      <c r="AW50" s="470" t="e">
        <f t="shared" si="11"/>
        <v>#N/A</v>
      </c>
      <c r="AX50" s="470" t="e">
        <f t="shared" si="11"/>
        <v>#N/A</v>
      </c>
      <c r="AY50" s="470" t="e">
        <f t="shared" si="11"/>
        <v>#N/A</v>
      </c>
      <c r="AZ50" s="470" t="e">
        <f t="shared" si="11"/>
        <v>#N/A</v>
      </c>
      <c r="BA50" s="470" t="e">
        <f t="shared" si="11"/>
        <v>#N/A</v>
      </c>
      <c r="BB50" s="470" t="e">
        <f t="shared" si="11"/>
        <v>#N/A</v>
      </c>
      <c r="BC50" s="470" t="e">
        <f t="shared" si="11"/>
        <v>#N/A</v>
      </c>
      <c r="BD50" s="470" t="e">
        <f t="shared" si="11"/>
        <v>#N/A</v>
      </c>
      <c r="BE50" s="470" t="e">
        <f t="shared" si="11"/>
        <v>#N/A</v>
      </c>
      <c r="BF50" s="470" t="e">
        <f t="shared" si="11"/>
        <v>#N/A</v>
      </c>
      <c r="BG50" s="470" t="e">
        <f t="shared" si="11"/>
        <v>#N/A</v>
      </c>
      <c r="BH50" s="470" t="e">
        <f t="shared" si="11"/>
        <v>#N/A</v>
      </c>
      <c r="BI50" s="470" t="e">
        <f t="shared" si="11"/>
        <v>#N/A</v>
      </c>
      <c r="BJ50" s="470" t="e">
        <f t="shared" si="11"/>
        <v>#N/A</v>
      </c>
      <c r="BK50" s="470" t="e">
        <f t="shared" si="11"/>
        <v>#N/A</v>
      </c>
      <c r="BL50" s="470" t="e">
        <f t="shared" si="11"/>
        <v>#N/A</v>
      </c>
      <c r="BM50" s="470" t="e">
        <f t="shared" si="11"/>
        <v>#N/A</v>
      </c>
      <c r="BN50" s="470" t="e">
        <f t="shared" si="11"/>
        <v>#N/A</v>
      </c>
      <c r="BO50" s="470" t="e">
        <f t="shared" si="11"/>
        <v>#N/A</v>
      </c>
      <c r="BP50" s="470" t="e">
        <f t="shared" si="11"/>
        <v>#N/A</v>
      </c>
      <c r="BQ50" s="470" t="e">
        <f t="shared" si="11"/>
        <v>#N/A</v>
      </c>
      <c r="BR50" s="470" t="e">
        <f t="shared" si="11"/>
        <v>#N/A</v>
      </c>
      <c r="BS50" s="470" t="e">
        <f t="shared" si="11"/>
        <v>#N/A</v>
      </c>
      <c r="BT50" s="470" t="e">
        <f t="shared" si="11"/>
        <v>#N/A</v>
      </c>
      <c r="BU50" s="470" t="e">
        <f t="shared" si="11"/>
        <v>#N/A</v>
      </c>
      <c r="BV50" s="470" t="e">
        <f t="shared" si="11"/>
        <v>#N/A</v>
      </c>
      <c r="BW50" s="470" t="e">
        <f t="shared" si="11"/>
        <v>#N/A</v>
      </c>
      <c r="BX50" s="470" t="e">
        <f t="shared" si="11"/>
        <v>#N/A</v>
      </c>
      <c r="BY50" s="470">
        <f t="shared" si="11"/>
        <v>0</v>
      </c>
      <c r="BZ50" s="470">
        <f t="shared" si="11"/>
        <v>0</v>
      </c>
      <c r="CA50" s="471"/>
    </row>
    <row r="51" spans="1:79" s="8" customFormat="1" ht="24" hidden="1" customHeight="1" x14ac:dyDescent="0.25">
      <c r="A51" s="132"/>
      <c r="B51" s="18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4"/>
      <c r="N51" s="135"/>
      <c r="O51" s="178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  <c r="AA51" s="165"/>
      <c r="AB51" s="165"/>
      <c r="AC51" s="165"/>
      <c r="AD51" s="165"/>
      <c r="AE51" s="165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165"/>
      <c r="AV51" s="165"/>
      <c r="AW51" s="165"/>
      <c r="AX51" s="165"/>
      <c r="AY51" s="165"/>
      <c r="AZ51" s="165"/>
      <c r="BA51" s="165"/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65"/>
      <c r="BM51" s="165"/>
      <c r="BN51" s="165"/>
      <c r="BO51" s="165"/>
      <c r="BP51" s="165"/>
      <c r="BQ51" s="165"/>
      <c r="BR51" s="165"/>
      <c r="BS51" s="165"/>
      <c r="BT51" s="165"/>
      <c r="BU51" s="165"/>
      <c r="BV51" s="165"/>
      <c r="BW51" s="165"/>
      <c r="BX51" s="165"/>
      <c r="BY51" s="165"/>
      <c r="BZ51" s="166"/>
      <c r="CA51" s="136"/>
    </row>
    <row r="52" spans="1:79" s="8" customFormat="1" ht="24" hidden="1" customHeight="1" x14ac:dyDescent="0.25">
      <c r="A52" s="103"/>
      <c r="B52" s="104"/>
      <c r="C52" s="105"/>
      <c r="D52" s="104"/>
      <c r="E52" s="104"/>
      <c r="F52" s="104"/>
      <c r="G52" s="104"/>
      <c r="H52" s="104"/>
      <c r="I52" s="104"/>
      <c r="J52" s="104"/>
      <c r="K52" s="104"/>
      <c r="L52" s="106"/>
      <c r="M52" s="107" t="s">
        <v>91</v>
      </c>
      <c r="N52" s="113">
        <v>0.1</v>
      </c>
      <c r="O52" s="179" t="e">
        <f>$N52*#REF!</f>
        <v>#REF!</v>
      </c>
      <c r="P52" s="167" t="e">
        <f>$N52*#REF!</f>
        <v>#REF!</v>
      </c>
      <c r="Q52" s="167" t="e">
        <f>$N52*#REF!</f>
        <v>#REF!</v>
      </c>
      <c r="R52" s="167" t="e">
        <f>$N52*#REF!</f>
        <v>#REF!</v>
      </c>
      <c r="S52" s="167" t="e">
        <f>$N52*#REF!</f>
        <v>#REF!</v>
      </c>
      <c r="T52" s="167" t="e">
        <f>$N52*#REF!</f>
        <v>#REF!</v>
      </c>
      <c r="U52" s="167" t="e">
        <f>$N52*#REF!</f>
        <v>#REF!</v>
      </c>
      <c r="V52" s="167" t="e">
        <f>$N52*#REF!</f>
        <v>#REF!</v>
      </c>
      <c r="W52" s="167" t="e">
        <f>$N52*#REF!</f>
        <v>#REF!</v>
      </c>
      <c r="X52" s="167" t="e">
        <f>$N52*#REF!</f>
        <v>#REF!</v>
      </c>
      <c r="Y52" s="167" t="e">
        <f>$N52*#REF!</f>
        <v>#REF!</v>
      </c>
      <c r="Z52" s="167" t="e">
        <f>$N52*#REF!</f>
        <v>#REF!</v>
      </c>
      <c r="AA52" s="167" t="e">
        <f>$N52*#REF!</f>
        <v>#REF!</v>
      </c>
      <c r="AB52" s="167" t="e">
        <f>$N52*#REF!</f>
        <v>#REF!</v>
      </c>
      <c r="AC52" s="167" t="e">
        <f>$N52*#REF!</f>
        <v>#REF!</v>
      </c>
      <c r="AD52" s="167" t="e">
        <f>$N52*#REF!</f>
        <v>#REF!</v>
      </c>
      <c r="AE52" s="167" t="e">
        <f>$N52*#REF!</f>
        <v>#REF!</v>
      </c>
      <c r="AF52" s="167" t="e">
        <f>$N52*#REF!</f>
        <v>#REF!</v>
      </c>
      <c r="AG52" s="167" t="e">
        <f>$N52*#REF!</f>
        <v>#REF!</v>
      </c>
      <c r="AH52" s="167" t="e">
        <f>$N52*#REF!</f>
        <v>#REF!</v>
      </c>
      <c r="AI52" s="167" t="e">
        <f>$N52*#REF!</f>
        <v>#REF!</v>
      </c>
      <c r="AJ52" s="167" t="e">
        <f>$N52*#REF!</f>
        <v>#REF!</v>
      </c>
      <c r="AK52" s="167" t="e">
        <f>$N52*#REF!</f>
        <v>#REF!</v>
      </c>
      <c r="AL52" s="167" t="e">
        <f>$N52*#REF!</f>
        <v>#REF!</v>
      </c>
      <c r="AM52" s="167" t="e">
        <f>$N52*#REF!</f>
        <v>#REF!</v>
      </c>
      <c r="AN52" s="167" t="e">
        <f>$N52*#REF!</f>
        <v>#REF!</v>
      </c>
      <c r="AO52" s="167" t="e">
        <f>$N52*#REF!</f>
        <v>#REF!</v>
      </c>
      <c r="AP52" s="167" t="e">
        <f>$N52*#REF!</f>
        <v>#REF!</v>
      </c>
      <c r="AQ52" s="167" t="e">
        <f>$N52*#REF!</f>
        <v>#REF!</v>
      </c>
      <c r="AR52" s="167" t="e">
        <f>$N52*#REF!</f>
        <v>#REF!</v>
      </c>
      <c r="AS52" s="167" t="e">
        <f>$N52*#REF!</f>
        <v>#REF!</v>
      </c>
      <c r="AT52" s="167" t="e">
        <f>$N52*#REF!</f>
        <v>#REF!</v>
      </c>
      <c r="AU52" s="167" t="e">
        <f>$N52*#REF!</f>
        <v>#REF!</v>
      </c>
      <c r="AV52" s="167" t="e">
        <f>$N52*#REF!</f>
        <v>#REF!</v>
      </c>
      <c r="AW52" s="167" t="e">
        <f>$N52*#REF!</f>
        <v>#REF!</v>
      </c>
      <c r="AX52" s="167" t="e">
        <f>$N52*#REF!</f>
        <v>#REF!</v>
      </c>
      <c r="AY52" s="167" t="e">
        <f>$N52*#REF!</f>
        <v>#REF!</v>
      </c>
      <c r="AZ52" s="167" t="e">
        <f>$N52*#REF!</f>
        <v>#REF!</v>
      </c>
      <c r="BA52" s="167" t="e">
        <f>$N52*#REF!</f>
        <v>#REF!</v>
      </c>
      <c r="BB52" s="167"/>
      <c r="BC52" s="167"/>
      <c r="BD52" s="167"/>
      <c r="BE52" s="167"/>
      <c r="BF52" s="167"/>
      <c r="BG52" s="167"/>
      <c r="BH52" s="167"/>
      <c r="BI52" s="167"/>
      <c r="BJ52" s="167"/>
      <c r="BK52" s="167"/>
      <c r="BL52" s="167" t="e">
        <f>$N52*#REF!</f>
        <v>#REF!</v>
      </c>
      <c r="BM52" s="167"/>
      <c r="BN52" s="167"/>
      <c r="BO52" s="167"/>
      <c r="BP52" s="167"/>
      <c r="BQ52" s="167"/>
      <c r="BR52" s="167"/>
      <c r="BS52" s="167"/>
      <c r="BT52" s="167"/>
      <c r="BU52" s="167"/>
      <c r="BV52" s="167"/>
      <c r="BW52" s="167"/>
      <c r="BX52" s="167" t="e">
        <f>$N52*#REF!</f>
        <v>#REF!</v>
      </c>
      <c r="BY52" s="167" t="e">
        <f>$N52*#REF!</f>
        <v>#REF!</v>
      </c>
      <c r="BZ52" s="168" t="e">
        <f>$N52*#REF!</f>
        <v>#REF!</v>
      </c>
      <c r="CA52" s="124"/>
    </row>
    <row r="53" spans="1:79" s="8" customFormat="1" ht="24" hidden="1" customHeight="1" x14ac:dyDescent="0.25">
      <c r="A53" s="110"/>
      <c r="B53" s="111"/>
      <c r="C53" s="114"/>
      <c r="D53" s="111"/>
      <c r="E53" s="111"/>
      <c r="F53" s="111"/>
      <c r="G53" s="111"/>
      <c r="H53" s="111"/>
      <c r="I53" s="111"/>
      <c r="J53" s="111"/>
      <c r="K53" s="111"/>
      <c r="L53" s="112" t="s">
        <v>87</v>
      </c>
      <c r="M53" s="116">
        <v>40</v>
      </c>
      <c r="N53" s="115">
        <v>0.1</v>
      </c>
      <c r="O53" s="177" t="e">
        <f>IF(#REF!*$N53&gt;$M53,$M53,#REF!*$N53)</f>
        <v>#REF!</v>
      </c>
      <c r="P53" s="164" t="e">
        <f>IF(#REF!*$N53&gt;$M53,$M53,#REF!*$N53)</f>
        <v>#REF!</v>
      </c>
      <c r="Q53" s="164" t="e">
        <f>IF(#REF!*$N53&gt;$M53,$M53,#REF!*$N53)</f>
        <v>#REF!</v>
      </c>
      <c r="R53" s="164" t="e">
        <f>IF(#REF!*$N53&gt;$M53,$M53,#REF!*$N53)</f>
        <v>#REF!</v>
      </c>
      <c r="S53" s="164" t="e">
        <f>IF(#REF!*$N53&gt;$M53,$M53,#REF!*$N53)</f>
        <v>#REF!</v>
      </c>
      <c r="T53" s="164" t="e">
        <f>IF(#REF!*$N53&gt;$M53,$M53,#REF!*$N53)</f>
        <v>#REF!</v>
      </c>
      <c r="U53" s="164" t="e">
        <f>IF(#REF!*$N53&gt;$M53,$M53,#REF!*$N53)</f>
        <v>#REF!</v>
      </c>
      <c r="V53" s="164" t="e">
        <f>IF(#REF!*$N53&gt;$M53,$M53,#REF!*$N53)</f>
        <v>#REF!</v>
      </c>
      <c r="W53" s="164" t="e">
        <f>IF(#REF!*$N53&gt;$M53,$M53,#REF!*$N53)</f>
        <v>#REF!</v>
      </c>
      <c r="X53" s="164" t="e">
        <f>IF(#REF!*$N53&gt;$M53,$M53,#REF!*$N53)</f>
        <v>#REF!</v>
      </c>
      <c r="Y53" s="164" t="e">
        <f>IF(#REF!*$N53&gt;$M53,$M53,#REF!*$N53)</f>
        <v>#REF!</v>
      </c>
      <c r="Z53" s="164" t="e">
        <f>IF(#REF!*$N53&gt;$M53,$M53,#REF!*$N53)</f>
        <v>#REF!</v>
      </c>
      <c r="AA53" s="164" t="e">
        <f>IF(#REF!*$N53&gt;$M53,$M53,#REF!*$N53)</f>
        <v>#REF!</v>
      </c>
      <c r="AB53" s="164" t="e">
        <f>IF(#REF!*$N53&gt;$M53,$M53,#REF!*$N53)</f>
        <v>#REF!</v>
      </c>
      <c r="AC53" s="164" t="e">
        <f>IF(#REF!*$N53&gt;$M53,$M53,#REF!*$N53)</f>
        <v>#REF!</v>
      </c>
      <c r="AD53" s="164" t="e">
        <f>IF(#REF!*$N53&gt;$M53,$M53,#REF!*$N53)</f>
        <v>#REF!</v>
      </c>
      <c r="AE53" s="164" t="e">
        <f>IF(#REF!*$N53&gt;$M53,$M53,#REF!*$N53)</f>
        <v>#REF!</v>
      </c>
      <c r="AF53" s="164" t="e">
        <f>IF(#REF!*$N53&gt;$M53,$M53,#REF!*$N53)</f>
        <v>#REF!</v>
      </c>
      <c r="AG53" s="164" t="e">
        <f>IF(#REF!*$N53&gt;$M53,$M53,#REF!*$N53)</f>
        <v>#REF!</v>
      </c>
      <c r="AH53" s="164" t="e">
        <f>IF(#REF!*$N53&gt;$M53,$M53,#REF!*$N53)</f>
        <v>#REF!</v>
      </c>
      <c r="AI53" s="164" t="e">
        <f>IF(#REF!*$N53&gt;$M53,$M53,#REF!*$N53)</f>
        <v>#REF!</v>
      </c>
      <c r="AJ53" s="164" t="e">
        <f>IF(#REF!*$N53&gt;$M53,$M53,#REF!*$N53)</f>
        <v>#REF!</v>
      </c>
      <c r="AK53" s="164" t="e">
        <f>IF(#REF!*$N53&gt;$M53,$M53,#REF!*$N53)</f>
        <v>#REF!</v>
      </c>
      <c r="AL53" s="164" t="e">
        <f>IF(#REF!*$N53&gt;$M53,$M53,#REF!*$N53)</f>
        <v>#REF!</v>
      </c>
      <c r="AM53" s="164" t="e">
        <f>IF(#REF!*$N53&gt;$M53,$M53,#REF!*$N53)</f>
        <v>#REF!</v>
      </c>
      <c r="AN53" s="164" t="e">
        <f>IF(#REF!*$N53&gt;$M53,$M53,#REF!*$N53)</f>
        <v>#REF!</v>
      </c>
      <c r="AO53" s="164" t="e">
        <f>IF(#REF!*$N53&gt;$M53,$M53,#REF!*$N53)</f>
        <v>#REF!</v>
      </c>
      <c r="AP53" s="164" t="e">
        <f>IF(#REF!*$N53&gt;$M53,$M53,#REF!*$N53)</f>
        <v>#REF!</v>
      </c>
      <c r="AQ53" s="164" t="e">
        <f>IF(#REF!*$N53&gt;$M53,$M53,#REF!*$N53)</f>
        <v>#REF!</v>
      </c>
      <c r="AR53" s="164" t="e">
        <f>IF(#REF!*$N53&gt;$M53,$M53,#REF!*$N53)</f>
        <v>#REF!</v>
      </c>
      <c r="AS53" s="164" t="e">
        <f>IF(#REF!*$N53&gt;$M53,$M53,#REF!*$N53)</f>
        <v>#REF!</v>
      </c>
      <c r="AT53" s="164" t="e">
        <f>IF(#REF!*$N53&gt;$M53,$M53,#REF!*$N53)</f>
        <v>#REF!</v>
      </c>
      <c r="AU53" s="164" t="e">
        <f>IF(#REF!*$N53&gt;$M53,$M53,#REF!*$N53)</f>
        <v>#REF!</v>
      </c>
      <c r="AV53" s="164" t="e">
        <f>IF(#REF!*$N53&gt;$M53,$M53,#REF!*$N53)</f>
        <v>#REF!</v>
      </c>
      <c r="AW53" s="164" t="e">
        <f>IF(#REF!*$N53&gt;$M53,$M53,#REF!*$N53)</f>
        <v>#REF!</v>
      </c>
      <c r="AX53" s="164" t="e">
        <f>IF(#REF!*$N53&gt;$M53,$M53,#REF!*$N53)</f>
        <v>#REF!</v>
      </c>
      <c r="AY53" s="164" t="e">
        <f>IF(#REF!*$N53&gt;$M53,$M53,#REF!*$N53)</f>
        <v>#REF!</v>
      </c>
      <c r="AZ53" s="164" t="e">
        <f>IF(#REF!*$N53&gt;$M53,$M53,#REF!*$N53)</f>
        <v>#REF!</v>
      </c>
      <c r="BA53" s="164" t="e">
        <f>IF(#REF!*$N53&gt;$M53,$M53,#REF!*$N53)</f>
        <v>#REF!</v>
      </c>
      <c r="BB53" s="164"/>
      <c r="BC53" s="164"/>
      <c r="BD53" s="164"/>
      <c r="BE53" s="164"/>
      <c r="BF53" s="164"/>
      <c r="BG53" s="164"/>
      <c r="BH53" s="164"/>
      <c r="BI53" s="164"/>
      <c r="BJ53" s="164"/>
      <c r="BK53" s="164"/>
      <c r="BL53" s="164" t="e">
        <f>IF(#REF!*$N53&gt;$M53,$M53,#REF!*$N53)</f>
        <v>#REF!</v>
      </c>
      <c r="BM53" s="164"/>
      <c r="BN53" s="164"/>
      <c r="BO53" s="164"/>
      <c r="BP53" s="164"/>
      <c r="BQ53" s="164"/>
      <c r="BR53" s="164"/>
      <c r="BS53" s="164"/>
      <c r="BT53" s="164"/>
      <c r="BU53" s="164"/>
      <c r="BV53" s="164"/>
      <c r="BW53" s="164"/>
      <c r="BX53" s="164" t="e">
        <f>IF(#REF!*$N53&gt;$M53,$M53,#REF!*$N53)</f>
        <v>#REF!</v>
      </c>
      <c r="BY53" s="164" t="e">
        <f>IF(#REF!*$N53&gt;$M53,$M53,#REF!*$N53)</f>
        <v>#REF!</v>
      </c>
      <c r="BZ53" s="169" t="e">
        <f>IF(#REF!*$N53&gt;$M53,$M53,#REF!*$N53)</f>
        <v>#REF!</v>
      </c>
      <c r="CA53" s="125"/>
    </row>
    <row r="54" spans="1:79" s="8" customFormat="1" ht="30" hidden="1" customHeight="1" x14ac:dyDescent="0.25">
      <c r="A54" s="131"/>
      <c r="B54" s="60"/>
      <c r="C54" s="119"/>
      <c r="D54" s="60"/>
      <c r="E54" s="60"/>
      <c r="F54" s="60"/>
      <c r="G54" s="60"/>
      <c r="H54" s="60"/>
      <c r="I54" s="60"/>
      <c r="J54" s="60"/>
      <c r="K54" s="60"/>
      <c r="L54" s="120"/>
      <c r="M54" s="147" t="s">
        <v>88</v>
      </c>
      <c r="N54" s="121"/>
      <c r="O54" s="180" t="e">
        <f>#REF!-(O52+O53)</f>
        <v>#REF!</v>
      </c>
      <c r="P54" s="170" t="e">
        <f>#REF!-(P52+P53)</f>
        <v>#REF!</v>
      </c>
      <c r="Q54" s="170" t="e">
        <f>#REF!-(Q52+Q53)</f>
        <v>#REF!</v>
      </c>
      <c r="R54" s="170" t="e">
        <f>#REF!-(R52+R53)</f>
        <v>#REF!</v>
      </c>
      <c r="S54" s="170" t="e">
        <f>#REF!-(S52+S53)</f>
        <v>#REF!</v>
      </c>
      <c r="T54" s="170" t="e">
        <f>#REF!-(T52+T53)</f>
        <v>#REF!</v>
      </c>
      <c r="U54" s="170" t="e">
        <f>#REF!-(U52+U53)</f>
        <v>#REF!</v>
      </c>
      <c r="V54" s="170" t="e">
        <f>#REF!-(V52+V53)</f>
        <v>#REF!</v>
      </c>
      <c r="W54" s="170" t="e">
        <f>#REF!-(W52+W53)</f>
        <v>#REF!</v>
      </c>
      <c r="X54" s="187" t="e">
        <f>#REF!-(X52+X53)</f>
        <v>#REF!</v>
      </c>
      <c r="Y54" s="187" t="e">
        <f>#REF!-(Y52+Y53)</f>
        <v>#REF!</v>
      </c>
      <c r="Z54" s="187" t="e">
        <f>#REF!-(Z52+Z53)</f>
        <v>#REF!</v>
      </c>
      <c r="AA54" s="187" t="e">
        <f>#REF!-(AA52+AA53)</f>
        <v>#REF!</v>
      </c>
      <c r="AB54" s="187" t="e">
        <f>#REF!-(AB52+AB53)</f>
        <v>#REF!</v>
      </c>
      <c r="AC54" s="187" t="e">
        <f>#REF!-(AC52+AC53)</f>
        <v>#REF!</v>
      </c>
      <c r="AD54" s="187" t="e">
        <f>#REF!-(AD52+AD53)</f>
        <v>#REF!</v>
      </c>
      <c r="AE54" s="187" t="e">
        <f>#REF!-(AE52+AE53)</f>
        <v>#REF!</v>
      </c>
      <c r="AF54" s="187" t="e">
        <f>#REF!-(AF52+AF53)</f>
        <v>#REF!</v>
      </c>
      <c r="AG54" s="187" t="e">
        <f>#REF!-(AG52+AG53)</f>
        <v>#REF!</v>
      </c>
      <c r="AH54" s="187" t="e">
        <f>#REF!-(AH52+AH53)</f>
        <v>#REF!</v>
      </c>
      <c r="AI54" s="187" t="e">
        <f>#REF!-(AI52+AI53)</f>
        <v>#REF!</v>
      </c>
      <c r="AJ54" s="187" t="e">
        <f>#REF!-(AJ52+AJ53)</f>
        <v>#REF!</v>
      </c>
      <c r="AK54" s="187" t="e">
        <f>#REF!-(AK52+AK53)</f>
        <v>#REF!</v>
      </c>
      <c r="AL54" s="187" t="e">
        <f>#REF!-(AL52+AL53)</f>
        <v>#REF!</v>
      </c>
      <c r="AM54" s="187" t="e">
        <f>#REF!-(AM52+AM53)</f>
        <v>#REF!</v>
      </c>
      <c r="AN54" s="187" t="e">
        <f>#REF!-(AN52+AN53)</f>
        <v>#REF!</v>
      </c>
      <c r="AO54" s="187" t="e">
        <f>#REF!-(AO52+AO53)</f>
        <v>#REF!</v>
      </c>
      <c r="AP54" s="187" t="e">
        <f>#REF!-(AP52+AP53)</f>
        <v>#REF!</v>
      </c>
      <c r="AQ54" s="187" t="e">
        <f>#REF!-(AQ52+AQ53)</f>
        <v>#REF!</v>
      </c>
      <c r="AR54" s="187" t="e">
        <f>#REF!-(AR52+AR53)</f>
        <v>#REF!</v>
      </c>
      <c r="AS54" s="187" t="e">
        <f>#REF!-(AS52+AS53)</f>
        <v>#REF!</v>
      </c>
      <c r="AT54" s="187" t="e">
        <f>#REF!-(AT52+AT53)</f>
        <v>#REF!</v>
      </c>
      <c r="AU54" s="187" t="e">
        <f>#REF!-(AU52+AU53)</f>
        <v>#REF!</v>
      </c>
      <c r="AV54" s="187" t="e">
        <f>#REF!-(AV52+AV53)</f>
        <v>#REF!</v>
      </c>
      <c r="AW54" s="187" t="e">
        <f>#REF!-(AW52+AW53)</f>
        <v>#REF!</v>
      </c>
      <c r="AX54" s="187" t="e">
        <f>#REF!-(AX52+AX53)</f>
        <v>#REF!</v>
      </c>
      <c r="AY54" s="187" t="e">
        <f>#REF!-(AY52+AY53)</f>
        <v>#REF!</v>
      </c>
      <c r="AZ54" s="187" t="e">
        <f>#REF!-(AZ52+AZ53)</f>
        <v>#REF!</v>
      </c>
      <c r="BA54" s="187" t="e">
        <f>#REF!-(BA52+BA53)</f>
        <v>#REF!</v>
      </c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 t="e">
        <f>#REF!-(BL52+BL53)</f>
        <v>#REF!</v>
      </c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 t="e">
        <f>#REF!-(BX52+BX53)</f>
        <v>#REF!</v>
      </c>
      <c r="BY54" s="187" t="e">
        <f>#REF!-(BY52+BY53)</f>
        <v>#REF!</v>
      </c>
      <c r="BZ54" s="188" t="e">
        <f>#REF!-(BZ52+BZ53)</f>
        <v>#REF!</v>
      </c>
      <c r="CA54" s="126"/>
    </row>
    <row r="55" spans="1:79" s="8" customFormat="1" ht="24" hidden="1" customHeight="1" x14ac:dyDescent="0.25">
      <c r="A55" s="100"/>
      <c r="B55" s="101"/>
      <c r="C55" s="102"/>
      <c r="D55" s="101"/>
      <c r="E55" s="101"/>
      <c r="F55" s="101"/>
      <c r="G55" s="101"/>
      <c r="H55" s="101"/>
      <c r="I55" s="101"/>
      <c r="J55" s="101"/>
      <c r="K55" s="101"/>
      <c r="L55" s="122"/>
      <c r="M55" s="123" t="s">
        <v>90</v>
      </c>
      <c r="N55" s="153" t="e">
        <f>#REF!</f>
        <v>#REF!</v>
      </c>
      <c r="O55" s="181" t="e">
        <f>O54/$N55</f>
        <v>#REF!</v>
      </c>
      <c r="P55" s="171" t="e">
        <f>P54/$N55</f>
        <v>#REF!</v>
      </c>
      <c r="Q55" s="171" t="e">
        <f t="shared" ref="Q55:BZ55" si="12">Q54/$N55</f>
        <v>#REF!</v>
      </c>
      <c r="R55" s="171" t="e">
        <f t="shared" si="12"/>
        <v>#REF!</v>
      </c>
      <c r="S55" s="171" t="e">
        <f t="shared" si="12"/>
        <v>#REF!</v>
      </c>
      <c r="T55" s="171" t="e">
        <f t="shared" si="12"/>
        <v>#REF!</v>
      </c>
      <c r="U55" s="171" t="e">
        <f t="shared" si="12"/>
        <v>#REF!</v>
      </c>
      <c r="V55" s="171" t="e">
        <f t="shared" si="12"/>
        <v>#REF!</v>
      </c>
      <c r="W55" s="171" t="e">
        <f t="shared" si="12"/>
        <v>#REF!</v>
      </c>
      <c r="X55" s="189" t="e">
        <f t="shared" si="12"/>
        <v>#REF!</v>
      </c>
      <c r="Y55" s="189" t="e">
        <f t="shared" si="12"/>
        <v>#REF!</v>
      </c>
      <c r="Z55" s="189" t="e">
        <f t="shared" si="12"/>
        <v>#REF!</v>
      </c>
      <c r="AA55" s="189" t="e">
        <f t="shared" si="12"/>
        <v>#REF!</v>
      </c>
      <c r="AB55" s="189" t="e">
        <f t="shared" si="12"/>
        <v>#REF!</v>
      </c>
      <c r="AC55" s="189" t="e">
        <f t="shared" si="12"/>
        <v>#REF!</v>
      </c>
      <c r="AD55" s="189" t="e">
        <f t="shared" si="12"/>
        <v>#REF!</v>
      </c>
      <c r="AE55" s="189" t="e">
        <f t="shared" si="12"/>
        <v>#REF!</v>
      </c>
      <c r="AF55" s="189" t="e">
        <f t="shared" si="12"/>
        <v>#REF!</v>
      </c>
      <c r="AG55" s="189" t="e">
        <f t="shared" si="12"/>
        <v>#REF!</v>
      </c>
      <c r="AH55" s="189" t="e">
        <f t="shared" si="12"/>
        <v>#REF!</v>
      </c>
      <c r="AI55" s="189" t="e">
        <f t="shared" si="12"/>
        <v>#REF!</v>
      </c>
      <c r="AJ55" s="189" t="e">
        <f t="shared" si="12"/>
        <v>#REF!</v>
      </c>
      <c r="AK55" s="189" t="e">
        <f t="shared" si="12"/>
        <v>#REF!</v>
      </c>
      <c r="AL55" s="189" t="e">
        <f t="shared" si="12"/>
        <v>#REF!</v>
      </c>
      <c r="AM55" s="189" t="e">
        <f t="shared" si="12"/>
        <v>#REF!</v>
      </c>
      <c r="AN55" s="189" t="e">
        <f t="shared" si="12"/>
        <v>#REF!</v>
      </c>
      <c r="AO55" s="189" t="e">
        <f t="shared" si="12"/>
        <v>#REF!</v>
      </c>
      <c r="AP55" s="189" t="e">
        <f t="shared" si="12"/>
        <v>#REF!</v>
      </c>
      <c r="AQ55" s="189" t="e">
        <f t="shared" si="12"/>
        <v>#REF!</v>
      </c>
      <c r="AR55" s="189" t="e">
        <f t="shared" si="12"/>
        <v>#REF!</v>
      </c>
      <c r="AS55" s="189" t="e">
        <f t="shared" si="12"/>
        <v>#REF!</v>
      </c>
      <c r="AT55" s="189" t="e">
        <f t="shared" si="12"/>
        <v>#REF!</v>
      </c>
      <c r="AU55" s="189" t="e">
        <f t="shared" si="12"/>
        <v>#REF!</v>
      </c>
      <c r="AV55" s="189" t="e">
        <f t="shared" si="12"/>
        <v>#REF!</v>
      </c>
      <c r="AW55" s="189" t="e">
        <f t="shared" si="12"/>
        <v>#REF!</v>
      </c>
      <c r="AX55" s="189" t="e">
        <f t="shared" si="12"/>
        <v>#REF!</v>
      </c>
      <c r="AY55" s="189" t="e">
        <f t="shared" si="12"/>
        <v>#REF!</v>
      </c>
      <c r="AZ55" s="189" t="e">
        <f t="shared" si="12"/>
        <v>#REF!</v>
      </c>
      <c r="BA55" s="189" t="e">
        <f t="shared" si="12"/>
        <v>#REF!</v>
      </c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 t="e">
        <f t="shared" si="12"/>
        <v>#REF!</v>
      </c>
      <c r="BM55" s="189"/>
      <c r="BN55" s="189"/>
      <c r="BO55" s="189"/>
      <c r="BP55" s="189"/>
      <c r="BQ55" s="189"/>
      <c r="BR55" s="189"/>
      <c r="BS55" s="189"/>
      <c r="BT55" s="189"/>
      <c r="BU55" s="189"/>
      <c r="BV55" s="189"/>
      <c r="BW55" s="189"/>
      <c r="BX55" s="189" t="e">
        <f t="shared" si="12"/>
        <v>#REF!</v>
      </c>
      <c r="BY55" s="189" t="e">
        <f t="shared" si="12"/>
        <v>#REF!</v>
      </c>
      <c r="BZ55" s="190" t="e">
        <f t="shared" si="12"/>
        <v>#REF!</v>
      </c>
      <c r="CA55" s="127"/>
    </row>
    <row r="56" spans="1:79" s="8" customFormat="1" ht="24" hidden="1" customHeight="1" x14ac:dyDescent="0.25">
      <c r="A56" s="110"/>
      <c r="B56" s="111"/>
      <c r="C56" s="114"/>
      <c r="D56" s="111"/>
      <c r="E56" s="111"/>
      <c r="F56" s="111"/>
      <c r="G56" s="111"/>
      <c r="H56" s="111"/>
      <c r="I56" s="111"/>
      <c r="J56" s="111"/>
      <c r="K56" s="111"/>
      <c r="L56" s="144"/>
      <c r="M56" s="112"/>
      <c r="N56" s="145"/>
      <c r="O56" s="18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2"/>
      <c r="AB56" s="172"/>
      <c r="AC56" s="172"/>
      <c r="AD56" s="172"/>
      <c r="AE56" s="172"/>
      <c r="AF56" s="172"/>
      <c r="AG56" s="172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2"/>
      <c r="BL56" s="172"/>
      <c r="BM56" s="172"/>
      <c r="BN56" s="172"/>
      <c r="BO56" s="172"/>
      <c r="BP56" s="172"/>
      <c r="BQ56" s="172"/>
      <c r="BR56" s="172"/>
      <c r="BS56" s="172"/>
      <c r="BT56" s="172"/>
      <c r="BU56" s="172"/>
      <c r="BV56" s="172"/>
      <c r="BW56" s="172"/>
      <c r="BX56" s="172"/>
      <c r="BY56" s="172"/>
      <c r="BZ56" s="173"/>
      <c r="CA56" s="125"/>
    </row>
    <row r="57" spans="1:79" s="8" customFormat="1" ht="24" hidden="1" customHeight="1" x14ac:dyDescent="0.25">
      <c r="A57" s="132"/>
      <c r="B57" s="18"/>
      <c r="C57" s="143" t="s">
        <v>86</v>
      </c>
      <c r="D57" s="18"/>
      <c r="E57" s="18"/>
      <c r="F57" s="18"/>
      <c r="G57" s="18"/>
      <c r="H57" s="18"/>
      <c r="I57" s="18"/>
      <c r="J57" s="18"/>
      <c r="K57" s="18"/>
      <c r="L57" s="137"/>
      <c r="M57" s="138" t="s">
        <v>85</v>
      </c>
      <c r="N57" s="152">
        <v>1.7</v>
      </c>
      <c r="O57" s="176" t="e">
        <f t="shared" ref="O57:BZ57" si="13">$N57*O54</f>
        <v>#REF!</v>
      </c>
      <c r="P57" s="174" t="e">
        <f t="shared" si="13"/>
        <v>#REF!</v>
      </c>
      <c r="Q57" s="174" t="e">
        <f t="shared" si="13"/>
        <v>#REF!</v>
      </c>
      <c r="R57" s="174" t="e">
        <f t="shared" si="13"/>
        <v>#REF!</v>
      </c>
      <c r="S57" s="174" t="e">
        <f t="shared" si="13"/>
        <v>#REF!</v>
      </c>
      <c r="T57" s="174" t="e">
        <f t="shared" si="13"/>
        <v>#REF!</v>
      </c>
      <c r="U57" s="174" t="e">
        <f t="shared" si="13"/>
        <v>#REF!</v>
      </c>
      <c r="V57" s="174" t="e">
        <f t="shared" si="13"/>
        <v>#REF!</v>
      </c>
      <c r="W57" s="174" t="e">
        <f t="shared" si="13"/>
        <v>#REF!</v>
      </c>
      <c r="X57" s="174" t="e">
        <f t="shared" si="13"/>
        <v>#REF!</v>
      </c>
      <c r="Y57" s="174" t="e">
        <f t="shared" si="13"/>
        <v>#REF!</v>
      </c>
      <c r="Z57" s="174" t="e">
        <f t="shared" si="13"/>
        <v>#REF!</v>
      </c>
      <c r="AA57" s="174" t="e">
        <f t="shared" si="13"/>
        <v>#REF!</v>
      </c>
      <c r="AB57" s="174" t="e">
        <f t="shared" si="13"/>
        <v>#REF!</v>
      </c>
      <c r="AC57" s="174" t="e">
        <f t="shared" si="13"/>
        <v>#REF!</v>
      </c>
      <c r="AD57" s="174" t="e">
        <f t="shared" si="13"/>
        <v>#REF!</v>
      </c>
      <c r="AE57" s="174" t="e">
        <f t="shared" si="13"/>
        <v>#REF!</v>
      </c>
      <c r="AF57" s="174" t="e">
        <f t="shared" si="13"/>
        <v>#REF!</v>
      </c>
      <c r="AG57" s="174" t="e">
        <f t="shared" si="13"/>
        <v>#REF!</v>
      </c>
      <c r="AH57" s="174" t="e">
        <f t="shared" si="13"/>
        <v>#REF!</v>
      </c>
      <c r="AI57" s="174" t="e">
        <f t="shared" si="13"/>
        <v>#REF!</v>
      </c>
      <c r="AJ57" s="174" t="e">
        <f t="shared" si="13"/>
        <v>#REF!</v>
      </c>
      <c r="AK57" s="174" t="e">
        <f t="shared" si="13"/>
        <v>#REF!</v>
      </c>
      <c r="AL57" s="174" t="e">
        <f t="shared" si="13"/>
        <v>#REF!</v>
      </c>
      <c r="AM57" s="174" t="e">
        <f t="shared" si="13"/>
        <v>#REF!</v>
      </c>
      <c r="AN57" s="174" t="e">
        <f t="shared" si="13"/>
        <v>#REF!</v>
      </c>
      <c r="AO57" s="174" t="e">
        <f t="shared" si="13"/>
        <v>#REF!</v>
      </c>
      <c r="AP57" s="174" t="e">
        <f t="shared" si="13"/>
        <v>#REF!</v>
      </c>
      <c r="AQ57" s="174" t="e">
        <f t="shared" si="13"/>
        <v>#REF!</v>
      </c>
      <c r="AR57" s="174" t="e">
        <f t="shared" si="13"/>
        <v>#REF!</v>
      </c>
      <c r="AS57" s="174" t="e">
        <f t="shared" si="13"/>
        <v>#REF!</v>
      </c>
      <c r="AT57" s="174" t="e">
        <f t="shared" si="13"/>
        <v>#REF!</v>
      </c>
      <c r="AU57" s="174" t="e">
        <f t="shared" si="13"/>
        <v>#REF!</v>
      </c>
      <c r="AV57" s="174" t="e">
        <f t="shared" si="13"/>
        <v>#REF!</v>
      </c>
      <c r="AW57" s="174" t="e">
        <f t="shared" si="13"/>
        <v>#REF!</v>
      </c>
      <c r="AX57" s="174" t="e">
        <f t="shared" si="13"/>
        <v>#REF!</v>
      </c>
      <c r="AY57" s="174" t="e">
        <f t="shared" si="13"/>
        <v>#REF!</v>
      </c>
      <c r="AZ57" s="174" t="e">
        <f t="shared" si="13"/>
        <v>#REF!</v>
      </c>
      <c r="BA57" s="174" t="e">
        <f t="shared" si="13"/>
        <v>#REF!</v>
      </c>
      <c r="BB57" s="174"/>
      <c r="BC57" s="174"/>
      <c r="BD57" s="174"/>
      <c r="BE57" s="174"/>
      <c r="BF57" s="174"/>
      <c r="BG57" s="174"/>
      <c r="BH57" s="174"/>
      <c r="BI57" s="174"/>
      <c r="BJ57" s="174"/>
      <c r="BK57" s="174"/>
      <c r="BL57" s="174" t="e">
        <f t="shared" si="13"/>
        <v>#REF!</v>
      </c>
      <c r="BM57" s="174"/>
      <c r="BN57" s="174"/>
      <c r="BO57" s="174"/>
      <c r="BP57" s="174"/>
      <c r="BQ57" s="174"/>
      <c r="BR57" s="174"/>
      <c r="BS57" s="174"/>
      <c r="BT57" s="174"/>
      <c r="BU57" s="174"/>
      <c r="BV57" s="174"/>
      <c r="BW57" s="174"/>
      <c r="BX57" s="174" t="e">
        <f t="shared" si="13"/>
        <v>#REF!</v>
      </c>
      <c r="BY57" s="174" t="e">
        <f t="shared" si="13"/>
        <v>#REF!</v>
      </c>
      <c r="BZ57" s="175" t="e">
        <f t="shared" si="13"/>
        <v>#REF!</v>
      </c>
      <c r="CA57" s="136"/>
    </row>
    <row r="58" spans="1:79" s="8" customFormat="1" ht="30" hidden="1" customHeight="1" x14ac:dyDescent="0.25">
      <c r="A58" s="191"/>
      <c r="B58" s="193"/>
      <c r="C58" s="192"/>
      <c r="D58" s="193"/>
      <c r="E58" s="193"/>
      <c r="F58" s="193"/>
      <c r="G58" s="193"/>
      <c r="H58" s="193"/>
      <c r="I58" s="193"/>
      <c r="J58" s="193"/>
      <c r="K58" s="193"/>
      <c r="L58" s="194"/>
      <c r="M58" s="107" t="s">
        <v>98</v>
      </c>
      <c r="N58" s="195" t="e">
        <f>#REF!</f>
        <v>#REF!</v>
      </c>
      <c r="O58" s="196" t="e">
        <f t="shared" ref="O58:BZ58" si="14">IF(O57/$N58&gt;0.95,"F",IF(O57/$N58&gt;0.8,"E",IF(O57/$N58&gt;0.65,"D",IF(O57/$N58&gt;0.5,"C",IF(O57/$N58&gt;0.4,"B","A")))))</f>
        <v>#REF!</v>
      </c>
      <c r="P58" s="197" t="e">
        <f t="shared" si="14"/>
        <v>#REF!</v>
      </c>
      <c r="Q58" s="197" t="e">
        <f t="shared" si="14"/>
        <v>#REF!</v>
      </c>
      <c r="R58" s="197" t="e">
        <f t="shared" si="14"/>
        <v>#REF!</v>
      </c>
      <c r="S58" s="197" t="e">
        <f t="shared" si="14"/>
        <v>#REF!</v>
      </c>
      <c r="T58" s="197" t="e">
        <f t="shared" si="14"/>
        <v>#REF!</v>
      </c>
      <c r="U58" s="197" t="e">
        <f t="shared" si="14"/>
        <v>#REF!</v>
      </c>
      <c r="V58" s="197" t="e">
        <f t="shared" si="14"/>
        <v>#REF!</v>
      </c>
      <c r="W58" s="197" t="e">
        <f t="shared" si="14"/>
        <v>#REF!</v>
      </c>
      <c r="X58" s="198" t="e">
        <f t="shared" si="14"/>
        <v>#REF!</v>
      </c>
      <c r="Y58" s="198" t="e">
        <f t="shared" si="14"/>
        <v>#REF!</v>
      </c>
      <c r="Z58" s="198" t="e">
        <f t="shared" si="14"/>
        <v>#REF!</v>
      </c>
      <c r="AA58" s="198" t="e">
        <f t="shared" si="14"/>
        <v>#REF!</v>
      </c>
      <c r="AB58" s="198" t="e">
        <f t="shared" si="14"/>
        <v>#REF!</v>
      </c>
      <c r="AC58" s="198" t="e">
        <f t="shared" si="14"/>
        <v>#REF!</v>
      </c>
      <c r="AD58" s="198" t="e">
        <f t="shared" si="14"/>
        <v>#REF!</v>
      </c>
      <c r="AE58" s="198" t="e">
        <f t="shared" si="14"/>
        <v>#REF!</v>
      </c>
      <c r="AF58" s="198" t="e">
        <f t="shared" si="14"/>
        <v>#REF!</v>
      </c>
      <c r="AG58" s="198" t="e">
        <f t="shared" si="14"/>
        <v>#REF!</v>
      </c>
      <c r="AH58" s="198" t="e">
        <f t="shared" si="14"/>
        <v>#REF!</v>
      </c>
      <c r="AI58" s="198" t="e">
        <f t="shared" si="14"/>
        <v>#REF!</v>
      </c>
      <c r="AJ58" s="198" t="e">
        <f t="shared" si="14"/>
        <v>#REF!</v>
      </c>
      <c r="AK58" s="198" t="e">
        <f t="shared" si="14"/>
        <v>#REF!</v>
      </c>
      <c r="AL58" s="198" t="e">
        <f t="shared" si="14"/>
        <v>#REF!</v>
      </c>
      <c r="AM58" s="198" t="e">
        <f t="shared" si="14"/>
        <v>#REF!</v>
      </c>
      <c r="AN58" s="198" t="e">
        <f t="shared" si="14"/>
        <v>#REF!</v>
      </c>
      <c r="AO58" s="198" t="e">
        <f t="shared" si="14"/>
        <v>#REF!</v>
      </c>
      <c r="AP58" s="198" t="e">
        <f t="shared" si="14"/>
        <v>#REF!</v>
      </c>
      <c r="AQ58" s="198" t="e">
        <f t="shared" si="14"/>
        <v>#REF!</v>
      </c>
      <c r="AR58" s="198" t="e">
        <f t="shared" si="14"/>
        <v>#REF!</v>
      </c>
      <c r="AS58" s="198" t="e">
        <f t="shared" si="14"/>
        <v>#REF!</v>
      </c>
      <c r="AT58" s="198" t="e">
        <f t="shared" si="14"/>
        <v>#REF!</v>
      </c>
      <c r="AU58" s="198" t="e">
        <f t="shared" si="14"/>
        <v>#REF!</v>
      </c>
      <c r="AV58" s="198" t="e">
        <f t="shared" si="14"/>
        <v>#REF!</v>
      </c>
      <c r="AW58" s="198" t="e">
        <f t="shared" si="14"/>
        <v>#REF!</v>
      </c>
      <c r="AX58" s="198" t="e">
        <f t="shared" si="14"/>
        <v>#REF!</v>
      </c>
      <c r="AY58" s="198" t="e">
        <f t="shared" si="14"/>
        <v>#REF!</v>
      </c>
      <c r="AZ58" s="198" t="e">
        <f t="shared" si="14"/>
        <v>#REF!</v>
      </c>
      <c r="BA58" s="198" t="e">
        <f t="shared" si="14"/>
        <v>#REF!</v>
      </c>
      <c r="BB58" s="198"/>
      <c r="BC58" s="198"/>
      <c r="BD58" s="198"/>
      <c r="BE58" s="198"/>
      <c r="BF58" s="198"/>
      <c r="BG58" s="198"/>
      <c r="BH58" s="198"/>
      <c r="BI58" s="198"/>
      <c r="BJ58" s="198"/>
      <c r="BK58" s="198"/>
      <c r="BL58" s="198" t="e">
        <f t="shared" si="14"/>
        <v>#REF!</v>
      </c>
      <c r="BM58" s="198"/>
      <c r="BN58" s="198"/>
      <c r="BO58" s="198"/>
      <c r="BP58" s="198"/>
      <c r="BQ58" s="198"/>
      <c r="BR58" s="198"/>
      <c r="BS58" s="198"/>
      <c r="BT58" s="198"/>
      <c r="BU58" s="198"/>
      <c r="BV58" s="198"/>
      <c r="BW58" s="198"/>
      <c r="BX58" s="198" t="e">
        <f t="shared" si="14"/>
        <v>#REF!</v>
      </c>
      <c r="BY58" s="198" t="e">
        <f t="shared" si="14"/>
        <v>#REF!</v>
      </c>
      <c r="BZ58" s="199" t="e">
        <f t="shared" si="14"/>
        <v>#REF!</v>
      </c>
      <c r="CA58" s="149"/>
    </row>
    <row r="59" spans="1:79" s="8" customFormat="1" ht="30" hidden="1" customHeight="1" x14ac:dyDescent="0.25">
      <c r="A59" s="108"/>
      <c r="B59" s="109"/>
      <c r="C59" s="128"/>
      <c r="D59" s="109"/>
      <c r="E59" s="109"/>
      <c r="F59" s="109"/>
      <c r="G59" s="109"/>
      <c r="H59" s="109"/>
      <c r="I59" s="109"/>
      <c r="J59" s="109"/>
      <c r="K59" s="109"/>
      <c r="L59" s="129"/>
      <c r="M59" s="130" t="s">
        <v>97</v>
      </c>
      <c r="N59" s="200"/>
      <c r="O59" s="201"/>
      <c r="P59" s="201"/>
      <c r="Q59" s="201"/>
      <c r="R59" s="201"/>
      <c r="S59" s="201"/>
      <c r="T59" s="201"/>
      <c r="U59" s="201"/>
      <c r="V59" s="201"/>
      <c r="W59" s="201"/>
      <c r="X59" s="203"/>
      <c r="Y59" s="183" t="e">
        <f>IF(Y57/$N58&lt;0.65,"",Y57/0.6-$N58)</f>
        <v>#REF!</v>
      </c>
      <c r="Z59" s="183" t="e">
        <f t="shared" ref="Z59:BY59" si="15">IF(Z57/$N58&lt;0.65,"",Z57/0.6-$N58)</f>
        <v>#REF!</v>
      </c>
      <c r="AA59" s="183" t="e">
        <f t="shared" si="15"/>
        <v>#REF!</v>
      </c>
      <c r="AB59" s="183" t="e">
        <f t="shared" si="15"/>
        <v>#REF!</v>
      </c>
      <c r="AC59" s="183" t="e">
        <f t="shared" si="15"/>
        <v>#REF!</v>
      </c>
      <c r="AD59" s="183" t="e">
        <f t="shared" si="15"/>
        <v>#REF!</v>
      </c>
      <c r="AE59" s="183" t="e">
        <f t="shared" si="15"/>
        <v>#REF!</v>
      </c>
      <c r="AF59" s="183" t="e">
        <f t="shared" si="15"/>
        <v>#REF!</v>
      </c>
      <c r="AG59" s="183" t="e">
        <f t="shared" si="15"/>
        <v>#REF!</v>
      </c>
      <c r="AH59" s="183" t="e">
        <f t="shared" si="15"/>
        <v>#REF!</v>
      </c>
      <c r="AI59" s="183" t="e">
        <f t="shared" si="15"/>
        <v>#REF!</v>
      </c>
      <c r="AJ59" s="183" t="e">
        <f t="shared" si="15"/>
        <v>#REF!</v>
      </c>
      <c r="AK59" s="183" t="e">
        <f t="shared" si="15"/>
        <v>#REF!</v>
      </c>
      <c r="AL59" s="183" t="e">
        <f t="shared" si="15"/>
        <v>#REF!</v>
      </c>
      <c r="AM59" s="183" t="e">
        <f t="shared" si="15"/>
        <v>#REF!</v>
      </c>
      <c r="AN59" s="183" t="e">
        <f t="shared" si="15"/>
        <v>#REF!</v>
      </c>
      <c r="AO59" s="183" t="e">
        <f t="shared" si="15"/>
        <v>#REF!</v>
      </c>
      <c r="AP59" s="183" t="e">
        <f t="shared" si="15"/>
        <v>#REF!</v>
      </c>
      <c r="AQ59" s="183" t="e">
        <f t="shared" si="15"/>
        <v>#REF!</v>
      </c>
      <c r="AR59" s="183" t="e">
        <f t="shared" si="15"/>
        <v>#REF!</v>
      </c>
      <c r="AS59" s="183" t="e">
        <f t="shared" si="15"/>
        <v>#REF!</v>
      </c>
      <c r="AT59" s="183" t="e">
        <f t="shared" si="15"/>
        <v>#REF!</v>
      </c>
      <c r="AU59" s="183" t="e">
        <f t="shared" si="15"/>
        <v>#REF!</v>
      </c>
      <c r="AV59" s="183" t="e">
        <f t="shared" si="15"/>
        <v>#REF!</v>
      </c>
      <c r="AW59" s="183" t="e">
        <f t="shared" si="15"/>
        <v>#REF!</v>
      </c>
      <c r="AX59" s="183" t="e">
        <f t="shared" si="15"/>
        <v>#REF!</v>
      </c>
      <c r="AY59" s="183" t="e">
        <f t="shared" si="15"/>
        <v>#REF!</v>
      </c>
      <c r="AZ59" s="183" t="e">
        <f t="shared" si="15"/>
        <v>#REF!</v>
      </c>
      <c r="BA59" s="183" t="e">
        <f t="shared" si="15"/>
        <v>#REF!</v>
      </c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 t="e">
        <f t="shared" si="15"/>
        <v>#REF!</v>
      </c>
      <c r="BM59" s="183"/>
      <c r="BN59" s="183"/>
      <c r="BO59" s="183"/>
      <c r="BP59" s="183"/>
      <c r="BQ59" s="183"/>
      <c r="BR59" s="183"/>
      <c r="BS59" s="183"/>
      <c r="BT59" s="183"/>
      <c r="BU59" s="183"/>
      <c r="BV59" s="183"/>
      <c r="BW59" s="183"/>
      <c r="BX59" s="183" t="e">
        <f t="shared" si="15"/>
        <v>#REF!</v>
      </c>
      <c r="BY59" s="183" t="e">
        <f t="shared" si="15"/>
        <v>#REF!</v>
      </c>
      <c r="BZ59" s="186"/>
      <c r="CA59" s="202"/>
    </row>
    <row r="60" spans="1:79" s="8" customFormat="1" ht="24" hidden="1" customHeight="1" x14ac:dyDescent="0.25">
      <c r="L60" s="38"/>
      <c r="M60" s="39"/>
      <c r="N60" s="39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BZ60" s="7"/>
      <c r="CA60" s="13"/>
    </row>
    <row r="61" spans="1:79" s="8" customFormat="1" ht="24" hidden="1" customHeight="1" x14ac:dyDescent="0.25">
      <c r="A61" s="159" t="s">
        <v>84</v>
      </c>
      <c r="B61" s="553"/>
      <c r="C61" s="146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140" t="s">
        <v>1000</v>
      </c>
      <c r="O61" s="472">
        <f t="shared" ref="O61:BZ61" si="16">SUMIF(O7:O49,"DEP",$N7:$N49)</f>
        <v>0</v>
      </c>
      <c r="P61" s="473">
        <f t="shared" si="16"/>
        <v>0</v>
      </c>
      <c r="Q61" s="473">
        <f t="shared" si="16"/>
        <v>0</v>
      </c>
      <c r="R61" s="473">
        <f t="shared" si="16"/>
        <v>0</v>
      </c>
      <c r="S61" s="473">
        <f t="shared" si="16"/>
        <v>0</v>
      </c>
      <c r="T61" s="473">
        <f t="shared" si="16"/>
        <v>0</v>
      </c>
      <c r="U61" s="473">
        <f t="shared" si="16"/>
        <v>0</v>
      </c>
      <c r="V61" s="473">
        <f t="shared" si="16"/>
        <v>0</v>
      </c>
      <c r="W61" s="473">
        <f t="shared" si="16"/>
        <v>0</v>
      </c>
      <c r="X61" s="473">
        <f t="shared" si="16"/>
        <v>0</v>
      </c>
      <c r="Y61" s="473">
        <f t="shared" si="16"/>
        <v>162</v>
      </c>
      <c r="Z61" s="473">
        <f t="shared" si="16"/>
        <v>0</v>
      </c>
      <c r="AA61" s="473">
        <f t="shared" si="16"/>
        <v>0</v>
      </c>
      <c r="AB61" s="473">
        <f t="shared" si="16"/>
        <v>0</v>
      </c>
      <c r="AC61" s="473">
        <f t="shared" si="16"/>
        <v>0</v>
      </c>
      <c r="AD61" s="473">
        <f t="shared" si="16"/>
        <v>0</v>
      </c>
      <c r="AE61" s="473">
        <f t="shared" si="16"/>
        <v>0</v>
      </c>
      <c r="AF61" s="473">
        <f t="shared" si="16"/>
        <v>0</v>
      </c>
      <c r="AG61" s="473">
        <f t="shared" si="16"/>
        <v>0</v>
      </c>
      <c r="AH61" s="473">
        <f t="shared" si="16"/>
        <v>0</v>
      </c>
      <c r="AI61" s="473">
        <f t="shared" si="16"/>
        <v>0</v>
      </c>
      <c r="AJ61" s="473">
        <f t="shared" si="16"/>
        <v>0</v>
      </c>
      <c r="AK61" s="473">
        <f t="shared" si="16"/>
        <v>0</v>
      </c>
      <c r="AL61" s="473">
        <f t="shared" si="16"/>
        <v>0</v>
      </c>
      <c r="AM61" s="473">
        <f t="shared" si="16"/>
        <v>0</v>
      </c>
      <c r="AN61" s="473">
        <f t="shared" si="16"/>
        <v>440</v>
      </c>
      <c r="AO61" s="473">
        <f t="shared" si="16"/>
        <v>0</v>
      </c>
      <c r="AP61" s="473">
        <f t="shared" si="16"/>
        <v>238</v>
      </c>
      <c r="AQ61" s="473">
        <f t="shared" si="16"/>
        <v>0</v>
      </c>
      <c r="AR61" s="473">
        <f t="shared" si="16"/>
        <v>0</v>
      </c>
      <c r="AS61" s="473">
        <f t="shared" si="16"/>
        <v>134</v>
      </c>
      <c r="AT61" s="473">
        <f t="shared" si="16"/>
        <v>0</v>
      </c>
      <c r="AU61" s="473">
        <f t="shared" si="16"/>
        <v>596</v>
      </c>
      <c r="AV61" s="473" t="e">
        <f t="shared" si="16"/>
        <v>#N/A</v>
      </c>
      <c r="AW61" s="473">
        <f t="shared" si="16"/>
        <v>0</v>
      </c>
      <c r="AX61" s="473">
        <f t="shared" si="16"/>
        <v>0</v>
      </c>
      <c r="AY61" s="473">
        <f t="shared" si="16"/>
        <v>0</v>
      </c>
      <c r="AZ61" s="473">
        <f t="shared" si="16"/>
        <v>0</v>
      </c>
      <c r="BA61" s="473">
        <f t="shared" si="16"/>
        <v>0</v>
      </c>
      <c r="BB61" s="473">
        <f t="shared" si="16"/>
        <v>0</v>
      </c>
      <c r="BC61" s="473">
        <f t="shared" si="16"/>
        <v>0</v>
      </c>
      <c r="BD61" s="473">
        <f t="shared" si="16"/>
        <v>302</v>
      </c>
      <c r="BE61" s="473">
        <f t="shared" si="16"/>
        <v>0</v>
      </c>
      <c r="BF61" s="473">
        <f t="shared" si="16"/>
        <v>257</v>
      </c>
      <c r="BG61" s="473">
        <f t="shared" si="16"/>
        <v>218</v>
      </c>
      <c r="BH61" s="473">
        <f t="shared" si="16"/>
        <v>0</v>
      </c>
      <c r="BI61" s="473">
        <f t="shared" si="16"/>
        <v>257</v>
      </c>
      <c r="BJ61" s="473">
        <f t="shared" si="16"/>
        <v>0</v>
      </c>
      <c r="BK61" s="473">
        <f t="shared" si="16"/>
        <v>0</v>
      </c>
      <c r="BL61" s="473">
        <f t="shared" si="16"/>
        <v>0</v>
      </c>
      <c r="BM61" s="473">
        <f t="shared" si="16"/>
        <v>0</v>
      </c>
      <c r="BN61" s="473">
        <f t="shared" si="16"/>
        <v>153</v>
      </c>
      <c r="BO61" s="473">
        <f t="shared" si="16"/>
        <v>0</v>
      </c>
      <c r="BP61" s="473">
        <f t="shared" si="16"/>
        <v>162</v>
      </c>
      <c r="BQ61" s="473">
        <f t="shared" si="16"/>
        <v>257</v>
      </c>
      <c r="BR61" s="473">
        <f t="shared" si="16"/>
        <v>0</v>
      </c>
      <c r="BS61" s="473">
        <f t="shared" si="16"/>
        <v>0</v>
      </c>
      <c r="BT61" s="473">
        <f t="shared" si="16"/>
        <v>0</v>
      </c>
      <c r="BU61" s="473">
        <f t="shared" si="16"/>
        <v>0</v>
      </c>
      <c r="BV61" s="473">
        <f t="shared" si="16"/>
        <v>0</v>
      </c>
      <c r="BW61" s="473">
        <f t="shared" si="16"/>
        <v>0</v>
      </c>
      <c r="BX61" s="473">
        <f t="shared" si="16"/>
        <v>0</v>
      </c>
      <c r="BY61" s="473">
        <f t="shared" si="16"/>
        <v>238</v>
      </c>
      <c r="BZ61" s="474">
        <f t="shared" si="16"/>
        <v>0</v>
      </c>
      <c r="CA61" s="83"/>
    </row>
    <row r="62" spans="1:79" s="8" customFormat="1" ht="24" hidden="1" customHeight="1" x14ac:dyDescent="0.25">
      <c r="A62" s="160"/>
      <c r="B62" s="554"/>
      <c r="C62" s="161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141" t="s">
        <v>1001</v>
      </c>
      <c r="O62" s="475">
        <f t="shared" ref="O62" si="17">SUM(A61:O61)</f>
        <v>0</v>
      </c>
      <c r="P62" s="476">
        <f t="shared" ref="P62:T62" si="18">SUM(C61:P61)</f>
        <v>0</v>
      </c>
      <c r="Q62" s="476">
        <f t="shared" si="18"/>
        <v>0</v>
      </c>
      <c r="R62" s="476">
        <f t="shared" si="18"/>
        <v>0</v>
      </c>
      <c r="S62" s="476">
        <f t="shared" si="18"/>
        <v>0</v>
      </c>
      <c r="T62" s="476">
        <f t="shared" si="18"/>
        <v>0</v>
      </c>
      <c r="U62" s="476">
        <f t="shared" ref="U62:X62" si="19">SUM(J61:U61)</f>
        <v>0</v>
      </c>
      <c r="V62" s="476">
        <f t="shared" si="19"/>
        <v>0</v>
      </c>
      <c r="W62" s="476">
        <f t="shared" si="19"/>
        <v>0</v>
      </c>
      <c r="X62" s="476">
        <f t="shared" si="19"/>
        <v>0</v>
      </c>
      <c r="Y62" s="476">
        <f>SUM(N61:Y61)</f>
        <v>162</v>
      </c>
      <c r="Z62" s="476">
        <f t="shared" ref="Z62:AE62" si="20">SUM(O61:Z61)</f>
        <v>162</v>
      </c>
      <c r="AA62" s="476">
        <f t="shared" si="20"/>
        <v>162</v>
      </c>
      <c r="AB62" s="476">
        <f t="shared" si="20"/>
        <v>162</v>
      </c>
      <c r="AC62" s="476">
        <f t="shared" si="20"/>
        <v>162</v>
      </c>
      <c r="AD62" s="476">
        <f t="shared" si="20"/>
        <v>162</v>
      </c>
      <c r="AE62" s="476">
        <f t="shared" si="20"/>
        <v>162</v>
      </c>
      <c r="AF62" s="476">
        <f>SUM(U61:AF61)</f>
        <v>162</v>
      </c>
      <c r="AG62" s="476">
        <f t="shared" ref="AG62:BZ62" si="21">SUM(V61:AG61)</f>
        <v>162</v>
      </c>
      <c r="AH62" s="476">
        <f t="shared" si="21"/>
        <v>162</v>
      </c>
      <c r="AI62" s="476">
        <f t="shared" si="21"/>
        <v>162</v>
      </c>
      <c r="AJ62" s="476">
        <f t="shared" si="21"/>
        <v>162</v>
      </c>
      <c r="AK62" s="476">
        <f t="shared" si="21"/>
        <v>0</v>
      </c>
      <c r="AL62" s="476">
        <f t="shared" si="21"/>
        <v>0</v>
      </c>
      <c r="AM62" s="476">
        <f t="shared" si="21"/>
        <v>0</v>
      </c>
      <c r="AN62" s="476">
        <f t="shared" si="21"/>
        <v>440</v>
      </c>
      <c r="AO62" s="476">
        <f t="shared" si="21"/>
        <v>440</v>
      </c>
      <c r="AP62" s="476">
        <f t="shared" si="21"/>
        <v>678</v>
      </c>
      <c r="AQ62" s="476">
        <f t="shared" si="21"/>
        <v>678</v>
      </c>
      <c r="AR62" s="476">
        <f t="shared" si="21"/>
        <v>678</v>
      </c>
      <c r="AS62" s="476">
        <f t="shared" si="21"/>
        <v>812</v>
      </c>
      <c r="AT62" s="476">
        <f t="shared" si="21"/>
        <v>812</v>
      </c>
      <c r="AU62" s="476">
        <f t="shared" si="21"/>
        <v>1408</v>
      </c>
      <c r="AV62" s="476" t="e">
        <f t="shared" si="21"/>
        <v>#N/A</v>
      </c>
      <c r="AW62" s="476" t="e">
        <f t="shared" si="21"/>
        <v>#N/A</v>
      </c>
      <c r="AX62" s="476" t="e">
        <f t="shared" si="21"/>
        <v>#N/A</v>
      </c>
      <c r="AY62" s="476" t="e">
        <f t="shared" si="21"/>
        <v>#N/A</v>
      </c>
      <c r="AZ62" s="476" t="e">
        <f t="shared" si="21"/>
        <v>#N/A</v>
      </c>
      <c r="BA62" s="476" t="e">
        <f t="shared" si="21"/>
        <v>#N/A</v>
      </c>
      <c r="BB62" s="476" t="e">
        <f t="shared" si="21"/>
        <v>#N/A</v>
      </c>
      <c r="BC62" s="476" t="e">
        <f t="shared" si="21"/>
        <v>#N/A</v>
      </c>
      <c r="BD62" s="476" t="e">
        <f t="shared" si="21"/>
        <v>#N/A</v>
      </c>
      <c r="BE62" s="476" t="e">
        <f t="shared" si="21"/>
        <v>#N/A</v>
      </c>
      <c r="BF62" s="476" t="e">
        <f t="shared" si="21"/>
        <v>#N/A</v>
      </c>
      <c r="BG62" s="476" t="e">
        <f t="shared" si="21"/>
        <v>#N/A</v>
      </c>
      <c r="BH62" s="476">
        <f t="shared" si="21"/>
        <v>777</v>
      </c>
      <c r="BI62" s="476">
        <f t="shared" si="21"/>
        <v>1034</v>
      </c>
      <c r="BJ62" s="476">
        <f t="shared" si="21"/>
        <v>1034</v>
      </c>
      <c r="BK62" s="476">
        <f t="shared" si="21"/>
        <v>1034</v>
      </c>
      <c r="BL62" s="476">
        <f t="shared" si="21"/>
        <v>1034</v>
      </c>
      <c r="BM62" s="476">
        <f t="shared" si="21"/>
        <v>1034</v>
      </c>
      <c r="BN62" s="476">
        <f t="shared" si="21"/>
        <v>1187</v>
      </c>
      <c r="BO62" s="476">
        <f t="shared" si="21"/>
        <v>1187</v>
      </c>
      <c r="BP62" s="476">
        <f t="shared" si="21"/>
        <v>1047</v>
      </c>
      <c r="BQ62" s="476">
        <f t="shared" si="21"/>
        <v>1304</v>
      </c>
      <c r="BR62" s="476">
        <f t="shared" si="21"/>
        <v>1047</v>
      </c>
      <c r="BS62" s="476">
        <f t="shared" si="21"/>
        <v>829</v>
      </c>
      <c r="BT62" s="476">
        <f t="shared" si="21"/>
        <v>829</v>
      </c>
      <c r="BU62" s="476">
        <f t="shared" si="21"/>
        <v>572</v>
      </c>
      <c r="BV62" s="476">
        <f t="shared" si="21"/>
        <v>572</v>
      </c>
      <c r="BW62" s="476">
        <f t="shared" si="21"/>
        <v>572</v>
      </c>
      <c r="BX62" s="476">
        <f t="shared" si="21"/>
        <v>572</v>
      </c>
      <c r="BY62" s="476">
        <f t="shared" si="21"/>
        <v>810</v>
      </c>
      <c r="BZ62" s="477">
        <f t="shared" si="21"/>
        <v>657</v>
      </c>
      <c r="CA62" s="85"/>
    </row>
    <row r="63" spans="1:79" s="8" customFormat="1" ht="24" hidden="1" customHeight="1" x14ac:dyDescent="0.25">
      <c r="A63" s="160"/>
      <c r="B63" s="555"/>
      <c r="D63" s="105"/>
      <c r="E63" s="105"/>
      <c r="F63" s="105"/>
      <c r="G63" s="488" t="s">
        <v>1003</v>
      </c>
      <c r="H63" s="488"/>
      <c r="I63" s="488"/>
      <c r="J63" s="487" t="e">
        <f>MAX(O50:BZ50)/MAX(O62:BZ62)</f>
        <v>#N/A</v>
      </c>
      <c r="K63" s="105"/>
      <c r="L63" s="105"/>
      <c r="M63" s="105"/>
      <c r="N63" s="142"/>
      <c r="O63" s="482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3"/>
      <c r="AN63" s="478" t="s">
        <v>949</v>
      </c>
      <c r="AO63" s="484"/>
      <c r="AP63" s="484"/>
      <c r="AQ63" s="638" t="s">
        <v>1028</v>
      </c>
      <c r="AR63" s="484"/>
      <c r="AS63" s="484"/>
      <c r="AT63" s="484"/>
      <c r="AU63" s="484"/>
      <c r="AV63" s="484"/>
      <c r="AW63" s="484"/>
      <c r="AX63" s="484"/>
      <c r="AY63" s="479" t="s">
        <v>950</v>
      </c>
      <c r="AZ63" s="483"/>
      <c r="BA63" s="483"/>
      <c r="BB63" s="483"/>
      <c r="BC63" s="483"/>
      <c r="BD63" s="483"/>
      <c r="BE63" s="483"/>
      <c r="BF63" s="483"/>
      <c r="BS63" s="483"/>
      <c r="BT63" s="483"/>
      <c r="BU63" s="483"/>
      <c r="BV63" s="483"/>
      <c r="BW63" s="483"/>
      <c r="BX63" s="483"/>
      <c r="BY63" s="483"/>
      <c r="BZ63" s="485"/>
      <c r="CA63" s="486"/>
    </row>
    <row r="64" spans="1:79" s="8" customFormat="1" ht="24" hidden="1" customHeight="1" x14ac:dyDescent="0.25">
      <c r="A64" s="160"/>
      <c r="B64" s="554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141" t="s">
        <v>1002</v>
      </c>
      <c r="O64" s="476">
        <f t="shared" ref="O64:BZ64" si="22">SUMIF(O7:O49,"DEP",$M7:$M49)</f>
        <v>0</v>
      </c>
      <c r="P64" s="476">
        <f t="shared" si="22"/>
        <v>0</v>
      </c>
      <c r="Q64" s="476">
        <f t="shared" si="22"/>
        <v>0</v>
      </c>
      <c r="R64" s="476">
        <f t="shared" si="22"/>
        <v>0</v>
      </c>
      <c r="S64" s="476">
        <f t="shared" si="22"/>
        <v>0</v>
      </c>
      <c r="T64" s="476">
        <f t="shared" si="22"/>
        <v>0</v>
      </c>
      <c r="U64" s="476">
        <f t="shared" si="22"/>
        <v>0</v>
      </c>
      <c r="V64" s="476">
        <f t="shared" si="22"/>
        <v>0</v>
      </c>
      <c r="W64" s="476">
        <f t="shared" si="22"/>
        <v>0</v>
      </c>
      <c r="X64" s="476">
        <f t="shared" si="22"/>
        <v>0</v>
      </c>
      <c r="Y64" s="476">
        <f t="shared" si="22"/>
        <v>180</v>
      </c>
      <c r="Z64" s="476">
        <f t="shared" si="22"/>
        <v>0</v>
      </c>
      <c r="AA64" s="476">
        <f t="shared" si="22"/>
        <v>0</v>
      </c>
      <c r="AB64" s="476">
        <f t="shared" si="22"/>
        <v>0</v>
      </c>
      <c r="AC64" s="476">
        <f t="shared" si="22"/>
        <v>0</v>
      </c>
      <c r="AD64" s="476">
        <f t="shared" si="22"/>
        <v>0</v>
      </c>
      <c r="AE64" s="476">
        <f t="shared" si="22"/>
        <v>0</v>
      </c>
      <c r="AF64" s="476">
        <f t="shared" si="22"/>
        <v>0</v>
      </c>
      <c r="AG64" s="476">
        <f t="shared" si="22"/>
        <v>0</v>
      </c>
      <c r="AH64" s="476">
        <f t="shared" si="22"/>
        <v>0</v>
      </c>
      <c r="AI64" s="476">
        <f t="shared" si="22"/>
        <v>0</v>
      </c>
      <c r="AJ64" s="476">
        <f t="shared" si="22"/>
        <v>0</v>
      </c>
      <c r="AK64" s="476">
        <f t="shared" si="22"/>
        <v>0</v>
      </c>
      <c r="AL64" s="476">
        <f t="shared" si="22"/>
        <v>0</v>
      </c>
      <c r="AM64" s="476">
        <f t="shared" si="22"/>
        <v>0</v>
      </c>
      <c r="AN64" s="476">
        <f t="shared" si="22"/>
        <v>489</v>
      </c>
      <c r="AO64" s="476">
        <f t="shared" si="22"/>
        <v>0</v>
      </c>
      <c r="AP64" s="476">
        <f t="shared" si="22"/>
        <v>264</v>
      </c>
      <c r="AQ64" s="476">
        <f t="shared" si="22"/>
        <v>0</v>
      </c>
      <c r="AR64" s="476">
        <f t="shared" si="22"/>
        <v>0</v>
      </c>
      <c r="AS64" s="476">
        <f t="shared" si="22"/>
        <v>149</v>
      </c>
      <c r="AT64" s="476">
        <f t="shared" si="22"/>
        <v>0</v>
      </c>
      <c r="AU64" s="476">
        <f t="shared" si="22"/>
        <v>662</v>
      </c>
      <c r="AV64" s="476" t="e">
        <f t="shared" si="22"/>
        <v>#N/A</v>
      </c>
      <c r="AW64" s="476">
        <f t="shared" si="22"/>
        <v>0</v>
      </c>
      <c r="AX64" s="476">
        <f t="shared" si="22"/>
        <v>0</v>
      </c>
      <c r="AY64" s="476">
        <f t="shared" si="22"/>
        <v>0</v>
      </c>
      <c r="AZ64" s="476">
        <f t="shared" si="22"/>
        <v>0</v>
      </c>
      <c r="BA64" s="476">
        <f t="shared" si="22"/>
        <v>0</v>
      </c>
      <c r="BB64" s="476">
        <f t="shared" si="22"/>
        <v>0</v>
      </c>
      <c r="BC64" s="476">
        <f t="shared" si="22"/>
        <v>0</v>
      </c>
      <c r="BD64" s="476">
        <f t="shared" si="22"/>
        <v>335</v>
      </c>
      <c r="BE64" s="476">
        <f t="shared" si="22"/>
        <v>0</v>
      </c>
      <c r="BF64" s="476">
        <f t="shared" si="22"/>
        <v>285</v>
      </c>
      <c r="BG64" s="476">
        <f t="shared" si="22"/>
        <v>242</v>
      </c>
      <c r="BH64" s="476">
        <f t="shared" si="22"/>
        <v>0</v>
      </c>
      <c r="BI64" s="476">
        <f t="shared" si="22"/>
        <v>285</v>
      </c>
      <c r="BJ64" s="476">
        <f t="shared" si="22"/>
        <v>0</v>
      </c>
      <c r="BK64" s="476">
        <f t="shared" si="22"/>
        <v>0</v>
      </c>
      <c r="BL64" s="476">
        <f t="shared" si="22"/>
        <v>0</v>
      </c>
      <c r="BM64" s="476">
        <f t="shared" si="22"/>
        <v>0</v>
      </c>
      <c r="BN64" s="476">
        <f t="shared" si="22"/>
        <v>170</v>
      </c>
      <c r="BO64" s="476">
        <f t="shared" si="22"/>
        <v>0</v>
      </c>
      <c r="BP64" s="476">
        <f t="shared" si="22"/>
        <v>180</v>
      </c>
      <c r="BQ64" s="476">
        <f t="shared" si="22"/>
        <v>285</v>
      </c>
      <c r="BR64" s="476">
        <f t="shared" si="22"/>
        <v>0</v>
      </c>
      <c r="BS64" s="476">
        <f t="shared" si="22"/>
        <v>0</v>
      </c>
      <c r="BT64" s="476">
        <f t="shared" si="22"/>
        <v>0</v>
      </c>
      <c r="BU64" s="476">
        <f t="shared" si="22"/>
        <v>0</v>
      </c>
      <c r="BV64" s="476">
        <f t="shared" si="22"/>
        <v>0</v>
      </c>
      <c r="BW64" s="476">
        <f t="shared" si="22"/>
        <v>0</v>
      </c>
      <c r="BX64" s="476">
        <f t="shared" si="22"/>
        <v>0</v>
      </c>
      <c r="BY64" s="476">
        <f t="shared" si="22"/>
        <v>264</v>
      </c>
      <c r="BZ64" s="477">
        <f t="shared" si="22"/>
        <v>0</v>
      </c>
      <c r="CA64" s="85"/>
    </row>
    <row r="65" spans="1:79" s="8" customFormat="1" ht="24" hidden="1" customHeight="1" thickBot="1" x14ac:dyDescent="0.3">
      <c r="A65" s="162"/>
      <c r="B65" s="556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463" t="s">
        <v>63</v>
      </c>
      <c r="O65" s="480">
        <f t="shared" ref="O65" si="23">SUM(A64:O64)</f>
        <v>0</v>
      </c>
      <c r="P65" s="480">
        <f t="shared" ref="P65:T65" si="24">SUM(C64:P64)</f>
        <v>0</v>
      </c>
      <c r="Q65" s="480">
        <f t="shared" si="24"/>
        <v>0</v>
      </c>
      <c r="R65" s="480">
        <f t="shared" si="24"/>
        <v>0</v>
      </c>
      <c r="S65" s="480">
        <f t="shared" si="24"/>
        <v>0</v>
      </c>
      <c r="T65" s="480">
        <f t="shared" si="24"/>
        <v>0</v>
      </c>
      <c r="U65" s="480">
        <f t="shared" ref="U65:BZ65" si="25">SUM(J64:U64)</f>
        <v>0</v>
      </c>
      <c r="V65" s="480">
        <f t="shared" si="25"/>
        <v>0</v>
      </c>
      <c r="W65" s="480">
        <f t="shared" si="25"/>
        <v>0</v>
      </c>
      <c r="X65" s="480">
        <f t="shared" si="25"/>
        <v>0</v>
      </c>
      <c r="Y65" s="480">
        <f t="shared" si="25"/>
        <v>180</v>
      </c>
      <c r="Z65" s="480">
        <f t="shared" si="25"/>
        <v>180</v>
      </c>
      <c r="AA65" s="480">
        <f t="shared" si="25"/>
        <v>180</v>
      </c>
      <c r="AB65" s="480">
        <f t="shared" si="25"/>
        <v>180</v>
      </c>
      <c r="AC65" s="480">
        <f t="shared" si="25"/>
        <v>180</v>
      </c>
      <c r="AD65" s="480">
        <f t="shared" si="25"/>
        <v>180</v>
      </c>
      <c r="AE65" s="480">
        <f t="shared" si="25"/>
        <v>180</v>
      </c>
      <c r="AF65" s="480">
        <f t="shared" si="25"/>
        <v>180</v>
      </c>
      <c r="AG65" s="480">
        <f t="shared" si="25"/>
        <v>180</v>
      </c>
      <c r="AH65" s="480">
        <f t="shared" si="25"/>
        <v>180</v>
      </c>
      <c r="AI65" s="480">
        <f t="shared" si="25"/>
        <v>180</v>
      </c>
      <c r="AJ65" s="480">
        <f t="shared" si="25"/>
        <v>180</v>
      </c>
      <c r="AK65" s="480">
        <f t="shared" si="25"/>
        <v>0</v>
      </c>
      <c r="AL65" s="480">
        <f t="shared" si="25"/>
        <v>0</v>
      </c>
      <c r="AM65" s="480">
        <f t="shared" si="25"/>
        <v>0</v>
      </c>
      <c r="AN65" s="480">
        <f t="shared" si="25"/>
        <v>489</v>
      </c>
      <c r="AO65" s="480">
        <f t="shared" si="25"/>
        <v>489</v>
      </c>
      <c r="AP65" s="480">
        <f t="shared" si="25"/>
        <v>753</v>
      </c>
      <c r="AQ65" s="480">
        <f t="shared" si="25"/>
        <v>753</v>
      </c>
      <c r="AR65" s="480">
        <f t="shared" si="25"/>
        <v>753</v>
      </c>
      <c r="AS65" s="480">
        <f t="shared" si="25"/>
        <v>902</v>
      </c>
      <c r="AT65" s="480">
        <f t="shared" si="25"/>
        <v>902</v>
      </c>
      <c r="AU65" s="480">
        <f t="shared" si="25"/>
        <v>1564</v>
      </c>
      <c r="AV65" s="480" t="e">
        <f t="shared" si="25"/>
        <v>#N/A</v>
      </c>
      <c r="AW65" s="480" t="e">
        <f t="shared" si="25"/>
        <v>#N/A</v>
      </c>
      <c r="AX65" s="480" t="e">
        <f t="shared" si="25"/>
        <v>#N/A</v>
      </c>
      <c r="AY65" s="480" t="e">
        <f t="shared" si="25"/>
        <v>#N/A</v>
      </c>
      <c r="AZ65" s="480" t="e">
        <f t="shared" si="25"/>
        <v>#N/A</v>
      </c>
      <c r="BA65" s="480" t="e">
        <f t="shared" si="25"/>
        <v>#N/A</v>
      </c>
      <c r="BB65" s="480" t="e">
        <f t="shared" si="25"/>
        <v>#N/A</v>
      </c>
      <c r="BC65" s="480" t="e">
        <f t="shared" si="25"/>
        <v>#N/A</v>
      </c>
      <c r="BD65" s="480" t="e">
        <f t="shared" si="25"/>
        <v>#N/A</v>
      </c>
      <c r="BE65" s="480" t="e">
        <f t="shared" si="25"/>
        <v>#N/A</v>
      </c>
      <c r="BF65" s="480" t="e">
        <f t="shared" si="25"/>
        <v>#N/A</v>
      </c>
      <c r="BG65" s="480" t="e">
        <f t="shared" si="25"/>
        <v>#N/A</v>
      </c>
      <c r="BH65" s="480">
        <f t="shared" si="25"/>
        <v>862</v>
      </c>
      <c r="BI65" s="480">
        <f t="shared" si="25"/>
        <v>1147</v>
      </c>
      <c r="BJ65" s="480">
        <f t="shared" si="25"/>
        <v>1147</v>
      </c>
      <c r="BK65" s="480">
        <f t="shared" si="25"/>
        <v>1147</v>
      </c>
      <c r="BL65" s="480">
        <f t="shared" si="25"/>
        <v>1147</v>
      </c>
      <c r="BM65" s="480">
        <f t="shared" si="25"/>
        <v>1147</v>
      </c>
      <c r="BN65" s="480">
        <f t="shared" si="25"/>
        <v>1317</v>
      </c>
      <c r="BO65" s="480">
        <f t="shared" si="25"/>
        <v>1317</v>
      </c>
      <c r="BP65" s="480">
        <f t="shared" si="25"/>
        <v>1162</v>
      </c>
      <c r="BQ65" s="480">
        <f t="shared" si="25"/>
        <v>1447</v>
      </c>
      <c r="BR65" s="480">
        <f t="shared" si="25"/>
        <v>1162</v>
      </c>
      <c r="BS65" s="480">
        <f t="shared" si="25"/>
        <v>920</v>
      </c>
      <c r="BT65" s="480">
        <f t="shared" si="25"/>
        <v>920</v>
      </c>
      <c r="BU65" s="480">
        <f t="shared" si="25"/>
        <v>635</v>
      </c>
      <c r="BV65" s="480">
        <f t="shared" si="25"/>
        <v>635</v>
      </c>
      <c r="BW65" s="480">
        <f t="shared" si="25"/>
        <v>635</v>
      </c>
      <c r="BX65" s="480">
        <f t="shared" si="25"/>
        <v>635</v>
      </c>
      <c r="BY65" s="480">
        <f t="shared" si="25"/>
        <v>899</v>
      </c>
      <c r="BZ65" s="481">
        <f t="shared" si="25"/>
        <v>729</v>
      </c>
      <c r="CA65" s="87"/>
    </row>
    <row r="66" spans="1:79" s="8" customFormat="1" ht="15" customHeight="1" x14ac:dyDescent="0.25">
      <c r="A66"/>
      <c r="B66"/>
      <c r="C66" s="794"/>
      <c r="D66" s="794"/>
      <c r="E66" s="794"/>
      <c r="F66"/>
      <c r="G66"/>
      <c r="H66"/>
      <c r="I66"/>
      <c r="J66"/>
      <c r="K66"/>
      <c r="L66"/>
      <c r="M66"/>
      <c r="N66"/>
      <c r="O66"/>
      <c r="P66"/>
      <c r="S66"/>
      <c r="T66"/>
      <c r="U66"/>
      <c r="V66"/>
      <c r="W66"/>
      <c r="X66"/>
      <c r="Y66" s="28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s="8" customFormat="1" ht="24" customHeight="1" x14ac:dyDescent="0.25">
      <c r="A67"/>
      <c r="B67"/>
      <c r="C67" s="793"/>
      <c r="D67" s="793"/>
      <c r="E67" s="793"/>
      <c r="F67" s="84"/>
      <c r="G67" s="84"/>
      <c r="H67"/>
      <c r="I67"/>
      <c r="J67"/>
      <c r="K67"/>
      <c r="L67"/>
      <c r="M67"/>
      <c r="N67"/>
      <c r="O67"/>
      <c r="P67"/>
      <c r="Q67" s="148" t="s">
        <v>27</v>
      </c>
      <c r="R67" s="28" t="s">
        <v>1064</v>
      </c>
      <c r="S67"/>
      <c r="T67"/>
      <c r="U67"/>
      <c r="V67"/>
      <c r="W67"/>
      <c r="X67"/>
      <c r="Y67" s="736" t="s">
        <v>27</v>
      </c>
      <c r="Z67" s="28" t="s">
        <v>1065</v>
      </c>
      <c r="AB67"/>
      <c r="AC67"/>
      <c r="AD67"/>
      <c r="AG67" s="148" t="s">
        <v>1044</v>
      </c>
      <c r="AH67" s="28" t="s">
        <v>1066</v>
      </c>
      <c r="AI67"/>
      <c r="AJ67"/>
      <c r="AK67"/>
      <c r="AL67"/>
      <c r="AM67"/>
      <c r="AN67" s="736" t="s">
        <v>1044</v>
      </c>
      <c r="AO67" s="28" t="s">
        <v>1067</v>
      </c>
      <c r="AP67"/>
      <c r="AQ67"/>
      <c r="AR67"/>
      <c r="AS67"/>
      <c r="AT67"/>
      <c r="AU67"/>
      <c r="AV67" s="185">
        <v>334</v>
      </c>
      <c r="AW67" s="26" t="s">
        <v>89</v>
      </c>
      <c r="AX67"/>
      <c r="AY67"/>
      <c r="AZ67"/>
      <c r="BA67" s="489">
        <v>339</v>
      </c>
      <c r="BB67" s="26" t="s">
        <v>96</v>
      </c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s="8" customFormat="1" ht="15" customHeight="1" thickBot="1" x14ac:dyDescent="0.3">
      <c r="A68"/>
      <c r="B68"/>
      <c r="C68" s="793"/>
      <c r="D68" s="793"/>
      <c r="E68" s="793"/>
      <c r="F68"/>
      <c r="G68"/>
      <c r="H68"/>
      <c r="I68"/>
      <c r="J68"/>
      <c r="K68"/>
      <c r="L68"/>
      <c r="M68"/>
      <c r="N68"/>
      <c r="O68"/>
      <c r="P68"/>
      <c r="S68"/>
      <c r="T68"/>
      <c r="U68"/>
      <c r="V68"/>
      <c r="W68"/>
      <c r="X68"/>
      <c r="Y68" s="2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s="8" customFormat="1" ht="24" customHeight="1" thickBot="1" x14ac:dyDescent="0.3">
      <c r="A69" s="999" t="s">
        <v>1060</v>
      </c>
      <c r="B69" s="1000"/>
      <c r="C69" s="1000"/>
      <c r="D69" s="644"/>
      <c r="E69" s="644"/>
      <c r="F69" s="644"/>
      <c r="G69" s="644"/>
      <c r="H69" s="644"/>
      <c r="I69" s="644"/>
      <c r="J69" s="644"/>
      <c r="K69" s="644"/>
      <c r="L69" s="644"/>
      <c r="M69" s="644"/>
      <c r="N69" s="649"/>
      <c r="O69" s="651"/>
      <c r="P69" s="652"/>
      <c r="Q69" s="653"/>
      <c r="R69" s="652"/>
      <c r="S69" s="652"/>
      <c r="T69" s="652"/>
      <c r="U69" s="652"/>
      <c r="V69" s="652"/>
      <c r="W69" s="652"/>
      <c r="X69" s="652"/>
      <c r="Y69" s="652"/>
      <c r="Z69" s="652"/>
      <c r="AA69" s="652"/>
      <c r="AB69" s="652"/>
      <c r="AC69" s="652"/>
      <c r="AD69" s="652"/>
      <c r="AE69" s="652"/>
      <c r="AF69" s="652"/>
      <c r="AG69" s="652"/>
      <c r="AH69" s="652"/>
      <c r="AI69" s="652"/>
      <c r="AJ69" s="652"/>
      <c r="AK69" s="652"/>
      <c r="AL69" s="652"/>
      <c r="AM69" s="652"/>
      <c r="AN69" s="652"/>
      <c r="AO69" s="652"/>
      <c r="AP69" s="652"/>
      <c r="AQ69" s="652"/>
      <c r="AR69" s="652"/>
      <c r="AS69" s="652"/>
      <c r="AT69" s="652"/>
      <c r="AU69" s="652"/>
      <c r="AV69" s="652"/>
      <c r="AW69" s="652"/>
      <c r="AX69" s="652"/>
      <c r="AY69" s="652"/>
      <c r="AZ69" s="652"/>
      <c r="BA69" s="652"/>
      <c r="BB69" s="652"/>
      <c r="BC69" s="652"/>
      <c r="BD69" s="652"/>
      <c r="BE69" s="652"/>
      <c r="BF69" s="652"/>
      <c r="BG69" s="652"/>
      <c r="BH69" s="652"/>
      <c r="BI69" s="652"/>
      <c r="BJ69" s="652"/>
      <c r="BK69" s="652"/>
      <c r="BL69" s="652"/>
      <c r="BM69" s="652"/>
      <c r="BN69" s="652"/>
      <c r="BO69" s="652"/>
      <c r="BP69" s="652"/>
      <c r="BQ69" s="652"/>
      <c r="BR69" s="652"/>
      <c r="BS69" s="652"/>
      <c r="BT69" s="652"/>
      <c r="BU69" s="652"/>
      <c r="BV69" s="652"/>
      <c r="BW69" s="652"/>
      <c r="BX69" s="652"/>
      <c r="BY69" s="652"/>
      <c r="BZ69" s="654"/>
      <c r="CA69" s="647"/>
    </row>
    <row r="70" spans="1:79" s="8" customFormat="1" ht="24" customHeight="1" x14ac:dyDescent="0.25">
      <c r="A70" s="645"/>
      <c r="B70" s="84"/>
      <c r="C70" s="84"/>
      <c r="D70" s="84"/>
      <c r="E70" s="84"/>
      <c r="F70" s="84"/>
      <c r="G70" s="84"/>
      <c r="H70" s="84"/>
      <c r="I70" s="995" t="s">
        <v>1089</v>
      </c>
      <c r="J70" s="811"/>
      <c r="K70" s="811"/>
      <c r="L70" s="811"/>
      <c r="M70" s="812">
        <v>154</v>
      </c>
      <c r="N70" s="813"/>
      <c r="O70" s="814"/>
      <c r="P70" s="815"/>
      <c r="Q70" s="815"/>
      <c r="R70" s="815"/>
      <c r="S70" s="815"/>
      <c r="T70" s="815"/>
      <c r="U70" s="815"/>
      <c r="V70" s="815"/>
      <c r="W70" s="815"/>
      <c r="X70" s="815"/>
      <c r="Y70" s="815"/>
      <c r="Z70" s="815"/>
      <c r="AA70" s="815"/>
      <c r="AB70" s="815"/>
      <c r="AC70" s="815"/>
      <c r="AD70" s="815"/>
      <c r="AE70" s="815"/>
      <c r="AF70" s="815"/>
      <c r="AG70" s="815"/>
      <c r="AH70" s="852" t="s">
        <v>1044</v>
      </c>
      <c r="AI70" s="862"/>
      <c r="AJ70" s="817"/>
      <c r="AK70" s="817"/>
      <c r="AL70" s="817"/>
      <c r="AM70" s="817"/>
      <c r="AN70" s="817"/>
      <c r="AO70" s="817"/>
      <c r="AP70" s="817"/>
      <c r="AQ70" s="817"/>
      <c r="AR70" s="817"/>
      <c r="AS70" s="817"/>
      <c r="AT70" s="818" t="s">
        <v>1045</v>
      </c>
      <c r="AU70" s="816" t="s">
        <v>27</v>
      </c>
      <c r="AV70" s="815"/>
      <c r="AW70" s="815"/>
      <c r="AX70" s="815"/>
      <c r="AY70" s="815"/>
      <c r="AZ70" s="815"/>
      <c r="BA70" s="815"/>
      <c r="BB70" s="815"/>
      <c r="BC70" s="815"/>
      <c r="BD70" s="815"/>
      <c r="BE70" s="815"/>
      <c r="BF70" s="815"/>
      <c r="BG70" s="815"/>
      <c r="BH70" s="815"/>
      <c r="BI70" s="815"/>
      <c r="BJ70" s="815"/>
      <c r="BK70" s="815"/>
      <c r="BL70" s="815"/>
      <c r="BM70" s="815"/>
      <c r="BN70" s="815"/>
      <c r="BO70" s="815"/>
      <c r="BP70" s="815"/>
      <c r="BQ70" s="815"/>
      <c r="BR70" s="815"/>
      <c r="BS70" s="815"/>
      <c r="BT70" s="815"/>
      <c r="BU70" s="815"/>
      <c r="BV70" s="815"/>
      <c r="BW70" s="815"/>
      <c r="BX70" s="815"/>
      <c r="BY70" s="815"/>
      <c r="BZ70" s="819"/>
      <c r="CA70" s="85"/>
    </row>
    <row r="71" spans="1:79" s="8" customFormat="1" ht="24" customHeight="1" x14ac:dyDescent="0.3">
      <c r="A71" s="645"/>
      <c r="B71" s="84"/>
      <c r="C71" s="84"/>
      <c r="D71" s="84"/>
      <c r="E71" s="84"/>
      <c r="F71" s="84"/>
      <c r="G71" s="84"/>
      <c r="H71" s="84"/>
      <c r="I71" s="996"/>
      <c r="J71" s="84"/>
      <c r="K71" s="84"/>
      <c r="L71" s="84"/>
      <c r="M71" s="807"/>
      <c r="N71" s="804" t="s">
        <v>1031</v>
      </c>
      <c r="O71" s="657"/>
      <c r="P71" s="658"/>
      <c r="Q71" s="658"/>
      <c r="R71" s="658"/>
      <c r="S71" s="658"/>
      <c r="T71" s="658"/>
      <c r="U71" s="658"/>
      <c r="V71" s="658"/>
      <c r="W71" s="658"/>
      <c r="X71" s="658"/>
      <c r="Y71" s="658"/>
      <c r="Z71" s="658"/>
      <c r="AA71" s="658"/>
      <c r="AB71" s="658"/>
      <c r="AC71" s="658"/>
      <c r="AD71" s="669"/>
      <c r="AE71" s="669"/>
      <c r="AF71" s="669"/>
      <c r="AG71" s="669"/>
      <c r="AH71" s="853"/>
      <c r="AI71" s="863"/>
      <c r="AJ71" s="669"/>
      <c r="AK71" s="669"/>
      <c r="AL71" s="669"/>
      <c r="AM71" s="669"/>
      <c r="AN71" s="669"/>
      <c r="AO71" s="669"/>
      <c r="AP71" s="669"/>
      <c r="AQ71" s="669"/>
      <c r="AR71" s="669"/>
      <c r="AS71" s="669"/>
      <c r="AT71" s="658"/>
      <c r="AU71" s="658"/>
      <c r="AV71" s="658"/>
      <c r="AW71" s="658"/>
      <c r="AX71" s="658"/>
      <c r="AY71" s="669"/>
      <c r="AZ71" s="669"/>
      <c r="BA71" s="669"/>
      <c r="BB71" s="669"/>
      <c r="BC71" s="669"/>
      <c r="BD71" s="669"/>
      <c r="BE71" s="669"/>
      <c r="BF71" s="669"/>
      <c r="BG71" s="669"/>
      <c r="BH71" s="669"/>
      <c r="BI71" s="669"/>
      <c r="BJ71" s="669"/>
      <c r="BK71" s="669"/>
      <c r="BL71" s="669"/>
      <c r="BM71" s="669"/>
      <c r="BN71" s="669"/>
      <c r="BO71" s="774"/>
      <c r="BP71" s="774"/>
      <c r="BQ71" s="658"/>
      <c r="BR71" s="658"/>
      <c r="BS71" s="658"/>
      <c r="BT71" s="658"/>
      <c r="BU71" s="658"/>
      <c r="BV71" s="658"/>
      <c r="BW71" s="658"/>
      <c r="BX71" s="658"/>
      <c r="BY71" s="658"/>
      <c r="BZ71" s="820"/>
      <c r="CA71" s="85"/>
    </row>
    <row r="72" spans="1:79" s="8" customFormat="1" ht="24" customHeight="1" x14ac:dyDescent="0.3">
      <c r="A72" s="645"/>
      <c r="B72" s="84"/>
      <c r="C72" s="84"/>
      <c r="D72" s="84"/>
      <c r="E72" s="84"/>
      <c r="F72" s="84"/>
      <c r="G72" s="84"/>
      <c r="H72" s="84"/>
      <c r="I72" s="996"/>
      <c r="J72" s="84"/>
      <c r="K72" s="84"/>
      <c r="L72" s="84"/>
      <c r="M72" s="807">
        <v>155</v>
      </c>
      <c r="N72" s="804"/>
      <c r="O72" s="657"/>
      <c r="P72" s="658"/>
      <c r="Q72" s="658"/>
      <c r="R72" s="658"/>
      <c r="S72" s="658"/>
      <c r="T72" s="658"/>
      <c r="U72" s="658"/>
      <c r="V72" s="658"/>
      <c r="W72" s="658"/>
      <c r="X72" s="658"/>
      <c r="Y72" s="658"/>
      <c r="Z72" s="658"/>
      <c r="AA72" s="658"/>
      <c r="AB72" s="658"/>
      <c r="AC72" s="658"/>
      <c r="AD72" s="672" t="s">
        <v>1044</v>
      </c>
      <c r="AE72" s="664"/>
      <c r="AF72" s="664"/>
      <c r="AG72" s="664"/>
      <c r="AH72" s="854"/>
      <c r="AI72" s="864"/>
      <c r="AJ72" s="664"/>
      <c r="AK72" s="664"/>
      <c r="AL72" s="664"/>
      <c r="AM72" s="664"/>
      <c r="AN72" s="664"/>
      <c r="AO72" s="664"/>
      <c r="AP72" s="664"/>
      <c r="AQ72" s="664"/>
      <c r="AR72" s="665" t="s">
        <v>1083</v>
      </c>
      <c r="AS72" s="672" t="s">
        <v>27</v>
      </c>
      <c r="AT72" s="658"/>
      <c r="AU72" s="658"/>
      <c r="AV72" s="658"/>
      <c r="AW72" s="658"/>
      <c r="AX72" s="658"/>
      <c r="AY72" s="672" t="s">
        <v>1044</v>
      </c>
      <c r="AZ72" s="664"/>
      <c r="BA72" s="664"/>
      <c r="BB72" s="664"/>
      <c r="BC72" s="664"/>
      <c r="BD72" s="664"/>
      <c r="BE72" s="664"/>
      <c r="BF72" s="664"/>
      <c r="BG72" s="664"/>
      <c r="BH72" s="664"/>
      <c r="BI72" s="664"/>
      <c r="BJ72" s="664"/>
      <c r="BK72" s="664"/>
      <c r="BL72" s="664"/>
      <c r="BM72" s="665" t="s">
        <v>1051</v>
      </c>
      <c r="BN72" s="672" t="s">
        <v>27</v>
      </c>
      <c r="BO72" s="782"/>
      <c r="BP72" s="782"/>
      <c r="BQ72" s="658"/>
      <c r="BR72" s="658"/>
      <c r="BS72" s="658"/>
      <c r="BT72" s="658"/>
      <c r="BU72" s="658"/>
      <c r="BV72" s="658"/>
      <c r="BW72" s="658"/>
      <c r="BX72" s="658"/>
      <c r="BY72" s="658"/>
      <c r="BZ72" s="820"/>
      <c r="CA72" s="85"/>
    </row>
    <row r="73" spans="1:79" s="8" customFormat="1" ht="24" customHeight="1" x14ac:dyDescent="0.3">
      <c r="A73" s="645"/>
      <c r="B73" s="84"/>
      <c r="C73" s="84"/>
      <c r="D73" s="84"/>
      <c r="E73" s="84"/>
      <c r="F73" s="84"/>
      <c r="G73" s="84"/>
      <c r="H73" s="84"/>
      <c r="I73" s="996"/>
      <c r="J73" s="84"/>
      <c r="K73" s="84"/>
      <c r="L73" s="84"/>
      <c r="M73" s="807"/>
      <c r="N73" s="804" t="s">
        <v>1032</v>
      </c>
      <c r="O73" s="668"/>
      <c r="P73" s="669"/>
      <c r="Q73" s="669"/>
      <c r="R73" s="669"/>
      <c r="S73" s="669"/>
      <c r="T73" s="669"/>
      <c r="U73" s="669"/>
      <c r="V73" s="669"/>
      <c r="W73" s="669"/>
      <c r="X73" s="784" t="s">
        <v>1042</v>
      </c>
      <c r="Y73" s="163" t="s">
        <v>27</v>
      </c>
      <c r="Z73" s="658"/>
      <c r="AA73" s="658"/>
      <c r="AB73" s="658"/>
      <c r="AC73" s="658"/>
      <c r="AD73" s="669"/>
      <c r="AE73" s="669"/>
      <c r="AF73" s="669"/>
      <c r="AG73" s="669"/>
      <c r="AH73" s="853"/>
      <c r="AI73" s="863"/>
      <c r="AJ73" s="669"/>
      <c r="AK73" s="669"/>
      <c r="AL73" s="669"/>
      <c r="AM73" s="669"/>
      <c r="AN73" s="669"/>
      <c r="AO73" s="669"/>
      <c r="AP73" s="669"/>
      <c r="AQ73" s="669"/>
      <c r="AR73" s="669"/>
      <c r="AS73" s="669"/>
      <c r="AT73" s="658"/>
      <c r="AU73" s="658"/>
      <c r="AV73" s="658"/>
      <c r="AW73" s="658"/>
      <c r="AX73" s="658"/>
      <c r="AY73" s="667"/>
      <c r="AZ73" s="667"/>
      <c r="BA73" s="667"/>
      <c r="BB73" s="667"/>
      <c r="BC73" s="667"/>
      <c r="BD73" s="667"/>
      <c r="BE73" s="667"/>
      <c r="BF73" s="667"/>
      <c r="BG73" s="667"/>
      <c r="BH73" s="667"/>
      <c r="BI73" s="667"/>
      <c r="BJ73" s="667"/>
      <c r="BK73" s="669"/>
      <c r="BL73" s="669"/>
      <c r="BM73" s="669"/>
      <c r="BN73" s="669"/>
      <c r="BO73" s="782"/>
      <c r="BP73" s="782"/>
      <c r="BQ73" s="658"/>
      <c r="BR73" s="658"/>
      <c r="BS73" s="658"/>
      <c r="BT73" s="658"/>
      <c r="BU73" s="658"/>
      <c r="BV73" s="658"/>
      <c r="BW73" s="658"/>
      <c r="BX73" s="658"/>
      <c r="BY73" s="658"/>
      <c r="BZ73" s="820"/>
      <c r="CA73" s="85"/>
    </row>
    <row r="74" spans="1:79" s="8" customFormat="1" ht="24" customHeight="1" x14ac:dyDescent="0.3">
      <c r="A74" s="645"/>
      <c r="B74" s="84"/>
      <c r="C74" s="84"/>
      <c r="D74" s="84"/>
      <c r="E74" s="84"/>
      <c r="F74" s="84"/>
      <c r="G74" s="84"/>
      <c r="H74" s="84"/>
      <c r="I74" s="996"/>
      <c r="J74" s="641"/>
      <c r="K74" s="641"/>
      <c r="L74" s="641"/>
      <c r="M74" s="808">
        <v>156</v>
      </c>
      <c r="N74" s="803"/>
      <c r="O74" s="655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56"/>
      <c r="AB74" s="656"/>
      <c r="AC74" s="656"/>
      <c r="AD74" s="656"/>
      <c r="AE74" s="656"/>
      <c r="AF74" s="656"/>
      <c r="AG74" s="656"/>
      <c r="AH74" s="855"/>
      <c r="AI74" s="865"/>
      <c r="AJ74" s="656"/>
      <c r="AK74" s="656"/>
      <c r="AL74" s="656"/>
      <c r="AM74" s="656"/>
      <c r="AN74" s="656"/>
      <c r="AO74" s="656"/>
      <c r="AP74" s="675" t="s">
        <v>1044</v>
      </c>
      <c r="AQ74" s="670"/>
      <c r="AR74" s="670"/>
      <c r="AS74" s="670"/>
      <c r="AT74" s="670"/>
      <c r="AU74" s="670"/>
      <c r="AV74" s="670"/>
      <c r="AW74" s="670"/>
      <c r="AX74" s="670"/>
      <c r="AY74" s="670"/>
      <c r="AZ74" s="670"/>
      <c r="BA74" s="670"/>
      <c r="BB74" s="670"/>
      <c r="BC74" s="674" t="s">
        <v>1049</v>
      </c>
      <c r="BD74" s="675" t="s">
        <v>27</v>
      </c>
      <c r="BE74" s="656"/>
      <c r="BF74" s="656"/>
      <c r="BG74" s="656"/>
      <c r="BH74" s="656"/>
      <c r="BI74" s="656"/>
      <c r="BJ74" s="656"/>
      <c r="BK74" s="656"/>
      <c r="BL74" s="656"/>
      <c r="BM74" s="656"/>
      <c r="BN74" s="656"/>
      <c r="BO74" s="656"/>
      <c r="BP74" s="656"/>
      <c r="BQ74" s="656"/>
      <c r="BR74" s="656"/>
      <c r="BS74" s="656"/>
      <c r="BT74" s="656"/>
      <c r="BU74" s="656"/>
      <c r="BV74" s="656"/>
      <c r="BW74" s="656"/>
      <c r="BX74" s="656"/>
      <c r="BY74" s="656"/>
      <c r="BZ74" s="821"/>
      <c r="CA74" s="85"/>
    </row>
    <row r="75" spans="1:79" s="8" customFormat="1" ht="24" customHeight="1" x14ac:dyDescent="0.3">
      <c r="A75" s="645"/>
      <c r="B75" s="84"/>
      <c r="C75" s="84"/>
      <c r="D75" s="84"/>
      <c r="E75" s="84"/>
      <c r="F75" s="84"/>
      <c r="G75" s="84"/>
      <c r="H75" s="84"/>
      <c r="I75" s="996"/>
      <c r="J75" s="84"/>
      <c r="K75" s="84"/>
      <c r="L75" s="84"/>
      <c r="M75" s="807"/>
      <c r="N75" s="804" t="s">
        <v>1033</v>
      </c>
      <c r="O75" s="668"/>
      <c r="P75" s="669"/>
      <c r="Q75" s="669"/>
      <c r="R75" s="669"/>
      <c r="S75" s="669"/>
      <c r="T75" s="669"/>
      <c r="U75" s="669"/>
      <c r="V75" s="669"/>
      <c r="W75" s="669"/>
      <c r="X75" s="669"/>
      <c r="Y75" s="669"/>
      <c r="Z75" s="669"/>
      <c r="AA75" s="669"/>
      <c r="AB75" s="669"/>
      <c r="AC75" s="669"/>
      <c r="AD75" s="669"/>
      <c r="AE75" s="669"/>
      <c r="AF75" s="669"/>
      <c r="AG75" s="669"/>
      <c r="AH75" s="853"/>
      <c r="AI75" s="863"/>
      <c r="AJ75" s="669"/>
      <c r="AK75" s="669"/>
      <c r="AL75" s="669"/>
      <c r="AM75" s="669"/>
      <c r="AN75" s="669"/>
      <c r="AO75" s="658"/>
      <c r="AP75" s="658"/>
      <c r="AQ75" s="676"/>
      <c r="AR75" s="669"/>
      <c r="AS75" s="669"/>
      <c r="AT75" s="669"/>
      <c r="AU75" s="669"/>
      <c r="AV75" s="669"/>
      <c r="AW75" s="669"/>
      <c r="AX75" s="669"/>
      <c r="AY75" s="669"/>
      <c r="AZ75" s="669"/>
      <c r="BA75" s="669"/>
      <c r="BB75" s="669"/>
      <c r="BC75" s="669"/>
      <c r="BD75" s="669"/>
      <c r="BE75" s="669"/>
      <c r="BF75" s="669"/>
      <c r="BG75" s="669"/>
      <c r="BH75" s="658"/>
      <c r="BI75" s="658"/>
      <c r="BJ75" s="658"/>
      <c r="BK75" s="658"/>
      <c r="BL75" s="658"/>
      <c r="BM75" s="658"/>
      <c r="BN75" s="658"/>
      <c r="BO75" s="658"/>
      <c r="BP75" s="658"/>
      <c r="BQ75" s="658"/>
      <c r="BR75" s="658"/>
      <c r="BS75" s="658"/>
      <c r="BT75" s="658"/>
      <c r="BU75" s="658"/>
      <c r="BV75" s="658"/>
      <c r="BW75" s="658"/>
      <c r="BX75" s="658"/>
      <c r="BY75" s="658"/>
      <c r="BZ75" s="820"/>
      <c r="CA75" s="85"/>
    </row>
    <row r="76" spans="1:79" s="8" customFormat="1" ht="24" customHeight="1" x14ac:dyDescent="0.3">
      <c r="A76" s="645"/>
      <c r="B76" s="84"/>
      <c r="C76" s="84"/>
      <c r="D76" s="84"/>
      <c r="E76" s="84"/>
      <c r="F76" s="84"/>
      <c r="G76" s="84"/>
      <c r="H76" s="84"/>
      <c r="I76" s="996"/>
      <c r="J76" s="84"/>
      <c r="K76" s="84"/>
      <c r="L76" s="84"/>
      <c r="M76" s="807">
        <v>157</v>
      </c>
      <c r="N76" s="804"/>
      <c r="O76" s="785" t="s">
        <v>1047</v>
      </c>
      <c r="P76" s="776"/>
      <c r="Q76" s="776"/>
      <c r="R76" s="776"/>
      <c r="S76" s="776"/>
      <c r="T76" s="776"/>
      <c r="U76" s="776"/>
      <c r="V76" s="776"/>
      <c r="W76" s="776"/>
      <c r="X76" s="776"/>
      <c r="Y76" s="776"/>
      <c r="Z76" s="776"/>
      <c r="AA76" s="776"/>
      <c r="AB76" s="776"/>
      <c r="AC76" s="776"/>
      <c r="AD76" s="776"/>
      <c r="AE76" s="776"/>
      <c r="AF76" s="776"/>
      <c r="AG76" s="776"/>
      <c r="AH76" s="856"/>
      <c r="AI76" s="866"/>
      <c r="AJ76" s="776"/>
      <c r="AK76" s="776"/>
      <c r="AL76" s="786"/>
      <c r="AM76" s="786" t="s">
        <v>1041</v>
      </c>
      <c r="AN76" s="671" t="s">
        <v>27</v>
      </c>
      <c r="AO76" s="658"/>
      <c r="AP76" s="658"/>
      <c r="AQ76" s="671" t="s">
        <v>1044</v>
      </c>
      <c r="AR76" s="664"/>
      <c r="AS76" s="664"/>
      <c r="AT76" s="664"/>
      <c r="AU76" s="664"/>
      <c r="AV76" s="664"/>
      <c r="AW76" s="664"/>
      <c r="AX76" s="664"/>
      <c r="AY76" s="664"/>
      <c r="AZ76" s="664"/>
      <c r="BA76" s="664"/>
      <c r="BB76" s="664"/>
      <c r="BC76" s="664"/>
      <c r="BD76" s="664"/>
      <c r="BE76" s="664"/>
      <c r="BF76" s="665" t="s">
        <v>1050</v>
      </c>
      <c r="BG76" s="671" t="s">
        <v>27</v>
      </c>
      <c r="BH76" s="658"/>
      <c r="BI76" s="658"/>
      <c r="BJ76" s="658"/>
      <c r="BK76" s="658"/>
      <c r="BL76" s="658"/>
      <c r="BM76" s="658"/>
      <c r="BN76" s="658"/>
      <c r="BO76" s="658"/>
      <c r="BP76" s="658"/>
      <c r="BQ76" s="658"/>
      <c r="BR76" s="658"/>
      <c r="BS76" s="658"/>
      <c r="BT76" s="658"/>
      <c r="BU76" s="658"/>
      <c r="BV76" s="658"/>
      <c r="BW76" s="658"/>
      <c r="BX76" s="658"/>
      <c r="BY76" s="658"/>
      <c r="BZ76" s="820"/>
      <c r="CA76" s="85"/>
    </row>
    <row r="77" spans="1:79" s="8" customFormat="1" ht="24" customHeight="1" x14ac:dyDescent="0.3">
      <c r="A77" s="645"/>
      <c r="B77" s="84"/>
      <c r="C77" s="84"/>
      <c r="D77" s="84"/>
      <c r="E77" s="84"/>
      <c r="F77" s="84"/>
      <c r="G77" s="84"/>
      <c r="H77" s="84"/>
      <c r="I77" s="996"/>
      <c r="J77" s="642"/>
      <c r="K77" s="642"/>
      <c r="L77" s="642"/>
      <c r="M77" s="809"/>
      <c r="N77" s="805" t="s">
        <v>1034</v>
      </c>
      <c r="O77" s="666"/>
      <c r="P77" s="667"/>
      <c r="Q77" s="667"/>
      <c r="R77" s="667"/>
      <c r="S77" s="667"/>
      <c r="T77" s="667"/>
      <c r="U77" s="667"/>
      <c r="V77" s="667"/>
      <c r="W77" s="667"/>
      <c r="X77" s="667"/>
      <c r="Y77" s="667"/>
      <c r="Z77" s="667"/>
      <c r="AA77" s="667"/>
      <c r="AB77" s="667"/>
      <c r="AC77" s="667"/>
      <c r="AD77" s="667"/>
      <c r="AE77" s="667"/>
      <c r="AF77" s="667"/>
      <c r="AG77" s="667"/>
      <c r="AH77" s="857"/>
      <c r="AI77" s="867"/>
      <c r="AJ77" s="667"/>
      <c r="AK77" s="667"/>
      <c r="AL77" s="667"/>
      <c r="AM77" s="667"/>
      <c r="AN77" s="667"/>
      <c r="AO77" s="661"/>
      <c r="AP77" s="661"/>
      <c r="AQ77" s="667"/>
      <c r="AR77" s="667"/>
      <c r="AS77" s="667"/>
      <c r="AT77" s="667"/>
      <c r="AU77" s="667"/>
      <c r="AV77" s="667"/>
      <c r="AW77" s="667"/>
      <c r="AX77" s="667"/>
      <c r="AY77" s="667"/>
      <c r="AZ77" s="667"/>
      <c r="BA77" s="667"/>
      <c r="BB77" s="667"/>
      <c r="BC77" s="667"/>
      <c r="BD77" s="667"/>
      <c r="BE77" s="667"/>
      <c r="BF77" s="669"/>
      <c r="BG77" s="669"/>
      <c r="BH77" s="661"/>
      <c r="BI77" s="661"/>
      <c r="BJ77" s="661"/>
      <c r="BK77" s="661"/>
      <c r="BL77" s="661"/>
      <c r="BM77" s="661"/>
      <c r="BN77" s="661"/>
      <c r="BO77" s="661"/>
      <c r="BP77" s="661"/>
      <c r="BQ77" s="661"/>
      <c r="BR77" s="661"/>
      <c r="BS77" s="661"/>
      <c r="BT77" s="661"/>
      <c r="BU77" s="661"/>
      <c r="BV77" s="661"/>
      <c r="BW77" s="661"/>
      <c r="BX77" s="661"/>
      <c r="BY77" s="661"/>
      <c r="BZ77" s="822"/>
      <c r="CA77" s="85"/>
    </row>
    <row r="78" spans="1:79" s="8" customFormat="1" ht="24" customHeight="1" x14ac:dyDescent="0.3">
      <c r="A78" s="645"/>
      <c r="B78" s="84"/>
      <c r="C78" s="84"/>
      <c r="D78" s="84"/>
      <c r="E78" s="84"/>
      <c r="F78" s="84"/>
      <c r="G78" s="84"/>
      <c r="H78" s="84"/>
      <c r="I78" s="996"/>
      <c r="J78" s="643"/>
      <c r="K78" s="643"/>
      <c r="L78" s="643"/>
      <c r="M78" s="810"/>
      <c r="N78" s="806" t="s">
        <v>1035</v>
      </c>
      <c r="O78" s="662"/>
      <c r="P78" s="663"/>
      <c r="Q78" s="663"/>
      <c r="R78" s="663"/>
      <c r="S78" s="663"/>
      <c r="T78" s="663"/>
      <c r="U78" s="663"/>
      <c r="V78" s="663"/>
      <c r="W78" s="663"/>
      <c r="X78" s="663"/>
      <c r="Y78" s="663"/>
      <c r="Z78" s="663"/>
      <c r="AA78" s="663"/>
      <c r="AB78" s="663"/>
      <c r="AC78" s="663"/>
      <c r="AD78" s="676"/>
      <c r="AE78" s="669"/>
      <c r="AF78" s="669"/>
      <c r="AG78" s="669"/>
      <c r="AH78" s="853"/>
      <c r="AI78" s="863"/>
      <c r="AJ78" s="669"/>
      <c r="AK78" s="669"/>
      <c r="AL78" s="669"/>
      <c r="AM78" s="669"/>
      <c r="AN78" s="669"/>
      <c r="AO78" s="669"/>
      <c r="AP78" s="669"/>
      <c r="AQ78" s="669"/>
      <c r="AR78" s="669"/>
      <c r="AS78" s="669"/>
      <c r="AT78" s="669"/>
      <c r="AU78" s="669"/>
      <c r="AV78" s="669"/>
      <c r="AW78" s="663"/>
      <c r="AX78" s="663"/>
      <c r="AY78" s="663"/>
      <c r="AZ78" s="663"/>
      <c r="BA78" s="663"/>
      <c r="BB78" s="663"/>
      <c r="BC78" s="663"/>
      <c r="BD78" s="663"/>
      <c r="BE78" s="663"/>
      <c r="BF78" s="663"/>
      <c r="BG78" s="663"/>
      <c r="BH78" s="663"/>
      <c r="BI78" s="676"/>
      <c r="BJ78" s="669"/>
      <c r="BK78" s="669"/>
      <c r="BL78" s="669"/>
      <c r="BM78" s="669"/>
      <c r="BN78" s="669"/>
      <c r="BO78" s="669"/>
      <c r="BP78" s="669"/>
      <c r="BQ78" s="669"/>
      <c r="BR78" s="669"/>
      <c r="BS78" s="669"/>
      <c r="BT78" s="669"/>
      <c r="BU78" s="669"/>
      <c r="BV78" s="669"/>
      <c r="BW78" s="669"/>
      <c r="BX78" s="669"/>
      <c r="BY78" s="669"/>
      <c r="BZ78" s="823"/>
      <c r="CA78" s="85"/>
    </row>
    <row r="79" spans="1:79" s="8" customFormat="1" ht="24" customHeight="1" x14ac:dyDescent="0.3">
      <c r="A79" s="645"/>
      <c r="B79" s="84"/>
      <c r="C79" s="84"/>
      <c r="D79" s="84"/>
      <c r="E79" s="84"/>
      <c r="F79" s="84"/>
      <c r="G79" s="84"/>
      <c r="H79" s="84"/>
      <c r="I79" s="996"/>
      <c r="J79" s="84"/>
      <c r="K79" s="84"/>
      <c r="L79" s="84"/>
      <c r="M79" s="807">
        <v>158</v>
      </c>
      <c r="N79" s="804"/>
      <c r="O79" s="657"/>
      <c r="P79" s="658"/>
      <c r="Q79" s="658"/>
      <c r="R79" s="658"/>
      <c r="S79" s="658"/>
      <c r="T79" s="658"/>
      <c r="U79" s="658"/>
      <c r="V79" s="658"/>
      <c r="W79" s="658"/>
      <c r="X79" s="658"/>
      <c r="Y79" s="658"/>
      <c r="Z79" s="658"/>
      <c r="AA79" s="658"/>
      <c r="AB79" s="658"/>
      <c r="AC79" s="658"/>
      <c r="AD79" s="672" t="s">
        <v>1044</v>
      </c>
      <c r="AE79" s="664"/>
      <c r="AF79" s="664"/>
      <c r="AG79" s="664"/>
      <c r="AH79" s="854"/>
      <c r="AI79" s="864"/>
      <c r="AJ79" s="664"/>
      <c r="AK79" s="664"/>
      <c r="AL79" s="664"/>
      <c r="AM79" s="664"/>
      <c r="AN79" s="664"/>
      <c r="AO79" s="664"/>
      <c r="AP79" s="664"/>
      <c r="AQ79" s="664"/>
      <c r="AR79" s="664"/>
      <c r="AS79" s="664"/>
      <c r="AT79" s="664"/>
      <c r="AU79" s="665" t="s">
        <v>1084</v>
      </c>
      <c r="AV79" s="672" t="s">
        <v>27</v>
      </c>
      <c r="AW79" s="658"/>
      <c r="AX79" s="658"/>
      <c r="AY79" s="658"/>
      <c r="AZ79" s="658"/>
      <c r="BA79" s="658"/>
      <c r="BB79" s="658"/>
      <c r="BC79" s="658"/>
      <c r="BD79" s="658"/>
      <c r="BE79" s="658"/>
      <c r="BF79" s="658"/>
      <c r="BG79" s="658"/>
      <c r="BH79" s="658"/>
      <c r="BI79" s="671" t="s">
        <v>1044</v>
      </c>
      <c r="BJ79" s="664"/>
      <c r="BK79" s="664"/>
      <c r="BL79" s="664"/>
      <c r="BM79" s="664"/>
      <c r="BN79" s="664"/>
      <c r="BO79" s="664"/>
      <c r="BP79" s="664"/>
      <c r="BQ79" s="664"/>
      <c r="BR79" s="664"/>
      <c r="BS79" s="664"/>
      <c r="BT79" s="664"/>
      <c r="BU79" s="664"/>
      <c r="BV79" s="664"/>
      <c r="BW79" s="664"/>
      <c r="BX79" s="665" t="s">
        <v>1051</v>
      </c>
      <c r="BY79" s="671" t="s">
        <v>27</v>
      </c>
      <c r="BZ79" s="820"/>
      <c r="CA79" s="85"/>
    </row>
    <row r="80" spans="1:79" s="8" customFormat="1" ht="24" customHeight="1" x14ac:dyDescent="0.3">
      <c r="A80" s="645"/>
      <c r="B80" s="84"/>
      <c r="C80" s="84"/>
      <c r="D80" s="84"/>
      <c r="E80" s="84"/>
      <c r="F80" s="84"/>
      <c r="G80" s="84"/>
      <c r="H80" s="84"/>
      <c r="I80" s="996"/>
      <c r="J80" s="642"/>
      <c r="K80" s="642"/>
      <c r="L80" s="642"/>
      <c r="M80" s="809"/>
      <c r="N80" s="805" t="s">
        <v>1036</v>
      </c>
      <c r="O80" s="660"/>
      <c r="P80" s="661"/>
      <c r="Q80" s="661"/>
      <c r="R80" s="661"/>
      <c r="S80" s="661"/>
      <c r="T80" s="661"/>
      <c r="U80" s="661"/>
      <c r="V80" s="661"/>
      <c r="W80" s="661"/>
      <c r="X80" s="661"/>
      <c r="Y80" s="661"/>
      <c r="Z80" s="661"/>
      <c r="AA80" s="661"/>
      <c r="AB80" s="661"/>
      <c r="AC80" s="661"/>
      <c r="AD80" s="669"/>
      <c r="AE80" s="669"/>
      <c r="AF80" s="669"/>
      <c r="AG80" s="669"/>
      <c r="AH80" s="853"/>
      <c r="AI80" s="863"/>
      <c r="AJ80" s="669"/>
      <c r="AK80" s="669"/>
      <c r="AL80" s="669"/>
      <c r="AM80" s="669"/>
      <c r="AN80" s="669"/>
      <c r="AO80" s="669"/>
      <c r="AP80" s="669"/>
      <c r="AQ80" s="669"/>
      <c r="AR80" s="669"/>
      <c r="AS80" s="669"/>
      <c r="AT80" s="669"/>
      <c r="AU80" s="669"/>
      <c r="AV80" s="669"/>
      <c r="AW80" s="661"/>
      <c r="AX80" s="661"/>
      <c r="AY80" s="661"/>
      <c r="AZ80" s="661"/>
      <c r="BA80" s="661"/>
      <c r="BB80" s="661"/>
      <c r="BC80" s="661"/>
      <c r="BD80" s="661"/>
      <c r="BE80" s="661"/>
      <c r="BF80" s="661"/>
      <c r="BG80" s="661"/>
      <c r="BH80" s="661"/>
      <c r="BI80" s="667"/>
      <c r="BJ80" s="667"/>
      <c r="BK80" s="667"/>
      <c r="BL80" s="667"/>
      <c r="BM80" s="667"/>
      <c r="BN80" s="667"/>
      <c r="BO80" s="667"/>
      <c r="BP80" s="667"/>
      <c r="BQ80" s="667"/>
      <c r="BR80" s="667"/>
      <c r="BS80" s="667"/>
      <c r="BT80" s="667"/>
      <c r="BU80" s="669"/>
      <c r="BV80" s="669"/>
      <c r="BW80" s="669"/>
      <c r="BX80" s="669"/>
      <c r="BY80" s="669"/>
      <c r="BZ80" s="822"/>
      <c r="CA80" s="85"/>
    </row>
    <row r="81" spans="1:80" s="8" customFormat="1" ht="24" customHeight="1" thickBot="1" x14ac:dyDescent="0.35">
      <c r="A81" s="645"/>
      <c r="B81" s="84"/>
      <c r="C81" s="84"/>
      <c r="D81" s="84"/>
      <c r="E81" s="84"/>
      <c r="F81" s="84"/>
      <c r="G81" s="84"/>
      <c r="H81" s="84"/>
      <c r="I81" s="997"/>
      <c r="J81" s="824"/>
      <c r="K81" s="824"/>
      <c r="L81" s="824"/>
      <c r="M81" s="825">
        <v>159</v>
      </c>
      <c r="N81" s="826"/>
      <c r="O81" s="827"/>
      <c r="P81" s="828"/>
      <c r="Q81" s="828"/>
      <c r="R81" s="828"/>
      <c r="S81" s="828"/>
      <c r="T81" s="828"/>
      <c r="U81" s="828"/>
      <c r="V81" s="828"/>
      <c r="W81" s="828"/>
      <c r="X81" s="828"/>
      <c r="Y81" s="828"/>
      <c r="Z81" s="828"/>
      <c r="AA81" s="829"/>
      <c r="AB81" s="830"/>
      <c r="AC81" s="830"/>
      <c r="AD81" s="830"/>
      <c r="AE81" s="830"/>
      <c r="AF81" s="830"/>
      <c r="AG81" s="830"/>
      <c r="AH81" s="858"/>
      <c r="AI81" s="868"/>
      <c r="AJ81" s="830"/>
      <c r="AK81" s="830"/>
      <c r="AL81" s="830"/>
      <c r="AM81" s="830"/>
      <c r="AN81" s="831" t="s">
        <v>1044</v>
      </c>
      <c r="AO81" s="832"/>
      <c r="AP81" s="832"/>
      <c r="AQ81" s="832"/>
      <c r="AR81" s="832"/>
      <c r="AS81" s="832"/>
      <c r="AT81" s="832"/>
      <c r="AU81" s="832"/>
      <c r="AV81" s="832"/>
      <c r="AW81" s="832"/>
      <c r="AX81" s="832"/>
      <c r="AY81" s="832"/>
      <c r="AZ81" s="832"/>
      <c r="BA81" s="832"/>
      <c r="BB81" s="832"/>
      <c r="BC81" s="832"/>
      <c r="BD81" s="832"/>
      <c r="BE81" s="833" t="s">
        <v>1087</v>
      </c>
      <c r="BF81" s="831" t="s">
        <v>27</v>
      </c>
      <c r="BG81" s="830"/>
      <c r="BH81" s="830"/>
      <c r="BI81" s="830"/>
      <c r="BJ81" s="830"/>
      <c r="BK81" s="830"/>
      <c r="BL81" s="830"/>
      <c r="BM81" s="834"/>
      <c r="BN81" s="835"/>
      <c r="BO81" s="828"/>
      <c r="BP81" s="828"/>
      <c r="BQ81" s="828"/>
      <c r="BR81" s="828"/>
      <c r="BS81" s="828"/>
      <c r="BT81" s="828"/>
      <c r="BU81" s="828"/>
      <c r="BV81" s="828"/>
      <c r="BW81" s="828"/>
      <c r="BX81" s="828"/>
      <c r="BY81" s="828"/>
      <c r="BZ81" s="836"/>
      <c r="CA81" s="85"/>
    </row>
    <row r="82" spans="1:80" s="8" customFormat="1" ht="24" customHeight="1" thickBot="1" x14ac:dyDescent="0.3">
      <c r="A82" s="645"/>
      <c r="B82" s="84"/>
      <c r="C82" s="84"/>
      <c r="D82" s="84"/>
      <c r="E82" s="84"/>
      <c r="F82" s="84"/>
      <c r="G82" s="84"/>
      <c r="H82" s="84"/>
      <c r="I82" s="84"/>
      <c r="J82" s="804"/>
      <c r="K82" s="84"/>
      <c r="L82" s="804" t="s">
        <v>1088</v>
      </c>
      <c r="M82" s="771" t="s">
        <v>1082</v>
      </c>
      <c r="O82" s="657"/>
      <c r="P82" s="658"/>
      <c r="Q82" s="658"/>
      <c r="R82" s="658"/>
      <c r="S82" s="658"/>
      <c r="T82" s="658"/>
      <c r="U82" s="658"/>
      <c r="V82" s="658"/>
      <c r="W82" s="658"/>
      <c r="X82" s="658"/>
      <c r="Y82" s="658"/>
      <c r="Z82" s="772"/>
      <c r="AA82" s="774"/>
      <c r="AB82" s="774"/>
      <c r="AC82" s="774"/>
      <c r="AD82" s="774"/>
      <c r="AE82" s="774"/>
      <c r="AF82" s="774"/>
      <c r="AG82" s="774"/>
      <c r="AH82" s="859"/>
      <c r="AI82" s="869"/>
      <c r="AJ82" s="774"/>
      <c r="AK82" s="774"/>
      <c r="AL82" s="774"/>
      <c r="AM82" s="774"/>
      <c r="AN82" s="774"/>
      <c r="AO82" s="774"/>
      <c r="AP82" s="774"/>
      <c r="AQ82" s="671" t="s">
        <v>1044</v>
      </c>
      <c r="AR82" s="838"/>
      <c r="AS82" s="664"/>
      <c r="AT82" s="664"/>
      <c r="AU82" s="664"/>
      <c r="AV82" s="838"/>
      <c r="AW82" s="664"/>
      <c r="AX82" s="664"/>
      <c r="AY82" s="664"/>
      <c r="AZ82" s="664"/>
      <c r="BA82" s="664"/>
      <c r="BB82" s="664"/>
      <c r="BC82" s="664"/>
      <c r="BD82" s="664"/>
      <c r="BE82" s="664"/>
      <c r="BF82" s="664"/>
      <c r="BG82" s="664"/>
      <c r="BH82" s="665" t="s">
        <v>1043</v>
      </c>
      <c r="BI82" s="671" t="s">
        <v>27</v>
      </c>
      <c r="BJ82" s="774"/>
      <c r="BK82" s="774"/>
      <c r="BL82" s="774"/>
      <c r="BM82" s="775"/>
      <c r="BN82" s="772"/>
      <c r="BO82" s="658"/>
      <c r="BP82" s="658"/>
      <c r="BQ82" s="658"/>
      <c r="BR82" s="658"/>
      <c r="BS82" s="658"/>
      <c r="BT82" s="658"/>
      <c r="BU82" s="658"/>
      <c r="BV82" s="658"/>
      <c r="BW82" s="658"/>
      <c r="BX82" s="658"/>
      <c r="BY82" s="658"/>
      <c r="BZ82" s="659"/>
      <c r="CA82" s="648"/>
    </row>
    <row r="83" spans="1:80" s="8" customFormat="1" ht="24" customHeight="1" x14ac:dyDescent="0.3">
      <c r="A83" s="645"/>
      <c r="B83" s="84"/>
      <c r="C83" s="84"/>
      <c r="D83" s="84"/>
      <c r="E83" s="84"/>
      <c r="F83" s="84"/>
      <c r="G83" s="84"/>
      <c r="H83" s="84"/>
      <c r="I83" s="995" t="s">
        <v>1090</v>
      </c>
      <c r="J83" s="839"/>
      <c r="K83" s="839"/>
      <c r="L83" s="839"/>
      <c r="M83" s="840"/>
      <c r="N83" s="841" t="s">
        <v>1037</v>
      </c>
      <c r="O83" s="842"/>
      <c r="P83" s="843"/>
      <c r="Q83" s="843"/>
      <c r="R83" s="843"/>
      <c r="S83" s="843"/>
      <c r="T83" s="843"/>
      <c r="U83" s="843"/>
      <c r="V83" s="843"/>
      <c r="W83" s="843"/>
      <c r="X83" s="843"/>
      <c r="Y83" s="843"/>
      <c r="Z83" s="843"/>
      <c r="AA83" s="843"/>
      <c r="AB83" s="843"/>
      <c r="AC83" s="843"/>
      <c r="AD83" s="843"/>
      <c r="AE83" s="844"/>
      <c r="AF83" s="844"/>
      <c r="AG83" s="844"/>
      <c r="AH83" s="860"/>
      <c r="AI83" s="870"/>
      <c r="AJ83" s="844"/>
      <c r="AK83" s="844"/>
      <c r="AL83" s="844"/>
      <c r="AM83" s="844"/>
      <c r="AN83" s="844"/>
      <c r="AO83" s="844"/>
      <c r="AP83" s="844"/>
      <c r="AQ83" s="844"/>
      <c r="AR83" s="844"/>
      <c r="AS83" s="844"/>
      <c r="AT83" s="844"/>
      <c r="AU83" s="844"/>
      <c r="AV83" s="843"/>
      <c r="AW83" s="843"/>
      <c r="AX83" s="843"/>
      <c r="AY83" s="843"/>
      <c r="AZ83" s="845"/>
      <c r="BA83" s="845"/>
      <c r="BB83" s="845"/>
      <c r="BC83" s="845"/>
      <c r="BD83" s="845"/>
      <c r="BE83" s="845"/>
      <c r="BF83" s="845"/>
      <c r="BG83" s="845"/>
      <c r="BH83" s="845"/>
      <c r="BI83" s="845"/>
      <c r="BJ83" s="845"/>
      <c r="BK83" s="845"/>
      <c r="BL83" s="845"/>
      <c r="BM83" s="845"/>
      <c r="BN83" s="845"/>
      <c r="BO83" s="845"/>
      <c r="BP83" s="845"/>
      <c r="BQ83" s="845"/>
      <c r="BR83" s="845"/>
      <c r="BS83" s="845"/>
      <c r="BT83" s="845"/>
      <c r="BU83" s="845"/>
      <c r="BV83" s="845"/>
      <c r="BW83" s="845"/>
      <c r="BX83" s="845"/>
      <c r="BY83" s="845"/>
      <c r="BZ83" s="846"/>
      <c r="CA83" s="85"/>
    </row>
    <row r="84" spans="1:80" s="8" customFormat="1" ht="24" customHeight="1" x14ac:dyDescent="0.3">
      <c r="A84" s="645"/>
      <c r="B84" s="84"/>
      <c r="C84" s="84"/>
      <c r="D84" s="84"/>
      <c r="E84" s="84"/>
      <c r="F84" s="84"/>
      <c r="G84" s="84"/>
      <c r="H84" s="84"/>
      <c r="I84" s="996"/>
      <c r="J84" s="84"/>
      <c r="K84" s="84"/>
      <c r="L84" s="84"/>
      <c r="M84" s="807">
        <v>165</v>
      </c>
      <c r="N84" s="804"/>
      <c r="O84" s="657"/>
      <c r="P84" s="658"/>
      <c r="Q84" s="658"/>
      <c r="R84" s="658"/>
      <c r="S84" s="658"/>
      <c r="T84" s="658"/>
      <c r="U84" s="658"/>
      <c r="V84" s="658"/>
      <c r="W84" s="658"/>
      <c r="X84" s="658"/>
      <c r="Y84" s="658"/>
      <c r="Z84" s="658"/>
      <c r="AA84" s="658"/>
      <c r="AB84" s="658"/>
      <c r="AC84" s="658"/>
      <c r="AD84" s="658"/>
      <c r="AE84" s="671" t="s">
        <v>1044</v>
      </c>
      <c r="AF84" s="664"/>
      <c r="AG84" s="664"/>
      <c r="AH84" s="854"/>
      <c r="AI84" s="864"/>
      <c r="AJ84" s="664"/>
      <c r="AK84" s="664"/>
      <c r="AL84" s="664"/>
      <c r="AM84" s="664"/>
      <c r="AN84" s="664"/>
      <c r="AO84" s="664"/>
      <c r="AP84" s="664"/>
      <c r="AQ84" s="664"/>
      <c r="AR84" s="664"/>
      <c r="AS84" s="664"/>
      <c r="AT84" s="665" t="s">
        <v>1046</v>
      </c>
      <c r="AU84" s="671" t="s">
        <v>27</v>
      </c>
      <c r="AV84" s="658"/>
      <c r="AW84" s="658"/>
      <c r="AX84" s="658"/>
      <c r="AY84" s="658"/>
      <c r="AZ84" s="772"/>
      <c r="BA84" s="774"/>
      <c r="BB84" s="774"/>
      <c r="BC84" s="774"/>
      <c r="BD84" s="774"/>
      <c r="BE84" s="774"/>
      <c r="BF84" s="774"/>
      <c r="BG84" s="774"/>
      <c r="BH84" s="774"/>
      <c r="BI84" s="774"/>
      <c r="BJ84" s="774"/>
      <c r="BK84" s="774"/>
      <c r="BL84" s="774"/>
      <c r="BM84" s="774"/>
      <c r="BN84" s="775"/>
      <c r="BO84" s="772"/>
      <c r="BP84" s="774"/>
      <c r="BQ84" s="774"/>
      <c r="BR84" s="774"/>
      <c r="BS84" s="774"/>
      <c r="BT84" s="774"/>
      <c r="BU84" s="774"/>
      <c r="BV84" s="774"/>
      <c r="BW84" s="774"/>
      <c r="BX84" s="775"/>
      <c r="BY84" s="782"/>
      <c r="BZ84" s="820"/>
      <c r="CA84" s="85"/>
    </row>
    <row r="85" spans="1:80" s="8" customFormat="1" ht="24" customHeight="1" x14ac:dyDescent="0.3">
      <c r="A85" s="645"/>
      <c r="B85" s="84"/>
      <c r="C85" s="84"/>
      <c r="D85" s="84"/>
      <c r="E85" s="84"/>
      <c r="F85" s="84"/>
      <c r="G85" s="84"/>
      <c r="H85" s="84"/>
      <c r="I85" s="996"/>
      <c r="J85" s="642"/>
      <c r="K85" s="642"/>
      <c r="L85" s="642"/>
      <c r="M85" s="809"/>
      <c r="N85" s="805" t="s">
        <v>1038</v>
      </c>
      <c r="O85" s="660"/>
      <c r="P85" s="661"/>
      <c r="Q85" s="661"/>
      <c r="R85" s="661"/>
      <c r="S85" s="661"/>
      <c r="T85" s="661"/>
      <c r="U85" s="661"/>
      <c r="V85" s="661"/>
      <c r="W85" s="661"/>
      <c r="X85" s="661"/>
      <c r="Y85" s="661"/>
      <c r="Z85" s="661"/>
      <c r="AA85" s="661"/>
      <c r="AB85" s="661"/>
      <c r="AC85" s="661"/>
      <c r="AD85" s="661"/>
      <c r="AE85" s="669"/>
      <c r="AF85" s="669"/>
      <c r="AG85" s="669"/>
      <c r="AH85" s="857"/>
      <c r="AI85" s="867"/>
      <c r="AJ85" s="667"/>
      <c r="AK85" s="667"/>
      <c r="AL85" s="667"/>
      <c r="AM85" s="667"/>
      <c r="AN85" s="667"/>
      <c r="AO85" s="667"/>
      <c r="AP85" s="667"/>
      <c r="AQ85" s="667"/>
      <c r="AR85" s="667"/>
      <c r="AS85" s="667"/>
      <c r="AT85" s="667"/>
      <c r="AU85" s="667"/>
      <c r="AV85" s="661"/>
      <c r="AW85" s="661"/>
      <c r="AX85" s="661"/>
      <c r="AY85" s="661"/>
      <c r="AZ85" s="783"/>
      <c r="BA85" s="671" t="s">
        <v>1044</v>
      </c>
      <c r="BB85" s="669"/>
      <c r="BC85" s="669"/>
      <c r="BD85" s="669"/>
      <c r="BE85" s="669"/>
      <c r="BF85" s="669"/>
      <c r="BG85" s="669"/>
      <c r="BH85" s="669"/>
      <c r="BI85" s="669"/>
      <c r="BJ85" s="669"/>
      <c r="BK85" s="669"/>
      <c r="BL85" s="669"/>
      <c r="BM85" s="669"/>
      <c r="BN85" s="669"/>
      <c r="BO85" s="784" t="s">
        <v>1085</v>
      </c>
      <c r="BP85" s="671" t="s">
        <v>27</v>
      </c>
      <c r="BQ85" s="783"/>
      <c r="BR85" s="783"/>
      <c r="BS85" s="783"/>
      <c r="BT85" s="783"/>
      <c r="BU85" s="774"/>
      <c r="BV85" s="774"/>
      <c r="BW85" s="774"/>
      <c r="BX85" s="774"/>
      <c r="BY85" s="774"/>
      <c r="BZ85" s="822"/>
      <c r="CA85" s="85"/>
    </row>
    <row r="86" spans="1:80" s="8" customFormat="1" ht="24" customHeight="1" x14ac:dyDescent="0.3">
      <c r="A86" s="645"/>
      <c r="B86" s="84"/>
      <c r="C86" s="84"/>
      <c r="D86" s="84"/>
      <c r="E86" s="84"/>
      <c r="F86" s="84"/>
      <c r="G86" s="84"/>
      <c r="H86" s="84"/>
      <c r="I86" s="996"/>
      <c r="J86" s="643"/>
      <c r="K86" s="643"/>
      <c r="L86" s="643"/>
      <c r="M86" s="810"/>
      <c r="N86" s="806" t="s">
        <v>1039</v>
      </c>
      <c r="O86" s="662"/>
      <c r="P86" s="663"/>
      <c r="Q86" s="663"/>
      <c r="R86" s="663"/>
      <c r="S86" s="663"/>
      <c r="T86" s="663"/>
      <c r="U86" s="663"/>
      <c r="V86" s="663"/>
      <c r="W86" s="663"/>
      <c r="X86" s="663"/>
      <c r="Y86" s="663"/>
      <c r="Z86" s="663"/>
      <c r="AA86" s="663"/>
      <c r="AB86" s="663"/>
      <c r="AC86" s="663"/>
      <c r="AD86" s="663"/>
      <c r="AE86" s="663"/>
      <c r="AF86" s="663"/>
      <c r="AG86" s="773"/>
      <c r="AH86" s="859"/>
      <c r="AI86" s="869"/>
      <c r="AJ86" s="774"/>
      <c r="AK86" s="774"/>
      <c r="AL86" s="774"/>
      <c r="AM86" s="774"/>
      <c r="AN86" s="669"/>
      <c r="AO86" s="669"/>
      <c r="AP86" s="669"/>
      <c r="AQ86" s="669"/>
      <c r="AR86" s="669"/>
      <c r="AS86" s="669"/>
      <c r="AT86" s="669"/>
      <c r="AU86" s="669"/>
      <c r="AV86" s="669"/>
      <c r="AW86" s="669"/>
      <c r="AX86" s="669"/>
      <c r="AY86" s="669"/>
      <c r="AZ86" s="676"/>
      <c r="BA86" s="676"/>
      <c r="BB86" s="676"/>
      <c r="BC86" s="676"/>
      <c r="BD86" s="676"/>
      <c r="BE86" s="676"/>
      <c r="BF86" s="676"/>
      <c r="BG86" s="676"/>
      <c r="BH86" s="676"/>
      <c r="BI86" s="676"/>
      <c r="BJ86" s="676"/>
      <c r="BK86" s="676"/>
      <c r="BL86" s="676"/>
      <c r="BM86" s="676"/>
      <c r="BN86" s="676"/>
      <c r="BO86" s="676"/>
      <c r="BP86" s="676"/>
      <c r="BQ86" s="676"/>
      <c r="BR86" s="663"/>
      <c r="BS86" s="663"/>
      <c r="BT86" s="663"/>
      <c r="BU86" s="663"/>
      <c r="BV86" s="663"/>
      <c r="BW86" s="663"/>
      <c r="BX86" s="663"/>
      <c r="BY86" s="663"/>
      <c r="BZ86" s="823"/>
      <c r="CA86" s="85"/>
    </row>
    <row r="87" spans="1:80" s="8" customFormat="1" ht="24" customHeight="1" x14ac:dyDescent="0.3">
      <c r="A87" s="645"/>
      <c r="B87" s="84"/>
      <c r="C87" s="84"/>
      <c r="D87" s="84"/>
      <c r="E87" s="84"/>
      <c r="F87" s="84"/>
      <c r="G87" s="84"/>
      <c r="H87" s="84"/>
      <c r="I87" s="996"/>
      <c r="J87" s="84"/>
      <c r="K87" s="84"/>
      <c r="L87" s="84"/>
      <c r="M87" s="807">
        <v>166</v>
      </c>
      <c r="N87" s="804"/>
      <c r="O87" s="657"/>
      <c r="P87" s="658"/>
      <c r="Q87" s="658"/>
      <c r="R87" s="658"/>
      <c r="S87" s="658"/>
      <c r="T87" s="658"/>
      <c r="U87" s="658"/>
      <c r="V87" s="658"/>
      <c r="W87" s="658"/>
      <c r="X87" s="658"/>
      <c r="Y87" s="658"/>
      <c r="Z87" s="658"/>
      <c r="AA87" s="658"/>
      <c r="AB87" s="658"/>
      <c r="AC87" s="658"/>
      <c r="AD87" s="658"/>
      <c r="AE87" s="658"/>
      <c r="AF87" s="658"/>
      <c r="AG87" s="772"/>
      <c r="AH87" s="859"/>
      <c r="AI87" s="869"/>
      <c r="AJ87" s="774"/>
      <c r="AK87" s="774"/>
      <c r="AL87" s="774"/>
      <c r="AM87" s="774"/>
      <c r="AN87" s="671" t="s">
        <v>1044</v>
      </c>
      <c r="AO87" s="776"/>
      <c r="AP87" s="776"/>
      <c r="AQ87" s="776"/>
      <c r="AR87" s="776"/>
      <c r="AS87" s="776"/>
      <c r="AT87" s="776"/>
      <c r="AU87" s="776"/>
      <c r="AV87" s="776"/>
      <c r="AW87" s="776"/>
      <c r="AX87" s="786"/>
      <c r="AY87" s="786"/>
      <c r="AZ87" s="776"/>
      <c r="BA87" s="776"/>
      <c r="BB87" s="776"/>
      <c r="BC87" s="776"/>
      <c r="BD87" s="776"/>
      <c r="BE87" s="776"/>
      <c r="BF87" s="776"/>
      <c r="BG87" s="776"/>
      <c r="BH87" s="776"/>
      <c r="BI87" s="776"/>
      <c r="BJ87" s="776"/>
      <c r="BK87" s="776"/>
      <c r="BL87" s="776"/>
      <c r="BM87" s="776"/>
      <c r="BN87" s="776"/>
      <c r="BO87" s="776"/>
      <c r="BP87" s="786" t="s">
        <v>1086</v>
      </c>
      <c r="BQ87" s="671" t="s">
        <v>27</v>
      </c>
      <c r="BR87" s="658"/>
      <c r="BS87" s="658"/>
      <c r="BT87" s="658"/>
      <c r="BU87" s="658"/>
      <c r="BV87" s="658"/>
      <c r="BW87" s="658"/>
      <c r="BX87" s="658"/>
      <c r="BY87" s="658"/>
      <c r="BZ87" s="820"/>
      <c r="CA87" s="85"/>
    </row>
    <row r="88" spans="1:80" s="8" customFormat="1" ht="24" customHeight="1" x14ac:dyDescent="0.3">
      <c r="A88" s="645"/>
      <c r="B88" s="84"/>
      <c r="C88" s="84"/>
      <c r="D88" s="84"/>
      <c r="E88" s="84"/>
      <c r="F88" s="84"/>
      <c r="G88" s="84"/>
      <c r="H88" s="84"/>
      <c r="I88" s="996"/>
      <c r="J88" s="84"/>
      <c r="K88" s="84"/>
      <c r="L88" s="84"/>
      <c r="M88" s="807"/>
      <c r="N88" s="804" t="s">
        <v>1040</v>
      </c>
      <c r="O88" s="657"/>
      <c r="P88" s="658"/>
      <c r="Q88" s="658"/>
      <c r="R88" s="658"/>
      <c r="S88" s="658"/>
      <c r="T88" s="658"/>
      <c r="U88" s="658"/>
      <c r="V88" s="658"/>
      <c r="W88" s="658"/>
      <c r="X88" s="658"/>
      <c r="Y88" s="658"/>
      <c r="Z88" s="658"/>
      <c r="AA88" s="658"/>
      <c r="AB88" s="658"/>
      <c r="AC88" s="658"/>
      <c r="AD88" s="658"/>
      <c r="AE88" s="658"/>
      <c r="AF88" s="658"/>
      <c r="AG88" s="774"/>
      <c r="AH88" s="859"/>
      <c r="AI88" s="869"/>
      <c r="AJ88" s="774"/>
      <c r="AK88" s="774"/>
      <c r="AL88" s="774"/>
      <c r="AM88" s="774"/>
      <c r="AN88" s="669"/>
      <c r="AO88" s="669"/>
      <c r="AP88" s="669"/>
      <c r="AQ88" s="669"/>
      <c r="AR88" s="669"/>
      <c r="AS88" s="669"/>
      <c r="AT88" s="669"/>
      <c r="AU88" s="669"/>
      <c r="AV88" s="669"/>
      <c r="AW88" s="669"/>
      <c r="AX88" s="669"/>
      <c r="AY88" s="669"/>
      <c r="AZ88" s="669"/>
      <c r="BA88" s="669"/>
      <c r="BB88" s="669"/>
      <c r="BC88" s="669"/>
      <c r="BD88" s="669"/>
      <c r="BE88" s="669"/>
      <c r="BF88" s="669"/>
      <c r="BG88" s="669"/>
      <c r="BH88" s="669"/>
      <c r="BI88" s="669"/>
      <c r="BJ88" s="669"/>
      <c r="BK88" s="669"/>
      <c r="BL88" s="669"/>
      <c r="BM88" s="669"/>
      <c r="BN88" s="669"/>
      <c r="BO88" s="669"/>
      <c r="BP88" s="669"/>
      <c r="BQ88" s="669"/>
      <c r="BR88" s="658"/>
      <c r="BS88" s="658"/>
      <c r="BT88" s="658"/>
      <c r="BU88" s="658"/>
      <c r="BV88" s="658"/>
      <c r="BW88" s="658"/>
      <c r="BX88" s="658"/>
      <c r="BY88" s="658"/>
      <c r="BZ88" s="820"/>
      <c r="CA88" s="837"/>
    </row>
    <row r="89" spans="1:80" s="8" customFormat="1" ht="24" customHeight="1" thickBot="1" x14ac:dyDescent="0.35">
      <c r="A89" s="645"/>
      <c r="B89" s="84"/>
      <c r="C89" s="84"/>
      <c r="D89" s="84"/>
      <c r="E89" s="84"/>
      <c r="F89" s="84"/>
      <c r="G89" s="84"/>
      <c r="H89" s="84"/>
      <c r="I89" s="997"/>
      <c r="J89" s="824"/>
      <c r="K89" s="824"/>
      <c r="L89" s="824"/>
      <c r="M89" s="825">
        <v>167</v>
      </c>
      <c r="N89" s="826"/>
      <c r="O89" s="827"/>
      <c r="P89" s="828"/>
      <c r="Q89" s="828"/>
      <c r="R89" s="828"/>
      <c r="S89" s="828"/>
      <c r="T89" s="828"/>
      <c r="U89" s="828"/>
      <c r="V89" s="828"/>
      <c r="W89" s="828"/>
      <c r="X89" s="828"/>
      <c r="Y89" s="828"/>
      <c r="Z89" s="828"/>
      <c r="AA89" s="831" t="s">
        <v>1044</v>
      </c>
      <c r="AB89" s="832"/>
      <c r="AC89" s="832"/>
      <c r="AD89" s="832"/>
      <c r="AE89" s="832"/>
      <c r="AF89" s="832"/>
      <c r="AG89" s="832"/>
      <c r="AH89" s="861"/>
      <c r="AI89" s="871"/>
      <c r="AJ89" s="832"/>
      <c r="AK89" s="832"/>
      <c r="AL89" s="832"/>
      <c r="AM89" s="832"/>
      <c r="AN89" s="832"/>
      <c r="AO89" s="833" t="s">
        <v>1048</v>
      </c>
      <c r="AP89" s="831" t="s">
        <v>27</v>
      </c>
      <c r="AQ89" s="830"/>
      <c r="AR89" s="830"/>
      <c r="AS89" s="830"/>
      <c r="AT89" s="830"/>
      <c r="AU89" s="830"/>
      <c r="AV89" s="830"/>
      <c r="AW89" s="830"/>
      <c r="AX89" s="830"/>
      <c r="AY89" s="830"/>
      <c r="AZ89" s="830"/>
      <c r="BA89" s="830"/>
      <c r="BB89" s="830"/>
      <c r="BC89" s="830"/>
      <c r="BD89" s="830"/>
      <c r="BE89" s="834"/>
      <c r="BF89" s="835"/>
      <c r="BG89" s="830"/>
      <c r="BH89" s="830"/>
      <c r="BI89" s="830"/>
      <c r="BJ89" s="830"/>
      <c r="BK89" s="830"/>
      <c r="BL89" s="830"/>
      <c r="BM89" s="830"/>
      <c r="BN89" s="830"/>
      <c r="BO89" s="830"/>
      <c r="BP89" s="834"/>
      <c r="BQ89" s="847"/>
      <c r="BR89" s="828"/>
      <c r="BS89" s="828"/>
      <c r="BT89" s="828"/>
      <c r="BU89" s="828"/>
      <c r="BV89" s="828"/>
      <c r="BW89" s="828"/>
      <c r="BX89" s="828"/>
      <c r="BY89" s="828"/>
      <c r="BZ89" s="836"/>
      <c r="CA89" s="85"/>
    </row>
    <row r="90" spans="1:80" s="8" customFormat="1" ht="24" customHeight="1" x14ac:dyDescent="0.25">
      <c r="A90" s="645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650"/>
      <c r="O90" s="657"/>
      <c r="P90" s="658"/>
      <c r="Q90" s="658"/>
      <c r="R90" s="658"/>
      <c r="S90" s="658"/>
      <c r="T90" s="658"/>
      <c r="U90" s="658"/>
      <c r="V90" s="658"/>
      <c r="W90" s="658"/>
      <c r="X90" s="658"/>
      <c r="Y90" s="658"/>
      <c r="Z90" s="658"/>
      <c r="AA90" s="658"/>
      <c r="AB90" s="658"/>
      <c r="AC90" s="658"/>
      <c r="AD90" s="658"/>
      <c r="AE90" s="658"/>
      <c r="AF90" s="658"/>
      <c r="AG90" s="658"/>
      <c r="AH90" s="658"/>
      <c r="AI90" s="658"/>
      <c r="AJ90" s="658"/>
      <c r="AK90" s="658"/>
      <c r="AL90" s="658"/>
      <c r="AM90" s="658"/>
      <c r="AN90" s="658"/>
      <c r="AO90" s="658"/>
      <c r="AP90" s="658"/>
      <c r="AQ90" s="658"/>
      <c r="AR90" s="658"/>
      <c r="AS90" s="658"/>
      <c r="AT90" s="658"/>
      <c r="AU90" s="658"/>
      <c r="AV90" s="658"/>
      <c r="AW90" s="658"/>
      <c r="AX90" s="658"/>
      <c r="AY90" s="658"/>
      <c r="AZ90" s="658"/>
      <c r="BA90" s="658"/>
      <c r="BB90" s="658"/>
      <c r="BC90" s="658"/>
      <c r="BD90" s="658"/>
      <c r="BE90" s="658"/>
      <c r="BF90" s="658"/>
      <c r="BG90" s="658"/>
      <c r="BH90" s="658"/>
      <c r="BI90" s="658"/>
      <c r="BJ90" s="658"/>
      <c r="BK90" s="658"/>
      <c r="BL90" s="658"/>
      <c r="BM90" s="658"/>
      <c r="BN90" s="658"/>
      <c r="BO90" s="658"/>
      <c r="BP90" s="658"/>
      <c r="BQ90" s="658"/>
      <c r="BR90" s="658"/>
      <c r="BS90" s="658"/>
      <c r="BT90" s="658"/>
      <c r="BU90" s="658"/>
      <c r="BV90" s="658"/>
      <c r="BW90" s="658"/>
      <c r="BX90" s="658"/>
      <c r="BY90" s="658"/>
      <c r="BZ90" s="659"/>
      <c r="CA90" s="848"/>
    </row>
    <row r="91" spans="1:80" s="8" customFormat="1" ht="60" customHeight="1" thickBot="1" x14ac:dyDescent="0.3">
      <c r="A91" s="796"/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8">
        <f t="shared" ref="O91:BY91" si="26">O6</f>
        <v>0.16666666666666666</v>
      </c>
      <c r="P91" s="799">
        <f t="shared" si="26"/>
        <v>0.17013888888888887</v>
      </c>
      <c r="Q91" s="799">
        <f t="shared" si="26"/>
        <v>0.17361111111111108</v>
      </c>
      <c r="R91" s="799">
        <f t="shared" si="26"/>
        <v>0.17708333333333329</v>
      </c>
      <c r="S91" s="799">
        <f t="shared" si="26"/>
        <v>0.1805555555555555</v>
      </c>
      <c r="T91" s="799">
        <f t="shared" si="26"/>
        <v>0.18402777777777771</v>
      </c>
      <c r="U91" s="799">
        <f t="shared" si="26"/>
        <v>0.18749999999999992</v>
      </c>
      <c r="V91" s="799">
        <f t="shared" si="26"/>
        <v>0.19097222222222213</v>
      </c>
      <c r="W91" s="799">
        <f t="shared" si="26"/>
        <v>0.19444444444444434</v>
      </c>
      <c r="X91" s="799">
        <f t="shared" si="26"/>
        <v>0.19791666666666655</v>
      </c>
      <c r="Y91" s="799">
        <f t="shared" si="26"/>
        <v>0.20138888888888876</v>
      </c>
      <c r="Z91" s="799">
        <f t="shared" si="26"/>
        <v>0.20486111111111097</v>
      </c>
      <c r="AA91" s="800">
        <f t="shared" si="26"/>
        <v>0.20833333333333318</v>
      </c>
      <c r="AB91" s="799">
        <f t="shared" si="26"/>
        <v>0.21180555555555539</v>
      </c>
      <c r="AC91" s="799">
        <f t="shared" si="26"/>
        <v>0.2152777777777776</v>
      </c>
      <c r="AD91" s="799">
        <f t="shared" si="26"/>
        <v>0.21874999999999981</v>
      </c>
      <c r="AE91" s="799">
        <f t="shared" si="26"/>
        <v>0.22222222222222202</v>
      </c>
      <c r="AF91" s="799">
        <f t="shared" si="26"/>
        <v>0.22569444444444423</v>
      </c>
      <c r="AG91" s="799">
        <f t="shared" si="26"/>
        <v>0.22916666666666644</v>
      </c>
      <c r="AH91" s="799">
        <f t="shared" si="26"/>
        <v>0.23263888888888865</v>
      </c>
      <c r="AI91" s="799">
        <f t="shared" si="26"/>
        <v>0.23611111111111086</v>
      </c>
      <c r="AJ91" s="799">
        <f t="shared" si="26"/>
        <v>0.23958333333333307</v>
      </c>
      <c r="AK91" s="799">
        <f t="shared" si="26"/>
        <v>0.24305555555555527</v>
      </c>
      <c r="AL91" s="799">
        <f t="shared" si="26"/>
        <v>0.24652777777777748</v>
      </c>
      <c r="AM91" s="800">
        <f t="shared" si="26"/>
        <v>0.24999999999999969</v>
      </c>
      <c r="AN91" s="799">
        <f t="shared" si="26"/>
        <v>0.25347222222222193</v>
      </c>
      <c r="AO91" s="799">
        <f t="shared" si="26"/>
        <v>0.25694444444444414</v>
      </c>
      <c r="AP91" s="799">
        <f t="shared" si="26"/>
        <v>0.26041666666666635</v>
      </c>
      <c r="AQ91" s="799">
        <f t="shared" si="26"/>
        <v>0.26388888888888856</v>
      </c>
      <c r="AR91" s="799">
        <f t="shared" si="26"/>
        <v>0.26736111111111077</v>
      </c>
      <c r="AS91" s="799">
        <f t="shared" si="26"/>
        <v>0.27083333333333298</v>
      </c>
      <c r="AT91" s="799">
        <f t="shared" si="26"/>
        <v>0.27430555555555519</v>
      </c>
      <c r="AU91" s="799">
        <f t="shared" si="26"/>
        <v>0.2777777777777774</v>
      </c>
      <c r="AV91" s="799">
        <f t="shared" si="26"/>
        <v>0.28124999999999961</v>
      </c>
      <c r="AW91" s="799">
        <f t="shared" si="26"/>
        <v>0.28472222222222182</v>
      </c>
      <c r="AX91" s="799">
        <f t="shared" si="26"/>
        <v>0.28819444444444403</v>
      </c>
      <c r="AY91" s="800">
        <f t="shared" si="26"/>
        <v>0.29166666666666624</v>
      </c>
      <c r="AZ91" s="799">
        <f t="shared" si="26"/>
        <v>0.29513888888888845</v>
      </c>
      <c r="BA91" s="799">
        <f t="shared" si="26"/>
        <v>0.29861111111111066</v>
      </c>
      <c r="BB91" s="799">
        <f t="shared" si="26"/>
        <v>0.30208333333333287</v>
      </c>
      <c r="BC91" s="799">
        <f t="shared" si="26"/>
        <v>0.30555555555555508</v>
      </c>
      <c r="BD91" s="799">
        <f t="shared" si="26"/>
        <v>0.30902777777777729</v>
      </c>
      <c r="BE91" s="799">
        <f t="shared" si="26"/>
        <v>0.3124999999999995</v>
      </c>
      <c r="BF91" s="799">
        <f t="shared" si="26"/>
        <v>0.31597222222222171</v>
      </c>
      <c r="BG91" s="799">
        <f t="shared" si="26"/>
        <v>0.31944444444444392</v>
      </c>
      <c r="BH91" s="799">
        <f t="shared" si="26"/>
        <v>0.32291666666666613</v>
      </c>
      <c r="BI91" s="799">
        <f t="shared" si="26"/>
        <v>0.32638888888888834</v>
      </c>
      <c r="BJ91" s="799">
        <f t="shared" si="26"/>
        <v>0.32986111111111055</v>
      </c>
      <c r="BK91" s="800">
        <f t="shared" si="26"/>
        <v>0.33333333333333276</v>
      </c>
      <c r="BL91" s="799">
        <f t="shared" si="26"/>
        <v>0.33680555555555497</v>
      </c>
      <c r="BM91" s="799">
        <f t="shared" si="26"/>
        <v>0.34027777777777718</v>
      </c>
      <c r="BN91" s="799">
        <f t="shared" si="26"/>
        <v>0.34374999999999939</v>
      </c>
      <c r="BO91" s="799">
        <f t="shared" si="26"/>
        <v>0.3472222222222216</v>
      </c>
      <c r="BP91" s="799">
        <f t="shared" si="26"/>
        <v>0.35069444444444381</v>
      </c>
      <c r="BQ91" s="799">
        <f t="shared" si="26"/>
        <v>0.35416666666666602</v>
      </c>
      <c r="BR91" s="799">
        <f t="shared" si="26"/>
        <v>0.35763888888888823</v>
      </c>
      <c r="BS91" s="799">
        <f t="shared" si="26"/>
        <v>0.36111111111111044</v>
      </c>
      <c r="BT91" s="799">
        <f t="shared" si="26"/>
        <v>0.36458333333333265</v>
      </c>
      <c r="BU91" s="799">
        <f t="shared" si="26"/>
        <v>0.36805555555555486</v>
      </c>
      <c r="BV91" s="799">
        <f t="shared" si="26"/>
        <v>0.37152777777777707</v>
      </c>
      <c r="BW91" s="800">
        <f t="shared" si="26"/>
        <v>0.37499999999999928</v>
      </c>
      <c r="BX91" s="799">
        <f t="shared" si="26"/>
        <v>0.37847222222222149</v>
      </c>
      <c r="BY91" s="799">
        <f t="shared" si="26"/>
        <v>0.3819444444444437</v>
      </c>
      <c r="BZ91" s="801">
        <f>BZ6</f>
        <v>0.38541666666666591</v>
      </c>
      <c r="CA91" s="802"/>
    </row>
    <row r="92" spans="1:80" s="8" customFormat="1" ht="18" customHeight="1" x14ac:dyDescent="0.25">
      <c r="A92" s="999" t="s">
        <v>1103</v>
      </c>
      <c r="B92" s="1000"/>
      <c r="C92" s="1011"/>
      <c r="D92" s="709"/>
      <c r="E92" s="88"/>
      <c r="F92" s="88"/>
      <c r="G92" s="720"/>
      <c r="H92" s="88"/>
      <c r="I92" s="88"/>
      <c r="J92" s="88"/>
      <c r="K92" s="88"/>
      <c r="L92" s="88"/>
      <c r="M92" s="88"/>
      <c r="N92" s="88"/>
      <c r="O92" s="711"/>
      <c r="P92" s="712"/>
      <c r="Q92" s="713"/>
      <c r="R92" s="713"/>
      <c r="S92" s="712"/>
      <c r="T92" s="712"/>
      <c r="U92" s="712"/>
      <c r="V92" s="712"/>
      <c r="W92" s="712"/>
      <c r="X92" s="712"/>
      <c r="Y92" s="714"/>
      <c r="Z92" s="712"/>
      <c r="AA92" s="712"/>
      <c r="AB92" s="712"/>
      <c r="AC92" s="712"/>
      <c r="AD92" s="712"/>
      <c r="AE92" s="712"/>
      <c r="AF92" s="712"/>
      <c r="AG92" s="712"/>
      <c r="AH92" s="712"/>
      <c r="AI92" s="712"/>
      <c r="AJ92" s="712"/>
      <c r="AK92" s="712"/>
      <c r="AL92" s="712"/>
      <c r="AM92" s="712"/>
      <c r="AN92" s="712"/>
      <c r="AO92" s="712"/>
      <c r="AP92" s="712"/>
      <c r="AQ92" s="712"/>
      <c r="AR92" s="712"/>
      <c r="AS92" s="712"/>
      <c r="AT92" s="712"/>
      <c r="AU92" s="712"/>
      <c r="AV92" s="713"/>
      <c r="AW92" s="713"/>
      <c r="AX92" s="713"/>
      <c r="AY92" s="713"/>
      <c r="AZ92" s="713"/>
      <c r="BA92" s="713"/>
      <c r="BB92" s="713"/>
      <c r="BC92" s="712"/>
      <c r="BD92" s="712"/>
      <c r="BE92" s="712"/>
      <c r="BF92" s="712"/>
      <c r="BG92" s="712"/>
      <c r="BH92" s="712"/>
      <c r="BI92" s="712"/>
      <c r="BJ92" s="712"/>
      <c r="BK92" s="712"/>
      <c r="BL92" s="712"/>
      <c r="BM92" s="712"/>
      <c r="BN92" s="712"/>
      <c r="BO92" s="712"/>
      <c r="BP92" s="712"/>
      <c r="BQ92" s="712"/>
      <c r="BR92" s="712"/>
      <c r="BS92" s="712"/>
      <c r="BT92" s="712"/>
      <c r="BU92" s="712"/>
      <c r="BV92" s="712"/>
      <c r="BW92" s="712"/>
      <c r="BX92" s="712"/>
      <c r="BY92" s="712"/>
      <c r="BZ92" s="715"/>
      <c r="CA92" s="710"/>
      <c r="CB92" s="795"/>
    </row>
    <row r="93" spans="1:80" s="8" customFormat="1" ht="30" customHeight="1" x14ac:dyDescent="0.25">
      <c r="A93" s="1001"/>
      <c r="B93" s="1002"/>
      <c r="C93" s="1012"/>
      <c r="D93" s="716"/>
      <c r="E93" s="89"/>
      <c r="F93" s="717" t="s">
        <v>1061</v>
      </c>
      <c r="G93" s="721">
        <f>COUNTIF(O94:BZ94,"DEP")</f>
        <v>5</v>
      </c>
      <c r="H93" s="89"/>
      <c r="I93" s="89"/>
      <c r="J93" s="717" t="s">
        <v>1062</v>
      </c>
      <c r="K93" s="89"/>
      <c r="L93" s="721" t="e">
        <f>MAX(O93:BZ93)</f>
        <v>#N/A</v>
      </c>
      <c r="M93" s="89"/>
      <c r="N93" s="849" t="s">
        <v>5</v>
      </c>
      <c r="O93" s="685">
        <f t="shared" ref="O93:AT93" si="27">SUMIF($I$11:$I$26,$N93,O$11:O$26)</f>
        <v>29.16</v>
      </c>
      <c r="P93" s="686">
        <f t="shared" si="27"/>
        <v>30.78</v>
      </c>
      <c r="Q93" s="686">
        <f t="shared" si="27"/>
        <v>32.4</v>
      </c>
      <c r="R93" s="686">
        <f t="shared" si="27"/>
        <v>34.020000000000003</v>
      </c>
      <c r="S93" s="686">
        <f t="shared" si="27"/>
        <v>43.74</v>
      </c>
      <c r="T93" s="686">
        <f t="shared" si="27"/>
        <v>87.48</v>
      </c>
      <c r="U93" s="686">
        <f t="shared" si="27"/>
        <v>64.8</v>
      </c>
      <c r="V93" s="686">
        <f t="shared" si="27"/>
        <v>3.2400000000000024</v>
      </c>
      <c r="W93" s="686">
        <f t="shared" si="27"/>
        <v>0</v>
      </c>
      <c r="X93" s="686">
        <f t="shared" si="27"/>
        <v>0</v>
      </c>
      <c r="Y93" s="686">
        <f t="shared" si="27"/>
        <v>0</v>
      </c>
      <c r="Z93" s="686" t="e">
        <f t="shared" si="27"/>
        <v>#N/A</v>
      </c>
      <c r="AA93" s="686" t="e">
        <f t="shared" si="27"/>
        <v>#N/A</v>
      </c>
      <c r="AB93" s="686" t="e">
        <f t="shared" si="27"/>
        <v>#N/A</v>
      </c>
      <c r="AC93" s="686" t="e">
        <f t="shared" si="27"/>
        <v>#N/A</v>
      </c>
      <c r="AD93" s="686" t="e">
        <f t="shared" si="27"/>
        <v>#N/A</v>
      </c>
      <c r="AE93" s="686" t="e">
        <f t="shared" si="27"/>
        <v>#N/A</v>
      </c>
      <c r="AF93" s="686" t="e">
        <f t="shared" si="27"/>
        <v>#N/A</v>
      </c>
      <c r="AG93" s="686" t="e">
        <f t="shared" si="27"/>
        <v>#N/A</v>
      </c>
      <c r="AH93" s="686" t="e">
        <f t="shared" si="27"/>
        <v>#N/A</v>
      </c>
      <c r="AI93" s="686" t="e">
        <f t="shared" si="27"/>
        <v>#N/A</v>
      </c>
      <c r="AJ93" s="686" t="e">
        <f t="shared" si="27"/>
        <v>#N/A</v>
      </c>
      <c r="AK93" s="686" t="e">
        <f t="shared" si="27"/>
        <v>#N/A</v>
      </c>
      <c r="AL93" s="686" t="e">
        <f t="shared" si="27"/>
        <v>#N/A</v>
      </c>
      <c r="AM93" s="686" t="e">
        <f t="shared" si="27"/>
        <v>#N/A</v>
      </c>
      <c r="AN93" s="686" t="e">
        <f t="shared" si="27"/>
        <v>#N/A</v>
      </c>
      <c r="AO93" s="686" t="e">
        <f t="shared" si="27"/>
        <v>#N/A</v>
      </c>
      <c r="AP93" s="686" t="e">
        <f t="shared" si="27"/>
        <v>#N/A</v>
      </c>
      <c r="AQ93" s="686" t="e">
        <f t="shared" si="27"/>
        <v>#N/A</v>
      </c>
      <c r="AR93" s="686" t="e">
        <f t="shared" si="27"/>
        <v>#N/A</v>
      </c>
      <c r="AS93" s="686">
        <f t="shared" si="27"/>
        <v>51.339999999999961</v>
      </c>
      <c r="AT93" s="686">
        <f t="shared" si="27"/>
        <v>63.419999999999995</v>
      </c>
      <c r="AU93" s="686">
        <f t="shared" ref="AU93:BZ93" si="28">SUMIF($I$11:$I$26,$N93,AU$11:AU$26)</f>
        <v>75.5</v>
      </c>
      <c r="AV93" s="686">
        <f t="shared" si="28"/>
        <v>87.58</v>
      </c>
      <c r="AW93" s="686">
        <f t="shared" si="28"/>
        <v>169.11999999999998</v>
      </c>
      <c r="AX93" s="686">
        <f t="shared" si="28"/>
        <v>170.64999999999995</v>
      </c>
      <c r="AY93" s="686">
        <f t="shared" si="28"/>
        <v>122.36999999999996</v>
      </c>
      <c r="AZ93" s="686">
        <f t="shared" si="28"/>
        <v>57.49999999999995</v>
      </c>
      <c r="BA93" s="686">
        <f t="shared" si="28"/>
        <v>21.339999999999961</v>
      </c>
      <c r="BB93" s="686">
        <f t="shared" si="28"/>
        <v>21.419999999999959</v>
      </c>
      <c r="BC93" s="686">
        <f t="shared" si="28"/>
        <v>26.01</v>
      </c>
      <c r="BD93" s="686">
        <f t="shared" si="28"/>
        <v>27.540000000000003</v>
      </c>
      <c r="BE93" s="686">
        <f t="shared" si="28"/>
        <v>29.070000000000004</v>
      </c>
      <c r="BF93" s="686">
        <f t="shared" si="28"/>
        <v>30.600000000000005</v>
      </c>
      <c r="BG93" s="686">
        <f t="shared" si="28"/>
        <v>32.130000000000003</v>
      </c>
      <c r="BH93" s="686">
        <f t="shared" si="28"/>
        <v>41.31</v>
      </c>
      <c r="BI93" s="686">
        <f t="shared" si="28"/>
        <v>82.62</v>
      </c>
      <c r="BJ93" s="686">
        <f t="shared" si="28"/>
        <v>61.2</v>
      </c>
      <c r="BK93" s="686">
        <f t="shared" si="28"/>
        <v>3.0600000000000023</v>
      </c>
      <c r="BL93" s="686">
        <f t="shared" si="28"/>
        <v>0</v>
      </c>
      <c r="BM93" s="686" t="e">
        <f t="shared" si="28"/>
        <v>#N/A</v>
      </c>
      <c r="BN93" s="686">
        <f t="shared" si="28"/>
        <v>0</v>
      </c>
      <c r="BO93" s="686">
        <f t="shared" si="28"/>
        <v>0</v>
      </c>
      <c r="BP93" s="686">
        <f t="shared" si="28"/>
        <v>0</v>
      </c>
      <c r="BQ93" s="686">
        <f t="shared" si="28"/>
        <v>0</v>
      </c>
      <c r="BR93" s="686">
        <f t="shared" si="28"/>
        <v>0</v>
      </c>
      <c r="BS93" s="686">
        <f t="shared" si="28"/>
        <v>0</v>
      </c>
      <c r="BT93" s="686">
        <f t="shared" si="28"/>
        <v>0</v>
      </c>
      <c r="BU93" s="686">
        <f t="shared" si="28"/>
        <v>0</v>
      </c>
      <c r="BV93" s="686">
        <f t="shared" si="28"/>
        <v>0</v>
      </c>
      <c r="BW93" s="686">
        <f t="shared" si="28"/>
        <v>0</v>
      </c>
      <c r="BX93" s="686">
        <f t="shared" si="28"/>
        <v>0</v>
      </c>
      <c r="BY93" s="686">
        <f t="shared" si="28"/>
        <v>0</v>
      </c>
      <c r="BZ93" s="687">
        <f t="shared" si="28"/>
        <v>0</v>
      </c>
      <c r="CA93" s="700"/>
    </row>
    <row r="94" spans="1:80" s="8" customFormat="1" ht="18" customHeight="1" thickBot="1" x14ac:dyDescent="0.35">
      <c r="A94" s="1001"/>
      <c r="B94" s="1002"/>
      <c r="C94" s="1012"/>
      <c r="D94" s="872"/>
      <c r="E94" s="873"/>
      <c r="F94" s="873"/>
      <c r="G94" s="874"/>
      <c r="H94" s="873"/>
      <c r="I94" s="873"/>
      <c r="J94" s="873"/>
      <c r="K94" s="873"/>
      <c r="L94" s="875"/>
      <c r="M94" s="873"/>
      <c r="N94" s="876"/>
      <c r="O94" s="877"/>
      <c r="P94" s="878"/>
      <c r="Q94" s="878"/>
      <c r="R94" s="878"/>
      <c r="S94" s="878"/>
      <c r="T94" s="878"/>
      <c r="U94" s="878"/>
      <c r="V94" s="878"/>
      <c r="W94" s="878"/>
      <c r="X94" s="878"/>
      <c r="Y94" s="903" t="s">
        <v>27</v>
      </c>
      <c r="Z94" s="878"/>
      <c r="AA94" s="878"/>
      <c r="AB94" s="878"/>
      <c r="AC94" s="878"/>
      <c r="AD94" s="878"/>
      <c r="AE94" s="878"/>
      <c r="AF94" s="878"/>
      <c r="AG94" s="878"/>
      <c r="AH94" s="878"/>
      <c r="AI94" s="878"/>
      <c r="AJ94" s="878"/>
      <c r="AK94" s="878"/>
      <c r="AL94" s="878"/>
      <c r="AM94" s="878"/>
      <c r="AN94" s="878"/>
      <c r="AO94" s="878"/>
      <c r="AP94" s="878"/>
      <c r="AQ94" s="878"/>
      <c r="AR94" s="878"/>
      <c r="AS94" s="879" t="s">
        <v>27</v>
      </c>
      <c r="AT94" s="878"/>
      <c r="AU94" s="903" t="s">
        <v>27</v>
      </c>
      <c r="AV94" s="878"/>
      <c r="AW94" s="878"/>
      <c r="AX94" s="878"/>
      <c r="AY94" s="878"/>
      <c r="AZ94" s="878"/>
      <c r="BA94" s="878"/>
      <c r="BB94" s="878"/>
      <c r="BC94" s="878"/>
      <c r="BD94" s="903" t="s">
        <v>27</v>
      </c>
      <c r="BE94" s="878"/>
      <c r="BF94" s="878"/>
      <c r="BG94" s="878"/>
      <c r="BH94" s="878"/>
      <c r="BI94" s="878"/>
      <c r="BJ94" s="878"/>
      <c r="BK94" s="878"/>
      <c r="BL94" s="878"/>
      <c r="BM94" s="878"/>
      <c r="BN94" s="879" t="s">
        <v>27</v>
      </c>
      <c r="BO94" s="878"/>
      <c r="BP94" s="878"/>
      <c r="BQ94" s="878"/>
      <c r="BR94" s="878"/>
      <c r="BS94" s="878"/>
      <c r="BT94" s="878"/>
      <c r="BU94" s="878"/>
      <c r="BV94" s="878"/>
      <c r="BW94" s="878"/>
      <c r="BX94" s="878"/>
      <c r="BY94" s="878"/>
      <c r="BZ94" s="880"/>
      <c r="CA94" s="881"/>
    </row>
    <row r="95" spans="1:80" s="8" customFormat="1" ht="18" customHeight="1" x14ac:dyDescent="0.3">
      <c r="A95" s="702"/>
      <c r="B95" s="703"/>
      <c r="C95" s="703"/>
      <c r="D95" s="882"/>
      <c r="E95" s="883"/>
      <c r="F95" s="883"/>
      <c r="G95" s="884"/>
      <c r="H95" s="883"/>
      <c r="I95" s="883"/>
      <c r="J95" s="883"/>
      <c r="K95" s="883"/>
      <c r="L95" s="885"/>
      <c r="M95" s="883"/>
      <c r="N95" s="886"/>
      <c r="O95" s="887"/>
      <c r="P95" s="888"/>
      <c r="Q95" s="888"/>
      <c r="R95" s="888"/>
      <c r="S95" s="888"/>
      <c r="T95" s="888"/>
      <c r="U95" s="888"/>
      <c r="V95" s="888"/>
      <c r="W95" s="888"/>
      <c r="X95" s="888"/>
      <c r="Y95" s="888"/>
      <c r="Z95" s="888"/>
      <c r="AA95" s="888"/>
      <c r="AB95" s="888"/>
      <c r="AC95" s="888"/>
      <c r="AD95" s="888"/>
      <c r="AE95" s="888"/>
      <c r="AF95" s="888"/>
      <c r="AG95" s="888"/>
      <c r="AH95" s="888"/>
      <c r="AI95" s="888"/>
      <c r="AJ95" s="888"/>
      <c r="AK95" s="888"/>
      <c r="AL95" s="888"/>
      <c r="AM95" s="888"/>
      <c r="AN95" s="888"/>
      <c r="AO95" s="888"/>
      <c r="AP95" s="888"/>
      <c r="AQ95" s="888"/>
      <c r="AR95" s="888"/>
      <c r="AS95" s="888"/>
      <c r="AT95" s="888"/>
      <c r="AU95" s="888"/>
      <c r="AV95" s="888"/>
      <c r="AW95" s="888"/>
      <c r="AX95" s="888"/>
      <c r="AY95" s="888"/>
      <c r="AZ95" s="888"/>
      <c r="BA95" s="888"/>
      <c r="BB95" s="888"/>
      <c r="BC95" s="888"/>
      <c r="BD95" s="888"/>
      <c r="BE95" s="888"/>
      <c r="BF95" s="888"/>
      <c r="BG95" s="888"/>
      <c r="BH95" s="888"/>
      <c r="BI95" s="888"/>
      <c r="BJ95" s="888"/>
      <c r="BK95" s="888"/>
      <c r="BL95" s="888"/>
      <c r="BM95" s="888"/>
      <c r="BN95" s="888"/>
      <c r="BO95" s="888"/>
      <c r="BP95" s="888"/>
      <c r="BQ95" s="888"/>
      <c r="BR95" s="888"/>
      <c r="BS95" s="888"/>
      <c r="BT95" s="888"/>
      <c r="BU95" s="888"/>
      <c r="BV95" s="888"/>
      <c r="BW95" s="888"/>
      <c r="BX95" s="888"/>
      <c r="BY95" s="888"/>
      <c r="BZ95" s="889"/>
      <c r="CA95" s="890"/>
    </row>
    <row r="96" spans="1:80" s="8" customFormat="1" ht="30" customHeight="1" x14ac:dyDescent="0.25">
      <c r="A96" s="702"/>
      <c r="B96" s="703"/>
      <c r="C96" s="703"/>
      <c r="D96" s="716"/>
      <c r="E96" s="89"/>
      <c r="F96" s="717" t="s">
        <v>1061</v>
      </c>
      <c r="G96" s="721">
        <f>COUNTIF(O97:BZ97,"DEP")</f>
        <v>5</v>
      </c>
      <c r="H96" s="89"/>
      <c r="I96" s="89"/>
      <c r="J96" s="717" t="s">
        <v>1062</v>
      </c>
      <c r="K96" s="89"/>
      <c r="L96" s="721" t="e">
        <f>MAX(O96:BZ96)</f>
        <v>#N/A</v>
      </c>
      <c r="M96" s="89"/>
      <c r="N96" s="850" t="s">
        <v>6</v>
      </c>
      <c r="O96" s="688" t="e">
        <f t="shared" ref="O96:AT96" si="29">SUMIF($I$11:$I$26,$N96,O$11:O$26)</f>
        <v>#N/A</v>
      </c>
      <c r="P96" s="689" t="e">
        <f t="shared" si="29"/>
        <v>#N/A</v>
      </c>
      <c r="Q96" s="689" t="e">
        <f t="shared" si="29"/>
        <v>#N/A</v>
      </c>
      <c r="R96" s="689" t="e">
        <f t="shared" si="29"/>
        <v>#N/A</v>
      </c>
      <c r="S96" s="689" t="e">
        <f t="shared" si="29"/>
        <v>#N/A</v>
      </c>
      <c r="T96" s="689" t="e">
        <f t="shared" si="29"/>
        <v>#N/A</v>
      </c>
      <c r="U96" s="689" t="e">
        <f t="shared" si="29"/>
        <v>#N/A</v>
      </c>
      <c r="V96" s="689" t="e">
        <f t="shared" si="29"/>
        <v>#N/A</v>
      </c>
      <c r="W96" s="689" t="e">
        <f t="shared" si="29"/>
        <v>#N/A</v>
      </c>
      <c r="X96" s="689" t="e">
        <f t="shared" si="29"/>
        <v>#N/A</v>
      </c>
      <c r="Y96" s="689" t="e">
        <f t="shared" si="29"/>
        <v>#N/A</v>
      </c>
      <c r="Z96" s="689" t="e">
        <f t="shared" si="29"/>
        <v>#N/A</v>
      </c>
      <c r="AA96" s="689" t="e">
        <f t="shared" si="29"/>
        <v>#N/A</v>
      </c>
      <c r="AB96" s="689" t="e">
        <f t="shared" si="29"/>
        <v>#N/A</v>
      </c>
      <c r="AC96" s="689" t="e">
        <f t="shared" si="29"/>
        <v>#N/A</v>
      </c>
      <c r="AD96" s="689" t="e">
        <f t="shared" si="29"/>
        <v>#N/A</v>
      </c>
      <c r="AE96" s="689" t="e">
        <f t="shared" si="29"/>
        <v>#N/A</v>
      </c>
      <c r="AF96" s="689" t="e">
        <f t="shared" si="29"/>
        <v>#N/A</v>
      </c>
      <c r="AG96" s="689" t="e">
        <f t="shared" si="29"/>
        <v>#N/A</v>
      </c>
      <c r="AH96" s="689" t="e">
        <f t="shared" si="29"/>
        <v>#N/A</v>
      </c>
      <c r="AI96" s="689" t="e">
        <f t="shared" si="29"/>
        <v>#N/A</v>
      </c>
      <c r="AJ96" s="689" t="e">
        <f t="shared" si="29"/>
        <v>#N/A</v>
      </c>
      <c r="AK96" s="689" t="e">
        <f t="shared" si="29"/>
        <v>#N/A</v>
      </c>
      <c r="AL96" s="689" t="e">
        <f t="shared" si="29"/>
        <v>#N/A</v>
      </c>
      <c r="AM96" s="689" t="e">
        <f t="shared" si="29"/>
        <v>#N/A</v>
      </c>
      <c r="AN96" s="689" t="e">
        <f t="shared" si="29"/>
        <v>#N/A</v>
      </c>
      <c r="AO96" s="689" t="e">
        <f t="shared" si="29"/>
        <v>#N/A</v>
      </c>
      <c r="AP96" s="689" t="e">
        <f t="shared" si="29"/>
        <v>#N/A</v>
      </c>
      <c r="AQ96" s="689" t="e">
        <f t="shared" si="29"/>
        <v>#N/A</v>
      </c>
      <c r="AR96" s="689" t="e">
        <f t="shared" si="29"/>
        <v>#N/A</v>
      </c>
      <c r="AS96" s="689" t="e">
        <f t="shared" si="29"/>
        <v>#N/A</v>
      </c>
      <c r="AT96" s="689" t="e">
        <f t="shared" si="29"/>
        <v>#N/A</v>
      </c>
      <c r="AU96" s="689" t="e">
        <f t="shared" ref="AU96:BZ96" si="30">SUMIF($I$11:$I$26,$N96,AU$11:AU$26)</f>
        <v>#N/A</v>
      </c>
      <c r="AV96" s="689" t="e">
        <f t="shared" si="30"/>
        <v>#N/A</v>
      </c>
      <c r="AW96" s="689" t="e">
        <f t="shared" si="30"/>
        <v>#N/A</v>
      </c>
      <c r="AX96" s="689" t="e">
        <f t="shared" si="30"/>
        <v>#N/A</v>
      </c>
      <c r="AY96" s="689" t="e">
        <f t="shared" si="30"/>
        <v>#N/A</v>
      </c>
      <c r="AZ96" s="689" t="e">
        <f t="shared" si="30"/>
        <v>#N/A</v>
      </c>
      <c r="BA96" s="689" t="e">
        <f t="shared" si="30"/>
        <v>#N/A</v>
      </c>
      <c r="BB96" s="689" t="e">
        <f t="shared" si="30"/>
        <v>#N/A</v>
      </c>
      <c r="BC96" s="689" t="e">
        <f t="shared" si="30"/>
        <v>#N/A</v>
      </c>
      <c r="BD96" s="689" t="e">
        <f t="shared" si="30"/>
        <v>#N/A</v>
      </c>
      <c r="BE96" s="689" t="e">
        <f t="shared" si="30"/>
        <v>#N/A</v>
      </c>
      <c r="BF96" s="689" t="e">
        <f t="shared" si="30"/>
        <v>#N/A</v>
      </c>
      <c r="BG96" s="689" t="e">
        <f t="shared" si="30"/>
        <v>#N/A</v>
      </c>
      <c r="BH96" s="689" t="e">
        <f t="shared" si="30"/>
        <v>#N/A</v>
      </c>
      <c r="BI96" s="689" t="e">
        <f t="shared" si="30"/>
        <v>#N/A</v>
      </c>
      <c r="BJ96" s="689" t="e">
        <f t="shared" si="30"/>
        <v>#N/A</v>
      </c>
      <c r="BK96" s="689" t="e">
        <f t="shared" si="30"/>
        <v>#N/A</v>
      </c>
      <c r="BL96" s="689" t="e">
        <f t="shared" si="30"/>
        <v>#N/A</v>
      </c>
      <c r="BM96" s="689" t="e">
        <f t="shared" si="30"/>
        <v>#N/A</v>
      </c>
      <c r="BN96" s="689" t="e">
        <f t="shared" si="30"/>
        <v>#N/A</v>
      </c>
      <c r="BO96" s="689" t="e">
        <f t="shared" si="30"/>
        <v>#N/A</v>
      </c>
      <c r="BP96" s="689" t="e">
        <f t="shared" si="30"/>
        <v>#N/A</v>
      </c>
      <c r="BQ96" s="689" t="e">
        <f t="shared" si="30"/>
        <v>#N/A</v>
      </c>
      <c r="BR96" s="689" t="e">
        <f t="shared" si="30"/>
        <v>#N/A</v>
      </c>
      <c r="BS96" s="689" t="e">
        <f t="shared" si="30"/>
        <v>#N/A</v>
      </c>
      <c r="BT96" s="689" t="e">
        <f t="shared" si="30"/>
        <v>#N/A</v>
      </c>
      <c r="BU96" s="689" t="e">
        <f t="shared" si="30"/>
        <v>#N/A</v>
      </c>
      <c r="BV96" s="689" t="e">
        <f t="shared" si="30"/>
        <v>#N/A</v>
      </c>
      <c r="BW96" s="689" t="e">
        <f t="shared" si="30"/>
        <v>#N/A</v>
      </c>
      <c r="BX96" s="689" t="e">
        <f t="shared" si="30"/>
        <v>#N/A</v>
      </c>
      <c r="BY96" s="689">
        <f t="shared" si="30"/>
        <v>0</v>
      </c>
      <c r="BZ96" s="690">
        <f t="shared" si="30"/>
        <v>0</v>
      </c>
      <c r="CA96" s="698"/>
    </row>
    <row r="97" spans="1:79" s="8" customFormat="1" ht="18" customHeight="1" thickBot="1" x14ac:dyDescent="0.35">
      <c r="A97" s="704"/>
      <c r="B97" s="705"/>
      <c r="C97" s="703"/>
      <c r="D97" s="872"/>
      <c r="E97" s="873"/>
      <c r="F97" s="873"/>
      <c r="G97" s="874"/>
      <c r="H97" s="873"/>
      <c r="I97" s="873"/>
      <c r="J97" s="873"/>
      <c r="K97" s="873"/>
      <c r="L97" s="875"/>
      <c r="M97" s="873"/>
      <c r="N97" s="891"/>
      <c r="O97" s="877"/>
      <c r="P97" s="878"/>
      <c r="Q97" s="878"/>
      <c r="R97" s="878"/>
      <c r="S97" s="878"/>
      <c r="T97" s="878"/>
      <c r="U97" s="878"/>
      <c r="V97" s="878"/>
      <c r="W97" s="878"/>
      <c r="X97" s="878"/>
      <c r="Y97" s="878"/>
      <c r="Z97" s="878"/>
      <c r="AA97" s="878"/>
      <c r="AB97" s="878"/>
      <c r="AC97" s="878"/>
      <c r="AD97" s="878"/>
      <c r="AE97" s="878"/>
      <c r="AF97" s="878"/>
      <c r="AG97" s="878"/>
      <c r="AH97" s="878"/>
      <c r="AI97" s="878"/>
      <c r="AJ97" s="878"/>
      <c r="AK97" s="878"/>
      <c r="AL97" s="878"/>
      <c r="AM97" s="878"/>
      <c r="AN97" s="903" t="s">
        <v>27</v>
      </c>
      <c r="AO97" s="878"/>
      <c r="AP97" s="878"/>
      <c r="AQ97" s="878"/>
      <c r="AR97" s="878"/>
      <c r="AS97" s="878"/>
      <c r="AT97" s="878"/>
      <c r="AU97" s="878"/>
      <c r="AV97" s="879" t="s">
        <v>27</v>
      </c>
      <c r="AW97" s="878"/>
      <c r="AX97" s="878"/>
      <c r="AY97" s="878"/>
      <c r="AZ97" s="878"/>
      <c r="BA97" s="878"/>
      <c r="BB97" s="878"/>
      <c r="BC97" s="878"/>
      <c r="BD97" s="878"/>
      <c r="BE97" s="878"/>
      <c r="BF97" s="879" t="s">
        <v>27</v>
      </c>
      <c r="BG97" s="903" t="s">
        <v>27</v>
      </c>
      <c r="BH97" s="878"/>
      <c r="BI97" s="878"/>
      <c r="BJ97" s="878"/>
      <c r="BK97" s="878"/>
      <c r="BL97" s="878"/>
      <c r="BM97" s="878"/>
      <c r="BN97" s="878"/>
      <c r="BO97" s="878"/>
      <c r="BP97" s="878"/>
      <c r="BQ97" s="878"/>
      <c r="BR97" s="878"/>
      <c r="BS97" s="878"/>
      <c r="BT97" s="878"/>
      <c r="BU97" s="878"/>
      <c r="BV97" s="878"/>
      <c r="BW97" s="878"/>
      <c r="BX97" s="878"/>
      <c r="BY97" s="903" t="s">
        <v>27</v>
      </c>
      <c r="BZ97" s="880"/>
      <c r="CA97" s="881"/>
    </row>
    <row r="98" spans="1:79" s="8" customFormat="1" ht="18" hidden="1" customHeight="1" x14ac:dyDescent="0.35">
      <c r="A98" s="704"/>
      <c r="B98" s="705"/>
      <c r="C98" s="703"/>
      <c r="D98" s="892"/>
      <c r="E98" s="893"/>
      <c r="F98" s="893"/>
      <c r="G98" s="894"/>
      <c r="H98" s="893"/>
      <c r="I98" s="893"/>
      <c r="J98" s="893"/>
      <c r="K98" s="893"/>
      <c r="L98" s="895"/>
      <c r="M98" s="893"/>
      <c r="N98" s="896"/>
      <c r="O98" s="897"/>
      <c r="P98" s="898"/>
      <c r="Q98" s="898"/>
      <c r="R98" s="898"/>
      <c r="S98" s="898"/>
      <c r="T98" s="898"/>
      <c r="U98" s="898"/>
      <c r="V98" s="898"/>
      <c r="W98" s="898"/>
      <c r="X98" s="898"/>
      <c r="Y98" s="898"/>
      <c r="Z98" s="898"/>
      <c r="AA98" s="898"/>
      <c r="AB98" s="898"/>
      <c r="AC98" s="898"/>
      <c r="AD98" s="898"/>
      <c r="AE98" s="898"/>
      <c r="AF98" s="898"/>
      <c r="AG98" s="898"/>
      <c r="AH98" s="898"/>
      <c r="AI98" s="898"/>
      <c r="AJ98" s="898"/>
      <c r="AK98" s="898"/>
      <c r="AL98" s="898"/>
      <c r="AM98" s="898"/>
      <c r="AN98" s="898"/>
      <c r="AO98" s="898"/>
      <c r="AP98" s="898"/>
      <c r="AQ98" s="898"/>
      <c r="AR98" s="898"/>
      <c r="AS98" s="898"/>
      <c r="AT98" s="898"/>
      <c r="AU98" s="898"/>
      <c r="AV98" s="898"/>
      <c r="AW98" s="898"/>
      <c r="AX98" s="898"/>
      <c r="AY98" s="898"/>
      <c r="AZ98" s="898"/>
      <c r="BA98" s="898"/>
      <c r="BB98" s="898"/>
      <c r="BC98" s="898"/>
      <c r="BD98" s="898"/>
      <c r="BE98" s="898"/>
      <c r="BF98" s="898"/>
      <c r="BG98" s="898"/>
      <c r="BH98" s="898"/>
      <c r="BI98" s="898"/>
      <c r="BJ98" s="898"/>
      <c r="BK98" s="898"/>
      <c r="BL98" s="898"/>
      <c r="BM98" s="898"/>
      <c r="BN98" s="898"/>
      <c r="BO98" s="898"/>
      <c r="BP98" s="898"/>
      <c r="BQ98" s="898"/>
      <c r="BR98" s="898"/>
      <c r="BS98" s="898"/>
      <c r="BT98" s="898"/>
      <c r="BU98" s="898"/>
      <c r="BV98" s="898"/>
      <c r="BW98" s="898"/>
      <c r="BX98" s="898"/>
      <c r="BY98" s="898"/>
      <c r="BZ98" s="899"/>
      <c r="CA98" s="900"/>
    </row>
    <row r="99" spans="1:79" s="8" customFormat="1" ht="30" hidden="1" customHeight="1" x14ac:dyDescent="0.3">
      <c r="A99" s="645"/>
      <c r="B99" s="84"/>
      <c r="C99" s="525"/>
      <c r="D99" s="892"/>
      <c r="E99" s="893"/>
      <c r="F99" s="901" t="s">
        <v>1061</v>
      </c>
      <c r="G99" s="902">
        <f>COUNTIF(O100:BZ100,"DEP")</f>
        <v>0</v>
      </c>
      <c r="H99" s="893"/>
      <c r="I99" s="893"/>
      <c r="J99" s="901" t="s">
        <v>1062</v>
      </c>
      <c r="K99" s="893"/>
      <c r="L99" s="902">
        <f>MAX(O99:BZ99)</f>
        <v>0</v>
      </c>
      <c r="M99" s="893"/>
      <c r="N99" s="896" t="s">
        <v>7</v>
      </c>
      <c r="O99" s="897">
        <f t="shared" ref="O99:AT99" si="31">SUMIF($I$11:$I$26,$N99,O$11:O$26)</f>
        <v>0</v>
      </c>
      <c r="P99" s="898">
        <f t="shared" si="31"/>
        <v>0</v>
      </c>
      <c r="Q99" s="898">
        <f t="shared" si="31"/>
        <v>0</v>
      </c>
      <c r="R99" s="898">
        <f t="shared" si="31"/>
        <v>0</v>
      </c>
      <c r="S99" s="898">
        <f t="shared" si="31"/>
        <v>0</v>
      </c>
      <c r="T99" s="898">
        <f t="shared" si="31"/>
        <v>0</v>
      </c>
      <c r="U99" s="898">
        <f t="shared" si="31"/>
        <v>0</v>
      </c>
      <c r="V99" s="898">
        <f t="shared" si="31"/>
        <v>0</v>
      </c>
      <c r="W99" s="898">
        <f t="shared" si="31"/>
        <v>0</v>
      </c>
      <c r="X99" s="898">
        <f t="shared" si="31"/>
        <v>0</v>
      </c>
      <c r="Y99" s="898">
        <f t="shared" si="31"/>
        <v>0</v>
      </c>
      <c r="Z99" s="898">
        <f t="shared" si="31"/>
        <v>0</v>
      </c>
      <c r="AA99" s="898">
        <f t="shared" si="31"/>
        <v>0</v>
      </c>
      <c r="AB99" s="898">
        <f t="shared" si="31"/>
        <v>0</v>
      </c>
      <c r="AC99" s="898">
        <f t="shared" si="31"/>
        <v>0</v>
      </c>
      <c r="AD99" s="898">
        <f t="shared" si="31"/>
        <v>0</v>
      </c>
      <c r="AE99" s="898">
        <f t="shared" si="31"/>
        <v>0</v>
      </c>
      <c r="AF99" s="898">
        <f t="shared" si="31"/>
        <v>0</v>
      </c>
      <c r="AG99" s="898">
        <f t="shared" si="31"/>
        <v>0</v>
      </c>
      <c r="AH99" s="898">
        <f t="shared" si="31"/>
        <v>0</v>
      </c>
      <c r="AI99" s="898">
        <f t="shared" si="31"/>
        <v>0</v>
      </c>
      <c r="AJ99" s="898">
        <f t="shared" si="31"/>
        <v>0</v>
      </c>
      <c r="AK99" s="898">
        <f t="shared" si="31"/>
        <v>0</v>
      </c>
      <c r="AL99" s="898">
        <f t="shared" si="31"/>
        <v>0</v>
      </c>
      <c r="AM99" s="898">
        <f t="shared" si="31"/>
        <v>0</v>
      </c>
      <c r="AN99" s="898">
        <f t="shared" si="31"/>
        <v>0</v>
      </c>
      <c r="AO99" s="898">
        <f t="shared" si="31"/>
        <v>0</v>
      </c>
      <c r="AP99" s="898">
        <f t="shared" si="31"/>
        <v>0</v>
      </c>
      <c r="AQ99" s="898">
        <f t="shared" si="31"/>
        <v>0</v>
      </c>
      <c r="AR99" s="898">
        <f t="shared" si="31"/>
        <v>0</v>
      </c>
      <c r="AS99" s="898">
        <f t="shared" si="31"/>
        <v>0</v>
      </c>
      <c r="AT99" s="898">
        <f t="shared" si="31"/>
        <v>0</v>
      </c>
      <c r="AU99" s="898">
        <f t="shared" ref="AU99:BZ99" si="32">SUMIF($I$11:$I$26,$N99,AU$11:AU$26)</f>
        <v>0</v>
      </c>
      <c r="AV99" s="898">
        <f t="shared" si="32"/>
        <v>0</v>
      </c>
      <c r="AW99" s="898">
        <f t="shared" si="32"/>
        <v>0</v>
      </c>
      <c r="AX99" s="898">
        <f t="shared" si="32"/>
        <v>0</v>
      </c>
      <c r="AY99" s="898">
        <f t="shared" si="32"/>
        <v>0</v>
      </c>
      <c r="AZ99" s="898">
        <f t="shared" si="32"/>
        <v>0</v>
      </c>
      <c r="BA99" s="898">
        <f t="shared" si="32"/>
        <v>0</v>
      </c>
      <c r="BB99" s="898">
        <f t="shared" si="32"/>
        <v>0</v>
      </c>
      <c r="BC99" s="898">
        <f t="shared" si="32"/>
        <v>0</v>
      </c>
      <c r="BD99" s="898">
        <f t="shared" si="32"/>
        <v>0</v>
      </c>
      <c r="BE99" s="898">
        <f t="shared" si="32"/>
        <v>0</v>
      </c>
      <c r="BF99" s="898">
        <f t="shared" si="32"/>
        <v>0</v>
      </c>
      <c r="BG99" s="898">
        <f t="shared" si="32"/>
        <v>0</v>
      </c>
      <c r="BH99" s="898">
        <f t="shared" si="32"/>
        <v>0</v>
      </c>
      <c r="BI99" s="898">
        <f t="shared" si="32"/>
        <v>0</v>
      </c>
      <c r="BJ99" s="898">
        <f t="shared" si="32"/>
        <v>0</v>
      </c>
      <c r="BK99" s="898">
        <f t="shared" si="32"/>
        <v>0</v>
      </c>
      <c r="BL99" s="898">
        <f t="shared" si="32"/>
        <v>0</v>
      </c>
      <c r="BM99" s="898">
        <f t="shared" si="32"/>
        <v>0</v>
      </c>
      <c r="BN99" s="898">
        <f t="shared" si="32"/>
        <v>0</v>
      </c>
      <c r="BO99" s="898">
        <f t="shared" si="32"/>
        <v>0</v>
      </c>
      <c r="BP99" s="898">
        <f t="shared" si="32"/>
        <v>0</v>
      </c>
      <c r="BQ99" s="898">
        <f t="shared" si="32"/>
        <v>0</v>
      </c>
      <c r="BR99" s="898">
        <f t="shared" si="32"/>
        <v>0</v>
      </c>
      <c r="BS99" s="898">
        <f t="shared" si="32"/>
        <v>0</v>
      </c>
      <c r="BT99" s="898">
        <f t="shared" si="32"/>
        <v>0</v>
      </c>
      <c r="BU99" s="898">
        <f t="shared" si="32"/>
        <v>0</v>
      </c>
      <c r="BV99" s="898">
        <f t="shared" si="32"/>
        <v>0</v>
      </c>
      <c r="BW99" s="898">
        <f t="shared" si="32"/>
        <v>0</v>
      </c>
      <c r="BX99" s="898">
        <f t="shared" si="32"/>
        <v>0</v>
      </c>
      <c r="BY99" s="898">
        <f t="shared" si="32"/>
        <v>0</v>
      </c>
      <c r="BZ99" s="899">
        <f t="shared" si="32"/>
        <v>0</v>
      </c>
      <c r="CA99" s="900"/>
    </row>
    <row r="100" spans="1:79" s="8" customFormat="1" ht="18" hidden="1" customHeight="1" x14ac:dyDescent="0.35">
      <c r="A100" s="645"/>
      <c r="B100" s="84"/>
      <c r="C100" s="525"/>
      <c r="D100" s="892"/>
      <c r="E100" s="893"/>
      <c r="F100" s="893"/>
      <c r="G100" s="894"/>
      <c r="H100" s="893"/>
      <c r="I100" s="893"/>
      <c r="J100" s="893"/>
      <c r="K100" s="893"/>
      <c r="L100" s="895"/>
      <c r="M100" s="893"/>
      <c r="N100" s="896"/>
      <c r="O100" s="897"/>
      <c r="P100" s="898"/>
      <c r="Q100" s="898"/>
      <c r="R100" s="898"/>
      <c r="S100" s="898"/>
      <c r="T100" s="898"/>
      <c r="U100" s="898"/>
      <c r="V100" s="898"/>
      <c r="W100" s="898"/>
      <c r="X100" s="898"/>
      <c r="Y100" s="898"/>
      <c r="Z100" s="898"/>
      <c r="AA100" s="898"/>
      <c r="AB100" s="898"/>
      <c r="AC100" s="898"/>
      <c r="AD100" s="898"/>
      <c r="AE100" s="898"/>
      <c r="AF100" s="898"/>
      <c r="AG100" s="898"/>
      <c r="AH100" s="898"/>
      <c r="AI100" s="898"/>
      <c r="AJ100" s="898"/>
      <c r="AK100" s="898"/>
      <c r="AL100" s="898"/>
      <c r="AM100" s="898"/>
      <c r="AN100" s="898"/>
      <c r="AO100" s="898"/>
      <c r="AP100" s="898"/>
      <c r="AQ100" s="898"/>
      <c r="AR100" s="898"/>
      <c r="AS100" s="898"/>
      <c r="AT100" s="898"/>
      <c r="AU100" s="898"/>
      <c r="AV100" s="898"/>
      <c r="AW100" s="898"/>
      <c r="AX100" s="898"/>
      <c r="AY100" s="898"/>
      <c r="AZ100" s="898"/>
      <c r="BA100" s="898"/>
      <c r="BB100" s="898"/>
      <c r="BC100" s="898"/>
      <c r="BD100" s="898"/>
      <c r="BE100" s="898"/>
      <c r="BF100" s="898"/>
      <c r="BG100" s="898"/>
      <c r="BH100" s="898"/>
      <c r="BI100" s="898"/>
      <c r="BJ100" s="898"/>
      <c r="BK100" s="898"/>
      <c r="BL100" s="898"/>
      <c r="BM100" s="898"/>
      <c r="BN100" s="898"/>
      <c r="BO100" s="898"/>
      <c r="BP100" s="898"/>
      <c r="BQ100" s="898"/>
      <c r="BR100" s="898"/>
      <c r="BS100" s="898"/>
      <c r="BT100" s="898"/>
      <c r="BU100" s="898"/>
      <c r="BV100" s="898"/>
      <c r="BW100" s="898"/>
      <c r="BX100" s="898"/>
      <c r="BY100" s="898"/>
      <c r="BZ100" s="899"/>
      <c r="CA100" s="900"/>
    </row>
    <row r="101" spans="1:79" s="8" customFormat="1" ht="18" hidden="1" customHeight="1" x14ac:dyDescent="0.35">
      <c r="A101" s="645"/>
      <c r="B101" s="84"/>
      <c r="C101" s="525"/>
      <c r="D101" s="892"/>
      <c r="E101" s="893"/>
      <c r="F101" s="893"/>
      <c r="G101" s="894"/>
      <c r="H101" s="893"/>
      <c r="I101" s="893"/>
      <c r="J101" s="893"/>
      <c r="K101" s="893"/>
      <c r="L101" s="895"/>
      <c r="M101" s="893"/>
      <c r="N101" s="896"/>
      <c r="O101" s="897"/>
      <c r="P101" s="898"/>
      <c r="Q101" s="898"/>
      <c r="R101" s="898"/>
      <c r="S101" s="898"/>
      <c r="T101" s="898"/>
      <c r="U101" s="898"/>
      <c r="V101" s="898"/>
      <c r="W101" s="898"/>
      <c r="X101" s="898"/>
      <c r="Y101" s="898"/>
      <c r="Z101" s="898"/>
      <c r="AA101" s="898"/>
      <c r="AB101" s="898"/>
      <c r="AC101" s="898"/>
      <c r="AD101" s="898"/>
      <c r="AE101" s="898"/>
      <c r="AF101" s="898"/>
      <c r="AG101" s="898"/>
      <c r="AH101" s="898"/>
      <c r="AI101" s="898"/>
      <c r="AJ101" s="898"/>
      <c r="AK101" s="898"/>
      <c r="AL101" s="898"/>
      <c r="AM101" s="898"/>
      <c r="AN101" s="898"/>
      <c r="AO101" s="898"/>
      <c r="AP101" s="898"/>
      <c r="AQ101" s="898"/>
      <c r="AR101" s="898"/>
      <c r="AS101" s="898"/>
      <c r="AT101" s="898"/>
      <c r="AU101" s="898"/>
      <c r="AV101" s="898"/>
      <c r="AW101" s="898"/>
      <c r="AX101" s="898"/>
      <c r="AY101" s="898"/>
      <c r="AZ101" s="898"/>
      <c r="BA101" s="898"/>
      <c r="BB101" s="898"/>
      <c r="BC101" s="898"/>
      <c r="BD101" s="898"/>
      <c r="BE101" s="898"/>
      <c r="BF101" s="898"/>
      <c r="BG101" s="898"/>
      <c r="BH101" s="898"/>
      <c r="BI101" s="898"/>
      <c r="BJ101" s="898"/>
      <c r="BK101" s="898"/>
      <c r="BL101" s="898"/>
      <c r="BM101" s="898"/>
      <c r="BN101" s="898"/>
      <c r="BO101" s="898"/>
      <c r="BP101" s="898"/>
      <c r="BQ101" s="898"/>
      <c r="BR101" s="898"/>
      <c r="BS101" s="898"/>
      <c r="BT101" s="898"/>
      <c r="BU101" s="898"/>
      <c r="BV101" s="898"/>
      <c r="BW101" s="898"/>
      <c r="BX101" s="898"/>
      <c r="BY101" s="898"/>
      <c r="BZ101" s="899"/>
      <c r="CA101" s="900"/>
    </row>
    <row r="102" spans="1:79" s="8" customFormat="1" ht="30" hidden="1" customHeight="1" x14ac:dyDescent="0.3">
      <c r="A102" s="645"/>
      <c r="B102" s="84"/>
      <c r="C102" s="525"/>
      <c r="D102" s="892"/>
      <c r="E102" s="893"/>
      <c r="F102" s="901" t="s">
        <v>1061</v>
      </c>
      <c r="G102" s="902">
        <f>COUNTIF(O103:BZ103,"DEP")</f>
        <v>0</v>
      </c>
      <c r="H102" s="893"/>
      <c r="I102" s="893"/>
      <c r="J102" s="901" t="s">
        <v>1062</v>
      </c>
      <c r="K102" s="893"/>
      <c r="L102" s="902">
        <f>MAX(O102:BZ102)</f>
        <v>0</v>
      </c>
      <c r="M102" s="893"/>
      <c r="N102" s="896" t="s">
        <v>8</v>
      </c>
      <c r="O102" s="897">
        <f t="shared" ref="O102:AT102" si="33">SUMIF($I$11:$I$26,$N102,O$11:O$26)</f>
        <v>0</v>
      </c>
      <c r="P102" s="898">
        <f t="shared" si="33"/>
        <v>0</v>
      </c>
      <c r="Q102" s="898">
        <f t="shared" si="33"/>
        <v>0</v>
      </c>
      <c r="R102" s="898">
        <f t="shared" si="33"/>
        <v>0</v>
      </c>
      <c r="S102" s="898">
        <f t="shared" si="33"/>
        <v>0</v>
      </c>
      <c r="T102" s="898">
        <f t="shared" si="33"/>
        <v>0</v>
      </c>
      <c r="U102" s="898">
        <f t="shared" si="33"/>
        <v>0</v>
      </c>
      <c r="V102" s="898">
        <f t="shared" si="33"/>
        <v>0</v>
      </c>
      <c r="W102" s="898">
        <f t="shared" si="33"/>
        <v>0</v>
      </c>
      <c r="X102" s="898">
        <f t="shared" si="33"/>
        <v>0</v>
      </c>
      <c r="Y102" s="898">
        <f t="shared" si="33"/>
        <v>0</v>
      </c>
      <c r="Z102" s="898">
        <f t="shared" si="33"/>
        <v>0</v>
      </c>
      <c r="AA102" s="898">
        <f t="shared" si="33"/>
        <v>0</v>
      </c>
      <c r="AB102" s="898">
        <f t="shared" si="33"/>
        <v>0</v>
      </c>
      <c r="AC102" s="898">
        <f t="shared" si="33"/>
        <v>0</v>
      </c>
      <c r="AD102" s="898">
        <f t="shared" si="33"/>
        <v>0</v>
      </c>
      <c r="AE102" s="898">
        <f t="shared" si="33"/>
        <v>0</v>
      </c>
      <c r="AF102" s="898">
        <f t="shared" si="33"/>
        <v>0</v>
      </c>
      <c r="AG102" s="898">
        <f t="shared" si="33"/>
        <v>0</v>
      </c>
      <c r="AH102" s="898">
        <f t="shared" si="33"/>
        <v>0</v>
      </c>
      <c r="AI102" s="898">
        <f t="shared" si="33"/>
        <v>0</v>
      </c>
      <c r="AJ102" s="898">
        <f t="shared" si="33"/>
        <v>0</v>
      </c>
      <c r="AK102" s="898">
        <f t="shared" si="33"/>
        <v>0</v>
      </c>
      <c r="AL102" s="898">
        <f t="shared" si="33"/>
        <v>0</v>
      </c>
      <c r="AM102" s="898">
        <f t="shared" si="33"/>
        <v>0</v>
      </c>
      <c r="AN102" s="898">
        <f t="shared" si="33"/>
        <v>0</v>
      </c>
      <c r="AO102" s="898">
        <f t="shared" si="33"/>
        <v>0</v>
      </c>
      <c r="AP102" s="898">
        <f t="shared" si="33"/>
        <v>0</v>
      </c>
      <c r="AQ102" s="898">
        <f t="shared" si="33"/>
        <v>0</v>
      </c>
      <c r="AR102" s="898">
        <f t="shared" si="33"/>
        <v>0</v>
      </c>
      <c r="AS102" s="898">
        <f t="shared" si="33"/>
        <v>0</v>
      </c>
      <c r="AT102" s="898">
        <f t="shared" si="33"/>
        <v>0</v>
      </c>
      <c r="AU102" s="898">
        <f t="shared" ref="AU102:BZ102" si="34">SUMIF($I$11:$I$26,$N102,AU$11:AU$26)</f>
        <v>0</v>
      </c>
      <c r="AV102" s="898">
        <f t="shared" si="34"/>
        <v>0</v>
      </c>
      <c r="AW102" s="898">
        <f t="shared" si="34"/>
        <v>0</v>
      </c>
      <c r="AX102" s="898">
        <f t="shared" si="34"/>
        <v>0</v>
      </c>
      <c r="AY102" s="898">
        <f t="shared" si="34"/>
        <v>0</v>
      </c>
      <c r="AZ102" s="898">
        <f t="shared" si="34"/>
        <v>0</v>
      </c>
      <c r="BA102" s="898">
        <f t="shared" si="34"/>
        <v>0</v>
      </c>
      <c r="BB102" s="898">
        <f t="shared" si="34"/>
        <v>0</v>
      </c>
      <c r="BC102" s="898">
        <f t="shared" si="34"/>
        <v>0</v>
      </c>
      <c r="BD102" s="898">
        <f t="shared" si="34"/>
        <v>0</v>
      </c>
      <c r="BE102" s="898">
        <f t="shared" si="34"/>
        <v>0</v>
      </c>
      <c r="BF102" s="898">
        <f t="shared" si="34"/>
        <v>0</v>
      </c>
      <c r="BG102" s="898">
        <f t="shared" si="34"/>
        <v>0</v>
      </c>
      <c r="BH102" s="898">
        <f t="shared" si="34"/>
        <v>0</v>
      </c>
      <c r="BI102" s="898">
        <f t="shared" si="34"/>
        <v>0</v>
      </c>
      <c r="BJ102" s="898">
        <f t="shared" si="34"/>
        <v>0</v>
      </c>
      <c r="BK102" s="898">
        <f t="shared" si="34"/>
        <v>0</v>
      </c>
      <c r="BL102" s="898">
        <f t="shared" si="34"/>
        <v>0</v>
      </c>
      <c r="BM102" s="898">
        <f t="shared" si="34"/>
        <v>0</v>
      </c>
      <c r="BN102" s="898">
        <f t="shared" si="34"/>
        <v>0</v>
      </c>
      <c r="BO102" s="898">
        <f t="shared" si="34"/>
        <v>0</v>
      </c>
      <c r="BP102" s="898">
        <f t="shared" si="34"/>
        <v>0</v>
      </c>
      <c r="BQ102" s="898">
        <f t="shared" si="34"/>
        <v>0</v>
      </c>
      <c r="BR102" s="898">
        <f t="shared" si="34"/>
        <v>0</v>
      </c>
      <c r="BS102" s="898">
        <f t="shared" si="34"/>
        <v>0</v>
      </c>
      <c r="BT102" s="898">
        <f t="shared" si="34"/>
        <v>0</v>
      </c>
      <c r="BU102" s="898">
        <f t="shared" si="34"/>
        <v>0</v>
      </c>
      <c r="BV102" s="898">
        <f t="shared" si="34"/>
        <v>0</v>
      </c>
      <c r="BW102" s="898">
        <f t="shared" si="34"/>
        <v>0</v>
      </c>
      <c r="BX102" s="898">
        <f t="shared" si="34"/>
        <v>0</v>
      </c>
      <c r="BY102" s="898">
        <f t="shared" si="34"/>
        <v>0</v>
      </c>
      <c r="BZ102" s="899">
        <f t="shared" si="34"/>
        <v>0</v>
      </c>
      <c r="CA102" s="900"/>
    </row>
    <row r="103" spans="1:79" s="8" customFormat="1" ht="18" hidden="1" customHeight="1" x14ac:dyDescent="0.35">
      <c r="A103" s="645"/>
      <c r="B103" s="84"/>
      <c r="C103" s="525"/>
      <c r="D103" s="892"/>
      <c r="E103" s="893"/>
      <c r="F103" s="893"/>
      <c r="G103" s="894"/>
      <c r="H103" s="893"/>
      <c r="I103" s="893"/>
      <c r="J103" s="893"/>
      <c r="K103" s="893"/>
      <c r="L103" s="895"/>
      <c r="M103" s="893"/>
      <c r="N103" s="896"/>
      <c r="O103" s="897"/>
      <c r="P103" s="898"/>
      <c r="Q103" s="898"/>
      <c r="R103" s="898"/>
      <c r="S103" s="898"/>
      <c r="T103" s="898"/>
      <c r="U103" s="898"/>
      <c r="V103" s="898"/>
      <c r="W103" s="898"/>
      <c r="X103" s="898"/>
      <c r="Y103" s="898"/>
      <c r="Z103" s="898"/>
      <c r="AA103" s="898"/>
      <c r="AB103" s="898"/>
      <c r="AC103" s="898"/>
      <c r="AD103" s="898"/>
      <c r="AE103" s="898"/>
      <c r="AF103" s="898"/>
      <c r="AG103" s="898"/>
      <c r="AH103" s="898"/>
      <c r="AI103" s="898"/>
      <c r="AJ103" s="898"/>
      <c r="AK103" s="898"/>
      <c r="AL103" s="898"/>
      <c r="AM103" s="898"/>
      <c r="AN103" s="898"/>
      <c r="AO103" s="898"/>
      <c r="AP103" s="898"/>
      <c r="AQ103" s="898"/>
      <c r="AR103" s="898"/>
      <c r="AS103" s="898"/>
      <c r="AT103" s="898"/>
      <c r="AU103" s="898"/>
      <c r="AV103" s="898"/>
      <c r="AW103" s="898"/>
      <c r="AX103" s="898"/>
      <c r="AY103" s="898"/>
      <c r="AZ103" s="898"/>
      <c r="BA103" s="898"/>
      <c r="BB103" s="898"/>
      <c r="BC103" s="898"/>
      <c r="BD103" s="898"/>
      <c r="BE103" s="898"/>
      <c r="BF103" s="898"/>
      <c r="BG103" s="898"/>
      <c r="BH103" s="898"/>
      <c r="BI103" s="898"/>
      <c r="BJ103" s="898"/>
      <c r="BK103" s="898"/>
      <c r="BL103" s="898"/>
      <c r="BM103" s="898"/>
      <c r="BN103" s="898"/>
      <c r="BO103" s="898"/>
      <c r="BP103" s="898"/>
      <c r="BQ103" s="898"/>
      <c r="BR103" s="898"/>
      <c r="BS103" s="898"/>
      <c r="BT103" s="898"/>
      <c r="BU103" s="898"/>
      <c r="BV103" s="898"/>
      <c r="BW103" s="898"/>
      <c r="BX103" s="898"/>
      <c r="BY103" s="898"/>
      <c r="BZ103" s="899"/>
      <c r="CA103" s="900"/>
    </row>
    <row r="104" spans="1:79" ht="18" customHeight="1" x14ac:dyDescent="0.3">
      <c r="A104" s="645"/>
      <c r="B104" s="84"/>
      <c r="C104" s="525"/>
      <c r="D104" s="882"/>
      <c r="E104" s="883"/>
      <c r="F104" s="883"/>
      <c r="G104" s="884"/>
      <c r="H104" s="883"/>
      <c r="I104" s="883"/>
      <c r="J104" s="883"/>
      <c r="K104" s="883"/>
      <c r="L104" s="885"/>
      <c r="M104" s="883"/>
      <c r="N104" s="886"/>
      <c r="O104" s="887"/>
      <c r="P104" s="888"/>
      <c r="Q104" s="888"/>
      <c r="R104" s="888"/>
      <c r="S104" s="888"/>
      <c r="T104" s="888"/>
      <c r="U104" s="888"/>
      <c r="V104" s="888"/>
      <c r="W104" s="888"/>
      <c r="X104" s="888"/>
      <c r="Y104" s="888"/>
      <c r="Z104" s="888"/>
      <c r="AA104" s="888"/>
      <c r="AB104" s="888"/>
      <c r="AC104" s="888"/>
      <c r="AD104" s="888"/>
      <c r="AE104" s="888"/>
      <c r="AF104" s="888"/>
      <c r="AG104" s="888"/>
      <c r="AH104" s="888"/>
      <c r="AI104" s="888"/>
      <c r="AJ104" s="888"/>
      <c r="AK104" s="888"/>
      <c r="AL104" s="888"/>
      <c r="AM104" s="888"/>
      <c r="AN104" s="888"/>
      <c r="AO104" s="888"/>
      <c r="AP104" s="888"/>
      <c r="AQ104" s="888"/>
      <c r="AR104" s="888"/>
      <c r="AS104" s="888"/>
      <c r="AT104" s="888"/>
      <c r="AU104" s="888"/>
      <c r="AV104" s="888"/>
      <c r="AW104" s="888"/>
      <c r="AX104" s="888"/>
      <c r="AY104" s="888"/>
      <c r="AZ104" s="888"/>
      <c r="BA104" s="888"/>
      <c r="BB104" s="888"/>
      <c r="BC104" s="888"/>
      <c r="BD104" s="888"/>
      <c r="BE104" s="888"/>
      <c r="BF104" s="888"/>
      <c r="BG104" s="888"/>
      <c r="BH104" s="888"/>
      <c r="BI104" s="888"/>
      <c r="BJ104" s="888"/>
      <c r="BK104" s="888"/>
      <c r="BL104" s="888"/>
      <c r="BM104" s="888"/>
      <c r="BN104" s="888"/>
      <c r="BO104" s="888"/>
      <c r="BP104" s="888"/>
      <c r="BQ104" s="888"/>
      <c r="BR104" s="888"/>
      <c r="BS104" s="888"/>
      <c r="BT104" s="888"/>
      <c r="BU104" s="888"/>
      <c r="BV104" s="888"/>
      <c r="BW104" s="888"/>
      <c r="BX104" s="888"/>
      <c r="BY104" s="888"/>
      <c r="BZ104" s="889"/>
      <c r="CA104" s="890"/>
    </row>
    <row r="105" spans="1:79" ht="30" customHeight="1" x14ac:dyDescent="0.25">
      <c r="A105" s="645"/>
      <c r="B105" s="84"/>
      <c r="C105" s="525"/>
      <c r="D105" s="716"/>
      <c r="E105" s="89"/>
      <c r="F105" s="717" t="s">
        <v>1061</v>
      </c>
      <c r="G105" s="721">
        <f>COUNTIF(O106:BZ106,"DEP")</f>
        <v>3</v>
      </c>
      <c r="H105" s="89"/>
      <c r="I105" s="89"/>
      <c r="J105" s="717" t="s">
        <v>1062</v>
      </c>
      <c r="K105" s="89"/>
      <c r="L105" s="721" t="e">
        <f>MAX(O105:BZ105)</f>
        <v>#N/A</v>
      </c>
      <c r="M105" s="89"/>
      <c r="N105" s="850" t="s">
        <v>9</v>
      </c>
      <c r="O105" s="688">
        <f t="shared" ref="O105:AT105" si="35">SUMIF($I$11:$I$26,$N105,O$11:O$26)</f>
        <v>0</v>
      </c>
      <c r="P105" s="689">
        <f t="shared" si="35"/>
        <v>0</v>
      </c>
      <c r="Q105" s="689">
        <f t="shared" si="35"/>
        <v>0</v>
      </c>
      <c r="R105" s="689">
        <f t="shared" si="35"/>
        <v>0</v>
      </c>
      <c r="S105" s="689">
        <f t="shared" si="35"/>
        <v>0</v>
      </c>
      <c r="T105" s="689">
        <f t="shared" si="35"/>
        <v>0</v>
      </c>
      <c r="U105" s="689">
        <f t="shared" si="35"/>
        <v>0</v>
      </c>
      <c r="V105" s="689">
        <f t="shared" si="35"/>
        <v>0</v>
      </c>
      <c r="W105" s="689">
        <f t="shared" si="35"/>
        <v>0</v>
      </c>
      <c r="X105" s="689">
        <f t="shared" si="35"/>
        <v>0</v>
      </c>
      <c r="Y105" s="689">
        <f t="shared" si="35"/>
        <v>0</v>
      </c>
      <c r="Z105" s="689">
        <f t="shared" si="35"/>
        <v>0</v>
      </c>
      <c r="AA105" s="689">
        <f t="shared" si="35"/>
        <v>0</v>
      </c>
      <c r="AB105" s="689" t="e">
        <f t="shared" si="35"/>
        <v>#N/A</v>
      </c>
      <c r="AC105" s="689" t="e">
        <f t="shared" si="35"/>
        <v>#N/A</v>
      </c>
      <c r="AD105" s="689" t="e">
        <f t="shared" si="35"/>
        <v>#N/A</v>
      </c>
      <c r="AE105" s="689" t="e">
        <f t="shared" si="35"/>
        <v>#N/A</v>
      </c>
      <c r="AF105" s="689" t="e">
        <f t="shared" si="35"/>
        <v>#N/A</v>
      </c>
      <c r="AG105" s="689" t="e">
        <f t="shared" si="35"/>
        <v>#N/A</v>
      </c>
      <c r="AH105" s="689" t="e">
        <f t="shared" si="35"/>
        <v>#N/A</v>
      </c>
      <c r="AI105" s="689" t="e">
        <f t="shared" si="35"/>
        <v>#N/A</v>
      </c>
      <c r="AJ105" s="689" t="e">
        <f t="shared" si="35"/>
        <v>#N/A</v>
      </c>
      <c r="AK105" s="689" t="e">
        <f t="shared" si="35"/>
        <v>#N/A</v>
      </c>
      <c r="AL105" s="689" t="e">
        <f t="shared" si="35"/>
        <v>#N/A</v>
      </c>
      <c r="AM105" s="689" t="e">
        <f t="shared" si="35"/>
        <v>#N/A</v>
      </c>
      <c r="AN105" s="689" t="e">
        <f t="shared" si="35"/>
        <v>#N/A</v>
      </c>
      <c r="AO105" s="689" t="e">
        <f t="shared" si="35"/>
        <v>#N/A</v>
      </c>
      <c r="AP105" s="689" t="e">
        <f t="shared" si="35"/>
        <v>#N/A</v>
      </c>
      <c r="AQ105" s="689" t="e">
        <f t="shared" si="35"/>
        <v>#N/A</v>
      </c>
      <c r="AR105" s="689" t="e">
        <f t="shared" si="35"/>
        <v>#N/A</v>
      </c>
      <c r="AS105" s="689" t="e">
        <f t="shared" si="35"/>
        <v>#N/A</v>
      </c>
      <c r="AT105" s="689" t="e">
        <f t="shared" si="35"/>
        <v>#N/A</v>
      </c>
      <c r="AU105" s="689" t="e">
        <f t="shared" ref="AU105:BZ105" si="36">SUMIF($I$11:$I$26,$N105,AU$11:AU$26)</f>
        <v>#N/A</v>
      </c>
      <c r="AV105" s="689" t="e">
        <f t="shared" si="36"/>
        <v>#N/A</v>
      </c>
      <c r="AW105" s="689" t="e">
        <f t="shared" si="36"/>
        <v>#N/A</v>
      </c>
      <c r="AX105" s="689" t="e">
        <f t="shared" si="36"/>
        <v>#N/A</v>
      </c>
      <c r="AY105" s="689" t="e">
        <f t="shared" si="36"/>
        <v>#N/A</v>
      </c>
      <c r="AZ105" s="689" t="e">
        <f t="shared" si="36"/>
        <v>#N/A</v>
      </c>
      <c r="BA105" s="689" t="e">
        <f t="shared" si="36"/>
        <v>#N/A</v>
      </c>
      <c r="BB105" s="689" t="e">
        <f t="shared" si="36"/>
        <v>#N/A</v>
      </c>
      <c r="BC105" s="689" t="e">
        <f t="shared" si="36"/>
        <v>#N/A</v>
      </c>
      <c r="BD105" s="689" t="e">
        <f t="shared" si="36"/>
        <v>#N/A</v>
      </c>
      <c r="BE105" s="689" t="e">
        <f t="shared" si="36"/>
        <v>#N/A</v>
      </c>
      <c r="BF105" s="689" t="e">
        <f t="shared" si="36"/>
        <v>#N/A</v>
      </c>
      <c r="BG105" s="689" t="e">
        <f t="shared" si="36"/>
        <v>#N/A</v>
      </c>
      <c r="BH105" s="689" t="e">
        <f t="shared" si="36"/>
        <v>#N/A</v>
      </c>
      <c r="BI105" s="689">
        <f t="shared" si="36"/>
        <v>34.020000000000003</v>
      </c>
      <c r="BJ105" s="689">
        <f t="shared" si="36"/>
        <v>43.74</v>
      </c>
      <c r="BK105" s="689">
        <f t="shared" si="36"/>
        <v>87.48</v>
      </c>
      <c r="BL105" s="689">
        <f t="shared" si="36"/>
        <v>64.8</v>
      </c>
      <c r="BM105" s="689">
        <f t="shared" si="36"/>
        <v>3.2400000000000024</v>
      </c>
      <c r="BN105" s="689">
        <f t="shared" si="36"/>
        <v>0</v>
      </c>
      <c r="BO105" s="689">
        <f t="shared" si="36"/>
        <v>0</v>
      </c>
      <c r="BP105" s="689">
        <f t="shared" si="36"/>
        <v>0</v>
      </c>
      <c r="BQ105" s="689">
        <f t="shared" si="36"/>
        <v>0</v>
      </c>
      <c r="BR105" s="689">
        <f t="shared" si="36"/>
        <v>0</v>
      </c>
      <c r="BS105" s="689">
        <f t="shared" si="36"/>
        <v>0</v>
      </c>
      <c r="BT105" s="689">
        <f t="shared" si="36"/>
        <v>0</v>
      </c>
      <c r="BU105" s="689">
        <f t="shared" si="36"/>
        <v>0</v>
      </c>
      <c r="BV105" s="689">
        <f t="shared" si="36"/>
        <v>0</v>
      </c>
      <c r="BW105" s="689">
        <f t="shared" si="36"/>
        <v>0</v>
      </c>
      <c r="BX105" s="689">
        <f t="shared" si="36"/>
        <v>0</v>
      </c>
      <c r="BY105" s="689">
        <f t="shared" si="36"/>
        <v>0</v>
      </c>
      <c r="BZ105" s="690">
        <f t="shared" si="36"/>
        <v>0</v>
      </c>
      <c r="CA105" s="698"/>
    </row>
    <row r="106" spans="1:79" ht="18" customHeight="1" thickBot="1" x14ac:dyDescent="0.35">
      <c r="A106" s="645"/>
      <c r="B106" s="84"/>
      <c r="C106" s="525"/>
      <c r="D106" s="872"/>
      <c r="E106" s="873"/>
      <c r="F106" s="873"/>
      <c r="G106" s="874"/>
      <c r="H106" s="873"/>
      <c r="I106" s="873"/>
      <c r="J106" s="873"/>
      <c r="K106" s="873"/>
      <c r="L106" s="875"/>
      <c r="M106" s="873"/>
      <c r="N106" s="891"/>
      <c r="O106" s="877"/>
      <c r="P106" s="878"/>
      <c r="Q106" s="878"/>
      <c r="R106" s="878"/>
      <c r="S106" s="878"/>
      <c r="T106" s="878"/>
      <c r="U106" s="878"/>
      <c r="V106" s="878"/>
      <c r="W106" s="878"/>
      <c r="X106" s="878"/>
      <c r="Y106" s="878"/>
      <c r="Z106" s="878"/>
      <c r="AA106" s="878"/>
      <c r="AB106" s="878"/>
      <c r="AC106" s="878"/>
      <c r="AD106" s="878"/>
      <c r="AE106" s="878"/>
      <c r="AF106" s="878"/>
      <c r="AG106" s="878"/>
      <c r="AH106" s="878"/>
      <c r="AI106" s="878"/>
      <c r="AJ106" s="878"/>
      <c r="AK106" s="878"/>
      <c r="AL106" s="878"/>
      <c r="AM106" s="878"/>
      <c r="AN106" s="878"/>
      <c r="AO106" s="878"/>
      <c r="AP106" s="878"/>
      <c r="AQ106" s="878"/>
      <c r="AR106" s="878"/>
      <c r="AS106" s="878"/>
      <c r="AT106" s="878"/>
      <c r="AU106" s="903" t="s">
        <v>27</v>
      </c>
      <c r="AV106" s="878"/>
      <c r="AW106" s="878"/>
      <c r="AX106" s="878"/>
      <c r="AY106" s="878"/>
      <c r="AZ106" s="878"/>
      <c r="BA106" s="878"/>
      <c r="BB106" s="878"/>
      <c r="BC106" s="878"/>
      <c r="BD106" s="878"/>
      <c r="BE106" s="878"/>
      <c r="BF106" s="878"/>
      <c r="BG106" s="878"/>
      <c r="BH106" s="878"/>
      <c r="BI106" s="903" t="s">
        <v>27</v>
      </c>
      <c r="BJ106" s="878"/>
      <c r="BK106" s="878"/>
      <c r="BL106" s="878"/>
      <c r="BM106" s="878"/>
      <c r="BN106" s="878"/>
      <c r="BO106" s="878"/>
      <c r="BP106" s="903" t="s">
        <v>27</v>
      </c>
      <c r="BQ106" s="878"/>
      <c r="BR106" s="878"/>
      <c r="BS106" s="878"/>
      <c r="BT106" s="878"/>
      <c r="BU106" s="878"/>
      <c r="BV106" s="878"/>
      <c r="BW106" s="878"/>
      <c r="BX106" s="878"/>
      <c r="BY106" s="878"/>
      <c r="BZ106" s="880"/>
      <c r="CA106" s="881"/>
    </row>
    <row r="107" spans="1:79" ht="18" customHeight="1" x14ac:dyDescent="0.3">
      <c r="A107" s="645"/>
      <c r="B107" s="84"/>
      <c r="C107" s="525"/>
      <c r="D107" s="882"/>
      <c r="E107" s="883"/>
      <c r="F107" s="883"/>
      <c r="G107" s="884"/>
      <c r="H107" s="883"/>
      <c r="I107" s="883"/>
      <c r="J107" s="883"/>
      <c r="K107" s="883"/>
      <c r="L107" s="885"/>
      <c r="M107" s="883"/>
      <c r="N107" s="886"/>
      <c r="O107" s="887"/>
      <c r="P107" s="888"/>
      <c r="Q107" s="888"/>
      <c r="R107" s="888"/>
      <c r="S107" s="888"/>
      <c r="T107" s="888"/>
      <c r="U107" s="888"/>
      <c r="V107" s="888"/>
      <c r="W107" s="888"/>
      <c r="X107" s="888"/>
      <c r="Y107" s="888"/>
      <c r="Z107" s="888"/>
      <c r="AA107" s="888"/>
      <c r="AB107" s="888"/>
      <c r="AC107" s="888"/>
      <c r="AD107" s="888"/>
      <c r="AE107" s="888"/>
      <c r="AF107" s="888"/>
      <c r="AG107" s="888"/>
      <c r="AH107" s="888"/>
      <c r="AI107" s="888"/>
      <c r="AJ107" s="888"/>
      <c r="AK107" s="888"/>
      <c r="AL107" s="888"/>
      <c r="AM107" s="888"/>
      <c r="AN107" s="888"/>
      <c r="AO107" s="888"/>
      <c r="AP107" s="888"/>
      <c r="AQ107" s="888"/>
      <c r="AR107" s="888"/>
      <c r="AS107" s="888"/>
      <c r="AT107" s="888"/>
      <c r="AU107" s="888"/>
      <c r="AV107" s="888"/>
      <c r="AW107" s="888"/>
      <c r="AX107" s="888"/>
      <c r="AY107" s="888"/>
      <c r="AZ107" s="888"/>
      <c r="BA107" s="888"/>
      <c r="BB107" s="888"/>
      <c r="BC107" s="888"/>
      <c r="BD107" s="888"/>
      <c r="BE107" s="888"/>
      <c r="BF107" s="888"/>
      <c r="BG107" s="888"/>
      <c r="BH107" s="888"/>
      <c r="BI107" s="888"/>
      <c r="BJ107" s="888"/>
      <c r="BK107" s="888"/>
      <c r="BL107" s="888"/>
      <c r="BM107" s="888"/>
      <c r="BN107" s="888"/>
      <c r="BO107" s="888"/>
      <c r="BP107" s="888"/>
      <c r="BQ107" s="888"/>
      <c r="BR107" s="888"/>
      <c r="BS107" s="888"/>
      <c r="BT107" s="888"/>
      <c r="BU107" s="888"/>
      <c r="BV107" s="888"/>
      <c r="BW107" s="888"/>
      <c r="BX107" s="888"/>
      <c r="BY107" s="888"/>
      <c r="BZ107" s="889"/>
      <c r="CA107" s="890"/>
    </row>
    <row r="108" spans="1:79" ht="30" customHeight="1" x14ac:dyDescent="0.25">
      <c r="A108" s="645"/>
      <c r="B108" s="84"/>
      <c r="C108" s="525"/>
      <c r="D108" s="716"/>
      <c r="E108" s="89"/>
      <c r="F108" s="717" t="s">
        <v>1061</v>
      </c>
      <c r="G108" s="721">
        <f>COUNTIF(O109:BZ109,"DEP")</f>
        <v>2</v>
      </c>
      <c r="H108" s="89"/>
      <c r="I108" s="89"/>
      <c r="J108" s="717" t="s">
        <v>1062</v>
      </c>
      <c r="K108" s="89"/>
      <c r="L108" s="721" t="e">
        <f>MAX(O108:BZ108)</f>
        <v>#N/A</v>
      </c>
      <c r="M108" s="89"/>
      <c r="N108" s="851" t="s">
        <v>10</v>
      </c>
      <c r="O108" s="691">
        <f t="shared" ref="O108:AT108" si="37">SUMIF($I$11:$I$26,$N108,O$11:O$26)</f>
        <v>0</v>
      </c>
      <c r="P108" s="692">
        <f t="shared" si="37"/>
        <v>0</v>
      </c>
      <c r="Q108" s="692">
        <f t="shared" si="37"/>
        <v>0</v>
      </c>
      <c r="R108" s="692">
        <f t="shared" si="37"/>
        <v>0</v>
      </c>
      <c r="S108" s="692">
        <f t="shared" si="37"/>
        <v>0</v>
      </c>
      <c r="T108" s="692">
        <f t="shared" si="37"/>
        <v>0</v>
      </c>
      <c r="U108" s="692">
        <f t="shared" si="37"/>
        <v>0</v>
      </c>
      <c r="V108" s="692">
        <f t="shared" si="37"/>
        <v>0</v>
      </c>
      <c r="W108" s="692" t="e">
        <f t="shared" si="37"/>
        <v>#N/A</v>
      </c>
      <c r="X108" s="692" t="e">
        <f t="shared" si="37"/>
        <v>#N/A</v>
      </c>
      <c r="Y108" s="692" t="e">
        <f t="shared" si="37"/>
        <v>#N/A</v>
      </c>
      <c r="Z108" s="692" t="e">
        <f t="shared" si="37"/>
        <v>#N/A</v>
      </c>
      <c r="AA108" s="692" t="e">
        <f t="shared" si="37"/>
        <v>#N/A</v>
      </c>
      <c r="AB108" s="692" t="e">
        <f t="shared" si="37"/>
        <v>#N/A</v>
      </c>
      <c r="AC108" s="692" t="e">
        <f t="shared" si="37"/>
        <v>#N/A</v>
      </c>
      <c r="AD108" s="692" t="e">
        <f t="shared" si="37"/>
        <v>#N/A</v>
      </c>
      <c r="AE108" s="692" t="e">
        <f t="shared" si="37"/>
        <v>#N/A</v>
      </c>
      <c r="AF108" s="692" t="e">
        <f t="shared" si="37"/>
        <v>#N/A</v>
      </c>
      <c r="AG108" s="692" t="e">
        <f t="shared" si="37"/>
        <v>#N/A</v>
      </c>
      <c r="AH108" s="692" t="e">
        <f t="shared" si="37"/>
        <v>#N/A</v>
      </c>
      <c r="AI108" s="692" t="e">
        <f t="shared" si="37"/>
        <v>#N/A</v>
      </c>
      <c r="AJ108" s="692" t="e">
        <f t="shared" si="37"/>
        <v>#N/A</v>
      </c>
      <c r="AK108" s="692" t="e">
        <f t="shared" si="37"/>
        <v>#N/A</v>
      </c>
      <c r="AL108" s="692" t="e">
        <f t="shared" si="37"/>
        <v>#N/A</v>
      </c>
      <c r="AM108" s="692" t="e">
        <f t="shared" si="37"/>
        <v>#N/A</v>
      </c>
      <c r="AN108" s="692" t="e">
        <f t="shared" si="37"/>
        <v>#N/A</v>
      </c>
      <c r="AO108" s="692" t="e">
        <f t="shared" si="37"/>
        <v>#N/A</v>
      </c>
      <c r="AP108" s="692">
        <f t="shared" si="37"/>
        <v>0</v>
      </c>
      <c r="AQ108" s="692">
        <f t="shared" si="37"/>
        <v>0</v>
      </c>
      <c r="AR108" s="692">
        <f t="shared" si="37"/>
        <v>0</v>
      </c>
      <c r="AS108" s="692">
        <f t="shared" si="37"/>
        <v>0</v>
      </c>
      <c r="AT108" s="692">
        <f t="shared" si="37"/>
        <v>0</v>
      </c>
      <c r="AU108" s="692">
        <f t="shared" ref="AU108:BZ108" si="38">SUMIF($I$11:$I$26,$N108,AU$11:AU$26)</f>
        <v>0</v>
      </c>
      <c r="AV108" s="692">
        <f t="shared" si="38"/>
        <v>0</v>
      </c>
      <c r="AW108" s="692">
        <f t="shared" si="38"/>
        <v>0</v>
      </c>
      <c r="AX108" s="692" t="e">
        <f t="shared" si="38"/>
        <v>#N/A</v>
      </c>
      <c r="AY108" s="692" t="e">
        <f t="shared" si="38"/>
        <v>#N/A</v>
      </c>
      <c r="AZ108" s="692" t="e">
        <f t="shared" si="38"/>
        <v>#N/A</v>
      </c>
      <c r="BA108" s="692" t="e">
        <f t="shared" si="38"/>
        <v>#N/A</v>
      </c>
      <c r="BB108" s="692" t="e">
        <f t="shared" si="38"/>
        <v>#N/A</v>
      </c>
      <c r="BC108" s="692" t="e">
        <f t="shared" si="38"/>
        <v>#N/A</v>
      </c>
      <c r="BD108" s="692" t="e">
        <f t="shared" si="38"/>
        <v>#N/A</v>
      </c>
      <c r="BE108" s="692" t="e">
        <f t="shared" si="38"/>
        <v>#N/A</v>
      </c>
      <c r="BF108" s="692" t="e">
        <f t="shared" si="38"/>
        <v>#N/A</v>
      </c>
      <c r="BG108" s="692" t="e">
        <f t="shared" si="38"/>
        <v>#N/A</v>
      </c>
      <c r="BH108" s="692" t="e">
        <f t="shared" si="38"/>
        <v>#N/A</v>
      </c>
      <c r="BI108" s="692" t="e">
        <f t="shared" si="38"/>
        <v>#N/A</v>
      </c>
      <c r="BJ108" s="692" t="e">
        <f t="shared" si="38"/>
        <v>#N/A</v>
      </c>
      <c r="BK108" s="692" t="e">
        <f t="shared" si="38"/>
        <v>#N/A</v>
      </c>
      <c r="BL108" s="692" t="e">
        <f t="shared" si="38"/>
        <v>#N/A</v>
      </c>
      <c r="BM108" s="692" t="e">
        <f t="shared" si="38"/>
        <v>#N/A</v>
      </c>
      <c r="BN108" s="692" t="e">
        <f t="shared" si="38"/>
        <v>#N/A</v>
      </c>
      <c r="BO108" s="692" t="e">
        <f t="shared" si="38"/>
        <v>#N/A</v>
      </c>
      <c r="BP108" s="692" t="e">
        <f t="shared" si="38"/>
        <v>#N/A</v>
      </c>
      <c r="BQ108" s="692">
        <f t="shared" si="38"/>
        <v>0</v>
      </c>
      <c r="BR108" s="692">
        <f t="shared" si="38"/>
        <v>0</v>
      </c>
      <c r="BS108" s="692">
        <f t="shared" si="38"/>
        <v>0</v>
      </c>
      <c r="BT108" s="692">
        <f t="shared" si="38"/>
        <v>0</v>
      </c>
      <c r="BU108" s="692">
        <f t="shared" si="38"/>
        <v>0</v>
      </c>
      <c r="BV108" s="692">
        <f t="shared" si="38"/>
        <v>0</v>
      </c>
      <c r="BW108" s="692">
        <f t="shared" si="38"/>
        <v>0</v>
      </c>
      <c r="BX108" s="692">
        <f t="shared" si="38"/>
        <v>0</v>
      </c>
      <c r="BY108" s="692">
        <f t="shared" si="38"/>
        <v>0</v>
      </c>
      <c r="BZ108" s="693">
        <f t="shared" si="38"/>
        <v>0</v>
      </c>
      <c r="CA108" s="701"/>
    </row>
    <row r="109" spans="1:79" ht="18" customHeight="1" thickBot="1" x14ac:dyDescent="0.3">
      <c r="A109" s="646"/>
      <c r="B109" s="86"/>
      <c r="C109" s="694"/>
      <c r="D109" s="718"/>
      <c r="E109" s="90"/>
      <c r="F109" s="90"/>
      <c r="G109" s="90"/>
      <c r="H109" s="90"/>
      <c r="I109" s="90"/>
      <c r="J109" s="90"/>
      <c r="K109" s="90"/>
      <c r="L109" s="90"/>
      <c r="M109" s="90"/>
      <c r="N109" s="719"/>
      <c r="O109" s="695"/>
      <c r="P109" s="696"/>
      <c r="Q109" s="696"/>
      <c r="R109" s="696"/>
      <c r="S109" s="696"/>
      <c r="T109" s="696"/>
      <c r="U109" s="696"/>
      <c r="V109" s="696"/>
      <c r="W109" s="696"/>
      <c r="X109" s="696"/>
      <c r="Y109" s="696"/>
      <c r="Z109" s="696"/>
      <c r="AA109" s="696"/>
      <c r="AB109" s="696"/>
      <c r="AC109" s="696"/>
      <c r="AD109" s="696"/>
      <c r="AE109" s="696"/>
      <c r="AF109" s="696"/>
      <c r="AG109" s="696"/>
      <c r="AH109" s="696"/>
      <c r="AI109" s="696"/>
      <c r="AJ109" s="696"/>
      <c r="AK109" s="696"/>
      <c r="AL109" s="696"/>
      <c r="AM109" s="696"/>
      <c r="AN109" s="696"/>
      <c r="AO109" s="696"/>
      <c r="AP109" s="708" t="s">
        <v>27</v>
      </c>
      <c r="AQ109" s="696"/>
      <c r="AR109" s="696"/>
      <c r="AS109" s="696"/>
      <c r="AT109" s="696"/>
      <c r="AU109" s="696"/>
      <c r="AV109" s="696"/>
      <c r="AW109" s="696"/>
      <c r="AX109" s="696"/>
      <c r="AY109" s="696"/>
      <c r="AZ109" s="696"/>
      <c r="BA109" s="696"/>
      <c r="BB109" s="696"/>
      <c r="BC109" s="696"/>
      <c r="BD109" s="696"/>
      <c r="BE109" s="696"/>
      <c r="BF109" s="696"/>
      <c r="BG109" s="696"/>
      <c r="BH109" s="696"/>
      <c r="BI109" s="696"/>
      <c r="BJ109" s="696"/>
      <c r="BK109" s="696"/>
      <c r="BL109" s="696"/>
      <c r="BM109" s="696"/>
      <c r="BN109" s="696"/>
      <c r="BO109" s="696"/>
      <c r="BP109" s="696"/>
      <c r="BQ109" s="904" t="s">
        <v>27</v>
      </c>
      <c r="BR109" s="696"/>
      <c r="BS109" s="696"/>
      <c r="BT109" s="696"/>
      <c r="BU109" s="696"/>
      <c r="BV109" s="696"/>
      <c r="BW109" s="696"/>
      <c r="BX109" s="696"/>
      <c r="BY109" s="696"/>
      <c r="BZ109" s="697"/>
      <c r="CA109" s="699"/>
    </row>
    <row r="110" spans="1:79" x14ac:dyDescent="0.25">
      <c r="D110" s="562"/>
      <c r="E110" s="562"/>
      <c r="F110" s="562"/>
      <c r="G110" s="562"/>
      <c r="H110" s="562"/>
      <c r="I110" s="562"/>
      <c r="J110" s="562"/>
      <c r="K110" s="562"/>
      <c r="L110" s="562"/>
      <c r="M110" s="562"/>
      <c r="N110" s="562"/>
      <c r="O110" s="562"/>
      <c r="P110" s="562"/>
      <c r="Q110" s="562"/>
      <c r="R110" s="562"/>
      <c r="S110" s="562"/>
      <c r="T110" s="562"/>
      <c r="U110" s="562"/>
      <c r="V110" s="562"/>
      <c r="W110" s="562"/>
      <c r="X110" s="562"/>
      <c r="Y110" s="562"/>
      <c r="Z110" s="562"/>
      <c r="AA110" s="562"/>
      <c r="AB110" s="562"/>
      <c r="AC110" s="562"/>
      <c r="AD110" s="562"/>
      <c r="AE110" s="562"/>
      <c r="AF110" s="562"/>
      <c r="AG110" s="562"/>
      <c r="AH110" s="562"/>
    </row>
    <row r="111" spans="1:79" x14ac:dyDescent="0.25"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2"/>
      <c r="P111" s="562"/>
      <c r="Q111" s="562"/>
      <c r="R111" s="562"/>
      <c r="S111" s="562"/>
      <c r="T111" s="562"/>
      <c r="U111" s="562"/>
      <c r="V111" s="562"/>
      <c r="W111" s="562"/>
      <c r="X111" s="562"/>
      <c r="Y111" s="562"/>
      <c r="Z111" s="562"/>
      <c r="AA111" s="562"/>
      <c r="AB111" s="562"/>
      <c r="AC111" s="562"/>
      <c r="AD111" s="562"/>
      <c r="AE111" s="562"/>
      <c r="AF111" s="562"/>
      <c r="AG111" s="562"/>
      <c r="AH111" s="562"/>
    </row>
    <row r="112" spans="1:79" x14ac:dyDescent="0.25"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2"/>
      <c r="P112" s="562"/>
      <c r="Q112" s="562"/>
      <c r="R112" s="562"/>
      <c r="S112" s="562"/>
      <c r="T112" s="562"/>
      <c r="U112" s="562"/>
      <c r="V112" s="562"/>
      <c r="W112" s="562"/>
      <c r="X112" s="562"/>
      <c r="Y112" s="562"/>
      <c r="Z112" s="562"/>
      <c r="AA112" s="562"/>
      <c r="AB112" s="562"/>
      <c r="AC112" s="562"/>
      <c r="AD112" s="562"/>
      <c r="AE112" s="562"/>
      <c r="AF112" s="562"/>
      <c r="AG112" s="562"/>
      <c r="AH112" s="562"/>
    </row>
    <row r="113" spans="1:34" x14ac:dyDescent="0.25"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62"/>
      <c r="AB113" s="562"/>
      <c r="AC113" s="562"/>
      <c r="AD113" s="562"/>
      <c r="AE113" s="562"/>
      <c r="AF113" s="562"/>
      <c r="AG113" s="562"/>
      <c r="AH113" s="562"/>
    </row>
    <row r="114" spans="1:34" x14ac:dyDescent="0.25">
      <c r="D114" s="562"/>
      <c r="E114" s="562"/>
      <c r="F114" s="562"/>
      <c r="G114" s="562"/>
      <c r="H114" s="562"/>
      <c r="I114" s="562"/>
      <c r="J114" s="562"/>
      <c r="K114" s="562"/>
      <c r="L114" s="562"/>
      <c r="M114" s="562"/>
      <c r="N114" s="562"/>
      <c r="O114" s="562"/>
      <c r="P114" s="562"/>
      <c r="Q114" s="562"/>
      <c r="R114" s="562"/>
      <c r="S114" s="562"/>
      <c r="T114" s="562"/>
      <c r="U114" s="562"/>
      <c r="V114" s="562"/>
      <c r="W114" s="562"/>
      <c r="X114" s="562"/>
      <c r="Y114" s="562"/>
      <c r="Z114" s="562"/>
      <c r="AA114" s="562"/>
      <c r="AB114" s="562"/>
      <c r="AC114" s="562"/>
      <c r="AD114" s="562"/>
      <c r="AE114" s="562"/>
      <c r="AF114" s="562"/>
      <c r="AG114" s="562"/>
      <c r="AH114" s="562"/>
    </row>
    <row r="115" spans="1:34" x14ac:dyDescent="0.25">
      <c r="D115" s="562"/>
      <c r="E115" s="562"/>
      <c r="F115" s="562"/>
      <c r="G115" s="562"/>
      <c r="H115" s="562"/>
      <c r="I115" s="562"/>
      <c r="J115" s="562"/>
      <c r="K115" s="562"/>
      <c r="L115" s="562"/>
      <c r="M115" s="562"/>
      <c r="N115" s="562"/>
      <c r="O115" s="562"/>
      <c r="P115" s="562"/>
      <c r="Q115" s="562"/>
      <c r="R115" s="562"/>
      <c r="S115" s="562"/>
      <c r="T115" s="562"/>
      <c r="U115" s="562"/>
      <c r="V115" s="562"/>
      <c r="W115" s="562"/>
      <c r="X115" s="562"/>
      <c r="Y115" s="562"/>
      <c r="Z115" s="562"/>
      <c r="AA115" s="562"/>
      <c r="AB115" s="562"/>
      <c r="AC115" s="562"/>
      <c r="AD115" s="562"/>
      <c r="AE115" s="562"/>
      <c r="AF115" s="562"/>
      <c r="AG115" s="562"/>
      <c r="AH115" s="562"/>
    </row>
    <row r="116" spans="1:34" x14ac:dyDescent="0.25">
      <c r="A116" s="25"/>
      <c r="B116" s="25"/>
      <c r="D116" s="562"/>
      <c r="E116" s="562"/>
      <c r="F116" s="562"/>
      <c r="G116" s="562"/>
      <c r="H116" s="562"/>
      <c r="I116" s="562"/>
      <c r="J116" s="562"/>
      <c r="K116" s="562"/>
      <c r="L116" s="562"/>
      <c r="M116" s="562"/>
      <c r="N116" s="562"/>
      <c r="O116" s="562"/>
      <c r="P116" s="562"/>
      <c r="Q116" s="562"/>
      <c r="R116" s="562"/>
      <c r="S116" s="562"/>
      <c r="T116" s="562"/>
      <c r="U116" s="562"/>
      <c r="V116" s="562"/>
      <c r="W116" s="562"/>
      <c r="X116" s="562"/>
      <c r="Y116" s="562"/>
      <c r="Z116" s="562"/>
      <c r="AA116" s="562"/>
      <c r="AB116" s="562"/>
      <c r="AC116" s="562"/>
      <c r="AD116" s="562"/>
      <c r="AE116" s="562"/>
      <c r="AF116" s="562"/>
      <c r="AG116" s="562"/>
      <c r="AH116" s="562"/>
    </row>
    <row r="117" spans="1:34" x14ac:dyDescent="0.25">
      <c r="A117" s="25"/>
      <c r="B117" s="25"/>
      <c r="D117" s="562"/>
      <c r="E117" s="562"/>
      <c r="F117" s="562"/>
      <c r="G117" s="562"/>
      <c r="H117" s="562"/>
      <c r="I117" s="562"/>
      <c r="J117" s="562"/>
      <c r="K117" s="562"/>
      <c r="L117" s="562"/>
      <c r="M117" s="562"/>
      <c r="N117" s="562"/>
      <c r="O117" s="562"/>
      <c r="P117" s="562"/>
      <c r="Q117" s="562"/>
      <c r="R117" s="562"/>
      <c r="S117" s="562"/>
      <c r="T117" s="562"/>
      <c r="U117" s="562"/>
      <c r="V117" s="562"/>
      <c r="W117" s="562"/>
      <c r="X117" s="562"/>
      <c r="Y117" s="562"/>
      <c r="Z117" s="562"/>
      <c r="AA117" s="562"/>
      <c r="AB117" s="562"/>
      <c r="AC117" s="562"/>
      <c r="AD117" s="562"/>
      <c r="AE117" s="562"/>
      <c r="AF117" s="562"/>
      <c r="AG117" s="562"/>
      <c r="AH117" s="562"/>
    </row>
    <row r="118" spans="1:34" x14ac:dyDescent="0.25">
      <c r="A118" s="25"/>
      <c r="B118" s="25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2"/>
      <c r="P118" s="562"/>
      <c r="Q118" s="562"/>
      <c r="R118" s="562"/>
      <c r="S118" s="562"/>
      <c r="T118" s="562"/>
      <c r="U118" s="562"/>
      <c r="V118" s="562"/>
      <c r="W118" s="562"/>
      <c r="X118" s="562"/>
      <c r="Y118" s="562"/>
      <c r="Z118" s="562"/>
      <c r="AA118" s="562"/>
      <c r="AB118" s="562"/>
      <c r="AC118" s="562"/>
      <c r="AD118" s="562"/>
      <c r="AE118" s="562"/>
      <c r="AF118" s="562"/>
      <c r="AG118" s="562"/>
      <c r="AH118" s="562"/>
    </row>
    <row r="119" spans="1:34" x14ac:dyDescent="0.25">
      <c r="A119" s="25"/>
      <c r="B119" s="25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2"/>
      <c r="P119" s="562"/>
      <c r="Q119" s="562"/>
      <c r="R119" s="562"/>
      <c r="S119" s="562"/>
      <c r="T119" s="562"/>
      <c r="U119" s="562"/>
      <c r="V119" s="562"/>
      <c r="W119" s="562"/>
      <c r="X119" s="562"/>
      <c r="Y119" s="562"/>
      <c r="Z119" s="562"/>
      <c r="AA119" s="562"/>
      <c r="AB119" s="562"/>
      <c r="AC119" s="562"/>
      <c r="AD119" s="562"/>
      <c r="AE119" s="562"/>
      <c r="AF119" s="562"/>
      <c r="AG119" s="562"/>
      <c r="AH119" s="562"/>
    </row>
    <row r="120" spans="1:34" x14ac:dyDescent="0.25">
      <c r="A120" s="25"/>
      <c r="B120" s="25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62"/>
      <c r="AB120" s="562"/>
      <c r="AC120" s="562"/>
      <c r="AD120" s="562"/>
      <c r="AE120" s="562"/>
      <c r="AF120" s="562"/>
      <c r="AG120" s="562"/>
      <c r="AH120" s="562"/>
    </row>
    <row r="121" spans="1:34" x14ac:dyDescent="0.25">
      <c r="D121" s="562"/>
      <c r="E121" s="562"/>
      <c r="F121" s="562"/>
      <c r="G121" s="562"/>
      <c r="H121" s="562"/>
      <c r="I121" s="562"/>
      <c r="J121" s="562"/>
      <c r="K121" s="562"/>
      <c r="L121" s="562"/>
      <c r="M121" s="562"/>
      <c r="N121" s="562"/>
      <c r="O121" s="562"/>
      <c r="P121" s="562"/>
      <c r="Q121" s="562"/>
      <c r="R121" s="562"/>
      <c r="S121" s="562"/>
      <c r="T121" s="562"/>
      <c r="U121" s="562"/>
      <c r="V121" s="562"/>
      <c r="W121" s="562"/>
      <c r="X121" s="562"/>
      <c r="Y121" s="562"/>
      <c r="Z121" s="562"/>
      <c r="AA121" s="562"/>
      <c r="AB121" s="562"/>
      <c r="AC121" s="562"/>
      <c r="AD121" s="562"/>
      <c r="AE121" s="562"/>
      <c r="AF121" s="562"/>
      <c r="AG121" s="562"/>
      <c r="AH121" s="562"/>
    </row>
    <row r="122" spans="1:34" x14ac:dyDescent="0.25">
      <c r="D122" s="562"/>
      <c r="E122" s="562"/>
      <c r="F122" s="562"/>
      <c r="G122" s="562"/>
      <c r="H122" s="562"/>
      <c r="I122" s="562"/>
      <c r="J122" s="562"/>
      <c r="K122" s="562"/>
      <c r="L122" s="562"/>
      <c r="M122" s="562"/>
      <c r="N122" s="562"/>
      <c r="O122" s="562"/>
      <c r="P122" s="562"/>
      <c r="Q122" s="562"/>
      <c r="R122" s="562"/>
      <c r="S122" s="562"/>
      <c r="T122" s="562"/>
      <c r="U122" s="562"/>
      <c r="V122" s="562"/>
      <c r="W122" s="562"/>
      <c r="X122" s="562"/>
      <c r="Y122" s="562"/>
      <c r="Z122" s="562"/>
      <c r="AA122" s="562"/>
      <c r="AB122" s="562"/>
      <c r="AC122" s="562"/>
      <c r="AD122" s="562"/>
      <c r="AE122" s="562"/>
      <c r="AF122" s="562"/>
      <c r="AG122" s="562"/>
      <c r="AH122" s="562"/>
    </row>
    <row r="123" spans="1:34" x14ac:dyDescent="0.25"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2"/>
      <c r="P123" s="562"/>
      <c r="Q123" s="562"/>
      <c r="R123" s="562"/>
      <c r="S123" s="562"/>
      <c r="T123" s="562"/>
      <c r="U123" s="562"/>
      <c r="V123" s="562"/>
      <c r="W123" s="562"/>
      <c r="X123" s="562"/>
      <c r="Y123" s="562"/>
      <c r="Z123" s="562"/>
      <c r="AA123" s="562"/>
      <c r="AB123" s="562"/>
      <c r="AC123" s="562"/>
      <c r="AD123" s="562"/>
      <c r="AE123" s="562"/>
      <c r="AF123" s="562"/>
      <c r="AG123" s="562"/>
      <c r="AH123" s="562"/>
    </row>
    <row r="124" spans="1:34" x14ac:dyDescent="0.25"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2"/>
      <c r="P124" s="562"/>
      <c r="Q124" s="562"/>
      <c r="R124" s="562"/>
      <c r="S124" s="562"/>
      <c r="T124" s="562"/>
      <c r="U124" s="562"/>
      <c r="V124" s="562"/>
      <c r="W124" s="562"/>
      <c r="X124" s="562"/>
      <c r="Y124" s="562"/>
      <c r="Z124" s="562"/>
      <c r="AA124" s="562"/>
      <c r="AB124" s="562"/>
      <c r="AC124" s="562"/>
      <c r="AD124" s="562"/>
      <c r="AE124" s="562"/>
      <c r="AF124" s="562"/>
      <c r="AG124" s="562"/>
      <c r="AH124" s="562"/>
    </row>
    <row r="125" spans="1:34" x14ac:dyDescent="0.25"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62"/>
      <c r="AB125" s="562"/>
      <c r="AC125" s="562"/>
      <c r="AD125" s="562"/>
      <c r="AE125" s="562"/>
      <c r="AF125" s="562"/>
      <c r="AG125" s="562"/>
      <c r="AH125" s="562"/>
    </row>
    <row r="126" spans="1:34" x14ac:dyDescent="0.25"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62"/>
      <c r="AB126" s="562"/>
      <c r="AC126" s="562"/>
      <c r="AD126" s="562"/>
      <c r="AE126" s="562"/>
      <c r="AF126" s="562"/>
      <c r="AG126" s="562"/>
      <c r="AH126" s="562"/>
    </row>
    <row r="127" spans="1:34" x14ac:dyDescent="0.25">
      <c r="D127" s="562"/>
      <c r="E127" s="562"/>
      <c r="F127" s="562"/>
      <c r="G127" s="562"/>
      <c r="H127" s="562"/>
      <c r="I127" s="562"/>
      <c r="J127" s="562"/>
      <c r="K127" s="562"/>
      <c r="L127" s="562"/>
      <c r="M127" s="562"/>
      <c r="N127" s="562"/>
      <c r="O127" s="562"/>
      <c r="P127" s="562"/>
      <c r="Q127" s="562"/>
      <c r="R127" s="562"/>
      <c r="S127" s="562"/>
      <c r="T127" s="562"/>
      <c r="U127" s="562"/>
      <c r="V127" s="562"/>
      <c r="W127" s="562"/>
      <c r="X127" s="562"/>
      <c r="Y127" s="562"/>
      <c r="Z127" s="562"/>
      <c r="AA127" s="562"/>
      <c r="AB127" s="562"/>
      <c r="AC127" s="562"/>
      <c r="AD127" s="562"/>
      <c r="AE127" s="562"/>
      <c r="AF127" s="562"/>
      <c r="AG127" s="562"/>
      <c r="AH127" s="562"/>
    </row>
    <row r="128" spans="1:34" x14ac:dyDescent="0.25">
      <c r="D128" s="562"/>
      <c r="E128" s="562"/>
      <c r="F128" s="562"/>
      <c r="G128" s="562"/>
      <c r="H128" s="562"/>
      <c r="I128" s="562"/>
      <c r="J128" s="562"/>
      <c r="K128" s="562"/>
      <c r="L128" s="562"/>
      <c r="M128" s="562"/>
      <c r="N128" s="562"/>
      <c r="O128" s="562"/>
      <c r="P128" s="562"/>
      <c r="Q128" s="562"/>
      <c r="R128" s="562"/>
      <c r="S128" s="562"/>
      <c r="T128" s="562"/>
      <c r="U128" s="562"/>
      <c r="V128" s="562"/>
      <c r="W128" s="562"/>
      <c r="X128" s="562"/>
      <c r="Y128" s="562"/>
      <c r="Z128" s="562"/>
      <c r="AA128" s="562"/>
      <c r="AB128" s="562"/>
      <c r="AC128" s="562"/>
      <c r="AD128" s="562"/>
      <c r="AE128" s="562"/>
      <c r="AF128" s="562"/>
      <c r="AG128" s="562"/>
      <c r="AH128" s="562"/>
    </row>
    <row r="129" spans="4:34" x14ac:dyDescent="0.25"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2"/>
      <c r="P129" s="562"/>
      <c r="Q129" s="562"/>
      <c r="R129" s="562"/>
      <c r="S129" s="562"/>
      <c r="T129" s="562"/>
      <c r="U129" s="562"/>
      <c r="V129" s="562"/>
      <c r="W129" s="562"/>
      <c r="X129" s="562"/>
      <c r="Y129" s="562"/>
      <c r="Z129" s="562"/>
      <c r="AA129" s="562"/>
      <c r="AB129" s="562"/>
      <c r="AC129" s="562"/>
      <c r="AD129" s="562"/>
      <c r="AE129" s="562"/>
      <c r="AF129" s="562"/>
      <c r="AG129" s="562"/>
      <c r="AH129" s="562"/>
    </row>
    <row r="130" spans="4:34" x14ac:dyDescent="0.25"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2"/>
      <c r="P130" s="562"/>
      <c r="Q130" s="562"/>
      <c r="R130" s="562"/>
      <c r="S130" s="562"/>
      <c r="T130" s="562"/>
      <c r="U130" s="562"/>
      <c r="V130" s="562"/>
      <c r="W130" s="562"/>
      <c r="X130" s="562"/>
      <c r="Y130" s="562"/>
      <c r="Z130" s="562"/>
      <c r="AA130" s="562"/>
      <c r="AB130" s="562"/>
      <c r="AC130" s="562"/>
      <c r="AD130" s="562"/>
      <c r="AE130" s="562"/>
      <c r="AF130" s="562"/>
      <c r="AG130" s="562"/>
      <c r="AH130" s="562"/>
    </row>
    <row r="131" spans="4:34" x14ac:dyDescent="0.25"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62"/>
      <c r="AB131" s="562"/>
      <c r="AC131" s="562"/>
      <c r="AD131" s="562"/>
      <c r="AE131" s="562"/>
      <c r="AF131" s="562"/>
      <c r="AG131" s="562"/>
      <c r="AH131" s="562"/>
    </row>
    <row r="132" spans="4:34" x14ac:dyDescent="0.25">
      <c r="D132" s="562"/>
      <c r="E132" s="562"/>
      <c r="F132" s="562"/>
      <c r="G132" s="562"/>
      <c r="H132" s="562"/>
      <c r="I132" s="562"/>
      <c r="J132" s="562"/>
      <c r="K132" s="562"/>
      <c r="L132" s="562"/>
      <c r="M132" s="562"/>
      <c r="N132" s="562"/>
      <c r="O132" s="562"/>
      <c r="P132" s="562"/>
      <c r="Q132" s="562"/>
      <c r="R132" s="562"/>
      <c r="S132" s="562"/>
      <c r="T132" s="562"/>
      <c r="U132" s="562"/>
      <c r="V132" s="562"/>
      <c r="W132" s="562"/>
      <c r="X132" s="562"/>
      <c r="Y132" s="562"/>
      <c r="Z132" s="562"/>
      <c r="AA132" s="562"/>
      <c r="AB132" s="562"/>
      <c r="AC132" s="562"/>
      <c r="AD132" s="562"/>
      <c r="AE132" s="562"/>
      <c r="AF132" s="562"/>
      <c r="AG132" s="562"/>
      <c r="AH132" s="562"/>
    </row>
    <row r="133" spans="4:34" x14ac:dyDescent="0.25">
      <c r="D133" s="562"/>
      <c r="E133" s="562"/>
      <c r="F133" s="562"/>
      <c r="G133" s="562"/>
      <c r="H133" s="562"/>
      <c r="I133" s="562"/>
      <c r="J133" s="562"/>
      <c r="K133" s="562"/>
      <c r="L133" s="562"/>
      <c r="M133" s="562"/>
      <c r="N133" s="562"/>
      <c r="O133" s="562"/>
      <c r="P133" s="562"/>
      <c r="Q133" s="562"/>
      <c r="R133" s="562"/>
      <c r="S133" s="562"/>
      <c r="T133" s="562"/>
      <c r="U133" s="562"/>
      <c r="V133" s="562"/>
      <c r="W133" s="562"/>
      <c r="X133" s="562"/>
      <c r="Y133" s="562"/>
      <c r="Z133" s="562"/>
      <c r="AA133" s="562"/>
      <c r="AB133" s="562"/>
      <c r="AC133" s="562"/>
      <c r="AD133" s="562"/>
      <c r="AE133" s="562"/>
      <c r="AF133" s="562"/>
      <c r="AG133" s="562"/>
      <c r="AH133" s="562"/>
    </row>
    <row r="134" spans="4:34" x14ac:dyDescent="0.25"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2"/>
      <c r="P134" s="562"/>
      <c r="Q134" s="562"/>
      <c r="R134" s="562"/>
      <c r="S134" s="562"/>
      <c r="T134" s="562"/>
      <c r="U134" s="562"/>
      <c r="V134" s="562"/>
      <c r="W134" s="562"/>
      <c r="X134" s="562"/>
      <c r="Y134" s="562"/>
      <c r="Z134" s="562"/>
      <c r="AA134" s="562"/>
      <c r="AB134" s="562"/>
      <c r="AC134" s="562"/>
      <c r="AD134" s="562"/>
      <c r="AE134" s="562"/>
      <c r="AF134" s="562"/>
      <c r="AG134" s="562"/>
      <c r="AH134" s="562"/>
    </row>
    <row r="135" spans="4:34" x14ac:dyDescent="0.25"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2"/>
      <c r="P135" s="562"/>
      <c r="Q135" s="562"/>
      <c r="R135" s="562"/>
      <c r="S135" s="562"/>
      <c r="T135" s="562"/>
      <c r="U135" s="562"/>
      <c r="V135" s="562"/>
      <c r="W135" s="562"/>
      <c r="X135" s="562"/>
      <c r="Y135" s="562"/>
      <c r="Z135" s="562"/>
      <c r="AA135" s="562"/>
      <c r="AB135" s="562"/>
      <c r="AC135" s="562"/>
      <c r="AD135" s="562"/>
      <c r="AE135" s="562"/>
      <c r="AF135" s="562"/>
      <c r="AG135" s="562"/>
      <c r="AH135" s="562"/>
    </row>
    <row r="136" spans="4:34" x14ac:dyDescent="0.25"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62"/>
      <c r="AB136" s="562"/>
      <c r="AC136" s="562"/>
      <c r="AD136" s="562"/>
      <c r="AE136" s="562"/>
      <c r="AF136" s="562"/>
      <c r="AG136" s="562"/>
      <c r="AH136" s="562"/>
    </row>
    <row r="137" spans="4:34" x14ac:dyDescent="0.25">
      <c r="D137" s="562"/>
      <c r="E137" s="562"/>
      <c r="F137" s="562"/>
      <c r="G137" s="562"/>
      <c r="H137" s="562"/>
      <c r="I137" s="562"/>
      <c r="J137" s="562"/>
      <c r="K137" s="562"/>
      <c r="L137" s="562"/>
      <c r="M137" s="562"/>
      <c r="N137" s="562"/>
      <c r="O137" s="562"/>
      <c r="P137" s="562"/>
      <c r="Q137" s="562"/>
      <c r="R137" s="562"/>
      <c r="S137" s="562"/>
      <c r="T137" s="562"/>
      <c r="U137" s="562"/>
      <c r="V137" s="562"/>
      <c r="W137" s="562"/>
      <c r="X137" s="562"/>
      <c r="Y137" s="562"/>
      <c r="Z137" s="562"/>
      <c r="AA137" s="562"/>
      <c r="AB137" s="562"/>
      <c r="AC137" s="562"/>
      <c r="AD137" s="562"/>
      <c r="AE137" s="562"/>
      <c r="AF137" s="562"/>
      <c r="AG137" s="562"/>
      <c r="AH137" s="562"/>
    </row>
    <row r="138" spans="4:34" x14ac:dyDescent="0.25">
      <c r="D138" s="562"/>
      <c r="E138" s="562"/>
      <c r="F138" s="562"/>
      <c r="G138" s="562"/>
      <c r="H138" s="562"/>
      <c r="I138" s="562"/>
      <c r="J138" s="562"/>
      <c r="K138" s="562"/>
      <c r="L138" s="562"/>
      <c r="M138" s="562"/>
      <c r="N138" s="562"/>
      <c r="O138" s="562"/>
      <c r="P138" s="562"/>
      <c r="Q138" s="562"/>
      <c r="R138" s="562"/>
      <c r="S138" s="562"/>
      <c r="T138" s="562"/>
      <c r="U138" s="562"/>
      <c r="V138" s="562"/>
      <c r="W138" s="562"/>
      <c r="X138" s="562"/>
      <c r="Y138" s="562"/>
      <c r="Z138" s="562"/>
      <c r="AA138" s="562"/>
      <c r="AB138" s="562"/>
      <c r="AC138" s="562"/>
      <c r="AD138" s="562"/>
      <c r="AE138" s="562"/>
      <c r="AF138" s="562"/>
      <c r="AG138" s="562"/>
      <c r="AH138" s="562"/>
    </row>
    <row r="139" spans="4:34" x14ac:dyDescent="0.25"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2"/>
      <c r="P139" s="562"/>
      <c r="Q139" s="562"/>
      <c r="R139" s="562"/>
      <c r="S139" s="562"/>
      <c r="T139" s="562"/>
      <c r="U139" s="562"/>
      <c r="V139" s="562"/>
      <c r="W139" s="562"/>
      <c r="X139" s="562"/>
      <c r="Y139" s="562"/>
      <c r="Z139" s="562"/>
      <c r="AA139" s="562"/>
      <c r="AB139" s="562"/>
      <c r="AC139" s="562"/>
      <c r="AD139" s="562"/>
      <c r="AE139" s="562"/>
      <c r="AF139" s="562"/>
      <c r="AG139" s="562"/>
      <c r="AH139" s="562"/>
    </row>
    <row r="140" spans="4:34" x14ac:dyDescent="0.25"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2"/>
      <c r="P140" s="562"/>
      <c r="Q140" s="562"/>
      <c r="R140" s="562"/>
      <c r="S140" s="562"/>
      <c r="T140" s="562"/>
      <c r="U140" s="562"/>
      <c r="V140" s="562"/>
      <c r="W140" s="562"/>
      <c r="X140" s="562"/>
      <c r="Y140" s="562"/>
      <c r="Z140" s="562"/>
      <c r="AA140" s="562"/>
      <c r="AB140" s="562"/>
      <c r="AC140" s="562"/>
      <c r="AD140" s="562"/>
      <c r="AE140" s="562"/>
      <c r="AF140" s="562"/>
      <c r="AG140" s="562"/>
      <c r="AH140" s="562"/>
    </row>
    <row r="141" spans="4:34" x14ac:dyDescent="0.25"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62"/>
      <c r="AB141" s="562"/>
      <c r="AC141" s="562"/>
      <c r="AD141" s="562"/>
      <c r="AE141" s="562"/>
      <c r="AF141" s="562"/>
      <c r="AG141" s="562"/>
      <c r="AH141" s="562"/>
    </row>
    <row r="142" spans="4:34" x14ac:dyDescent="0.25"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62"/>
      <c r="AB142" s="562"/>
      <c r="AC142" s="562"/>
      <c r="AD142" s="562"/>
      <c r="AE142" s="562"/>
      <c r="AF142" s="562"/>
      <c r="AG142" s="562"/>
      <c r="AH142" s="562"/>
    </row>
    <row r="143" spans="4:34" x14ac:dyDescent="0.25">
      <c r="D143" s="562"/>
      <c r="E143" s="562"/>
      <c r="F143" s="562"/>
      <c r="G143" s="562"/>
      <c r="H143" s="562"/>
      <c r="I143" s="562"/>
      <c r="J143" s="562"/>
      <c r="K143" s="562"/>
      <c r="L143" s="562"/>
      <c r="M143" s="562"/>
      <c r="N143" s="562"/>
      <c r="O143" s="562"/>
      <c r="P143" s="562"/>
      <c r="Q143" s="562"/>
      <c r="R143" s="562"/>
      <c r="S143" s="562"/>
      <c r="T143" s="562"/>
      <c r="U143" s="562"/>
      <c r="V143" s="562"/>
      <c r="W143" s="562"/>
      <c r="X143" s="562"/>
      <c r="Y143" s="562"/>
      <c r="Z143" s="562"/>
      <c r="AA143" s="562"/>
      <c r="AB143" s="562"/>
      <c r="AC143" s="562"/>
      <c r="AD143" s="562"/>
      <c r="AE143" s="562"/>
      <c r="AF143" s="562"/>
      <c r="AG143" s="562"/>
      <c r="AH143" s="562"/>
    </row>
    <row r="144" spans="4:34" x14ac:dyDescent="0.25">
      <c r="D144" s="562"/>
      <c r="E144" s="562"/>
      <c r="F144" s="562"/>
      <c r="G144" s="562"/>
      <c r="H144" s="562"/>
      <c r="I144" s="562"/>
      <c r="J144" s="562"/>
      <c r="K144" s="562"/>
      <c r="L144" s="562"/>
      <c r="M144" s="562"/>
      <c r="N144" s="562"/>
      <c r="O144" s="562"/>
      <c r="P144" s="562"/>
      <c r="Q144" s="562"/>
      <c r="R144" s="562"/>
      <c r="S144" s="562"/>
      <c r="T144" s="562"/>
      <c r="U144" s="562"/>
      <c r="V144" s="562"/>
      <c r="W144" s="562"/>
      <c r="X144" s="562"/>
      <c r="Y144" s="562"/>
      <c r="Z144" s="562"/>
      <c r="AA144" s="562"/>
      <c r="AB144" s="562"/>
      <c r="AC144" s="562"/>
      <c r="AD144" s="562"/>
      <c r="AE144" s="562"/>
      <c r="AF144" s="562"/>
      <c r="AG144" s="562"/>
      <c r="AH144" s="562"/>
    </row>
    <row r="145" spans="4:34" x14ac:dyDescent="0.25"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2"/>
      <c r="P145" s="562"/>
      <c r="Q145" s="562"/>
      <c r="R145" s="562"/>
      <c r="S145" s="562"/>
      <c r="T145" s="562"/>
      <c r="U145" s="562"/>
      <c r="V145" s="562"/>
      <c r="W145" s="562"/>
      <c r="X145" s="562"/>
      <c r="Y145" s="562"/>
      <c r="Z145" s="562"/>
      <c r="AA145" s="562"/>
      <c r="AB145" s="562"/>
      <c r="AC145" s="562"/>
      <c r="AD145" s="562"/>
      <c r="AE145" s="562"/>
      <c r="AF145" s="562"/>
      <c r="AG145" s="562"/>
      <c r="AH145" s="562"/>
    </row>
    <row r="146" spans="4:34" x14ac:dyDescent="0.25"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2"/>
      <c r="P146" s="562"/>
      <c r="Q146" s="562"/>
      <c r="R146" s="562"/>
      <c r="S146" s="562"/>
      <c r="T146" s="562"/>
      <c r="U146" s="562"/>
      <c r="V146" s="562"/>
      <c r="W146" s="562"/>
      <c r="X146" s="562"/>
      <c r="Y146" s="562"/>
      <c r="Z146" s="562"/>
      <c r="AA146" s="562"/>
      <c r="AB146" s="562"/>
      <c r="AC146" s="562"/>
      <c r="AD146" s="562"/>
      <c r="AE146" s="562"/>
      <c r="AF146" s="562"/>
      <c r="AG146" s="562"/>
      <c r="AH146" s="562"/>
    </row>
    <row r="147" spans="4:34" x14ac:dyDescent="0.25"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62"/>
      <c r="AB147" s="562"/>
      <c r="AC147" s="562"/>
      <c r="AD147" s="562"/>
      <c r="AE147" s="562"/>
      <c r="AF147" s="562"/>
      <c r="AG147" s="562"/>
      <c r="AH147" s="562"/>
    </row>
    <row r="148" spans="4:34" x14ac:dyDescent="0.25">
      <c r="D148" s="562"/>
      <c r="E148" s="562"/>
      <c r="F148" s="562"/>
      <c r="G148" s="562"/>
      <c r="H148" s="562"/>
      <c r="I148" s="562"/>
      <c r="J148" s="562"/>
      <c r="K148" s="562"/>
      <c r="L148" s="562"/>
      <c r="M148" s="562"/>
      <c r="N148" s="562"/>
      <c r="O148" s="562"/>
      <c r="P148" s="562"/>
      <c r="Q148" s="562"/>
      <c r="R148" s="562"/>
      <c r="S148" s="562"/>
      <c r="T148" s="562"/>
      <c r="U148" s="562"/>
      <c r="V148" s="562"/>
      <c r="W148" s="562"/>
      <c r="X148" s="562"/>
      <c r="Y148" s="562"/>
      <c r="Z148" s="562"/>
      <c r="AA148" s="562"/>
      <c r="AB148" s="562"/>
      <c r="AC148" s="562"/>
      <c r="AD148" s="562"/>
      <c r="AE148" s="562"/>
      <c r="AF148" s="562"/>
      <c r="AG148" s="562"/>
      <c r="AH148" s="562"/>
    </row>
    <row r="149" spans="4:34" x14ac:dyDescent="0.25">
      <c r="D149" s="562"/>
      <c r="E149" s="562"/>
      <c r="F149" s="562"/>
      <c r="G149" s="562"/>
      <c r="H149" s="562"/>
      <c r="I149" s="562"/>
      <c r="J149" s="562"/>
      <c r="K149" s="562"/>
      <c r="L149" s="562"/>
      <c r="M149" s="562"/>
      <c r="N149" s="562"/>
      <c r="O149" s="562"/>
      <c r="P149" s="562"/>
      <c r="Q149" s="562"/>
      <c r="R149" s="562"/>
      <c r="S149" s="562"/>
      <c r="T149" s="562"/>
      <c r="U149" s="562"/>
      <c r="V149" s="562"/>
      <c r="W149" s="562"/>
      <c r="X149" s="562"/>
      <c r="Y149" s="562"/>
      <c r="Z149" s="562"/>
      <c r="AA149" s="562"/>
      <c r="AB149" s="562"/>
      <c r="AC149" s="562"/>
      <c r="AD149" s="562"/>
      <c r="AE149" s="562"/>
      <c r="AF149" s="562"/>
      <c r="AG149" s="562"/>
      <c r="AH149" s="562"/>
    </row>
    <row r="150" spans="4:34" x14ac:dyDescent="0.25">
      <c r="D150" s="562"/>
      <c r="E150" s="562"/>
      <c r="F150" s="562"/>
      <c r="G150" s="562"/>
      <c r="H150" s="562"/>
      <c r="I150" s="562"/>
      <c r="J150" s="562"/>
      <c r="K150" s="562"/>
      <c r="L150" s="562"/>
      <c r="M150" s="562"/>
      <c r="N150" s="562"/>
      <c r="O150" s="562"/>
      <c r="P150" s="562"/>
      <c r="Q150" s="562"/>
      <c r="R150" s="562"/>
      <c r="S150" s="562"/>
      <c r="T150" s="562"/>
      <c r="U150" s="562"/>
      <c r="V150" s="562"/>
      <c r="W150" s="562"/>
      <c r="X150" s="562"/>
      <c r="Y150" s="562"/>
      <c r="Z150" s="562"/>
      <c r="AA150" s="562"/>
      <c r="AB150" s="562"/>
      <c r="AC150" s="562"/>
      <c r="AD150" s="562"/>
      <c r="AE150" s="562"/>
      <c r="AF150" s="562"/>
      <c r="AG150" s="562"/>
      <c r="AH150" s="562"/>
    </row>
    <row r="151" spans="4:34" x14ac:dyDescent="0.25"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2"/>
      <c r="P151" s="562"/>
      <c r="Q151" s="562"/>
      <c r="R151" s="562"/>
      <c r="S151" s="562"/>
      <c r="T151" s="562"/>
      <c r="U151" s="562"/>
      <c r="V151" s="562"/>
      <c r="W151" s="562"/>
      <c r="X151" s="562"/>
      <c r="Y151" s="562"/>
      <c r="Z151" s="562"/>
      <c r="AA151" s="562"/>
      <c r="AB151" s="562"/>
      <c r="AC151" s="562"/>
      <c r="AD151" s="562"/>
      <c r="AE151" s="562"/>
      <c r="AF151" s="562"/>
      <c r="AG151" s="562"/>
      <c r="AH151" s="562"/>
    </row>
    <row r="152" spans="4:34" x14ac:dyDescent="0.25"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2"/>
      <c r="P152" s="562"/>
      <c r="Q152" s="562"/>
      <c r="R152" s="562"/>
      <c r="S152" s="562"/>
      <c r="T152" s="562"/>
      <c r="U152" s="562"/>
      <c r="V152" s="562"/>
      <c r="W152" s="562"/>
      <c r="X152" s="562"/>
      <c r="Y152" s="562"/>
      <c r="Z152" s="562"/>
      <c r="AA152" s="562"/>
      <c r="AB152" s="562"/>
      <c r="AC152" s="562"/>
      <c r="AD152" s="562"/>
      <c r="AE152" s="562"/>
      <c r="AF152" s="562"/>
      <c r="AG152" s="562"/>
      <c r="AH152" s="562"/>
    </row>
    <row r="153" spans="4:34" x14ac:dyDescent="0.25">
      <c r="D153" s="562"/>
      <c r="E153" s="562"/>
      <c r="F153" s="562"/>
      <c r="G153" s="562"/>
      <c r="H153" s="562"/>
      <c r="I153" s="562"/>
      <c r="J153" s="562"/>
      <c r="K153" s="562"/>
      <c r="L153" s="562"/>
      <c r="M153" s="562"/>
      <c r="N153" s="562"/>
      <c r="O153" s="562"/>
      <c r="P153" s="562"/>
      <c r="Q153" s="562"/>
      <c r="R153" s="562"/>
      <c r="S153" s="562"/>
      <c r="T153" s="562"/>
      <c r="U153" s="562"/>
      <c r="V153" s="562"/>
      <c r="W153" s="562"/>
      <c r="X153" s="562"/>
      <c r="Y153" s="562"/>
      <c r="Z153" s="562"/>
      <c r="AA153" s="562"/>
      <c r="AB153" s="562"/>
      <c r="AC153" s="562"/>
      <c r="AD153" s="562"/>
      <c r="AE153" s="562"/>
      <c r="AF153" s="562"/>
      <c r="AG153" s="562"/>
      <c r="AH153" s="562"/>
    </row>
  </sheetData>
  <mergeCells count="15">
    <mergeCell ref="A92:C94"/>
    <mergeCell ref="I70:I81"/>
    <mergeCell ref="I83:I89"/>
    <mergeCell ref="J2:K2"/>
    <mergeCell ref="F3:N3"/>
    <mergeCell ref="A4:C5"/>
    <mergeCell ref="D4:D5"/>
    <mergeCell ref="F4:F6"/>
    <mergeCell ref="G4:G6"/>
    <mergeCell ref="I4:I6"/>
    <mergeCell ref="J4:J6"/>
    <mergeCell ref="A69:C69"/>
    <mergeCell ref="H4:H6"/>
    <mergeCell ref="E2:G2"/>
    <mergeCell ref="A6:C6"/>
  </mergeCells>
  <conditionalFormatting sqref="O55:BZ55">
    <cfRule type="top10" dxfId="78" priority="42" rank="1"/>
    <cfRule type="top10" dxfId="77" priority="43" percent="1" rank="10"/>
  </conditionalFormatting>
  <conditionalFormatting sqref="O58:O59">
    <cfRule type="expression" dxfId="76" priority="41">
      <formula>O57/$N$58&gt;0.6</formula>
    </cfRule>
  </conditionalFormatting>
  <conditionalFormatting sqref="P58:P59">
    <cfRule type="expression" dxfId="75" priority="40">
      <formula>P57/$N$58&gt;0.6</formula>
    </cfRule>
  </conditionalFormatting>
  <conditionalFormatting sqref="Q58:AP58 Q59:X59">
    <cfRule type="cellIs" dxfId="74" priority="39" operator="equal">
      <formula>"E"</formula>
    </cfRule>
  </conditionalFormatting>
  <conditionalFormatting sqref="AQ58:BY58">
    <cfRule type="cellIs" dxfId="73" priority="38" operator="equal">
      <formula>"D"</formula>
    </cfRule>
  </conditionalFormatting>
  <conditionalFormatting sqref="X58:BZ58 X59 BZ59">
    <cfRule type="cellIs" dxfId="72" priority="35" operator="equal">
      <formula>"A"</formula>
    </cfRule>
    <cfRule type="cellIs" dxfId="71" priority="36" operator="equal">
      <formula>"B"</formula>
    </cfRule>
    <cfRule type="cellIs" dxfId="70" priority="37" operator="equal">
      <formula>"C"</formula>
    </cfRule>
  </conditionalFormatting>
  <conditionalFormatting sqref="Y59">
    <cfRule type="top10" dxfId="69" priority="34" rank="1"/>
  </conditionalFormatting>
  <conditionalFormatting sqref="Z59:BY59">
    <cfRule type="top10" dxfId="68" priority="33" rank="1"/>
  </conditionalFormatting>
  <conditionalFormatting sqref="P51:BZ51">
    <cfRule type="top10" dxfId="67" priority="44" rank="1"/>
    <cfRule type="top10" dxfId="66" priority="45" percent="1" rank="10"/>
  </conditionalFormatting>
  <conditionalFormatting sqref="O62:BZ62">
    <cfRule type="top10" dxfId="65" priority="32" rank="1"/>
  </conditionalFormatting>
  <conditionalFormatting sqref="O50:BZ50">
    <cfRule type="top10" dxfId="64" priority="30" percent="1" rank="10"/>
    <cfRule type="top10" dxfId="63" priority="31" rank="1"/>
  </conditionalFormatting>
  <conditionalFormatting sqref="O65:BZ65">
    <cfRule type="top10" dxfId="62" priority="29" rank="1"/>
  </conditionalFormatting>
  <conditionalFormatting sqref="AE93:BZ93 AE95:BZ95 AE94:AR94 AV94:BC94 BE94:BH94 BJ94:BM94 BQ94:BZ94 AT94 BO94">
    <cfRule type="top10" dxfId="61" priority="25" percent="1" rank="10"/>
    <cfRule type="top10" dxfId="60" priority="26" rank="1"/>
  </conditionalFormatting>
  <conditionalFormatting sqref="AF96:BZ96 AF98:BZ98 AF97:AM97 AO97:AQ97 AS97:AU97 BC97:BE97 BH97:BM97 BO97:BX97 AW97:BA97 BZ97">
    <cfRule type="top10" dxfId="59" priority="23" percent="1" rank="10"/>
    <cfRule type="top10" dxfId="58" priority="24" rank="1"/>
  </conditionalFormatting>
  <conditionalFormatting sqref="AF105:BZ105">
    <cfRule type="top10" dxfId="57" priority="21" percent="1" rank="10"/>
    <cfRule type="top10" dxfId="56" priority="22" rank="1"/>
  </conditionalFormatting>
  <conditionalFormatting sqref="AF108:BZ108">
    <cfRule type="top10" dxfId="55" priority="19" percent="1" rank="10"/>
    <cfRule type="top10" dxfId="54" priority="20" rank="1"/>
  </conditionalFormatting>
  <conditionalFormatting sqref="AF100:BZ100">
    <cfRule type="top10" dxfId="53" priority="17" percent="1" rank="10"/>
    <cfRule type="top10" dxfId="52" priority="18" rank="1"/>
  </conditionalFormatting>
  <conditionalFormatting sqref="AF103:BZ103">
    <cfRule type="top10" dxfId="51" priority="15" percent="1" rank="10"/>
    <cfRule type="top10" dxfId="50" priority="16" rank="1"/>
  </conditionalFormatting>
  <conditionalFormatting sqref="AF106:AT106 AV106:BH106 BZ106 BJ106:BO106 BQ106:BX106">
    <cfRule type="top10" dxfId="49" priority="13" percent="1" rank="10"/>
    <cfRule type="top10" dxfId="48" priority="14" rank="1"/>
  </conditionalFormatting>
  <conditionalFormatting sqref="AR97">
    <cfRule type="top10" dxfId="47" priority="11" percent="1" rank="10"/>
    <cfRule type="top10" dxfId="46" priority="12" rank="1"/>
  </conditionalFormatting>
  <conditionalFormatting sqref="BB97">
    <cfRule type="top10" dxfId="45" priority="9" percent="1" rank="10"/>
    <cfRule type="top10" dxfId="44" priority="10" rank="1"/>
  </conditionalFormatting>
  <conditionalFormatting sqref="BI94">
    <cfRule type="top10" dxfId="43" priority="7" percent="1" rank="10"/>
    <cfRule type="top10" dxfId="42" priority="8" rank="1"/>
  </conditionalFormatting>
  <conditionalFormatting sqref="BN97">
    <cfRule type="top10" dxfId="41" priority="5" percent="1" rank="10"/>
    <cfRule type="top10" dxfId="40" priority="6" rank="1"/>
  </conditionalFormatting>
  <conditionalFormatting sqref="BP94">
    <cfRule type="top10" dxfId="39" priority="3" percent="1" rank="10"/>
    <cfRule type="top10" dxfId="38" priority="4" rank="1"/>
  </conditionalFormatting>
  <conditionalFormatting sqref="BY106">
    <cfRule type="top10" dxfId="37" priority="1" percent="1" rank="10"/>
    <cfRule type="top10" dxfId="36" priority="2" rank="1"/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3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9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M18" sqref="M18"/>
    </sheetView>
  </sheetViews>
  <sheetFormatPr defaultRowHeight="15" x14ac:dyDescent="0.25"/>
  <cols>
    <col min="1" max="2" width="4.7109375" style="6" customWidth="1"/>
    <col min="3" max="3" width="40.7109375" style="6" customWidth="1"/>
    <col min="4" max="8" width="8.7109375" style="4" customWidth="1"/>
    <col min="9" max="39" width="6.7109375" style="4" customWidth="1"/>
    <col min="40" max="45" width="6.7109375" style="6" customWidth="1"/>
    <col min="46" max="46" width="9.140625" style="6"/>
    <col min="47" max="47" width="12.5703125" style="6" customWidth="1"/>
    <col min="48" max="16384" width="9.140625" style="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1081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42075</v>
      </c>
      <c r="D3" s="57" t="str">
        <f>CONCATENATE("Ver. ",'Departure Lounge 2027'!E3)</f>
        <v>Ver. 7</v>
      </c>
      <c r="E3" s="1013" t="str">
        <f>'Departure Lounge 2027'!F3</f>
        <v>Workbook audited for release to PAPL</v>
      </c>
      <c r="F3" s="1013"/>
      <c r="G3" s="1013"/>
      <c r="H3" s="1013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975</v>
      </c>
      <c r="C4" s="15"/>
      <c r="D4" s="34" t="s">
        <v>46</v>
      </c>
      <c r="E4" s="34" t="s">
        <v>28</v>
      </c>
      <c r="F4" s="34" t="s">
        <v>68</v>
      </c>
      <c r="G4" s="34" t="s">
        <v>3</v>
      </c>
      <c r="H4" s="496"/>
      <c r="I4" s="247" t="s">
        <v>50</v>
      </c>
      <c r="J4" s="247"/>
      <c r="K4" s="247"/>
      <c r="M4" s="247"/>
      <c r="N4" s="247"/>
      <c r="O4" s="247"/>
      <c r="P4" s="380" t="s">
        <v>984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977</v>
      </c>
      <c r="AB4" s="95"/>
      <c r="AC4" s="95"/>
      <c r="AD4" s="95"/>
      <c r="AE4" s="95"/>
      <c r="AF4" s="95"/>
      <c r="AG4" s="96" t="s">
        <v>985</v>
      </c>
      <c r="AH4" s="15"/>
      <c r="AL4" s="97" t="s">
        <v>92</v>
      </c>
      <c r="AM4" s="98"/>
      <c r="AN4" s="373"/>
      <c r="AO4" s="98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987</v>
      </c>
      <c r="C5" s="7"/>
      <c r="D5" s="7"/>
      <c r="E5" s="29"/>
      <c r="F5" s="29"/>
      <c r="G5" s="29"/>
      <c r="H5" s="497"/>
      <c r="I5" s="7" t="s">
        <v>945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946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947</v>
      </c>
      <c r="AH5" s="7"/>
      <c r="AL5" s="250"/>
      <c r="AM5" s="21"/>
      <c r="AN5" s="399"/>
      <c r="AO5" s="398"/>
      <c r="AP5" s="400"/>
      <c r="AQ5" s="400" t="s">
        <v>1093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102</v>
      </c>
      <c r="C6" s="389" t="e">
        <f>CONCATENATE(VLOOKUP(B6,Airlines,2,FALSE),", ",VLOOKUP(D6,Aircraft,2,FALSE))</f>
        <v>#N/A</v>
      </c>
      <c r="D6" s="48" t="s">
        <v>929</v>
      </c>
      <c r="E6" s="20" t="e">
        <f>VLOOKUP(D6,Aircraft,4,FALSE)</f>
        <v>#N/A</v>
      </c>
      <c r="F6" s="49">
        <v>0.85</v>
      </c>
      <c r="G6" s="50" t="e">
        <f>E6*F6</f>
        <v>#N/A</v>
      </c>
      <c r="H6" s="498" t="s">
        <v>53</v>
      </c>
      <c r="I6" s="45">
        <f t="shared" ref="I6" si="0">J6-5</f>
        <v>-180</v>
      </c>
      <c r="J6" s="45">
        <f t="shared" ref="J6" si="1">K6-5</f>
        <v>-175</v>
      </c>
      <c r="K6" s="45">
        <f t="shared" ref="K6" si="2">L6-5</f>
        <v>-170</v>
      </c>
      <c r="L6" s="45">
        <f t="shared" ref="L6" si="3">M6-5</f>
        <v>-165</v>
      </c>
      <c r="M6" s="45">
        <f t="shared" ref="M6" si="4">N6-5</f>
        <v>-160</v>
      </c>
      <c r="N6" s="45">
        <f t="shared" ref="N6" si="5">O6-5</f>
        <v>-155</v>
      </c>
      <c r="O6" s="45">
        <f t="shared" ref="O6" si="6">P6-5</f>
        <v>-150</v>
      </c>
      <c r="P6" s="45">
        <f t="shared" ref="P6" si="7">Q6-5</f>
        <v>-145</v>
      </c>
      <c r="Q6" s="45">
        <f t="shared" ref="Q6" si="8">R6-5</f>
        <v>-140</v>
      </c>
      <c r="R6" s="45">
        <f t="shared" ref="R6" si="9">S6-5</f>
        <v>-135</v>
      </c>
      <c r="S6" s="45">
        <f t="shared" ref="S6" si="10">T6-5</f>
        <v>-130</v>
      </c>
      <c r="T6" s="45">
        <f t="shared" ref="T6" si="11">U6-5</f>
        <v>-125</v>
      </c>
      <c r="U6" s="45">
        <f t="shared" ref="U6" si="12">V6-5</f>
        <v>-120</v>
      </c>
      <c r="V6" s="45">
        <f t="shared" ref="V6" si="13">W6-5</f>
        <v>-115</v>
      </c>
      <c r="W6" s="45">
        <f t="shared" ref="W6" si="14">X6-5</f>
        <v>-110</v>
      </c>
      <c r="X6" s="45">
        <f t="shared" ref="X6" si="15">Y6-5</f>
        <v>-105</v>
      </c>
      <c r="Y6" s="45">
        <f t="shared" ref="Y6" si="16">Z6-5</f>
        <v>-100</v>
      </c>
      <c r="Z6" s="45">
        <f t="shared" ref="Z6" si="17">AA6-5</f>
        <v>-95</v>
      </c>
      <c r="AA6" s="45">
        <f t="shared" ref="AA6:AQ6" si="18">AB6-5</f>
        <v>-90</v>
      </c>
      <c r="AB6" s="45">
        <f t="shared" si="18"/>
        <v>-85</v>
      </c>
      <c r="AC6" s="45">
        <f t="shared" si="18"/>
        <v>-80</v>
      </c>
      <c r="AD6" s="45">
        <f t="shared" si="18"/>
        <v>-75</v>
      </c>
      <c r="AE6" s="45">
        <f t="shared" si="18"/>
        <v>-70</v>
      </c>
      <c r="AF6" s="45">
        <f t="shared" si="18"/>
        <v>-65</v>
      </c>
      <c r="AG6" s="45">
        <f t="shared" si="18"/>
        <v>-60</v>
      </c>
      <c r="AH6" s="45">
        <f t="shared" si="18"/>
        <v>-55</v>
      </c>
      <c r="AI6" s="45">
        <f t="shared" si="18"/>
        <v>-50</v>
      </c>
      <c r="AJ6" s="45">
        <f t="shared" si="18"/>
        <v>-45</v>
      </c>
      <c r="AK6" s="45">
        <f t="shared" si="18"/>
        <v>-40</v>
      </c>
      <c r="AL6" s="45">
        <f t="shared" si="18"/>
        <v>-35</v>
      </c>
      <c r="AM6" s="45">
        <f t="shared" si="18"/>
        <v>-30</v>
      </c>
      <c r="AN6" s="45">
        <f t="shared" si="18"/>
        <v>-25</v>
      </c>
      <c r="AO6" s="45">
        <f t="shared" si="18"/>
        <v>-20</v>
      </c>
      <c r="AP6" s="45">
        <f t="shared" si="18"/>
        <v>-15</v>
      </c>
      <c r="AQ6" s="45">
        <f t="shared" si="18"/>
        <v>-10</v>
      </c>
      <c r="AR6" s="37">
        <v>-5</v>
      </c>
      <c r="AS6" s="68" t="s">
        <v>27</v>
      </c>
      <c r="AT6"/>
      <c r="AU6"/>
      <c r="AV6"/>
      <c r="AW6"/>
      <c r="AX6"/>
    </row>
    <row r="7" spans="1:50" s="8" customFormat="1" ht="24" customHeight="1" x14ac:dyDescent="0.25">
      <c r="A7" s="436"/>
      <c r="B7" s="7"/>
      <c r="C7" s="21" t="s">
        <v>54</v>
      </c>
      <c r="D7" s="29" t="s">
        <v>4</v>
      </c>
      <c r="E7" s="184">
        <v>0.94</v>
      </c>
      <c r="F7" s="29"/>
      <c r="G7" s="29"/>
      <c r="H7" s="499">
        <f t="shared" ref="H7:H24" si="19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436"/>
      <c r="B8" s="18"/>
      <c r="C8" s="51"/>
      <c r="D8" s="32" t="s">
        <v>3</v>
      </c>
      <c r="E8" s="52" t="e">
        <f>E7*G$6</f>
        <v>#N/A</v>
      </c>
      <c r="F8" s="32"/>
      <c r="G8" s="32"/>
      <c r="H8" s="443" t="e">
        <f t="shared" si="19"/>
        <v>#N/A</v>
      </c>
      <c r="I8" s="66" t="e">
        <f t="shared" ref="I8:Z15" si="20">I7*$E8</f>
        <v>#N/A</v>
      </c>
      <c r="J8" s="66" t="e">
        <f t="shared" si="20"/>
        <v>#N/A</v>
      </c>
      <c r="K8" s="66" t="e">
        <f t="shared" si="20"/>
        <v>#N/A</v>
      </c>
      <c r="L8" s="66" t="e">
        <f t="shared" si="20"/>
        <v>#N/A</v>
      </c>
      <c r="M8" s="66" t="e">
        <f t="shared" si="20"/>
        <v>#N/A</v>
      </c>
      <c r="N8" s="66" t="e">
        <f t="shared" si="20"/>
        <v>#N/A</v>
      </c>
      <c r="O8" s="66" t="e">
        <f t="shared" si="20"/>
        <v>#N/A</v>
      </c>
      <c r="P8" s="66" t="e">
        <f t="shared" si="20"/>
        <v>#N/A</v>
      </c>
      <c r="Q8" s="66" t="e">
        <f t="shared" si="20"/>
        <v>#N/A</v>
      </c>
      <c r="R8" s="66" t="e">
        <f t="shared" si="20"/>
        <v>#N/A</v>
      </c>
      <c r="S8" s="66" t="e">
        <f t="shared" si="20"/>
        <v>#N/A</v>
      </c>
      <c r="T8" s="66" t="e">
        <f t="shared" si="20"/>
        <v>#N/A</v>
      </c>
      <c r="U8" s="66" t="e">
        <f t="shared" si="20"/>
        <v>#N/A</v>
      </c>
      <c r="V8" s="66" t="e">
        <f t="shared" si="20"/>
        <v>#N/A</v>
      </c>
      <c r="W8" s="66" t="e">
        <f t="shared" si="20"/>
        <v>#N/A</v>
      </c>
      <c r="X8" s="66" t="e">
        <f t="shared" si="20"/>
        <v>#N/A</v>
      </c>
      <c r="Y8" s="66" t="e">
        <f t="shared" si="20"/>
        <v>#N/A</v>
      </c>
      <c r="Z8" s="66" t="e">
        <f t="shared" si="20"/>
        <v>#N/A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436"/>
      <c r="B9" s="7"/>
      <c r="C9" s="21" t="s">
        <v>976</v>
      </c>
      <c r="D9" s="29" t="s">
        <v>4</v>
      </c>
      <c r="E9" s="369">
        <f>1-E7</f>
        <v>6.0000000000000053E-2</v>
      </c>
      <c r="F9" s="387" t="s">
        <v>994</v>
      </c>
      <c r="G9" s="29"/>
      <c r="H9" s="499">
        <f t="shared" si="19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436"/>
      <c r="B10" s="18"/>
      <c r="D10" s="29" t="s">
        <v>3</v>
      </c>
      <c r="E10" s="366" t="e">
        <f>E9*G$6</f>
        <v>#N/A</v>
      </c>
      <c r="F10" s="32"/>
      <c r="G10" s="32"/>
      <c r="H10" s="443" t="e">
        <f t="shared" si="19"/>
        <v>#N/A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 t="e">
        <f t="shared" ref="T10:AE10" si="21">T9*$E10</f>
        <v>#N/A</v>
      </c>
      <c r="U10" s="66" t="e">
        <f t="shared" si="21"/>
        <v>#N/A</v>
      </c>
      <c r="V10" s="66" t="e">
        <f t="shared" si="21"/>
        <v>#N/A</v>
      </c>
      <c r="W10" s="66" t="e">
        <f t="shared" si="21"/>
        <v>#N/A</v>
      </c>
      <c r="X10" s="66" t="e">
        <f t="shared" si="21"/>
        <v>#N/A</v>
      </c>
      <c r="Y10" s="66" t="e">
        <f t="shared" si="21"/>
        <v>#N/A</v>
      </c>
      <c r="Z10" s="66" t="e">
        <f t="shared" si="21"/>
        <v>#N/A</v>
      </c>
      <c r="AA10" s="66" t="e">
        <f t="shared" si="21"/>
        <v>#N/A</v>
      </c>
      <c r="AB10" s="66" t="e">
        <f t="shared" si="21"/>
        <v>#N/A</v>
      </c>
      <c r="AC10" s="66" t="e">
        <f t="shared" si="21"/>
        <v>#N/A</v>
      </c>
      <c r="AD10" s="66" t="e">
        <f t="shared" si="21"/>
        <v>#N/A</v>
      </c>
      <c r="AE10" s="66" t="e">
        <f t="shared" si="21"/>
        <v>#N/A</v>
      </c>
      <c r="AF10" s="66" t="e">
        <f t="shared" ref="AF10" si="22">AF9*$E10</f>
        <v>#N/A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436"/>
      <c r="B11" s="408"/>
      <c r="C11" s="507"/>
      <c r="D11" s="508" t="s">
        <v>1005</v>
      </c>
      <c r="E11" s="509" t="e">
        <f>-(SUMPRODUCT(I6:Z6,I8:Z8)+SUMPRODUCT(T6:AF6,T10:AF10))/G6</f>
        <v>#N/A</v>
      </c>
      <c r="F11" s="409"/>
      <c r="G11" s="409"/>
      <c r="H11" s="506" t="s">
        <v>1004</v>
      </c>
      <c r="I11" s="410" t="e">
        <f>(I8+I10)/G6</f>
        <v>#N/A</v>
      </c>
      <c r="J11" s="410" t="e">
        <f>I11+(J8+J10)/$G$6</f>
        <v>#N/A</v>
      </c>
      <c r="K11" s="410" t="e">
        <f t="shared" ref="K11:AF11" si="23">J11+(K8+K10)/$G$6</f>
        <v>#N/A</v>
      </c>
      <c r="L11" s="410" t="e">
        <f t="shared" si="23"/>
        <v>#N/A</v>
      </c>
      <c r="M11" s="410" t="e">
        <f t="shared" si="23"/>
        <v>#N/A</v>
      </c>
      <c r="N11" s="410" t="e">
        <f t="shared" si="23"/>
        <v>#N/A</v>
      </c>
      <c r="O11" s="411" t="e">
        <f t="shared" si="23"/>
        <v>#N/A</v>
      </c>
      <c r="P11" s="390" t="e">
        <f t="shared" si="23"/>
        <v>#N/A</v>
      </c>
      <c r="Q11" s="412" t="e">
        <f t="shared" si="23"/>
        <v>#N/A</v>
      </c>
      <c r="R11" s="410" t="e">
        <f t="shared" si="23"/>
        <v>#N/A</v>
      </c>
      <c r="S11" s="410" t="e">
        <f t="shared" si="23"/>
        <v>#N/A</v>
      </c>
      <c r="T11" s="410" t="e">
        <f t="shared" si="23"/>
        <v>#N/A</v>
      </c>
      <c r="U11" s="410" t="e">
        <f t="shared" si="23"/>
        <v>#N/A</v>
      </c>
      <c r="V11" s="410" t="e">
        <f t="shared" si="23"/>
        <v>#N/A</v>
      </c>
      <c r="W11" s="410" t="e">
        <f t="shared" si="23"/>
        <v>#N/A</v>
      </c>
      <c r="X11" s="410" t="e">
        <f t="shared" si="23"/>
        <v>#N/A</v>
      </c>
      <c r="Y11" s="410" t="e">
        <f t="shared" si="23"/>
        <v>#N/A</v>
      </c>
      <c r="Z11" s="410" t="e">
        <f t="shared" si="23"/>
        <v>#N/A</v>
      </c>
      <c r="AA11" s="410" t="e">
        <f t="shared" si="23"/>
        <v>#N/A</v>
      </c>
      <c r="AB11" s="410" t="e">
        <f t="shared" si="23"/>
        <v>#N/A</v>
      </c>
      <c r="AC11" s="410" t="e">
        <f t="shared" si="23"/>
        <v>#N/A</v>
      </c>
      <c r="AD11" s="410" t="e">
        <f t="shared" si="23"/>
        <v>#N/A</v>
      </c>
      <c r="AE11" s="410" t="e">
        <f t="shared" si="23"/>
        <v>#N/A</v>
      </c>
      <c r="AF11" s="410" t="e">
        <f t="shared" si="23"/>
        <v>#N/A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436"/>
      <c r="B12" s="7"/>
      <c r="C12" s="21" t="s">
        <v>978</v>
      </c>
      <c r="D12" s="29" t="s">
        <v>4</v>
      </c>
      <c r="E12" s="184">
        <v>0.5</v>
      </c>
      <c r="F12" s="387" t="s">
        <v>991</v>
      </c>
      <c r="G12" s="29"/>
      <c r="H12" s="499">
        <f t="shared" si="19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436"/>
      <c r="B13" s="18"/>
      <c r="C13" s="51"/>
      <c r="D13" s="32" t="s">
        <v>3</v>
      </c>
      <c r="E13" s="52" t="e">
        <f>E12*G$6</f>
        <v>#N/A</v>
      </c>
      <c r="F13" s="32"/>
      <c r="G13" s="32"/>
      <c r="H13" s="443" t="e">
        <f t="shared" si="19"/>
        <v>#N/A</v>
      </c>
      <c r="I13" s="66"/>
      <c r="J13" s="66"/>
      <c r="K13" s="66"/>
      <c r="L13" s="66" t="e">
        <f t="shared" ref="L13:O13" si="24">L12*$E13</f>
        <v>#N/A</v>
      </c>
      <c r="M13" s="66" t="e">
        <f t="shared" si="24"/>
        <v>#N/A</v>
      </c>
      <c r="N13" s="66" t="e">
        <f t="shared" si="24"/>
        <v>#N/A</v>
      </c>
      <c r="O13" s="66" t="e">
        <f t="shared" si="24"/>
        <v>#N/A</v>
      </c>
      <c r="P13" s="66" t="e">
        <f t="shared" si="20"/>
        <v>#N/A</v>
      </c>
      <c r="Q13" s="66" t="e">
        <f t="shared" si="20"/>
        <v>#N/A</v>
      </c>
      <c r="R13" s="66" t="e">
        <f t="shared" si="20"/>
        <v>#N/A</v>
      </c>
      <c r="S13" s="66" t="e">
        <f t="shared" si="20"/>
        <v>#N/A</v>
      </c>
      <c r="T13" s="66" t="e">
        <f t="shared" si="20"/>
        <v>#N/A</v>
      </c>
      <c r="U13" s="66" t="e">
        <f t="shared" si="20"/>
        <v>#N/A</v>
      </c>
      <c r="V13" s="66" t="e">
        <f t="shared" si="20"/>
        <v>#N/A</v>
      </c>
      <c r="W13" s="66" t="e">
        <f t="shared" si="20"/>
        <v>#N/A</v>
      </c>
      <c r="X13" s="66" t="e">
        <f t="shared" si="20"/>
        <v>#N/A</v>
      </c>
      <c r="Y13" s="66" t="e">
        <f t="shared" si="20"/>
        <v>#N/A</v>
      </c>
      <c r="Z13" s="66" t="e">
        <f t="shared" si="20"/>
        <v>#N/A</v>
      </c>
      <c r="AA13" s="66" t="e">
        <f t="shared" ref="AA13:AC13" si="25">AA12*$E13</f>
        <v>#N/A</v>
      </c>
      <c r="AB13" s="66" t="e">
        <f t="shared" si="25"/>
        <v>#N/A</v>
      </c>
      <c r="AC13" s="66" t="e">
        <f t="shared" si="25"/>
        <v>#N/A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436"/>
      <c r="B14" s="7"/>
      <c r="C14" s="21" t="s">
        <v>979</v>
      </c>
      <c r="D14" s="29" t="s">
        <v>4</v>
      </c>
      <c r="E14" s="91">
        <f>E12</f>
        <v>0.5</v>
      </c>
      <c r="F14" s="29"/>
      <c r="G14" s="29"/>
      <c r="H14" s="499">
        <f t="shared" si="19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436"/>
      <c r="B15" s="18"/>
      <c r="C15" s="372"/>
      <c r="D15" s="32" t="s">
        <v>3</v>
      </c>
      <c r="E15" s="52" t="e">
        <f>E14*G$6</f>
        <v>#N/A</v>
      </c>
      <c r="F15" s="32"/>
      <c r="G15" s="32"/>
      <c r="H15" s="443" t="e">
        <f t="shared" si="19"/>
        <v>#N/A</v>
      </c>
      <c r="I15" s="66"/>
      <c r="J15" s="66"/>
      <c r="K15" s="66"/>
      <c r="L15" s="66"/>
      <c r="M15" s="66"/>
      <c r="N15" s="66"/>
      <c r="O15" s="66" t="e">
        <f t="shared" si="20"/>
        <v>#N/A</v>
      </c>
      <c r="P15" s="66" t="e">
        <f t="shared" si="20"/>
        <v>#N/A</v>
      </c>
      <c r="Q15" s="66" t="e">
        <f t="shared" si="20"/>
        <v>#N/A</v>
      </c>
      <c r="R15" s="66" t="e">
        <f t="shared" si="20"/>
        <v>#N/A</v>
      </c>
      <c r="S15" s="66" t="e">
        <f t="shared" si="20"/>
        <v>#N/A</v>
      </c>
      <c r="T15" s="66" t="e">
        <f t="shared" si="20"/>
        <v>#N/A</v>
      </c>
      <c r="U15" s="66" t="e">
        <f t="shared" si="20"/>
        <v>#N/A</v>
      </c>
      <c r="V15" s="66" t="e">
        <f t="shared" si="20"/>
        <v>#N/A</v>
      </c>
      <c r="W15" s="66" t="e">
        <f t="shared" si="20"/>
        <v>#N/A</v>
      </c>
      <c r="X15" s="66" t="e">
        <f t="shared" si="20"/>
        <v>#N/A</v>
      </c>
      <c r="Y15" s="66" t="e">
        <f t="shared" si="20"/>
        <v>#N/A</v>
      </c>
      <c r="Z15" s="66" t="e">
        <f t="shared" si="20"/>
        <v>#N/A</v>
      </c>
      <c r="AA15" s="66" t="e">
        <f t="shared" ref="AA15:AG15" si="26">AA14*$E15</f>
        <v>#N/A</v>
      </c>
      <c r="AB15" s="66" t="e">
        <f t="shared" si="26"/>
        <v>#N/A</v>
      </c>
      <c r="AC15" s="66" t="e">
        <f t="shared" si="26"/>
        <v>#N/A</v>
      </c>
      <c r="AD15" s="66" t="e">
        <f t="shared" si="26"/>
        <v>#N/A</v>
      </c>
      <c r="AE15" s="66" t="e">
        <f t="shared" si="26"/>
        <v>#N/A</v>
      </c>
      <c r="AF15" s="66" t="e">
        <f t="shared" si="26"/>
        <v>#N/A</v>
      </c>
      <c r="AG15" s="66" t="e">
        <f t="shared" si="26"/>
        <v>#N/A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436"/>
      <c r="B16" s="7"/>
      <c r="C16" s="21" t="s">
        <v>981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436"/>
      <c r="B17" s="18"/>
      <c r="C17" s="51" t="s">
        <v>982</v>
      </c>
      <c r="D17" s="32" t="s">
        <v>3</v>
      </c>
      <c r="E17" s="52" t="e">
        <f>E16*G$6</f>
        <v>#N/A</v>
      </c>
      <c r="F17" s="32"/>
      <c r="G17" s="32"/>
      <c r="H17" s="443" t="e">
        <f>SUM(I17:AR17)</f>
        <v>#N/A</v>
      </c>
      <c r="I17" s="54"/>
      <c r="J17" s="54"/>
      <c r="K17" s="66"/>
      <c r="L17" s="66"/>
      <c r="M17" s="66"/>
      <c r="N17" s="66" t="e">
        <f t="shared" ref="N17:Y17" si="27">N16*$E17</f>
        <v>#N/A</v>
      </c>
      <c r="O17" s="66" t="e">
        <f t="shared" si="27"/>
        <v>#N/A</v>
      </c>
      <c r="P17" s="66" t="e">
        <f t="shared" si="27"/>
        <v>#N/A</v>
      </c>
      <c r="Q17" s="66" t="e">
        <f t="shared" si="27"/>
        <v>#N/A</v>
      </c>
      <c r="R17" s="66" t="e">
        <f t="shared" si="27"/>
        <v>#N/A</v>
      </c>
      <c r="S17" s="66" t="e">
        <f t="shared" si="27"/>
        <v>#N/A</v>
      </c>
      <c r="T17" s="66" t="e">
        <f t="shared" si="27"/>
        <v>#N/A</v>
      </c>
      <c r="U17" s="66" t="e">
        <f t="shared" si="27"/>
        <v>#N/A</v>
      </c>
      <c r="V17" s="66" t="e">
        <f t="shared" si="27"/>
        <v>#N/A</v>
      </c>
      <c r="W17" s="66" t="e">
        <f t="shared" si="27"/>
        <v>#N/A</v>
      </c>
      <c r="X17" s="66" t="e">
        <f t="shared" si="27"/>
        <v>#N/A</v>
      </c>
      <c r="Y17" s="66" t="e">
        <f t="shared" si="27"/>
        <v>#N/A</v>
      </c>
      <c r="Z17" s="66" t="e">
        <f t="shared" ref="Q17:AA19" si="28">Z16*$E17</f>
        <v>#N/A</v>
      </c>
      <c r="AA17" s="66" t="e">
        <f t="shared" si="28"/>
        <v>#N/A</v>
      </c>
      <c r="AB17" s="66" t="e">
        <f t="shared" ref="AB17" si="29">AB16*$E17</f>
        <v>#N/A</v>
      </c>
      <c r="AC17" s="66" t="e">
        <f t="shared" ref="AC17" si="30">AC16*$E17</f>
        <v>#N/A</v>
      </c>
      <c r="AD17" s="66" t="e">
        <f t="shared" ref="AD17" si="31">AD16*$E17</f>
        <v>#N/A</v>
      </c>
      <c r="AE17" s="66" t="e">
        <f t="shared" ref="AE17" si="32">AE16*$E17</f>
        <v>#N/A</v>
      </c>
      <c r="AF17" s="66" t="e">
        <f t="shared" ref="AF17" si="33">AF16*$E17</f>
        <v>#N/A</v>
      </c>
      <c r="AG17" s="66" t="e">
        <f t="shared" ref="AG17" si="34">AG16*$E17</f>
        <v>#N/A</v>
      </c>
      <c r="AH17" s="66" t="e">
        <f t="shared" ref="AH17" si="35">AH16*$E17</f>
        <v>#N/A</v>
      </c>
      <c r="AI17" s="66" t="e">
        <f t="shared" ref="AI17:AJ17" si="36">AI16*$E17</f>
        <v>#N/A</v>
      </c>
      <c r="AJ17" s="66" t="e">
        <f t="shared" si="36"/>
        <v>#N/A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436"/>
      <c r="B18" s="7"/>
      <c r="C18" s="21" t="s">
        <v>51</v>
      </c>
      <c r="D18" s="29" t="s">
        <v>4</v>
      </c>
      <c r="E18" s="184">
        <v>0.2</v>
      </c>
      <c r="F18" s="387" t="s">
        <v>988</v>
      </c>
      <c r="G18" s="29"/>
      <c r="H18" s="499">
        <f t="shared" si="19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377"/>
      <c r="AM18" s="456"/>
      <c r="AN18" s="4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436"/>
      <c r="B19" s="17"/>
      <c r="C19" s="458"/>
      <c r="D19" s="33" t="s">
        <v>3</v>
      </c>
      <c r="E19" s="55" t="e">
        <f>E18*G$6</f>
        <v>#N/A</v>
      </c>
      <c r="F19" s="33"/>
      <c r="G19" s="33"/>
      <c r="H19" s="500" t="e">
        <f t="shared" si="19"/>
        <v>#N/A</v>
      </c>
      <c r="I19" s="459"/>
      <c r="J19" s="459"/>
      <c r="K19" s="459"/>
      <c r="L19" s="459"/>
      <c r="M19" s="459"/>
      <c r="N19" s="65"/>
      <c r="O19" s="65"/>
      <c r="P19" s="65"/>
      <c r="Q19" s="65" t="e">
        <f t="shared" si="28"/>
        <v>#N/A</v>
      </c>
      <c r="R19" s="65" t="e">
        <f t="shared" si="28"/>
        <v>#N/A</v>
      </c>
      <c r="S19" s="65" t="e">
        <f t="shared" si="28"/>
        <v>#N/A</v>
      </c>
      <c r="T19" s="65" t="e">
        <f t="shared" si="28"/>
        <v>#N/A</v>
      </c>
      <c r="U19" s="65" t="e">
        <f t="shared" si="28"/>
        <v>#N/A</v>
      </c>
      <c r="V19" s="65" t="e">
        <f t="shared" si="28"/>
        <v>#N/A</v>
      </c>
      <c r="W19" s="65" t="e">
        <f t="shared" si="28"/>
        <v>#N/A</v>
      </c>
      <c r="X19" s="65" t="e">
        <f t="shared" si="28"/>
        <v>#N/A</v>
      </c>
      <c r="Y19" s="65" t="e">
        <f t="shared" si="28"/>
        <v>#N/A</v>
      </c>
      <c r="Z19" s="65" t="e">
        <f t="shared" si="28"/>
        <v>#N/A</v>
      </c>
      <c r="AA19" s="65" t="e">
        <f t="shared" si="28"/>
        <v>#N/A</v>
      </c>
      <c r="AB19" s="65" t="e">
        <f t="shared" ref="AB19:AG19" si="37">AB18*$E19</f>
        <v>#N/A</v>
      </c>
      <c r="AC19" s="65" t="e">
        <f t="shared" si="37"/>
        <v>#N/A</v>
      </c>
      <c r="AD19" s="65" t="e">
        <f t="shared" si="37"/>
        <v>#N/A</v>
      </c>
      <c r="AE19" s="65" t="e">
        <f t="shared" si="37"/>
        <v>#N/A</v>
      </c>
      <c r="AF19" s="65" t="e">
        <f t="shared" si="37"/>
        <v>#N/A</v>
      </c>
      <c r="AG19" s="65" t="e">
        <f t="shared" si="37"/>
        <v>#N/A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436"/>
      <c r="B20" s="7"/>
      <c r="C20" s="21" t="s">
        <v>997</v>
      </c>
      <c r="D20" s="29" t="s">
        <v>4</v>
      </c>
      <c r="E20" s="91">
        <f>E18</f>
        <v>0.2</v>
      </c>
      <c r="F20" s="29"/>
      <c r="G20" s="29"/>
      <c r="H20" s="499">
        <f t="shared" si="19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436"/>
      <c r="B21" s="18"/>
      <c r="C21" s="51"/>
      <c r="D21" s="32" t="s">
        <v>3</v>
      </c>
      <c r="E21" s="52" t="e">
        <f>E20*G$6</f>
        <v>#N/A</v>
      </c>
      <c r="F21" s="32"/>
      <c r="G21" s="32"/>
      <c r="H21" s="443" t="e">
        <f t="shared" si="19"/>
        <v>#N/A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 t="e">
        <f t="shared" ref="AK21:AO21" si="38">AK20*$E21</f>
        <v>#N/A</v>
      </c>
      <c r="AL21" s="66" t="e">
        <f t="shared" si="38"/>
        <v>#N/A</v>
      </c>
      <c r="AM21" s="66" t="e">
        <f t="shared" si="38"/>
        <v>#N/A</v>
      </c>
      <c r="AN21" s="66" t="e">
        <f t="shared" si="38"/>
        <v>#N/A</v>
      </c>
      <c r="AO21" s="66" t="e">
        <f t="shared" si="38"/>
        <v>#N/A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436"/>
      <c r="B22" s="7"/>
      <c r="C22" s="21" t="s">
        <v>998</v>
      </c>
      <c r="D22" s="29" t="s">
        <v>4</v>
      </c>
      <c r="E22" s="91">
        <f>1-E18</f>
        <v>0.8</v>
      </c>
      <c r="F22" s="29"/>
      <c r="G22" s="29"/>
      <c r="H22" s="499">
        <f t="shared" si="19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436"/>
      <c r="B23" s="383"/>
      <c r="C23" s="383"/>
      <c r="D23" s="379"/>
      <c r="E23" s="384"/>
      <c r="F23" s="379"/>
      <c r="G23" s="379"/>
      <c r="H23" s="510" t="s">
        <v>1006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D23" si="39">AB23+AC22</f>
        <v>0.04</v>
      </c>
      <c r="AD23" s="385">
        <f t="shared" si="39"/>
        <v>0.06</v>
      </c>
      <c r="AE23" s="385">
        <f t="shared" ref="AE23" si="40">AD23+AE22</f>
        <v>0.08</v>
      </c>
      <c r="AF23" s="385">
        <f t="shared" ref="AF23" si="41">AE23+AF22</f>
        <v>0.11</v>
      </c>
      <c r="AG23" s="385">
        <f t="shared" ref="AG23" si="42">AF23+AG22</f>
        <v>0.14000000000000001</v>
      </c>
      <c r="AH23" s="391">
        <f t="shared" ref="AH23" si="43">AG23+AH22</f>
        <v>0.17</v>
      </c>
      <c r="AI23" s="385">
        <f t="shared" ref="AI23" si="44">AH23+AI22</f>
        <v>0.21000000000000002</v>
      </c>
      <c r="AJ23" s="385">
        <f t="shared" ref="AJ23" si="45">AI23+AJ22</f>
        <v>0.25</v>
      </c>
      <c r="AK23" s="391">
        <f t="shared" ref="AK23" si="46">AJ23+AK22</f>
        <v>0.28999999999999998</v>
      </c>
      <c r="AL23" s="385">
        <f t="shared" ref="AL23" si="47">AK23+AL22</f>
        <v>0.6399999999999999</v>
      </c>
      <c r="AM23" s="385">
        <f t="shared" ref="AM23" si="48">AL23+AM22</f>
        <v>0.8899999999999999</v>
      </c>
      <c r="AN23" s="385">
        <f t="shared" ref="AN23" si="49">AM23+AN22</f>
        <v>0.96999999999999986</v>
      </c>
      <c r="AO23" s="385">
        <f t="shared" ref="AO23" si="50">AN23+AO22</f>
        <v>0.98999999999999988</v>
      </c>
      <c r="AP23" s="385">
        <f t="shared" ref="AP23" si="51">AO23+AP22</f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436"/>
      <c r="B24" s="7"/>
      <c r="C24" s="13"/>
      <c r="D24" s="29" t="s">
        <v>3</v>
      </c>
      <c r="E24" s="366" t="e">
        <f>E22*G$6</f>
        <v>#N/A</v>
      </c>
      <c r="F24" s="7"/>
      <c r="G24" s="7"/>
      <c r="H24" s="443" t="e">
        <f t="shared" si="19"/>
        <v>#N/A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 t="e">
        <f t="shared" ref="AA24:AB24" si="52">AA22*$E24</f>
        <v>#N/A</v>
      </c>
      <c r="AB24" s="367" t="e">
        <f t="shared" si="52"/>
        <v>#N/A</v>
      </c>
      <c r="AC24" s="367" t="e">
        <f t="shared" ref="AC24" si="53">AC22*$E24</f>
        <v>#N/A</v>
      </c>
      <c r="AD24" s="367" t="e">
        <f t="shared" ref="AD24:AN24" si="54">AD22*$E24</f>
        <v>#N/A</v>
      </c>
      <c r="AE24" s="367" t="e">
        <f t="shared" si="54"/>
        <v>#N/A</v>
      </c>
      <c r="AF24" s="367" t="e">
        <f t="shared" si="54"/>
        <v>#N/A</v>
      </c>
      <c r="AG24" s="367" t="e">
        <f t="shared" si="54"/>
        <v>#N/A</v>
      </c>
      <c r="AH24" s="367" t="e">
        <f t="shared" si="54"/>
        <v>#N/A</v>
      </c>
      <c r="AI24" s="367" t="e">
        <f t="shared" si="54"/>
        <v>#N/A</v>
      </c>
      <c r="AJ24" s="66" t="e">
        <f t="shared" si="54"/>
        <v>#N/A</v>
      </c>
      <c r="AK24" s="66" t="e">
        <f t="shared" si="54"/>
        <v>#N/A</v>
      </c>
      <c r="AL24" s="66" t="e">
        <f t="shared" si="54"/>
        <v>#N/A</v>
      </c>
      <c r="AM24" s="66" t="e">
        <f t="shared" si="54"/>
        <v>#N/A</v>
      </c>
      <c r="AN24" s="66" t="e">
        <f t="shared" si="54"/>
        <v>#N/A</v>
      </c>
      <c r="AO24" s="66" t="e">
        <f>AO22*$E24</f>
        <v>#N/A</v>
      </c>
      <c r="AP24" s="66" t="e">
        <f>AP22*$E24</f>
        <v>#N/A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990</v>
      </c>
      <c r="D25" s="394" t="s">
        <v>4</v>
      </c>
      <c r="E25" s="407">
        <v>1</v>
      </c>
      <c r="F25" s="394"/>
      <c r="G25" s="394"/>
      <c r="H25" s="444">
        <f t="shared" ref="H25:H26" si="55">SUM(I25:AR25)</f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</v>
      </c>
      <c r="AN25" s="407">
        <v>0.25</v>
      </c>
      <c r="AO25" s="407">
        <v>0.3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 t="e">
        <f>E25*G$6</f>
        <v>#N/A</v>
      </c>
      <c r="F26" s="446"/>
      <c r="G26" s="446"/>
      <c r="H26" s="501" t="e">
        <f t="shared" si="55"/>
        <v>#N/A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 t="e">
        <f t="shared" ref="AL26:AM26" si="56">AL25*$E26</f>
        <v>#N/A</v>
      </c>
      <c r="AM26" s="99" t="e">
        <f t="shared" si="56"/>
        <v>#N/A</v>
      </c>
      <c r="AN26" s="99" t="e">
        <f t="shared" ref="AN26:AQ26" si="57">AN25*$E26</f>
        <v>#N/A</v>
      </c>
      <c r="AO26" s="99" t="e">
        <f t="shared" si="57"/>
        <v>#N/A</v>
      </c>
      <c r="AP26" s="99" t="e">
        <f t="shared" si="57"/>
        <v>#N/A</v>
      </c>
      <c r="AQ26" s="99" t="e">
        <f t="shared" si="57"/>
        <v>#N/A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04"/>
      <c r="B27" s="7"/>
      <c r="C27" s="31" t="s">
        <v>980</v>
      </c>
      <c r="D27" s="29"/>
      <c r="E27" s="366"/>
      <c r="F27" s="7"/>
      <c r="G27" s="7"/>
      <c r="H27" s="502" t="s">
        <v>56</v>
      </c>
      <c r="I27" s="393">
        <f>I13</f>
        <v>0</v>
      </c>
      <c r="J27" s="393">
        <f t="shared" ref="J27:K27" si="58">I27+J13-J15</f>
        <v>0</v>
      </c>
      <c r="K27" s="393">
        <f t="shared" si="58"/>
        <v>0</v>
      </c>
      <c r="L27" s="393" t="e">
        <f>K27+L13-L15</f>
        <v>#N/A</v>
      </c>
      <c r="M27" s="393" t="e">
        <f t="shared" ref="M27:AH27" si="59">L27+M13-M15</f>
        <v>#N/A</v>
      </c>
      <c r="N27" s="393" t="e">
        <f t="shared" si="59"/>
        <v>#N/A</v>
      </c>
      <c r="O27" s="393" t="e">
        <f t="shared" si="59"/>
        <v>#N/A</v>
      </c>
      <c r="P27" s="393" t="e">
        <f t="shared" si="59"/>
        <v>#N/A</v>
      </c>
      <c r="Q27" s="393" t="e">
        <f t="shared" si="59"/>
        <v>#N/A</v>
      </c>
      <c r="R27" s="393" t="e">
        <f t="shared" si="59"/>
        <v>#N/A</v>
      </c>
      <c r="S27" s="393" t="e">
        <f t="shared" si="59"/>
        <v>#N/A</v>
      </c>
      <c r="T27" s="393" t="e">
        <f t="shared" si="59"/>
        <v>#N/A</v>
      </c>
      <c r="U27" s="393" t="e">
        <f t="shared" si="59"/>
        <v>#N/A</v>
      </c>
      <c r="V27" s="393" t="e">
        <f t="shared" si="59"/>
        <v>#N/A</v>
      </c>
      <c r="W27" s="393" t="e">
        <f t="shared" si="59"/>
        <v>#N/A</v>
      </c>
      <c r="X27" s="393" t="e">
        <f t="shared" si="59"/>
        <v>#N/A</v>
      </c>
      <c r="Y27" s="393" t="e">
        <f t="shared" si="59"/>
        <v>#N/A</v>
      </c>
      <c r="Z27" s="393" t="e">
        <f t="shared" si="59"/>
        <v>#N/A</v>
      </c>
      <c r="AA27" s="393" t="e">
        <f t="shared" si="59"/>
        <v>#N/A</v>
      </c>
      <c r="AB27" s="393" t="e">
        <f t="shared" si="59"/>
        <v>#N/A</v>
      </c>
      <c r="AC27" s="393" t="e">
        <f t="shared" si="59"/>
        <v>#N/A</v>
      </c>
      <c r="AD27" s="393" t="e">
        <f t="shared" si="59"/>
        <v>#N/A</v>
      </c>
      <c r="AE27" s="393" t="e">
        <f t="shared" si="59"/>
        <v>#N/A</v>
      </c>
      <c r="AF27" s="393" t="e">
        <f t="shared" si="59"/>
        <v>#N/A</v>
      </c>
      <c r="AG27" s="393" t="e">
        <f t="shared" si="59"/>
        <v>#N/A</v>
      </c>
      <c r="AH27" s="393" t="e">
        <f t="shared" si="59"/>
        <v>#N/A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04"/>
      <c r="B28" s="17"/>
      <c r="C28" s="67" t="s">
        <v>69</v>
      </c>
      <c r="D28" s="65" t="e">
        <f>SUM(I27:AR27)*5/E13</f>
        <v>#N/A</v>
      </c>
      <c r="E28" s="17" t="s">
        <v>70</v>
      </c>
      <c r="F28" s="17"/>
      <c r="G28" s="17"/>
      <c r="H28" s="503" t="s">
        <v>57</v>
      </c>
      <c r="I28" s="63" t="e">
        <f t="shared" ref="I28:AQ32" si="60">I27/$G$6</f>
        <v>#N/A</v>
      </c>
      <c r="J28" s="63" t="e">
        <f t="shared" si="60"/>
        <v>#N/A</v>
      </c>
      <c r="K28" s="63" t="e">
        <f t="shared" si="60"/>
        <v>#N/A</v>
      </c>
      <c r="L28" s="63" t="e">
        <f t="shared" si="60"/>
        <v>#N/A</v>
      </c>
      <c r="M28" s="63" t="e">
        <f t="shared" si="60"/>
        <v>#N/A</v>
      </c>
      <c r="N28" s="63" t="e">
        <f t="shared" si="60"/>
        <v>#N/A</v>
      </c>
      <c r="O28" s="63" t="e">
        <f t="shared" si="60"/>
        <v>#N/A</v>
      </c>
      <c r="P28" s="63" t="e">
        <f t="shared" si="60"/>
        <v>#N/A</v>
      </c>
      <c r="Q28" s="63" t="e">
        <f t="shared" si="60"/>
        <v>#N/A</v>
      </c>
      <c r="R28" s="63" t="e">
        <f t="shared" si="60"/>
        <v>#N/A</v>
      </c>
      <c r="S28" s="63" t="e">
        <f t="shared" si="60"/>
        <v>#N/A</v>
      </c>
      <c r="T28" s="63" t="e">
        <f t="shared" si="60"/>
        <v>#N/A</v>
      </c>
      <c r="U28" s="63" t="e">
        <f t="shared" si="60"/>
        <v>#N/A</v>
      </c>
      <c r="V28" s="63" t="e">
        <f t="shared" si="60"/>
        <v>#N/A</v>
      </c>
      <c r="W28" s="63" t="e">
        <f t="shared" si="60"/>
        <v>#N/A</v>
      </c>
      <c r="X28" s="63" t="e">
        <f t="shared" si="60"/>
        <v>#N/A</v>
      </c>
      <c r="Y28" s="63" t="e">
        <f t="shared" si="60"/>
        <v>#N/A</v>
      </c>
      <c r="Z28" s="63" t="e">
        <f t="shared" si="60"/>
        <v>#N/A</v>
      </c>
      <c r="AA28" s="63" t="e">
        <f t="shared" si="60"/>
        <v>#N/A</v>
      </c>
      <c r="AB28" s="63" t="e">
        <f t="shared" si="60"/>
        <v>#N/A</v>
      </c>
      <c r="AC28" s="63" t="e">
        <f t="shared" si="60"/>
        <v>#N/A</v>
      </c>
      <c r="AD28" s="63" t="e">
        <f t="shared" si="60"/>
        <v>#N/A</v>
      </c>
      <c r="AE28" s="63" t="e">
        <f t="shared" si="60"/>
        <v>#N/A</v>
      </c>
      <c r="AF28" s="63" t="e">
        <f t="shared" si="60"/>
        <v>#N/A</v>
      </c>
      <c r="AG28" s="63" t="e">
        <f t="shared" si="60"/>
        <v>#N/A</v>
      </c>
      <c r="AH28" s="63" t="e">
        <f t="shared" ref="AH28" si="61">AH27/$G$6</f>
        <v>#N/A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04"/>
      <c r="B29" s="7"/>
      <c r="C29" s="61" t="s">
        <v>986</v>
      </c>
      <c r="D29" s="367"/>
      <c r="E29" s="7"/>
      <c r="F29" s="7"/>
      <c r="G29" s="7"/>
      <c r="H29" s="502" t="s">
        <v>56</v>
      </c>
      <c r="I29" s="64" t="e">
        <f>I8+I10</f>
        <v>#N/A</v>
      </c>
      <c r="J29" s="64" t="e">
        <f>I29+J8+J10-J17</f>
        <v>#N/A</v>
      </c>
      <c r="K29" s="64" t="e">
        <f t="shared" ref="K29:AJ29" si="62">J29+K8+K10-K17</f>
        <v>#N/A</v>
      </c>
      <c r="L29" s="64" t="e">
        <f t="shared" si="62"/>
        <v>#N/A</v>
      </c>
      <c r="M29" s="64" t="e">
        <f t="shared" si="62"/>
        <v>#N/A</v>
      </c>
      <c r="N29" s="64" t="e">
        <f t="shared" si="62"/>
        <v>#N/A</v>
      </c>
      <c r="O29" s="64" t="e">
        <f t="shared" si="62"/>
        <v>#N/A</v>
      </c>
      <c r="P29" s="64" t="e">
        <f t="shared" si="62"/>
        <v>#N/A</v>
      </c>
      <c r="Q29" s="64" t="e">
        <f t="shared" si="62"/>
        <v>#N/A</v>
      </c>
      <c r="R29" s="64" t="e">
        <f t="shared" si="62"/>
        <v>#N/A</v>
      </c>
      <c r="S29" s="64" t="e">
        <f t="shared" si="62"/>
        <v>#N/A</v>
      </c>
      <c r="T29" s="64" t="e">
        <f t="shared" si="62"/>
        <v>#N/A</v>
      </c>
      <c r="U29" s="64" t="e">
        <f t="shared" si="62"/>
        <v>#N/A</v>
      </c>
      <c r="V29" s="64" t="e">
        <f t="shared" si="62"/>
        <v>#N/A</v>
      </c>
      <c r="W29" s="64" t="e">
        <f t="shared" si="62"/>
        <v>#N/A</v>
      </c>
      <c r="X29" s="64" t="e">
        <f t="shared" si="62"/>
        <v>#N/A</v>
      </c>
      <c r="Y29" s="64" t="e">
        <f t="shared" si="62"/>
        <v>#N/A</v>
      </c>
      <c r="Z29" s="64" t="e">
        <f t="shared" si="62"/>
        <v>#N/A</v>
      </c>
      <c r="AA29" s="64" t="e">
        <f t="shared" si="62"/>
        <v>#N/A</v>
      </c>
      <c r="AB29" s="64" t="e">
        <f t="shared" si="62"/>
        <v>#N/A</v>
      </c>
      <c r="AC29" s="64" t="e">
        <f t="shared" si="62"/>
        <v>#N/A</v>
      </c>
      <c r="AD29" s="64" t="e">
        <f t="shared" si="62"/>
        <v>#N/A</v>
      </c>
      <c r="AE29" s="64" t="e">
        <f t="shared" si="62"/>
        <v>#N/A</v>
      </c>
      <c r="AF29" s="64" t="e">
        <f t="shared" si="62"/>
        <v>#N/A</v>
      </c>
      <c r="AG29" s="64" t="e">
        <f t="shared" si="62"/>
        <v>#N/A</v>
      </c>
      <c r="AH29" s="64" t="e">
        <f t="shared" si="62"/>
        <v>#N/A</v>
      </c>
      <c r="AI29" s="393" t="e">
        <f t="shared" si="62"/>
        <v>#N/A</v>
      </c>
      <c r="AJ29" s="393" t="e">
        <f t="shared" si="62"/>
        <v>#N/A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04"/>
      <c r="B30" s="7"/>
      <c r="C30" s="67" t="s">
        <v>69</v>
      </c>
      <c r="D30" s="65" t="e">
        <f>SUM(I29:AR29)*5/G6</f>
        <v>#N/A</v>
      </c>
      <c r="E30" s="17" t="s">
        <v>70</v>
      </c>
      <c r="F30" s="7"/>
      <c r="G30" s="7"/>
      <c r="H30" s="503" t="s">
        <v>57</v>
      </c>
      <c r="I30" s="63" t="e">
        <f>I29/$G$6</f>
        <v>#N/A</v>
      </c>
      <c r="J30" s="63" t="e">
        <f t="shared" ref="J30:AJ30" si="63">J29/$G$6</f>
        <v>#N/A</v>
      </c>
      <c r="K30" s="63" t="e">
        <f t="shared" si="63"/>
        <v>#N/A</v>
      </c>
      <c r="L30" s="63" t="e">
        <f t="shared" si="63"/>
        <v>#N/A</v>
      </c>
      <c r="M30" s="63" t="e">
        <f t="shared" si="63"/>
        <v>#N/A</v>
      </c>
      <c r="N30" s="63" t="e">
        <f t="shared" si="63"/>
        <v>#N/A</v>
      </c>
      <c r="O30" s="63" t="e">
        <f t="shared" si="63"/>
        <v>#N/A</v>
      </c>
      <c r="P30" s="63" t="e">
        <f t="shared" si="63"/>
        <v>#N/A</v>
      </c>
      <c r="Q30" s="63" t="e">
        <f t="shared" si="63"/>
        <v>#N/A</v>
      </c>
      <c r="R30" s="63" t="e">
        <f t="shared" si="63"/>
        <v>#N/A</v>
      </c>
      <c r="S30" s="63" t="e">
        <f t="shared" si="63"/>
        <v>#N/A</v>
      </c>
      <c r="T30" s="63" t="e">
        <f t="shared" si="63"/>
        <v>#N/A</v>
      </c>
      <c r="U30" s="63" t="e">
        <f t="shared" si="63"/>
        <v>#N/A</v>
      </c>
      <c r="V30" s="63" t="e">
        <f t="shared" si="63"/>
        <v>#N/A</v>
      </c>
      <c r="W30" s="63" t="e">
        <f t="shared" si="63"/>
        <v>#N/A</v>
      </c>
      <c r="X30" s="63" t="e">
        <f t="shared" si="63"/>
        <v>#N/A</v>
      </c>
      <c r="Y30" s="63" t="e">
        <f t="shared" si="63"/>
        <v>#N/A</v>
      </c>
      <c r="Z30" s="63" t="e">
        <f t="shared" si="63"/>
        <v>#N/A</v>
      </c>
      <c r="AA30" s="63" t="e">
        <f t="shared" si="63"/>
        <v>#N/A</v>
      </c>
      <c r="AB30" s="63" t="e">
        <f t="shared" si="63"/>
        <v>#N/A</v>
      </c>
      <c r="AC30" s="63" t="e">
        <f t="shared" si="63"/>
        <v>#N/A</v>
      </c>
      <c r="AD30" s="63" t="e">
        <f t="shared" si="63"/>
        <v>#N/A</v>
      </c>
      <c r="AE30" s="63" t="e">
        <f t="shared" si="63"/>
        <v>#N/A</v>
      </c>
      <c r="AF30" s="63" t="e">
        <f t="shared" si="63"/>
        <v>#N/A</v>
      </c>
      <c r="AG30" s="63" t="e">
        <f t="shared" si="63"/>
        <v>#N/A</v>
      </c>
      <c r="AH30" s="63" t="e">
        <f t="shared" si="63"/>
        <v>#N/A</v>
      </c>
      <c r="AI30" s="63" t="e">
        <f t="shared" si="63"/>
        <v>#N/A</v>
      </c>
      <c r="AJ30" s="63" t="e">
        <f t="shared" si="63"/>
        <v>#N/A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55</v>
      </c>
      <c r="D31" s="62"/>
      <c r="E31" s="60"/>
      <c r="F31" s="60"/>
      <c r="G31" s="60"/>
      <c r="H31" s="504" t="s">
        <v>56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64">N31+O19-O21</f>
        <v>0</v>
      </c>
      <c r="P31" s="64">
        <f t="shared" si="64"/>
        <v>0</v>
      </c>
      <c r="Q31" s="64" t="e">
        <f t="shared" si="64"/>
        <v>#N/A</v>
      </c>
      <c r="R31" s="64" t="e">
        <f t="shared" si="64"/>
        <v>#N/A</v>
      </c>
      <c r="S31" s="64" t="e">
        <f t="shared" si="64"/>
        <v>#N/A</v>
      </c>
      <c r="T31" s="64" t="e">
        <f t="shared" si="64"/>
        <v>#N/A</v>
      </c>
      <c r="U31" s="64" t="e">
        <f t="shared" si="64"/>
        <v>#N/A</v>
      </c>
      <c r="V31" s="64" t="e">
        <f t="shared" si="64"/>
        <v>#N/A</v>
      </c>
      <c r="W31" s="64" t="e">
        <f t="shared" si="64"/>
        <v>#N/A</v>
      </c>
      <c r="X31" s="64" t="e">
        <f t="shared" si="64"/>
        <v>#N/A</v>
      </c>
      <c r="Y31" s="64" t="e">
        <f t="shared" si="64"/>
        <v>#N/A</v>
      </c>
      <c r="Z31" s="64" t="e">
        <f t="shared" si="64"/>
        <v>#N/A</v>
      </c>
      <c r="AA31" s="64" t="e">
        <f t="shared" si="64"/>
        <v>#N/A</v>
      </c>
      <c r="AB31" s="64" t="e">
        <f t="shared" si="64"/>
        <v>#N/A</v>
      </c>
      <c r="AC31" s="64" t="e">
        <f t="shared" si="64"/>
        <v>#N/A</v>
      </c>
      <c r="AD31" s="64" t="e">
        <f t="shared" si="64"/>
        <v>#N/A</v>
      </c>
      <c r="AE31" s="64" t="e">
        <f t="shared" si="64"/>
        <v>#N/A</v>
      </c>
      <c r="AF31" s="64" t="e">
        <f t="shared" si="64"/>
        <v>#N/A</v>
      </c>
      <c r="AG31" s="64" t="e">
        <f t="shared" si="64"/>
        <v>#N/A</v>
      </c>
      <c r="AH31" s="64" t="e">
        <f t="shared" si="64"/>
        <v>#N/A</v>
      </c>
      <c r="AI31" s="64" t="e">
        <f t="shared" si="64"/>
        <v>#N/A</v>
      </c>
      <c r="AJ31" s="64" t="e">
        <f t="shared" si="64"/>
        <v>#N/A</v>
      </c>
      <c r="AK31" s="64" t="e">
        <f t="shared" si="64"/>
        <v>#N/A</v>
      </c>
      <c r="AL31" s="64" t="e">
        <f t="shared" si="64"/>
        <v>#N/A</v>
      </c>
      <c r="AM31" s="64" t="e">
        <f t="shared" si="64"/>
        <v>#N/A</v>
      </c>
      <c r="AN31" s="64" t="e">
        <f t="shared" si="64"/>
        <v>#N/A</v>
      </c>
      <c r="AO31" s="64" t="e">
        <f t="shared" si="64"/>
        <v>#N/A</v>
      </c>
      <c r="AP31" s="64" t="e">
        <f t="shared" si="64"/>
        <v>#N/A</v>
      </c>
      <c r="AQ31" s="64" t="e">
        <f t="shared" si="64"/>
        <v>#N/A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69</v>
      </c>
      <c r="D32" s="65" t="e">
        <f>IF(E19=0,"N/A",SUM(I31:AR31)*5/E19)</f>
        <v>#N/A</v>
      </c>
      <c r="E32" s="17" t="s">
        <v>70</v>
      </c>
      <c r="F32" s="17"/>
      <c r="G32" s="17"/>
      <c r="H32" s="503" t="s">
        <v>57</v>
      </c>
      <c r="I32" s="63"/>
      <c r="J32" s="63"/>
      <c r="K32" s="63"/>
      <c r="L32" s="63"/>
      <c r="M32" s="63"/>
      <c r="N32" s="63" t="e">
        <f t="shared" si="60"/>
        <v>#N/A</v>
      </c>
      <c r="O32" s="63" t="e">
        <f t="shared" si="60"/>
        <v>#N/A</v>
      </c>
      <c r="P32" s="63" t="e">
        <f t="shared" si="60"/>
        <v>#N/A</v>
      </c>
      <c r="Q32" s="63" t="e">
        <f t="shared" si="60"/>
        <v>#N/A</v>
      </c>
      <c r="R32" s="63" t="e">
        <f t="shared" si="60"/>
        <v>#N/A</v>
      </c>
      <c r="S32" s="63" t="e">
        <f t="shared" si="60"/>
        <v>#N/A</v>
      </c>
      <c r="T32" s="63" t="e">
        <f t="shared" si="60"/>
        <v>#N/A</v>
      </c>
      <c r="U32" s="63" t="e">
        <f t="shared" si="60"/>
        <v>#N/A</v>
      </c>
      <c r="V32" s="63" t="e">
        <f t="shared" si="60"/>
        <v>#N/A</v>
      </c>
      <c r="W32" s="63" t="e">
        <f t="shared" si="60"/>
        <v>#N/A</v>
      </c>
      <c r="X32" s="63" t="e">
        <f t="shared" si="60"/>
        <v>#N/A</v>
      </c>
      <c r="Y32" s="63" t="e">
        <f t="shared" si="60"/>
        <v>#N/A</v>
      </c>
      <c r="Z32" s="63" t="e">
        <f t="shared" si="60"/>
        <v>#N/A</v>
      </c>
      <c r="AA32" s="63" t="e">
        <f t="shared" si="60"/>
        <v>#N/A</v>
      </c>
      <c r="AB32" s="63" t="e">
        <f t="shared" si="60"/>
        <v>#N/A</v>
      </c>
      <c r="AC32" s="63" t="e">
        <f t="shared" si="60"/>
        <v>#N/A</v>
      </c>
      <c r="AD32" s="63" t="e">
        <f t="shared" si="60"/>
        <v>#N/A</v>
      </c>
      <c r="AE32" s="63" t="e">
        <f t="shared" si="60"/>
        <v>#N/A</v>
      </c>
      <c r="AF32" s="63" t="e">
        <f t="shared" si="60"/>
        <v>#N/A</v>
      </c>
      <c r="AG32" s="63" t="e">
        <f t="shared" si="60"/>
        <v>#N/A</v>
      </c>
      <c r="AH32" s="63" t="e">
        <f t="shared" si="60"/>
        <v>#N/A</v>
      </c>
      <c r="AI32" s="63" t="e">
        <f t="shared" si="60"/>
        <v>#N/A</v>
      </c>
      <c r="AJ32" s="63" t="e">
        <f t="shared" si="60"/>
        <v>#N/A</v>
      </c>
      <c r="AK32" s="63" t="e">
        <f t="shared" si="60"/>
        <v>#N/A</v>
      </c>
      <c r="AL32" s="63" t="e">
        <f t="shared" si="60"/>
        <v>#N/A</v>
      </c>
      <c r="AM32" s="63" t="e">
        <f t="shared" si="60"/>
        <v>#N/A</v>
      </c>
      <c r="AN32" s="63" t="e">
        <f t="shared" si="60"/>
        <v>#N/A</v>
      </c>
      <c r="AO32" s="63" t="e">
        <f t="shared" si="60"/>
        <v>#N/A</v>
      </c>
      <c r="AP32" s="63" t="e">
        <f t="shared" si="60"/>
        <v>#N/A</v>
      </c>
      <c r="AQ32" s="63" t="e">
        <f t="shared" si="60"/>
        <v>#N/A</v>
      </c>
      <c r="AR32" s="63" t="e">
        <f t="shared" ref="AR32" si="65">AR31/$G$6</f>
        <v>#N/A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948</v>
      </c>
      <c r="D33" s="537" t="e">
        <f>F33/F$37</f>
        <v>#N/A</v>
      </c>
      <c r="E33" s="531" t="s">
        <v>1010</v>
      </c>
      <c r="F33" s="532" t="e">
        <f>SUM(I33:AR33)*5</f>
        <v>#N/A</v>
      </c>
      <c r="G33" s="533" t="s">
        <v>1011</v>
      </c>
      <c r="H33" s="504" t="s">
        <v>56</v>
      </c>
      <c r="I33" s="433"/>
      <c r="J33" s="433"/>
      <c r="K33" s="64"/>
      <c r="L33" s="64"/>
      <c r="M33" s="64">
        <f>M17</f>
        <v>0</v>
      </c>
      <c r="N33" s="64" t="e">
        <f>M33+N17-(N19+N24)</f>
        <v>#N/A</v>
      </c>
      <c r="O33" s="64" t="e">
        <f t="shared" ref="O33:AQ33" si="66">N33+O17-(O19+O24)</f>
        <v>#N/A</v>
      </c>
      <c r="P33" s="64" t="e">
        <f t="shared" si="66"/>
        <v>#N/A</v>
      </c>
      <c r="Q33" s="64" t="e">
        <f t="shared" si="66"/>
        <v>#N/A</v>
      </c>
      <c r="R33" s="64" t="e">
        <f t="shared" si="66"/>
        <v>#N/A</v>
      </c>
      <c r="S33" s="64" t="e">
        <f t="shared" si="66"/>
        <v>#N/A</v>
      </c>
      <c r="T33" s="64" t="e">
        <f t="shared" si="66"/>
        <v>#N/A</v>
      </c>
      <c r="U33" s="64" t="e">
        <f t="shared" si="66"/>
        <v>#N/A</v>
      </c>
      <c r="V33" s="64" t="e">
        <f t="shared" si="66"/>
        <v>#N/A</v>
      </c>
      <c r="W33" s="64" t="e">
        <f t="shared" si="66"/>
        <v>#N/A</v>
      </c>
      <c r="X33" s="64" t="e">
        <f t="shared" si="66"/>
        <v>#N/A</v>
      </c>
      <c r="Y33" s="64" t="e">
        <f t="shared" si="66"/>
        <v>#N/A</v>
      </c>
      <c r="Z33" s="64" t="e">
        <f t="shared" si="66"/>
        <v>#N/A</v>
      </c>
      <c r="AA33" s="64" t="e">
        <f t="shared" si="66"/>
        <v>#N/A</v>
      </c>
      <c r="AB33" s="64" t="e">
        <f t="shared" si="66"/>
        <v>#N/A</v>
      </c>
      <c r="AC33" s="64" t="e">
        <f t="shared" si="66"/>
        <v>#N/A</v>
      </c>
      <c r="AD33" s="64" t="e">
        <f t="shared" si="66"/>
        <v>#N/A</v>
      </c>
      <c r="AE33" s="64" t="e">
        <f t="shared" si="66"/>
        <v>#N/A</v>
      </c>
      <c r="AF33" s="64" t="e">
        <f t="shared" si="66"/>
        <v>#N/A</v>
      </c>
      <c r="AG33" s="64" t="e">
        <f t="shared" si="66"/>
        <v>#N/A</v>
      </c>
      <c r="AH33" s="64" t="e">
        <f t="shared" si="66"/>
        <v>#N/A</v>
      </c>
      <c r="AI33" s="64" t="e">
        <f t="shared" si="66"/>
        <v>#N/A</v>
      </c>
      <c r="AJ33" s="64" t="e">
        <f t="shared" si="66"/>
        <v>#N/A</v>
      </c>
      <c r="AK33" s="64" t="e">
        <f t="shared" si="66"/>
        <v>#N/A</v>
      </c>
      <c r="AL33" s="64" t="e">
        <f t="shared" si="66"/>
        <v>#N/A</v>
      </c>
      <c r="AM33" s="64" t="e">
        <f t="shared" si="66"/>
        <v>#N/A</v>
      </c>
      <c r="AN33" s="64" t="e">
        <f t="shared" si="66"/>
        <v>#N/A</v>
      </c>
      <c r="AO33" s="64" t="e">
        <f t="shared" si="66"/>
        <v>#N/A</v>
      </c>
      <c r="AP33" s="64" t="e">
        <f t="shared" si="66"/>
        <v>#N/A</v>
      </c>
      <c r="AQ33" s="64" t="e">
        <f t="shared" si="66"/>
        <v>#N/A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69</v>
      </c>
      <c r="D34" s="367" t="e">
        <f>SUM(I33:AR33)*5/(G6-E19)</f>
        <v>#N/A</v>
      </c>
      <c r="E34" s="17" t="s">
        <v>70</v>
      </c>
      <c r="F34" s="17"/>
      <c r="G34" s="7"/>
      <c r="H34" s="502" t="s">
        <v>57</v>
      </c>
      <c r="I34" s="392"/>
      <c r="J34" s="392"/>
      <c r="K34" s="392"/>
      <c r="L34" s="392"/>
      <c r="M34" s="392" t="e">
        <f t="shared" ref="M34:AQ36" si="67">M33/$G$6</f>
        <v>#N/A</v>
      </c>
      <c r="N34" s="392" t="e">
        <f t="shared" si="67"/>
        <v>#N/A</v>
      </c>
      <c r="O34" s="392" t="e">
        <f t="shared" si="67"/>
        <v>#N/A</v>
      </c>
      <c r="P34" s="392" t="e">
        <f t="shared" si="67"/>
        <v>#N/A</v>
      </c>
      <c r="Q34" s="392" t="e">
        <f t="shared" si="67"/>
        <v>#N/A</v>
      </c>
      <c r="R34" s="392" t="e">
        <f t="shared" si="67"/>
        <v>#N/A</v>
      </c>
      <c r="S34" s="392" t="e">
        <f t="shared" si="67"/>
        <v>#N/A</v>
      </c>
      <c r="T34" s="392" t="e">
        <f t="shared" si="67"/>
        <v>#N/A</v>
      </c>
      <c r="U34" s="392" t="e">
        <f t="shared" si="67"/>
        <v>#N/A</v>
      </c>
      <c r="V34" s="392" t="e">
        <f t="shared" si="67"/>
        <v>#N/A</v>
      </c>
      <c r="W34" s="392" t="e">
        <f t="shared" si="67"/>
        <v>#N/A</v>
      </c>
      <c r="X34" s="392" t="e">
        <f t="shared" si="67"/>
        <v>#N/A</v>
      </c>
      <c r="Y34" s="392" t="e">
        <f t="shared" si="67"/>
        <v>#N/A</v>
      </c>
      <c r="Z34" s="392" t="e">
        <f t="shared" si="67"/>
        <v>#N/A</v>
      </c>
      <c r="AA34" s="392" t="e">
        <f t="shared" si="67"/>
        <v>#N/A</v>
      </c>
      <c r="AB34" s="392" t="e">
        <f t="shared" si="67"/>
        <v>#N/A</v>
      </c>
      <c r="AC34" s="392" t="e">
        <f t="shared" si="67"/>
        <v>#N/A</v>
      </c>
      <c r="AD34" s="392" t="e">
        <f t="shared" si="67"/>
        <v>#N/A</v>
      </c>
      <c r="AE34" s="392" t="e">
        <f t="shared" si="67"/>
        <v>#N/A</v>
      </c>
      <c r="AF34" s="392" t="e">
        <f t="shared" si="67"/>
        <v>#N/A</v>
      </c>
      <c r="AG34" s="392" t="e">
        <f t="shared" si="67"/>
        <v>#N/A</v>
      </c>
      <c r="AH34" s="392" t="e">
        <f t="shared" si="67"/>
        <v>#N/A</v>
      </c>
      <c r="AI34" s="392" t="e">
        <f t="shared" si="67"/>
        <v>#N/A</v>
      </c>
      <c r="AJ34" s="392" t="e">
        <f t="shared" si="67"/>
        <v>#N/A</v>
      </c>
      <c r="AK34" s="392" t="e">
        <f t="shared" si="67"/>
        <v>#N/A</v>
      </c>
      <c r="AL34" s="392" t="e">
        <f t="shared" si="67"/>
        <v>#N/A</v>
      </c>
      <c r="AM34" s="392" t="e">
        <f t="shared" si="67"/>
        <v>#N/A</v>
      </c>
      <c r="AN34" s="392" t="e">
        <f t="shared" si="67"/>
        <v>#N/A</v>
      </c>
      <c r="AO34" s="392" t="e">
        <f t="shared" si="67"/>
        <v>#N/A</v>
      </c>
      <c r="AP34" s="392" t="e">
        <f t="shared" si="67"/>
        <v>#N/A</v>
      </c>
      <c r="AQ34" s="392" t="e">
        <f t="shared" si="67"/>
        <v>#N/A</v>
      </c>
      <c r="AR34" s="392" t="e">
        <f t="shared" ref="AR34" si="68">AR33/$G$6</f>
        <v>#N/A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989</v>
      </c>
      <c r="D35" s="537" t="e">
        <f>F35/F$37</f>
        <v>#N/A</v>
      </c>
      <c r="E35" s="531" t="s">
        <v>1010</v>
      </c>
      <c r="F35" s="532" t="e">
        <f>SUM(I35:AR35)*5</f>
        <v>#N/A</v>
      </c>
      <c r="G35" s="533" t="s">
        <v>1011</v>
      </c>
      <c r="H35" s="504" t="s">
        <v>56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 t="e">
        <f t="shared" ref="AA35:AQ35" si="69">Z35+AA21+AA24-AA26</f>
        <v>#N/A</v>
      </c>
      <c r="AB35" s="64" t="e">
        <f t="shared" si="69"/>
        <v>#N/A</v>
      </c>
      <c r="AC35" s="64" t="e">
        <f t="shared" si="69"/>
        <v>#N/A</v>
      </c>
      <c r="AD35" s="64" t="e">
        <f t="shared" si="69"/>
        <v>#N/A</v>
      </c>
      <c r="AE35" s="64" t="e">
        <f t="shared" si="69"/>
        <v>#N/A</v>
      </c>
      <c r="AF35" s="64" t="e">
        <f t="shared" si="69"/>
        <v>#N/A</v>
      </c>
      <c r="AG35" s="64" t="e">
        <f t="shared" si="69"/>
        <v>#N/A</v>
      </c>
      <c r="AH35" s="64" t="e">
        <f t="shared" si="69"/>
        <v>#N/A</v>
      </c>
      <c r="AI35" s="64" t="e">
        <f t="shared" si="69"/>
        <v>#N/A</v>
      </c>
      <c r="AJ35" s="64" t="e">
        <f t="shared" si="69"/>
        <v>#N/A</v>
      </c>
      <c r="AK35" s="64" t="e">
        <f t="shared" si="69"/>
        <v>#N/A</v>
      </c>
      <c r="AL35" s="64" t="e">
        <f t="shared" si="69"/>
        <v>#N/A</v>
      </c>
      <c r="AM35" s="64" t="e">
        <f t="shared" si="69"/>
        <v>#N/A</v>
      </c>
      <c r="AN35" s="64" t="e">
        <f t="shared" si="69"/>
        <v>#N/A</v>
      </c>
      <c r="AO35" s="64" t="e">
        <f t="shared" si="69"/>
        <v>#N/A</v>
      </c>
      <c r="AP35" s="64" t="e">
        <f t="shared" si="69"/>
        <v>#N/A</v>
      </c>
      <c r="AQ35" s="64" t="e">
        <f t="shared" si="69"/>
        <v>#N/A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69</v>
      </c>
      <c r="D36" s="99" t="e">
        <f>SUM(I35:AR35)*5/G$6</f>
        <v>#N/A</v>
      </c>
      <c r="E36" s="24" t="s">
        <v>70</v>
      </c>
      <c r="F36" s="24"/>
      <c r="G36" s="24"/>
      <c r="H36" s="505" t="s">
        <v>57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 t="e">
        <f t="shared" si="67"/>
        <v>#N/A</v>
      </c>
      <c r="AA36" s="75" t="e">
        <f t="shared" si="67"/>
        <v>#N/A</v>
      </c>
      <c r="AB36" s="75" t="e">
        <f t="shared" si="67"/>
        <v>#N/A</v>
      </c>
      <c r="AC36" s="75" t="e">
        <f t="shared" si="67"/>
        <v>#N/A</v>
      </c>
      <c r="AD36" s="75" t="e">
        <f t="shared" si="67"/>
        <v>#N/A</v>
      </c>
      <c r="AE36" s="75" t="e">
        <f t="shared" si="67"/>
        <v>#N/A</v>
      </c>
      <c r="AF36" s="75" t="e">
        <f t="shared" si="67"/>
        <v>#N/A</v>
      </c>
      <c r="AG36" s="75" t="e">
        <f t="shared" si="67"/>
        <v>#N/A</v>
      </c>
      <c r="AH36" s="75" t="e">
        <f t="shared" si="67"/>
        <v>#N/A</v>
      </c>
      <c r="AI36" s="75" t="e">
        <f t="shared" si="67"/>
        <v>#N/A</v>
      </c>
      <c r="AJ36" s="75" t="e">
        <f t="shared" si="67"/>
        <v>#N/A</v>
      </c>
      <c r="AK36" s="75" t="e">
        <f t="shared" si="67"/>
        <v>#N/A</v>
      </c>
      <c r="AL36" s="75" t="e">
        <f t="shared" si="67"/>
        <v>#N/A</v>
      </c>
      <c r="AM36" s="75" t="e">
        <f t="shared" si="67"/>
        <v>#N/A</v>
      </c>
      <c r="AN36" s="75" t="e">
        <f t="shared" si="67"/>
        <v>#N/A</v>
      </c>
      <c r="AO36" s="75" t="e">
        <f t="shared" si="67"/>
        <v>#N/A</v>
      </c>
      <c r="AP36" s="75" t="e">
        <f t="shared" si="67"/>
        <v>#N/A</v>
      </c>
      <c r="AQ36" s="75" t="e">
        <f t="shared" ref="AQ36" si="70">AQ35/$G$6</f>
        <v>#N/A</v>
      </c>
      <c r="AR36" s="75" t="e">
        <f t="shared" ref="AR36" si="71">AR35/$G$6</f>
        <v>#N/A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1009</v>
      </c>
      <c r="D37" s="527"/>
      <c r="E37" s="531" t="s">
        <v>1010</v>
      </c>
      <c r="F37" s="532" t="e">
        <f>SUM(I37:AR37)*5</f>
        <v>#N/A</v>
      </c>
      <c r="G37" s="533" t="s">
        <v>1011</v>
      </c>
      <c r="H37" s="528" t="s">
        <v>56</v>
      </c>
      <c r="I37" s="529">
        <f>I33+I35</f>
        <v>0</v>
      </c>
      <c r="J37" s="529">
        <f t="shared" ref="J37:AR37" si="72">J33+J35</f>
        <v>0</v>
      </c>
      <c r="K37" s="529">
        <f t="shared" si="72"/>
        <v>0</v>
      </c>
      <c r="L37" s="529">
        <f t="shared" si="72"/>
        <v>0</v>
      </c>
      <c r="M37" s="529">
        <f t="shared" si="72"/>
        <v>0</v>
      </c>
      <c r="N37" s="529" t="e">
        <f t="shared" si="72"/>
        <v>#N/A</v>
      </c>
      <c r="O37" s="529" t="e">
        <f t="shared" si="72"/>
        <v>#N/A</v>
      </c>
      <c r="P37" s="529" t="e">
        <f t="shared" si="72"/>
        <v>#N/A</v>
      </c>
      <c r="Q37" s="529" t="e">
        <f t="shared" si="72"/>
        <v>#N/A</v>
      </c>
      <c r="R37" s="529" t="e">
        <f t="shared" si="72"/>
        <v>#N/A</v>
      </c>
      <c r="S37" s="529" t="e">
        <f t="shared" si="72"/>
        <v>#N/A</v>
      </c>
      <c r="T37" s="529" t="e">
        <f t="shared" si="72"/>
        <v>#N/A</v>
      </c>
      <c r="U37" s="529" t="e">
        <f t="shared" si="72"/>
        <v>#N/A</v>
      </c>
      <c r="V37" s="529" t="e">
        <f t="shared" si="72"/>
        <v>#N/A</v>
      </c>
      <c r="W37" s="529" t="e">
        <f t="shared" si="72"/>
        <v>#N/A</v>
      </c>
      <c r="X37" s="529" t="e">
        <f t="shared" si="72"/>
        <v>#N/A</v>
      </c>
      <c r="Y37" s="529" t="e">
        <f t="shared" si="72"/>
        <v>#N/A</v>
      </c>
      <c r="Z37" s="529" t="e">
        <f t="shared" si="72"/>
        <v>#N/A</v>
      </c>
      <c r="AA37" s="529" t="e">
        <f t="shared" si="72"/>
        <v>#N/A</v>
      </c>
      <c r="AB37" s="529" t="e">
        <f t="shared" si="72"/>
        <v>#N/A</v>
      </c>
      <c r="AC37" s="529" t="e">
        <f t="shared" si="72"/>
        <v>#N/A</v>
      </c>
      <c r="AD37" s="529" t="e">
        <f t="shared" si="72"/>
        <v>#N/A</v>
      </c>
      <c r="AE37" s="529" t="e">
        <f t="shared" si="72"/>
        <v>#N/A</v>
      </c>
      <c r="AF37" s="529" t="e">
        <f t="shared" si="72"/>
        <v>#N/A</v>
      </c>
      <c r="AG37" s="529" t="e">
        <f t="shared" si="72"/>
        <v>#N/A</v>
      </c>
      <c r="AH37" s="529" t="e">
        <f t="shared" si="72"/>
        <v>#N/A</v>
      </c>
      <c r="AI37" s="529" t="e">
        <f t="shared" si="72"/>
        <v>#N/A</v>
      </c>
      <c r="AJ37" s="529" t="e">
        <f t="shared" si="72"/>
        <v>#N/A</v>
      </c>
      <c r="AK37" s="529" t="e">
        <f t="shared" si="72"/>
        <v>#N/A</v>
      </c>
      <c r="AL37" s="529" t="e">
        <f t="shared" si="72"/>
        <v>#N/A</v>
      </c>
      <c r="AM37" s="529" t="e">
        <f t="shared" si="72"/>
        <v>#N/A</v>
      </c>
      <c r="AN37" s="529" t="e">
        <f t="shared" si="72"/>
        <v>#N/A</v>
      </c>
      <c r="AO37" s="529" t="e">
        <f t="shared" si="72"/>
        <v>#N/A</v>
      </c>
      <c r="AP37" s="529" t="e">
        <f t="shared" si="72"/>
        <v>#N/A</v>
      </c>
      <c r="AQ37" s="529" t="e">
        <f t="shared" si="72"/>
        <v>#N/A</v>
      </c>
      <c r="AR37" s="529">
        <f t="shared" si="7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57</v>
      </c>
      <c r="I38" s="75" t="e">
        <f>I37/$G$6</f>
        <v>#N/A</v>
      </c>
      <c r="J38" s="75" t="e">
        <f t="shared" ref="J38:AR38" si="73">J37/$G$6</f>
        <v>#N/A</v>
      </c>
      <c r="K38" s="75" t="e">
        <f t="shared" si="73"/>
        <v>#N/A</v>
      </c>
      <c r="L38" s="75" t="e">
        <f t="shared" si="73"/>
        <v>#N/A</v>
      </c>
      <c r="M38" s="75" t="e">
        <f t="shared" si="73"/>
        <v>#N/A</v>
      </c>
      <c r="N38" s="75" t="e">
        <f t="shared" si="73"/>
        <v>#N/A</v>
      </c>
      <c r="O38" s="75" t="e">
        <f t="shared" si="73"/>
        <v>#N/A</v>
      </c>
      <c r="P38" s="75" t="e">
        <f t="shared" si="73"/>
        <v>#N/A</v>
      </c>
      <c r="Q38" s="75" t="e">
        <f t="shared" si="73"/>
        <v>#N/A</v>
      </c>
      <c r="R38" s="75" t="e">
        <f t="shared" si="73"/>
        <v>#N/A</v>
      </c>
      <c r="S38" s="75" t="e">
        <f t="shared" si="73"/>
        <v>#N/A</v>
      </c>
      <c r="T38" s="75" t="e">
        <f t="shared" si="73"/>
        <v>#N/A</v>
      </c>
      <c r="U38" s="75" t="e">
        <f t="shared" si="73"/>
        <v>#N/A</v>
      </c>
      <c r="V38" s="75" t="e">
        <f t="shared" si="73"/>
        <v>#N/A</v>
      </c>
      <c r="W38" s="75" t="e">
        <f t="shared" si="73"/>
        <v>#N/A</v>
      </c>
      <c r="X38" s="75" t="e">
        <f t="shared" si="73"/>
        <v>#N/A</v>
      </c>
      <c r="Y38" s="75" t="e">
        <f t="shared" si="73"/>
        <v>#N/A</v>
      </c>
      <c r="Z38" s="75" t="e">
        <f t="shared" si="73"/>
        <v>#N/A</v>
      </c>
      <c r="AA38" s="75" t="e">
        <f t="shared" si="73"/>
        <v>#N/A</v>
      </c>
      <c r="AB38" s="75" t="e">
        <f t="shared" si="73"/>
        <v>#N/A</v>
      </c>
      <c r="AC38" s="75" t="e">
        <f t="shared" si="73"/>
        <v>#N/A</v>
      </c>
      <c r="AD38" s="75" t="e">
        <f t="shared" si="73"/>
        <v>#N/A</v>
      </c>
      <c r="AE38" s="75" t="e">
        <f t="shared" si="73"/>
        <v>#N/A</v>
      </c>
      <c r="AF38" s="75" t="e">
        <f t="shared" si="73"/>
        <v>#N/A</v>
      </c>
      <c r="AG38" s="75" t="e">
        <f t="shared" si="73"/>
        <v>#N/A</v>
      </c>
      <c r="AH38" s="75" t="e">
        <f t="shared" si="73"/>
        <v>#N/A</v>
      </c>
      <c r="AI38" s="75" t="e">
        <f t="shared" si="73"/>
        <v>#N/A</v>
      </c>
      <c r="AJ38" s="75" t="e">
        <f t="shared" si="73"/>
        <v>#N/A</v>
      </c>
      <c r="AK38" s="75" t="e">
        <f t="shared" si="73"/>
        <v>#N/A</v>
      </c>
      <c r="AL38" s="75" t="e">
        <f t="shared" si="73"/>
        <v>#N/A</v>
      </c>
      <c r="AM38" s="75" t="e">
        <f t="shared" si="73"/>
        <v>#N/A</v>
      </c>
      <c r="AN38" s="75" t="e">
        <f t="shared" si="73"/>
        <v>#N/A</v>
      </c>
      <c r="AO38" s="75" t="e">
        <f t="shared" si="73"/>
        <v>#N/A</v>
      </c>
      <c r="AP38" s="75" t="e">
        <f t="shared" si="73"/>
        <v>#N/A</v>
      </c>
      <c r="AQ38" s="75" t="e">
        <f t="shared" si="73"/>
        <v>#N/A</v>
      </c>
      <c r="AR38" s="75" t="e">
        <f t="shared" si="73"/>
        <v>#N/A</v>
      </c>
      <c r="AS38" s="76"/>
      <c r="AT38"/>
      <c r="AU38"/>
      <c r="AV38"/>
      <c r="AW38"/>
      <c r="AX38"/>
    </row>
    <row r="39" spans="1:50" s="8" customFormat="1" ht="15" customHeight="1" x14ac:dyDescent="0.25">
      <c r="A39" s="7"/>
      <c r="B39" s="7"/>
      <c r="C39" s="19"/>
      <c r="D39" s="22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S39" s="7"/>
      <c r="AT39"/>
      <c r="AU39"/>
      <c r="AV39"/>
      <c r="AW39"/>
      <c r="AX39"/>
    </row>
    <row r="40" spans="1:50" s="8" customFormat="1" ht="18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24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24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18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30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ht="24" customHeigh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</row>
    <row r="72" spans="1:50" s="8" customFormat="1" ht="24" customHeigh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</row>
    <row r="73" spans="1:50" s="8" customFormat="1" x14ac:dyDescent="0.25">
      <c r="AT73"/>
      <c r="AU73"/>
      <c r="AV73"/>
      <c r="AW73"/>
      <c r="AX73"/>
    </row>
    <row r="74" spans="1:50" s="8" customFormat="1" ht="18" customHeight="1" x14ac:dyDescent="0.25">
      <c r="AT74"/>
      <c r="AU74"/>
      <c r="AV74"/>
      <c r="AW74"/>
      <c r="AX74"/>
    </row>
    <row r="75" spans="1:50" s="8" customFormat="1" ht="30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ht="24" customHeight="1" x14ac:dyDescent="0.25">
      <c r="AT88"/>
      <c r="AU88"/>
      <c r="AV88"/>
      <c r="AW88"/>
      <c r="AX88"/>
    </row>
    <row r="89" spans="1:50" s="8" customFormat="1" ht="24" customHeight="1" x14ac:dyDescent="0.25">
      <c r="AT89"/>
      <c r="AU89"/>
      <c r="AV89"/>
      <c r="AW89"/>
      <c r="AX89"/>
    </row>
    <row r="90" spans="1:50" s="8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</row>
    <row r="91" spans="1:50" s="8" customFormat="1" ht="18" customHeight="1" x14ac:dyDescent="0.25">
      <c r="AT91"/>
      <c r="AU91"/>
      <c r="AV91"/>
      <c r="AW91"/>
      <c r="AX91"/>
    </row>
    <row r="92" spans="1:50" s="8" customFormat="1" ht="30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s="8" customFormat="1" ht="24" customHeight="1" x14ac:dyDescent="0.25">
      <c r="AT98"/>
      <c r="AU98"/>
      <c r="AV98"/>
      <c r="AW98"/>
      <c r="AX98"/>
    </row>
    <row r="99" spans="4:50" s="8" customFormat="1" ht="24" customHeight="1" x14ac:dyDescent="0.25">
      <c r="AT99"/>
      <c r="AU99"/>
      <c r="AV99"/>
      <c r="AW99"/>
      <c r="AX99"/>
    </row>
    <row r="100" spans="4:50" ht="24" customHeight="1" x14ac:dyDescent="0.25">
      <c r="D100" s="6"/>
      <c r="E100" s="6"/>
      <c r="F100" s="6"/>
      <c r="G100" s="6"/>
      <c r="H100" s="6"/>
      <c r="I100" s="6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T100"/>
      <c r="AU100"/>
      <c r="AV100"/>
      <c r="AW100"/>
      <c r="AX100"/>
    </row>
    <row r="101" spans="4:50" ht="24" customHeight="1" x14ac:dyDescent="0.25">
      <c r="D101" s="6"/>
      <c r="E101" s="6"/>
      <c r="F101" s="6"/>
      <c r="G101" s="6"/>
      <c r="H101" s="6"/>
      <c r="I101" s="6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T101"/>
      <c r="AU101"/>
      <c r="AV101"/>
      <c r="AW101"/>
      <c r="AX101"/>
    </row>
    <row r="102" spans="4:50" ht="24" customHeight="1" x14ac:dyDescent="0.25">
      <c r="D102" s="6"/>
      <c r="E102" s="6"/>
      <c r="F102" s="6"/>
      <c r="G102" s="6"/>
      <c r="H102" s="6"/>
      <c r="I102" s="6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T102"/>
      <c r="AU102"/>
      <c r="AV102"/>
      <c r="AW102"/>
      <c r="AX102"/>
    </row>
    <row r="103" spans="4:50" ht="24" customHeight="1" x14ac:dyDescent="0.25">
      <c r="D103" s="6"/>
      <c r="E103" s="6"/>
      <c r="F103" s="6"/>
      <c r="G103" s="6"/>
      <c r="H103" s="6"/>
      <c r="I103" s="6"/>
      <c r="J103" s="210"/>
      <c r="K103" s="210"/>
      <c r="L103" s="210"/>
      <c r="M103" s="210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T103"/>
      <c r="AU103"/>
      <c r="AV103"/>
      <c r="AW103"/>
      <c r="AX103"/>
    </row>
    <row r="104" spans="4:50" ht="24" customHeight="1" x14ac:dyDescent="0.25">
      <c r="D104" s="6"/>
      <c r="E104" s="6"/>
      <c r="F104" s="6"/>
      <c r="G104" s="6"/>
      <c r="H104" s="6"/>
      <c r="I104" s="6"/>
      <c r="J104" s="210"/>
      <c r="K104" s="210"/>
      <c r="L104" s="210"/>
      <c r="M104" s="210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T104"/>
      <c r="AU104"/>
      <c r="AV104"/>
      <c r="AW104"/>
      <c r="AX104"/>
    </row>
    <row r="105" spans="4:50" ht="24" customHeight="1" x14ac:dyDescent="0.25">
      <c r="D105" s="6"/>
      <c r="E105" s="6"/>
      <c r="F105" s="6"/>
      <c r="G105" s="6"/>
      <c r="H105" s="6"/>
      <c r="I105" s="6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T105"/>
      <c r="AU105"/>
      <c r="AV105"/>
      <c r="AW105"/>
      <c r="AX105"/>
    </row>
    <row r="106" spans="4:50" ht="24" customHeight="1" x14ac:dyDescent="0.25">
      <c r="D106" s="6"/>
      <c r="E106" s="6"/>
      <c r="F106" s="6"/>
      <c r="G106" s="6"/>
      <c r="H106" s="6"/>
      <c r="I106" s="6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T106"/>
      <c r="AU106"/>
      <c r="AV106"/>
      <c r="AW106"/>
      <c r="AX106"/>
    </row>
    <row r="107" spans="4:50" x14ac:dyDescent="0.25">
      <c r="D107" s="6"/>
      <c r="E107" s="6"/>
      <c r="F107" s="6"/>
      <c r="G107" s="6"/>
      <c r="H107" s="6"/>
      <c r="I107" s="6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T107"/>
      <c r="AU107"/>
      <c r="AV107"/>
      <c r="AW107"/>
      <c r="AX107"/>
    </row>
    <row r="108" spans="4:50" ht="18" customHeight="1" x14ac:dyDescent="0.25">
      <c r="D108" s="6"/>
      <c r="E108" s="6"/>
      <c r="F108" s="6"/>
      <c r="G108" s="6"/>
      <c r="H108" s="6"/>
      <c r="I108" s="6"/>
      <c r="J108" s="210"/>
      <c r="K108" s="210"/>
      <c r="L108" s="210"/>
      <c r="M108" s="210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T108"/>
      <c r="AU108"/>
      <c r="AV108"/>
      <c r="AW108"/>
      <c r="AX108"/>
    </row>
    <row r="109" spans="4:50" ht="30" customHeight="1" x14ac:dyDescent="0.25">
      <c r="D109" s="6"/>
      <c r="E109" s="6"/>
      <c r="F109" s="6"/>
      <c r="G109" s="6"/>
      <c r="H109" s="6"/>
      <c r="I109" s="6"/>
      <c r="J109" s="210"/>
      <c r="K109" s="210"/>
      <c r="L109" s="210"/>
      <c r="M109" s="210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T109"/>
      <c r="AU109"/>
      <c r="AV109"/>
      <c r="AW109"/>
      <c r="AX109"/>
    </row>
    <row r="110" spans="4:50" ht="24" customHeight="1" x14ac:dyDescent="0.25">
      <c r="D110" s="6"/>
      <c r="E110" s="6"/>
      <c r="F110" s="6"/>
      <c r="G110" s="6"/>
      <c r="H110" s="6"/>
      <c r="I110" s="6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T110"/>
      <c r="AU110"/>
      <c r="AV110"/>
      <c r="AW110"/>
      <c r="AX110"/>
    </row>
    <row r="111" spans="4:50" ht="24" customHeight="1" x14ac:dyDescent="0.25">
      <c r="D111" s="6"/>
      <c r="E111" s="6"/>
      <c r="F111" s="6"/>
      <c r="G111" s="6"/>
      <c r="H111" s="6"/>
      <c r="I111" s="6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T111"/>
      <c r="AU111"/>
      <c r="AV111"/>
      <c r="AW111"/>
      <c r="AX111"/>
    </row>
    <row r="112" spans="4:50" ht="24" customHeight="1" x14ac:dyDescent="0.25">
      <c r="D112" s="6"/>
      <c r="E112" s="6"/>
      <c r="F112" s="6"/>
      <c r="G112" s="6"/>
      <c r="H112" s="6"/>
      <c r="I112" s="6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T112"/>
      <c r="AU112"/>
      <c r="AV112"/>
      <c r="AW112"/>
      <c r="AX112"/>
    </row>
    <row r="113" spans="4:50" ht="24" customHeight="1" x14ac:dyDescent="0.25">
      <c r="D113" s="6"/>
      <c r="E113" s="6"/>
      <c r="F113" s="6"/>
      <c r="G113" s="6"/>
      <c r="H113" s="6"/>
      <c r="I113" s="6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T113"/>
      <c r="AU113"/>
      <c r="AV113"/>
      <c r="AW113"/>
      <c r="AX113"/>
    </row>
    <row r="114" spans="4:50" ht="24" customHeight="1" x14ac:dyDescent="0.25">
      <c r="D114" s="6"/>
      <c r="E114" s="6"/>
      <c r="F114" s="6"/>
      <c r="G114" s="6"/>
      <c r="H114" s="6"/>
      <c r="I114" s="6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T114"/>
      <c r="AU114"/>
      <c r="AV114"/>
      <c r="AW114"/>
      <c r="AX114"/>
    </row>
    <row r="115" spans="4:50" ht="24" customHeight="1" x14ac:dyDescent="0.25">
      <c r="D115" s="6"/>
      <c r="E115" s="6"/>
      <c r="F115" s="6"/>
      <c r="G115" s="6"/>
      <c r="H115" s="6"/>
      <c r="I115" s="6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T115"/>
      <c r="AU115"/>
      <c r="AV115"/>
      <c r="AW115"/>
      <c r="AX115"/>
    </row>
    <row r="116" spans="4:50" ht="24" customHeight="1" x14ac:dyDescent="0.25">
      <c r="D116" s="6"/>
      <c r="E116" s="6"/>
      <c r="F116" s="6"/>
      <c r="G116" s="6"/>
      <c r="H116" s="6"/>
      <c r="I116" s="6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T116"/>
      <c r="AU116"/>
      <c r="AV116"/>
      <c r="AW116"/>
      <c r="AX116"/>
    </row>
    <row r="117" spans="4:50" ht="24" customHeight="1" x14ac:dyDescent="0.25">
      <c r="D117" s="6"/>
      <c r="E117" s="6"/>
      <c r="F117" s="6"/>
      <c r="G117" s="6"/>
      <c r="H117" s="6"/>
      <c r="I117" s="6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T117"/>
      <c r="AU117"/>
      <c r="AV117"/>
      <c r="AW117"/>
      <c r="AX117"/>
    </row>
    <row r="118" spans="4:50" ht="24" customHeight="1" x14ac:dyDescent="0.25">
      <c r="D118" s="6"/>
      <c r="E118" s="6"/>
      <c r="F118" s="6"/>
      <c r="G118" s="6"/>
      <c r="H118" s="6"/>
      <c r="I118" s="6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T118"/>
      <c r="AU118"/>
      <c r="AV118"/>
      <c r="AW118"/>
      <c r="AX118"/>
    </row>
    <row r="119" spans="4:50" ht="24" customHeight="1" x14ac:dyDescent="0.25">
      <c r="D119" s="6"/>
      <c r="E119" s="6"/>
      <c r="F119" s="6"/>
      <c r="G119" s="6"/>
      <c r="H119" s="6"/>
      <c r="I119" s="6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T119"/>
      <c r="AU119"/>
      <c r="AV119"/>
      <c r="AW119"/>
      <c r="AX119"/>
    </row>
    <row r="120" spans="4:50" ht="24" customHeight="1" x14ac:dyDescent="0.25">
      <c r="D120" s="6"/>
      <c r="E120" s="6"/>
      <c r="F120" s="6"/>
      <c r="G120" s="6"/>
      <c r="H120" s="6"/>
      <c r="I120" s="6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T120"/>
      <c r="AU120"/>
      <c r="AV120"/>
      <c r="AW120"/>
      <c r="AX120"/>
    </row>
    <row r="121" spans="4:50" ht="24" customHeight="1" x14ac:dyDescent="0.25">
      <c r="D121" s="6"/>
      <c r="E121" s="6"/>
      <c r="F121" s="6"/>
      <c r="G121" s="6"/>
      <c r="H121" s="6"/>
      <c r="I121" s="6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T121"/>
      <c r="AU121"/>
      <c r="AV121"/>
      <c r="AW121"/>
      <c r="AX121"/>
    </row>
    <row r="122" spans="4:50" ht="24" customHeight="1" x14ac:dyDescent="0.25">
      <c r="D122" s="6"/>
      <c r="E122" s="6"/>
      <c r="F122" s="6"/>
      <c r="G122" s="6"/>
      <c r="H122" s="6"/>
      <c r="I122" s="6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T122"/>
      <c r="AU122"/>
      <c r="AV122"/>
      <c r="AW122"/>
      <c r="AX122"/>
    </row>
    <row r="123" spans="4:50" ht="24" customHeight="1" x14ac:dyDescent="0.25">
      <c r="D123" s="6"/>
      <c r="E123" s="6"/>
      <c r="F123" s="6"/>
      <c r="G123" s="6"/>
      <c r="H123" s="6"/>
      <c r="I123" s="6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T123"/>
      <c r="AU123"/>
      <c r="AV123"/>
      <c r="AW123"/>
      <c r="AX123"/>
    </row>
    <row r="124" spans="4:50" x14ac:dyDescent="0.25">
      <c r="D124" s="6"/>
      <c r="E124" s="6"/>
      <c r="F124" s="6"/>
      <c r="G124" s="6"/>
      <c r="H124" s="6"/>
      <c r="I124" s="6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T124"/>
      <c r="AU124"/>
      <c r="AV124"/>
      <c r="AW124"/>
      <c r="AX124"/>
    </row>
    <row r="125" spans="4:50" ht="18" customHeight="1" x14ac:dyDescent="0.25">
      <c r="D125" s="6"/>
      <c r="E125" s="6"/>
      <c r="F125" s="6"/>
      <c r="G125" s="6"/>
      <c r="H125" s="6"/>
      <c r="I125" s="6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T125"/>
      <c r="AU125"/>
      <c r="AV125"/>
      <c r="AW125"/>
      <c r="AX125"/>
    </row>
    <row r="126" spans="4:50" ht="30" customHeight="1" x14ac:dyDescent="0.25">
      <c r="D126" s="6"/>
      <c r="E126" s="6"/>
      <c r="F126" s="6"/>
      <c r="G126" s="6"/>
      <c r="H126" s="6"/>
      <c r="I126" s="6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T126"/>
      <c r="AU126"/>
      <c r="AV126"/>
      <c r="AW126"/>
      <c r="AX126"/>
    </row>
    <row r="127" spans="4:50" ht="24" customHeight="1" x14ac:dyDescent="0.25">
      <c r="D127" s="6"/>
      <c r="E127" s="6"/>
      <c r="F127" s="6"/>
      <c r="G127" s="6"/>
      <c r="H127" s="6"/>
      <c r="I127" s="6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T127"/>
      <c r="AU127"/>
      <c r="AV127"/>
      <c r="AW127"/>
      <c r="AX127"/>
    </row>
    <row r="128" spans="4:50" ht="24" customHeight="1" x14ac:dyDescent="0.25">
      <c r="D128" s="6"/>
      <c r="E128" s="6"/>
      <c r="F128" s="6"/>
      <c r="G128" s="6"/>
      <c r="H128" s="6"/>
      <c r="I128" s="6"/>
      <c r="J128" s="210"/>
      <c r="K128" s="210"/>
      <c r="L128" s="210"/>
      <c r="M128" s="210"/>
      <c r="N128" s="210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T128"/>
      <c r="AU128"/>
      <c r="AV128"/>
      <c r="AW128"/>
      <c r="AX128"/>
    </row>
    <row r="129" spans="4:50" ht="24" customHeight="1" x14ac:dyDescent="0.25">
      <c r="D129" s="6"/>
      <c r="E129" s="6"/>
      <c r="F129" s="6"/>
      <c r="G129" s="6"/>
      <c r="H129" s="6"/>
      <c r="I129" s="6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T129"/>
      <c r="AU129"/>
      <c r="AV129"/>
      <c r="AW129"/>
      <c r="AX129"/>
    </row>
    <row r="130" spans="4:50" ht="24" customHeight="1" x14ac:dyDescent="0.25">
      <c r="D130" s="6"/>
      <c r="E130" s="6"/>
      <c r="F130" s="6"/>
      <c r="G130" s="6"/>
      <c r="H130" s="6"/>
      <c r="I130" s="6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T130"/>
      <c r="AU130"/>
      <c r="AV130"/>
      <c r="AW130"/>
      <c r="AX130"/>
    </row>
    <row r="131" spans="4:50" ht="24" customHeight="1" x14ac:dyDescent="0.25">
      <c r="D131" s="6"/>
      <c r="E131" s="6"/>
      <c r="F131" s="6"/>
      <c r="G131" s="6"/>
      <c r="H131" s="6"/>
      <c r="I131" s="6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T131"/>
      <c r="AU131"/>
      <c r="AV131"/>
      <c r="AW131"/>
      <c r="AX131"/>
    </row>
    <row r="132" spans="4:50" ht="24" customHeight="1" x14ac:dyDescent="0.25">
      <c r="D132" s="6"/>
      <c r="E132" s="6"/>
      <c r="F132" s="6"/>
      <c r="G132" s="6"/>
      <c r="H132" s="6"/>
      <c r="I132" s="6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4:50" ht="24" customHeight="1" x14ac:dyDescent="0.25">
      <c r="D133" s="6"/>
      <c r="E133" s="6"/>
      <c r="F133" s="6"/>
      <c r="G133" s="6"/>
      <c r="H133" s="6"/>
      <c r="I133" s="6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4:50" ht="24" customHeight="1" x14ac:dyDescent="0.25">
      <c r="D134" s="6"/>
      <c r="E134" s="6"/>
      <c r="F134" s="6"/>
      <c r="G134" s="6"/>
      <c r="H134" s="6"/>
      <c r="I134" s="6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4:50" ht="24" customHeight="1" x14ac:dyDescent="0.25">
      <c r="D135" s="6"/>
      <c r="E135" s="6"/>
      <c r="F135" s="6"/>
      <c r="G135" s="6"/>
      <c r="H135" s="6"/>
      <c r="I135" s="6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4:50" ht="24" customHeight="1" x14ac:dyDescent="0.25">
      <c r="D136" s="6"/>
      <c r="E136" s="6"/>
      <c r="F136" s="6"/>
      <c r="G136" s="6"/>
      <c r="H136" s="6"/>
      <c r="I136" s="6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4:50" ht="24" customHeight="1" x14ac:dyDescent="0.25">
      <c r="D137" s="6"/>
      <c r="E137" s="6"/>
      <c r="F137" s="6"/>
      <c r="G137" s="6"/>
      <c r="H137" s="6"/>
      <c r="I137" s="6"/>
      <c r="J137" s="210"/>
      <c r="K137" s="210"/>
      <c r="L137" s="210"/>
      <c r="M137" s="210"/>
      <c r="N137" s="210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4:50" ht="24" customHeight="1" x14ac:dyDescent="0.25">
      <c r="D138" s="6"/>
      <c r="E138" s="6"/>
      <c r="F138" s="6"/>
      <c r="G138" s="6"/>
      <c r="H138" s="6"/>
      <c r="I138" s="6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4:50" ht="24" customHeight="1" x14ac:dyDescent="0.25">
      <c r="D139" s="6"/>
      <c r="E139" s="6"/>
      <c r="F139" s="6"/>
      <c r="G139" s="6"/>
      <c r="H139" s="6"/>
      <c r="I139" s="6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4:50" ht="24" customHeight="1" x14ac:dyDescent="0.25">
      <c r="D140" s="6"/>
      <c r="E140" s="6"/>
      <c r="F140" s="6"/>
      <c r="G140" s="6"/>
      <c r="H140" s="6"/>
      <c r="I140" s="6"/>
      <c r="J140" s="210"/>
      <c r="K140" s="210"/>
      <c r="L140" s="210"/>
      <c r="M140" s="210"/>
      <c r="N140" s="210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4:50" x14ac:dyDescent="0.25">
      <c r="D141" s="6"/>
      <c r="E141" s="6"/>
      <c r="F141" s="6"/>
      <c r="G141" s="6"/>
      <c r="H141" s="6"/>
      <c r="I141" s="6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4:50" x14ac:dyDescent="0.25">
      <c r="D142" s="6"/>
      <c r="E142" s="6"/>
      <c r="F142" s="6"/>
      <c r="G142" s="6"/>
      <c r="H142" s="6"/>
      <c r="I142" s="6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4:50" x14ac:dyDescent="0.25">
      <c r="D143" s="6"/>
      <c r="E143" s="6"/>
      <c r="F143" s="6"/>
      <c r="G143" s="6"/>
      <c r="H143" s="6"/>
      <c r="I143" s="6"/>
      <c r="J143" s="210"/>
      <c r="K143" s="210"/>
      <c r="L143" s="210"/>
      <c r="M143" s="210"/>
      <c r="N143" s="210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4:50" x14ac:dyDescent="0.25">
      <c r="D144" s="6"/>
      <c r="E144" s="6"/>
      <c r="F144" s="6"/>
      <c r="G144" s="6"/>
      <c r="H144" s="6"/>
      <c r="I144" s="6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4:39" x14ac:dyDescent="0.25">
      <c r="D145" s="6"/>
      <c r="E145" s="6"/>
      <c r="F145" s="6"/>
      <c r="G145" s="6"/>
      <c r="H145" s="6"/>
      <c r="I145" s="6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4:39" x14ac:dyDescent="0.25">
      <c r="D146" s="6"/>
      <c r="E146" s="6"/>
      <c r="F146" s="6"/>
      <c r="G146" s="6"/>
      <c r="H146" s="6"/>
      <c r="I146" s="6"/>
      <c r="J146" s="210"/>
      <c r="K146" s="210"/>
      <c r="L146" s="210"/>
      <c r="M146" s="210"/>
      <c r="N146" s="210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4:39" x14ac:dyDescent="0.25">
      <c r="D147" s="6"/>
      <c r="E147" s="6"/>
      <c r="F147" s="6"/>
      <c r="G147" s="6"/>
      <c r="H147" s="6"/>
    </row>
    <row r="148" spans="4:39" x14ac:dyDescent="0.25">
      <c r="D148" s="6"/>
      <c r="E148" s="6"/>
      <c r="F148" s="6"/>
      <c r="G148" s="6"/>
      <c r="H148" s="6"/>
      <c r="I148" s="6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4:39" x14ac:dyDescent="0.25">
      <c r="D149" s="6"/>
      <c r="E149" s="6"/>
      <c r="F149" s="6"/>
      <c r="G149" s="6"/>
      <c r="H149" s="6"/>
      <c r="I149" s="6"/>
      <c r="J149" s="210"/>
      <c r="K149" s="210"/>
      <c r="L149" s="210"/>
      <c r="M149" s="210"/>
      <c r="N149" s="210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</sheetData>
  <mergeCells count="1">
    <mergeCell ref="E3:H3"/>
  </mergeCells>
  <conditionalFormatting sqref="H7">
    <cfRule type="cellIs" dxfId="35" priority="9" operator="notEqual">
      <formula>1</formula>
    </cfRule>
  </conditionalFormatting>
  <conditionalFormatting sqref="H25">
    <cfRule type="cellIs" dxfId="34" priority="1" operator="notEqual">
      <formula>1</formula>
    </cfRule>
  </conditionalFormatting>
  <conditionalFormatting sqref="H9">
    <cfRule type="cellIs" dxfId="33" priority="8" operator="notEqual">
      <formula>1</formula>
    </cfRule>
  </conditionalFormatting>
  <conditionalFormatting sqref="H12">
    <cfRule type="cellIs" dxfId="32" priority="7" operator="notEqual">
      <formula>1</formula>
    </cfRule>
  </conditionalFormatting>
  <conditionalFormatting sqref="H14">
    <cfRule type="cellIs" dxfId="31" priority="6" operator="notEqual">
      <formula>1</formula>
    </cfRule>
  </conditionalFormatting>
  <conditionalFormatting sqref="H16">
    <cfRule type="cellIs" dxfId="30" priority="5" operator="notEqual">
      <formula>1</formula>
    </cfRule>
  </conditionalFormatting>
  <conditionalFormatting sqref="H18">
    <cfRule type="cellIs" dxfId="29" priority="4" operator="notEqual">
      <formula>1</formula>
    </cfRule>
  </conditionalFormatting>
  <conditionalFormatting sqref="H20">
    <cfRule type="cellIs" dxfId="28" priority="3" operator="notEqual">
      <formula>1</formula>
    </cfRule>
  </conditionalFormatting>
  <conditionalFormatting sqref="H22">
    <cfRule type="cellIs" dxfId="27" priority="2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H39" sqref="H39"/>
    </sheetView>
  </sheetViews>
  <sheetFormatPr defaultRowHeight="15" x14ac:dyDescent="0.25"/>
  <cols>
    <col min="1" max="2" width="4.7109375" style="246" customWidth="1"/>
    <col min="3" max="3" width="40.7109375" style="246" customWidth="1"/>
    <col min="4" max="8" width="8.7109375" style="4" customWidth="1"/>
    <col min="9" max="39" width="6.7109375" style="4" customWidth="1"/>
    <col min="40" max="45" width="6.7109375" style="246" customWidth="1"/>
    <col min="46" max="16384" width="9.140625" style="246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1030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333">
        <f>'Departure Lounge 2027'!C3</f>
        <v>42075</v>
      </c>
      <c r="D3" s="57" t="str">
        <f>CONCATENATE("Ver. ",'Departure Lounge 2027'!E3)</f>
        <v>Ver. 7</v>
      </c>
      <c r="E3" s="1013" t="str">
        <f>'Departure Lounge 2027'!F3</f>
        <v>Workbook audited for release to PAPL</v>
      </c>
      <c r="F3" s="1013"/>
      <c r="G3" s="1013"/>
      <c r="H3" s="1013"/>
      <c r="I3" s="332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992</v>
      </c>
      <c r="C4" s="15"/>
      <c r="D4" s="34" t="s">
        <v>46</v>
      </c>
      <c r="E4" s="34" t="s">
        <v>28</v>
      </c>
      <c r="F4" s="34" t="s">
        <v>68</v>
      </c>
      <c r="G4" s="34" t="s">
        <v>3</v>
      </c>
      <c r="H4" s="496"/>
      <c r="I4" s="247" t="s">
        <v>50</v>
      </c>
      <c r="J4" s="247"/>
      <c r="K4" s="247"/>
      <c r="M4" s="247"/>
      <c r="N4" s="247"/>
      <c r="O4" s="247"/>
      <c r="P4" s="380" t="s">
        <v>984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977</v>
      </c>
      <c r="AB4" s="95"/>
      <c r="AC4" s="95"/>
      <c r="AD4" s="95"/>
      <c r="AE4" s="95"/>
      <c r="AF4" s="95"/>
      <c r="AG4" s="96" t="s">
        <v>985</v>
      </c>
      <c r="AH4" s="15"/>
      <c r="AL4" s="97" t="s">
        <v>92</v>
      </c>
      <c r="AM4" s="97"/>
      <c r="AN4" s="98"/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987</v>
      </c>
      <c r="C5" s="7"/>
      <c r="D5" s="7"/>
      <c r="E5" s="29"/>
      <c r="F5" s="29"/>
      <c r="G5" s="29"/>
      <c r="H5" s="497"/>
      <c r="I5" s="7" t="s">
        <v>945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946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947</v>
      </c>
      <c r="AH5" s="7"/>
      <c r="AL5" s="250"/>
      <c r="AM5" s="451"/>
      <c r="AN5" s="398"/>
      <c r="AO5" s="398"/>
      <c r="AP5" s="399"/>
      <c r="AQ5" s="400" t="s">
        <v>1093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110</v>
      </c>
      <c r="C6" s="389" t="e">
        <f>CONCATENATE(VLOOKUP(B6,Airlines,2,FALSE),", ",VLOOKUP(D6,Aircraft,2,FALSE))</f>
        <v>#N/A</v>
      </c>
      <c r="D6" s="48">
        <v>333</v>
      </c>
      <c r="E6" s="20">
        <f>VLOOKUP(D6,Aircraft,5,FALSE)</f>
        <v>377</v>
      </c>
      <c r="F6" s="49">
        <v>0.85</v>
      </c>
      <c r="G6" s="50">
        <f>E6*F6</f>
        <v>320.45</v>
      </c>
      <c r="H6" s="498" t="s">
        <v>53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27</v>
      </c>
      <c r="AT6"/>
      <c r="AU6"/>
      <c r="AV6"/>
      <c r="AW6"/>
      <c r="AX6"/>
    </row>
    <row r="7" spans="1:50" s="8" customFormat="1" ht="24" customHeight="1" x14ac:dyDescent="0.25">
      <c r="A7" s="1014" t="s">
        <v>992</v>
      </c>
      <c r="B7" s="7"/>
      <c r="C7" s="21" t="s">
        <v>54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374"/>
      <c r="AM7" s="452"/>
      <c r="AN7" s="46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4"/>
      <c r="B8" s="18"/>
      <c r="C8" s="51"/>
      <c r="D8" s="32" t="s">
        <v>3</v>
      </c>
      <c r="E8" s="52">
        <f>E7*G$6</f>
        <v>288.40499999999997</v>
      </c>
      <c r="F8" s="32"/>
      <c r="G8" s="32"/>
      <c r="H8" s="443">
        <f t="shared" si="1"/>
        <v>288.40500000000003</v>
      </c>
      <c r="I8" s="66">
        <f t="shared" ref="I8:Z15" si="2">I7*$E8</f>
        <v>17.304299999999998</v>
      </c>
      <c r="J8" s="66">
        <f t="shared" si="2"/>
        <v>11.536199999999999</v>
      </c>
      <c r="K8" s="66">
        <f t="shared" si="2"/>
        <v>11.536199999999999</v>
      </c>
      <c r="L8" s="66">
        <f t="shared" si="2"/>
        <v>17.304299999999998</v>
      </c>
      <c r="M8" s="66">
        <f t="shared" si="2"/>
        <v>25.956449999999997</v>
      </c>
      <c r="N8" s="66">
        <f t="shared" si="2"/>
        <v>34.608599999999996</v>
      </c>
      <c r="O8" s="66">
        <f t="shared" si="2"/>
        <v>34.608599999999996</v>
      </c>
      <c r="P8" s="66">
        <f t="shared" si="2"/>
        <v>34.608599999999996</v>
      </c>
      <c r="Q8" s="66">
        <f t="shared" si="2"/>
        <v>28.840499999999999</v>
      </c>
      <c r="R8" s="66">
        <f t="shared" si="2"/>
        <v>20.18835</v>
      </c>
      <c r="S8" s="66">
        <f t="shared" si="2"/>
        <v>11.536199999999999</v>
      </c>
      <c r="T8" s="66">
        <f t="shared" si="2"/>
        <v>5.7680999999999996</v>
      </c>
      <c r="U8" s="66">
        <f t="shared" si="2"/>
        <v>5.7680999999999996</v>
      </c>
      <c r="V8" s="66">
        <f t="shared" si="2"/>
        <v>5.7680999999999996</v>
      </c>
      <c r="W8" s="66">
        <f t="shared" si="2"/>
        <v>5.7680999999999996</v>
      </c>
      <c r="X8" s="66">
        <f t="shared" si="2"/>
        <v>5.7680999999999996</v>
      </c>
      <c r="Y8" s="66">
        <f t="shared" si="2"/>
        <v>5.7680999999999996</v>
      </c>
      <c r="Z8" s="66">
        <f t="shared" si="2"/>
        <v>5.7680999999999996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375"/>
      <c r="AM8" s="453"/>
      <c r="AN8" s="53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4"/>
      <c r="B9" s="7"/>
      <c r="C9" s="21" t="s">
        <v>976</v>
      </c>
      <c r="D9" s="29" t="s">
        <v>4</v>
      </c>
      <c r="E9" s="369">
        <f>1-E7</f>
        <v>9.9999999999999978E-2</v>
      </c>
      <c r="F9" s="387" t="s">
        <v>993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76"/>
      <c r="AM9" s="454"/>
      <c r="AN9" s="368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4"/>
      <c r="B10" s="18"/>
      <c r="C10" s="449">
        <f>-(SUMPRODUCT(I6:Z6,I8:Z8)+SUMPRODUCT(T6:AF6,T10:AF10))/G6</f>
        <v>141.94999999999999</v>
      </c>
      <c r="D10" s="32" t="s">
        <v>3</v>
      </c>
      <c r="E10" s="52">
        <f>E9*G$6</f>
        <v>32.044999999999995</v>
      </c>
      <c r="F10" s="32"/>
      <c r="G10" s="32"/>
      <c r="H10" s="443">
        <f t="shared" si="1"/>
        <v>32.044999999999995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0.96134999999999982</v>
      </c>
      <c r="U10" s="66">
        <f t="shared" si="3"/>
        <v>1.6022499999999997</v>
      </c>
      <c r="V10" s="66">
        <f t="shared" si="3"/>
        <v>2.5635999999999997</v>
      </c>
      <c r="W10" s="66">
        <f t="shared" si="3"/>
        <v>3.2044999999999995</v>
      </c>
      <c r="X10" s="66">
        <f t="shared" si="3"/>
        <v>3.8453999999999993</v>
      </c>
      <c r="Y10" s="66">
        <f t="shared" si="3"/>
        <v>4.4863</v>
      </c>
      <c r="Z10" s="66">
        <f t="shared" si="3"/>
        <v>3.8453999999999993</v>
      </c>
      <c r="AA10" s="66">
        <f t="shared" si="3"/>
        <v>3.2044999999999995</v>
      </c>
      <c r="AB10" s="66">
        <f t="shared" si="3"/>
        <v>2.5635999999999997</v>
      </c>
      <c r="AC10" s="66">
        <f t="shared" si="3"/>
        <v>1.9226999999999996</v>
      </c>
      <c r="AD10" s="66">
        <f t="shared" si="3"/>
        <v>1.2817999999999998</v>
      </c>
      <c r="AE10" s="66">
        <f t="shared" si="3"/>
        <v>1.2817999999999998</v>
      </c>
      <c r="AF10" s="66">
        <f t="shared" si="3"/>
        <v>1.2817999999999998</v>
      </c>
      <c r="AG10" s="388"/>
      <c r="AH10" s="66"/>
      <c r="AI10" s="66"/>
      <c r="AJ10" s="66"/>
      <c r="AK10" s="66"/>
      <c r="AL10" s="375"/>
      <c r="AM10" s="453"/>
      <c r="AN10" s="53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4"/>
      <c r="B11" s="408"/>
      <c r="C11" s="507"/>
      <c r="D11" s="508" t="s">
        <v>1005</v>
      </c>
      <c r="E11" s="509">
        <f>-(SUMPRODUCT(I6:Z6,I8:Z8)+SUMPRODUCT(T6:AF6,T10:AF10))/G6</f>
        <v>141.94999999999999</v>
      </c>
      <c r="F11" s="409"/>
      <c r="G11" s="409"/>
      <c r="H11" s="511" t="s">
        <v>1004</v>
      </c>
      <c r="I11" s="410">
        <f>(I8+I10)/G6</f>
        <v>5.3999999999999992E-2</v>
      </c>
      <c r="J11" s="410">
        <f>I11+(J8+J10)/$G$6</f>
        <v>0.09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0.67499999999999993</v>
      </c>
      <c r="R11" s="410">
        <f t="shared" si="4"/>
        <v>0.73799999999999999</v>
      </c>
      <c r="S11" s="410">
        <f t="shared" si="4"/>
        <v>0.77400000000000002</v>
      </c>
      <c r="T11" s="410">
        <f t="shared" si="4"/>
        <v>0.79500000000000004</v>
      </c>
      <c r="U11" s="410">
        <f t="shared" si="4"/>
        <v>0.81800000000000006</v>
      </c>
      <c r="V11" s="410">
        <f t="shared" si="4"/>
        <v>0.84400000000000008</v>
      </c>
      <c r="W11" s="410">
        <f t="shared" si="4"/>
        <v>0.87200000000000011</v>
      </c>
      <c r="X11" s="410">
        <f t="shared" si="4"/>
        <v>0.90200000000000014</v>
      </c>
      <c r="Y11" s="410">
        <f t="shared" si="4"/>
        <v>0.93400000000000016</v>
      </c>
      <c r="Z11" s="410">
        <f t="shared" si="4"/>
        <v>0.96400000000000019</v>
      </c>
      <c r="AA11" s="410">
        <f t="shared" si="4"/>
        <v>0.9740000000000002</v>
      </c>
      <c r="AB11" s="410">
        <f t="shared" si="4"/>
        <v>0.98200000000000021</v>
      </c>
      <c r="AC11" s="410">
        <f t="shared" si="4"/>
        <v>0.98800000000000021</v>
      </c>
      <c r="AD11" s="410">
        <f t="shared" si="4"/>
        <v>0.99200000000000021</v>
      </c>
      <c r="AE11" s="410">
        <f t="shared" si="4"/>
        <v>0.99600000000000022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4"/>
      <c r="AM11" s="455"/>
      <c r="AN11" s="415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4"/>
      <c r="B12" s="7"/>
      <c r="C12" s="21" t="s">
        <v>978</v>
      </c>
      <c r="D12" s="29" t="s">
        <v>4</v>
      </c>
      <c r="E12" s="184">
        <v>0.5</v>
      </c>
      <c r="F12" s="387" t="s">
        <v>991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76"/>
      <c r="AM12" s="454"/>
      <c r="AN12" s="368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4"/>
      <c r="B13" s="18"/>
      <c r="C13" s="51"/>
      <c r="D13" s="32" t="s">
        <v>3</v>
      </c>
      <c r="E13" s="52">
        <f>E12*G$6</f>
        <v>160.22499999999999</v>
      </c>
      <c r="F13" s="32"/>
      <c r="G13" s="32"/>
      <c r="H13" s="443">
        <f t="shared" si="1"/>
        <v>160.22499999999997</v>
      </c>
      <c r="I13" s="66"/>
      <c r="J13" s="66"/>
      <c r="K13" s="66"/>
      <c r="L13" s="66">
        <f t="shared" si="2"/>
        <v>4.8067500000000001</v>
      </c>
      <c r="M13" s="66">
        <f t="shared" si="2"/>
        <v>6.4089999999999998</v>
      </c>
      <c r="N13" s="66">
        <f t="shared" si="2"/>
        <v>8.0112500000000004</v>
      </c>
      <c r="O13" s="66">
        <f t="shared" si="2"/>
        <v>9.6135000000000002</v>
      </c>
      <c r="P13" s="66">
        <f t="shared" si="2"/>
        <v>11.21575</v>
      </c>
      <c r="Q13" s="66">
        <f t="shared" si="2"/>
        <v>14.420249999999999</v>
      </c>
      <c r="R13" s="66">
        <f t="shared" si="2"/>
        <v>17.624749999999999</v>
      </c>
      <c r="S13" s="66">
        <f t="shared" si="2"/>
        <v>19.227</v>
      </c>
      <c r="T13" s="66">
        <f t="shared" si="2"/>
        <v>17.624749999999999</v>
      </c>
      <c r="U13" s="66">
        <f t="shared" si="2"/>
        <v>14.420249999999999</v>
      </c>
      <c r="V13" s="66">
        <f t="shared" si="2"/>
        <v>8.0112500000000004</v>
      </c>
      <c r="W13" s="66">
        <f t="shared" si="2"/>
        <v>4.8067500000000001</v>
      </c>
      <c r="X13" s="66">
        <f t="shared" si="2"/>
        <v>4.8067500000000001</v>
      </c>
      <c r="Y13" s="66">
        <f t="shared" si="2"/>
        <v>4.8067500000000001</v>
      </c>
      <c r="Z13" s="66">
        <f t="shared" si="2"/>
        <v>4.8067500000000001</v>
      </c>
      <c r="AA13" s="66">
        <f t="shared" ref="AA13:AC13" si="5">AA12*$E13</f>
        <v>3.2044999999999999</v>
      </c>
      <c r="AB13" s="66">
        <f t="shared" si="5"/>
        <v>3.2044999999999999</v>
      </c>
      <c r="AC13" s="66">
        <f t="shared" si="5"/>
        <v>3.2044999999999999</v>
      </c>
      <c r="AD13" s="66"/>
      <c r="AE13" s="66"/>
      <c r="AF13" s="66"/>
      <c r="AG13" s="66"/>
      <c r="AH13" s="66"/>
      <c r="AI13" s="66"/>
      <c r="AJ13" s="66"/>
      <c r="AK13" s="66"/>
      <c r="AL13" s="375"/>
      <c r="AM13" s="453"/>
      <c r="AN13" s="53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4"/>
      <c r="B14" s="7"/>
      <c r="C14" s="21" t="s">
        <v>979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76"/>
      <c r="AM14" s="454"/>
      <c r="AN14" s="368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4"/>
      <c r="B15" s="18"/>
      <c r="C15" s="372"/>
      <c r="D15" s="32" t="s">
        <v>3</v>
      </c>
      <c r="E15" s="52">
        <f>E14*G$6</f>
        <v>160.22499999999999</v>
      </c>
      <c r="F15" s="32"/>
      <c r="G15" s="32"/>
      <c r="H15" s="443">
        <f t="shared" si="1"/>
        <v>160.22499999999999</v>
      </c>
      <c r="I15" s="66"/>
      <c r="J15" s="66"/>
      <c r="K15" s="66"/>
      <c r="L15" s="66"/>
      <c r="M15" s="66"/>
      <c r="N15" s="66"/>
      <c r="O15" s="66">
        <f t="shared" si="2"/>
        <v>3.2044999999999999</v>
      </c>
      <c r="P15" s="66">
        <f t="shared" si="2"/>
        <v>1.60225</v>
      </c>
      <c r="Q15" s="66">
        <f t="shared" si="2"/>
        <v>1.60225</v>
      </c>
      <c r="R15" s="66">
        <f t="shared" si="2"/>
        <v>3.2044999999999999</v>
      </c>
      <c r="S15" s="66">
        <f t="shared" si="2"/>
        <v>6.4089999999999998</v>
      </c>
      <c r="T15" s="66">
        <f t="shared" si="2"/>
        <v>9.6135000000000002</v>
      </c>
      <c r="U15" s="66">
        <f t="shared" si="2"/>
        <v>9.6135000000000002</v>
      </c>
      <c r="V15" s="66">
        <f t="shared" si="2"/>
        <v>11.21575</v>
      </c>
      <c r="W15" s="66">
        <f t="shared" si="2"/>
        <v>14.420249999999999</v>
      </c>
      <c r="X15" s="66">
        <f t="shared" si="2"/>
        <v>17.624749999999999</v>
      </c>
      <c r="Y15" s="66">
        <f t="shared" si="2"/>
        <v>19.227</v>
      </c>
      <c r="Z15" s="66">
        <f t="shared" si="2"/>
        <v>19.227</v>
      </c>
      <c r="AA15" s="66">
        <f t="shared" ref="AA15:AG15" si="6">AA14*$E15</f>
        <v>16.022500000000001</v>
      </c>
      <c r="AB15" s="66">
        <f t="shared" si="6"/>
        <v>8.0112500000000004</v>
      </c>
      <c r="AC15" s="66">
        <f t="shared" si="6"/>
        <v>4.8067500000000001</v>
      </c>
      <c r="AD15" s="66">
        <f t="shared" si="6"/>
        <v>4.8067500000000001</v>
      </c>
      <c r="AE15" s="66">
        <f t="shared" si="6"/>
        <v>3.2044999999999999</v>
      </c>
      <c r="AF15" s="66">
        <f t="shared" si="6"/>
        <v>3.2044999999999999</v>
      </c>
      <c r="AG15" s="66">
        <f t="shared" si="6"/>
        <v>3.2044999999999999</v>
      </c>
      <c r="AH15" s="66"/>
      <c r="AI15" s="66"/>
      <c r="AJ15" s="66"/>
      <c r="AK15" s="66"/>
      <c r="AL15" s="375"/>
      <c r="AM15" s="453"/>
      <c r="AN15" s="53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4"/>
      <c r="B16" s="7"/>
      <c r="C16" s="21" t="s">
        <v>981</v>
      </c>
      <c r="D16" s="29" t="s">
        <v>4</v>
      </c>
      <c r="E16" s="47">
        <v>1</v>
      </c>
      <c r="F16" s="29"/>
      <c r="G16" s="29"/>
      <c r="H16" s="499">
        <f>SUM(I16:AR16)</f>
        <v>1.0000000000000002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0.03</v>
      </c>
      <c r="Q16" s="47">
        <v>0.04</v>
      </c>
      <c r="R16" s="47">
        <v>0.05</v>
      </c>
      <c r="S16" s="47">
        <v>0.06</v>
      </c>
      <c r="T16" s="47">
        <v>0.06</v>
      </c>
      <c r="U16" s="47">
        <v>7.0000000000000007E-2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0.09</v>
      </c>
      <c r="AA16" s="47">
        <v>7.0000000000000007E-2</v>
      </c>
      <c r="AB16" s="46">
        <v>0.05</v>
      </c>
      <c r="AC16" s="46">
        <v>0.03</v>
      </c>
      <c r="AD16" s="46">
        <v>0.01</v>
      </c>
      <c r="AE16" s="46">
        <v>0.01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377"/>
      <c r="AM16" s="456"/>
      <c r="AN16" s="4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4"/>
      <c r="B17" s="18"/>
      <c r="C17" s="51" t="s">
        <v>982</v>
      </c>
      <c r="D17" s="32" t="s">
        <v>3</v>
      </c>
      <c r="E17" s="52">
        <f>E16*G$6</f>
        <v>320.45</v>
      </c>
      <c r="F17" s="32"/>
      <c r="G17" s="32"/>
      <c r="H17" s="443">
        <f>SUM(I17:AR17)</f>
        <v>320.44999999999993</v>
      </c>
      <c r="I17" s="54"/>
      <c r="J17" s="54"/>
      <c r="K17" s="66"/>
      <c r="L17" s="66"/>
      <c r="M17" s="66"/>
      <c r="N17" s="66">
        <f t="shared" ref="N17:AJ19" si="7">N16*$E17</f>
        <v>3.2044999999999999</v>
      </c>
      <c r="O17" s="66">
        <f t="shared" si="7"/>
        <v>6.4089999999999998</v>
      </c>
      <c r="P17" s="66">
        <f t="shared" si="7"/>
        <v>9.6135000000000002</v>
      </c>
      <c r="Q17" s="66">
        <f t="shared" si="7"/>
        <v>12.818</v>
      </c>
      <c r="R17" s="66">
        <f t="shared" si="7"/>
        <v>16.022500000000001</v>
      </c>
      <c r="S17" s="66">
        <f t="shared" si="7"/>
        <v>19.227</v>
      </c>
      <c r="T17" s="66">
        <f t="shared" si="7"/>
        <v>19.227</v>
      </c>
      <c r="U17" s="66">
        <f t="shared" si="7"/>
        <v>22.4315</v>
      </c>
      <c r="V17" s="66">
        <f t="shared" si="7"/>
        <v>22.4315</v>
      </c>
      <c r="W17" s="66">
        <f t="shared" si="7"/>
        <v>25.635999999999999</v>
      </c>
      <c r="X17" s="66">
        <f t="shared" si="7"/>
        <v>28.840499999999999</v>
      </c>
      <c r="Y17" s="66">
        <f t="shared" si="7"/>
        <v>32.045000000000002</v>
      </c>
      <c r="Z17" s="66">
        <f t="shared" si="7"/>
        <v>28.840499999999999</v>
      </c>
      <c r="AA17" s="66">
        <f t="shared" si="7"/>
        <v>22.4315</v>
      </c>
      <c r="AB17" s="66">
        <f t="shared" si="7"/>
        <v>16.022500000000001</v>
      </c>
      <c r="AC17" s="66">
        <f t="shared" si="7"/>
        <v>9.6135000000000002</v>
      </c>
      <c r="AD17" s="66">
        <f t="shared" si="7"/>
        <v>3.2044999999999999</v>
      </c>
      <c r="AE17" s="66">
        <f t="shared" si="7"/>
        <v>3.2044999999999999</v>
      </c>
      <c r="AF17" s="66">
        <f t="shared" si="7"/>
        <v>3.2044999999999999</v>
      </c>
      <c r="AG17" s="66">
        <f t="shared" si="7"/>
        <v>3.2044999999999999</v>
      </c>
      <c r="AH17" s="66">
        <f t="shared" si="7"/>
        <v>3.2044999999999999</v>
      </c>
      <c r="AI17" s="66">
        <f t="shared" si="7"/>
        <v>3.2044999999999999</v>
      </c>
      <c r="AJ17" s="66">
        <f t="shared" si="7"/>
        <v>6.4089999999999998</v>
      </c>
      <c r="AK17" s="66"/>
      <c r="AL17" s="378"/>
      <c r="AM17" s="457"/>
      <c r="AN17" s="66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4"/>
      <c r="B18" s="193"/>
      <c r="C18" s="396" t="s">
        <v>51</v>
      </c>
      <c r="D18" s="394" t="s">
        <v>4</v>
      </c>
      <c r="E18" s="490">
        <v>0</v>
      </c>
      <c r="F18" s="491" t="s">
        <v>995</v>
      </c>
      <c r="G18" s="394"/>
      <c r="H18" s="444">
        <f t="shared" si="1"/>
        <v>1</v>
      </c>
      <c r="I18" s="407"/>
      <c r="J18" s="407"/>
      <c r="K18" s="407"/>
      <c r="L18" s="407"/>
      <c r="M18" s="407"/>
      <c r="N18" s="407"/>
      <c r="O18" s="492"/>
      <c r="P18" s="492"/>
      <c r="Q18" s="492">
        <v>0.02</v>
      </c>
      <c r="R18" s="492">
        <v>0.02</v>
      </c>
      <c r="S18" s="492">
        <v>0.02</v>
      </c>
      <c r="T18" s="492">
        <v>0.04</v>
      </c>
      <c r="U18" s="492">
        <v>0.06</v>
      </c>
      <c r="V18" s="492">
        <v>0.08</v>
      </c>
      <c r="W18" s="492">
        <v>0.08</v>
      </c>
      <c r="X18" s="492">
        <v>0.1</v>
      </c>
      <c r="Y18" s="492">
        <v>0.12</v>
      </c>
      <c r="Z18" s="492">
        <v>0.12</v>
      </c>
      <c r="AA18" s="492">
        <v>0.1</v>
      </c>
      <c r="AB18" s="492">
        <v>0.08</v>
      </c>
      <c r="AC18" s="492">
        <v>0.06</v>
      </c>
      <c r="AD18" s="492">
        <v>0.04</v>
      </c>
      <c r="AE18" s="492">
        <v>0.02</v>
      </c>
      <c r="AF18" s="492">
        <v>0.02</v>
      </c>
      <c r="AG18" s="492">
        <v>0.02</v>
      </c>
      <c r="AH18" s="407"/>
      <c r="AI18" s="407"/>
      <c r="AJ18" s="407"/>
      <c r="AK18" s="407"/>
      <c r="AL18" s="493"/>
      <c r="AM18" s="916"/>
      <c r="AN18" s="407"/>
      <c r="AO18" s="407"/>
      <c r="AP18" s="407"/>
      <c r="AQ18" s="494"/>
      <c r="AR18" s="916"/>
      <c r="AS18" s="495"/>
      <c r="AT18"/>
      <c r="AU18"/>
      <c r="AV18"/>
      <c r="AW18"/>
      <c r="AX18"/>
    </row>
    <row r="19" spans="1:50" s="8" customFormat="1" ht="24" customHeight="1" x14ac:dyDescent="0.25">
      <c r="A19" s="1014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460"/>
      <c r="AM19" s="462"/>
      <c r="AN19" s="459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4"/>
      <c r="B20" s="7"/>
      <c r="C20" s="21" t="s">
        <v>52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>
        <v>0.05</v>
      </c>
      <c r="AL20" s="47">
        <v>0.1</v>
      </c>
      <c r="AM20" s="47">
        <v>0.4</v>
      </c>
      <c r="AN20" s="47">
        <v>0.35</v>
      </c>
      <c r="AO20" s="47">
        <v>0.1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4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>
        <f t="shared" ref="AK21:AO21" si="8">AK20*$E21</f>
        <v>0</v>
      </c>
      <c r="AL21" s="66">
        <f t="shared" si="8"/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4"/>
      <c r="B22" s="7"/>
      <c r="C22" s="21" t="s">
        <v>983</v>
      </c>
      <c r="D22" s="29" t="s">
        <v>4</v>
      </c>
      <c r="E22" s="47">
        <v>1</v>
      </c>
      <c r="F22" s="29"/>
      <c r="G22" s="29"/>
      <c r="H22" s="499">
        <f t="shared" si="1"/>
        <v>0.99999999999999989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>
        <v>0.01</v>
      </c>
      <c r="AB22" s="47">
        <v>0.01</v>
      </c>
      <c r="AC22" s="47">
        <v>0.02</v>
      </c>
      <c r="AD22" s="47">
        <v>0.02</v>
      </c>
      <c r="AE22" s="47">
        <v>0.02</v>
      </c>
      <c r="AF22" s="47">
        <v>0.03</v>
      </c>
      <c r="AG22" s="47">
        <v>0.03</v>
      </c>
      <c r="AH22" s="47">
        <v>0.03</v>
      </c>
      <c r="AI22" s="47">
        <v>0.04</v>
      </c>
      <c r="AJ22" s="47">
        <v>0.04</v>
      </c>
      <c r="AK22" s="47">
        <v>0.04</v>
      </c>
      <c r="AL22" s="47">
        <v>0.35</v>
      </c>
      <c r="AM22" s="47">
        <v>0.25</v>
      </c>
      <c r="AN22" s="47">
        <v>0.08</v>
      </c>
      <c r="AO22" s="47">
        <v>0.02</v>
      </c>
      <c r="AP22" s="47">
        <v>0.01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4"/>
      <c r="B23" s="383"/>
      <c r="C23" s="383"/>
      <c r="D23" s="379"/>
      <c r="E23" s="384"/>
      <c r="F23" s="379"/>
      <c r="G23" s="379"/>
      <c r="H23" s="510" t="s">
        <v>1006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>
        <f>Z23+AA22</f>
        <v>0.01</v>
      </c>
      <c r="AB23" s="385">
        <f>AA23+AB22</f>
        <v>0.02</v>
      </c>
      <c r="AC23" s="385">
        <f t="shared" ref="AC23:AP23" si="9">AB23+AC22</f>
        <v>0.04</v>
      </c>
      <c r="AD23" s="385">
        <f t="shared" si="9"/>
        <v>0.06</v>
      </c>
      <c r="AE23" s="385">
        <f t="shared" si="9"/>
        <v>0.08</v>
      </c>
      <c r="AF23" s="385">
        <f t="shared" si="9"/>
        <v>0.11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0.21000000000000002</v>
      </c>
      <c r="AJ23" s="385">
        <f t="shared" si="9"/>
        <v>0.25</v>
      </c>
      <c r="AK23" s="391">
        <f t="shared" si="9"/>
        <v>0.28999999999999998</v>
      </c>
      <c r="AL23" s="385">
        <f t="shared" si="9"/>
        <v>0.6399999999999999</v>
      </c>
      <c r="AM23" s="385">
        <f t="shared" si="9"/>
        <v>0.8899999999999999</v>
      </c>
      <c r="AN23" s="385">
        <f t="shared" si="9"/>
        <v>0.96999999999999986</v>
      </c>
      <c r="AO23" s="385">
        <f t="shared" si="9"/>
        <v>0.98999999999999988</v>
      </c>
      <c r="AP23" s="385">
        <f t="shared" si="9"/>
        <v>0.99999999999999989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4"/>
      <c r="B24" s="7"/>
      <c r="C24" s="13"/>
      <c r="D24" s="29" t="s">
        <v>3</v>
      </c>
      <c r="E24" s="366">
        <f>E22*G$6</f>
        <v>320.45</v>
      </c>
      <c r="F24" s="7"/>
      <c r="G24" s="7"/>
      <c r="H24" s="512">
        <f t="shared" si="1"/>
        <v>320.45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>
        <f t="shared" ref="AA24:AN24" si="10">AA22*$E24</f>
        <v>3.2044999999999999</v>
      </c>
      <c r="AB24" s="367">
        <f t="shared" si="10"/>
        <v>3.2044999999999999</v>
      </c>
      <c r="AC24" s="367">
        <f t="shared" si="10"/>
        <v>6.4089999999999998</v>
      </c>
      <c r="AD24" s="367">
        <f t="shared" si="10"/>
        <v>6.4089999999999998</v>
      </c>
      <c r="AE24" s="367">
        <f t="shared" si="10"/>
        <v>6.4089999999999998</v>
      </c>
      <c r="AF24" s="367">
        <f t="shared" si="10"/>
        <v>9.6135000000000002</v>
      </c>
      <c r="AG24" s="367">
        <f t="shared" si="10"/>
        <v>9.6135000000000002</v>
      </c>
      <c r="AH24" s="367">
        <f t="shared" si="10"/>
        <v>9.6135000000000002</v>
      </c>
      <c r="AI24" s="367">
        <f t="shared" si="10"/>
        <v>12.818</v>
      </c>
      <c r="AJ24" s="66">
        <f t="shared" si="10"/>
        <v>12.818</v>
      </c>
      <c r="AK24" s="66">
        <f t="shared" si="10"/>
        <v>12.818</v>
      </c>
      <c r="AL24" s="66">
        <f t="shared" si="10"/>
        <v>112.15749999999998</v>
      </c>
      <c r="AM24" s="66">
        <f t="shared" si="10"/>
        <v>80.112499999999997</v>
      </c>
      <c r="AN24" s="66">
        <f t="shared" si="10"/>
        <v>25.635999999999999</v>
      </c>
      <c r="AO24" s="66">
        <f>AO22*$E24</f>
        <v>6.4089999999999998</v>
      </c>
      <c r="AP24" s="66">
        <f>AP22*$E24</f>
        <v>3.2044999999999999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245"/>
      <c r="B25" s="193"/>
      <c r="C25" s="396" t="s">
        <v>990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>
        <v>0.08</v>
      </c>
      <c r="AM25" s="407">
        <v>0.25</v>
      </c>
      <c r="AN25" s="407">
        <v>0.25</v>
      </c>
      <c r="AO25" s="407">
        <v>0.25</v>
      </c>
      <c r="AP25" s="407">
        <v>0.15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320.45</v>
      </c>
      <c r="F26" s="446"/>
      <c r="G26" s="446"/>
      <c r="H26" s="501">
        <f t="shared" si="1"/>
        <v>320.45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>
        <f t="shared" ref="AL26:AQ26" si="11">AL25*$E26</f>
        <v>25.635999999999999</v>
      </c>
      <c r="AM26" s="99">
        <f t="shared" si="11"/>
        <v>80.112499999999997</v>
      </c>
      <c r="AN26" s="99">
        <f t="shared" si="11"/>
        <v>80.112499999999997</v>
      </c>
      <c r="AO26" s="99">
        <f t="shared" si="11"/>
        <v>80.112499999999997</v>
      </c>
      <c r="AP26" s="99">
        <f t="shared" si="11"/>
        <v>48.067499999999995</v>
      </c>
      <c r="AQ26" s="99">
        <f t="shared" si="11"/>
        <v>6.4089999999999998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245"/>
      <c r="B27" s="7"/>
      <c r="C27" s="31" t="s">
        <v>980</v>
      </c>
      <c r="D27" s="29"/>
      <c r="E27" s="366"/>
      <c r="F27" s="7"/>
      <c r="G27" s="7"/>
      <c r="H27" s="502" t="s">
        <v>56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4.8067500000000001</v>
      </c>
      <c r="M27" s="393">
        <f t="shared" ref="M27:AH27" si="13">L27+M13-M15</f>
        <v>11.21575</v>
      </c>
      <c r="N27" s="393">
        <f t="shared" si="13"/>
        <v>19.227</v>
      </c>
      <c r="O27" s="393">
        <f t="shared" si="13"/>
        <v>25.635999999999999</v>
      </c>
      <c r="P27" s="393">
        <f t="shared" si="13"/>
        <v>35.249499999999998</v>
      </c>
      <c r="Q27" s="393">
        <f t="shared" si="13"/>
        <v>48.067499999999995</v>
      </c>
      <c r="R27" s="393">
        <f t="shared" si="13"/>
        <v>62.487749999999998</v>
      </c>
      <c r="S27" s="393">
        <f t="shared" si="13"/>
        <v>75.305749999999989</v>
      </c>
      <c r="T27" s="393">
        <f t="shared" si="13"/>
        <v>83.316999999999993</v>
      </c>
      <c r="U27" s="393">
        <f t="shared" si="13"/>
        <v>88.123749999999987</v>
      </c>
      <c r="V27" s="393">
        <f t="shared" si="13"/>
        <v>84.919249999999991</v>
      </c>
      <c r="W27" s="393">
        <f t="shared" si="13"/>
        <v>75.305749999999989</v>
      </c>
      <c r="X27" s="393">
        <f t="shared" si="13"/>
        <v>62.487749999999984</v>
      </c>
      <c r="Y27" s="393">
        <f t="shared" si="13"/>
        <v>48.067499999999981</v>
      </c>
      <c r="Z27" s="393">
        <f t="shared" si="13"/>
        <v>33.647249999999985</v>
      </c>
      <c r="AA27" s="393">
        <f t="shared" si="13"/>
        <v>20.829249999999988</v>
      </c>
      <c r="AB27" s="393">
        <f t="shared" si="13"/>
        <v>16.022499999999987</v>
      </c>
      <c r="AC27" s="393">
        <f t="shared" si="13"/>
        <v>14.420249999999985</v>
      </c>
      <c r="AD27" s="393">
        <f t="shared" si="13"/>
        <v>9.6134999999999842</v>
      </c>
      <c r="AE27" s="393">
        <f t="shared" si="13"/>
        <v>6.4089999999999847</v>
      </c>
      <c r="AF27" s="393">
        <f t="shared" si="13"/>
        <v>3.2044999999999848</v>
      </c>
      <c r="AG27" s="393">
        <f t="shared" si="13"/>
        <v>-1.5099033134902129E-14</v>
      </c>
      <c r="AH27" s="393">
        <f t="shared" si="13"/>
        <v>-1.5099033134902129E-14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245"/>
      <c r="B28" s="17"/>
      <c r="C28" s="67" t="s">
        <v>69</v>
      </c>
      <c r="D28" s="65">
        <f>SUM(I27:AR27)*5/E13</f>
        <v>25.85</v>
      </c>
      <c r="E28" s="17" t="s">
        <v>70</v>
      </c>
      <c r="F28" s="17"/>
      <c r="G28" s="17"/>
      <c r="H28" s="503" t="s">
        <v>57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1.5000000000000001E-2</v>
      </c>
      <c r="M28" s="63">
        <f t="shared" si="14"/>
        <v>3.5000000000000003E-2</v>
      </c>
      <c r="N28" s="63">
        <f t="shared" si="14"/>
        <v>6.0000000000000005E-2</v>
      </c>
      <c r="O28" s="63">
        <f t="shared" si="14"/>
        <v>0.08</v>
      </c>
      <c r="P28" s="63">
        <f t="shared" si="14"/>
        <v>0.11</v>
      </c>
      <c r="Q28" s="63">
        <f t="shared" si="14"/>
        <v>0.15</v>
      </c>
      <c r="R28" s="63">
        <f t="shared" si="14"/>
        <v>0.19500000000000001</v>
      </c>
      <c r="S28" s="63">
        <f t="shared" si="14"/>
        <v>0.23499999999999999</v>
      </c>
      <c r="T28" s="63">
        <f t="shared" si="14"/>
        <v>0.26</v>
      </c>
      <c r="U28" s="63">
        <f t="shared" si="14"/>
        <v>0.27499999999999997</v>
      </c>
      <c r="V28" s="63">
        <f t="shared" si="14"/>
        <v>0.26499999999999996</v>
      </c>
      <c r="W28" s="63">
        <f t="shared" si="14"/>
        <v>0.23499999999999999</v>
      </c>
      <c r="X28" s="63">
        <f t="shared" si="14"/>
        <v>0.19499999999999995</v>
      </c>
      <c r="Y28" s="63">
        <f t="shared" si="14"/>
        <v>0.14999999999999994</v>
      </c>
      <c r="Z28" s="63">
        <f t="shared" si="14"/>
        <v>0.10499999999999995</v>
      </c>
      <c r="AA28" s="63">
        <f t="shared" si="14"/>
        <v>6.4999999999999961E-2</v>
      </c>
      <c r="AB28" s="63">
        <f t="shared" si="14"/>
        <v>4.9999999999999961E-2</v>
      </c>
      <c r="AC28" s="63">
        <f t="shared" si="14"/>
        <v>4.4999999999999957E-2</v>
      </c>
      <c r="AD28" s="63">
        <f t="shared" si="14"/>
        <v>2.999999999999995E-2</v>
      </c>
      <c r="AE28" s="63">
        <f t="shared" si="14"/>
        <v>1.9999999999999952E-2</v>
      </c>
      <c r="AF28" s="63">
        <f t="shared" si="14"/>
        <v>9.9999999999999534E-3</v>
      </c>
      <c r="AG28" s="63">
        <f t="shared" si="14"/>
        <v>-4.7118218551730784E-17</v>
      </c>
      <c r="AH28" s="63">
        <f t="shared" si="14"/>
        <v>-4.7118218551730784E-17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245"/>
      <c r="B29" s="7"/>
      <c r="C29" s="61" t="s">
        <v>986</v>
      </c>
      <c r="D29" s="367"/>
      <c r="E29" s="7"/>
      <c r="F29" s="7"/>
      <c r="G29" s="7"/>
      <c r="H29" s="502" t="s">
        <v>56</v>
      </c>
      <c r="I29" s="64">
        <f>I8+I10</f>
        <v>17.304299999999998</v>
      </c>
      <c r="J29" s="64">
        <f>I29+J8+J10-J17</f>
        <v>28.840499999999999</v>
      </c>
      <c r="K29" s="64">
        <f t="shared" ref="K29:AJ29" si="15">J29+K8+K10-K17</f>
        <v>40.3767</v>
      </c>
      <c r="L29" s="64">
        <f t="shared" si="15"/>
        <v>57.680999999999997</v>
      </c>
      <c r="M29" s="64">
        <f t="shared" si="15"/>
        <v>83.637450000000001</v>
      </c>
      <c r="N29" s="64">
        <f t="shared" si="15"/>
        <v>115.04155</v>
      </c>
      <c r="O29" s="64">
        <f t="shared" si="15"/>
        <v>143.24115</v>
      </c>
      <c r="P29" s="64">
        <f t="shared" si="15"/>
        <v>168.23625000000001</v>
      </c>
      <c r="Q29" s="64">
        <f t="shared" si="15"/>
        <v>184.25874999999999</v>
      </c>
      <c r="R29" s="64">
        <f t="shared" si="15"/>
        <v>188.42459999999997</v>
      </c>
      <c r="S29" s="64">
        <f t="shared" si="15"/>
        <v>180.73379999999997</v>
      </c>
      <c r="T29" s="64">
        <f t="shared" si="15"/>
        <v>168.23624999999998</v>
      </c>
      <c r="U29" s="64">
        <f t="shared" si="15"/>
        <v>153.17509999999999</v>
      </c>
      <c r="V29" s="64">
        <f t="shared" si="15"/>
        <v>139.0753</v>
      </c>
      <c r="W29" s="64">
        <f t="shared" si="15"/>
        <v>122.4119</v>
      </c>
      <c r="X29" s="64">
        <f t="shared" si="15"/>
        <v>103.18490000000003</v>
      </c>
      <c r="Y29" s="64">
        <f t="shared" si="15"/>
        <v>81.39430000000003</v>
      </c>
      <c r="Z29" s="64">
        <f t="shared" si="15"/>
        <v>62.167300000000033</v>
      </c>
      <c r="AA29" s="64">
        <f t="shared" si="15"/>
        <v>42.940300000000036</v>
      </c>
      <c r="AB29" s="64">
        <f t="shared" si="15"/>
        <v>29.481400000000036</v>
      </c>
      <c r="AC29" s="64">
        <f t="shared" si="15"/>
        <v>21.790600000000033</v>
      </c>
      <c r="AD29" s="64">
        <f t="shared" si="15"/>
        <v>19.867900000000034</v>
      </c>
      <c r="AE29" s="64">
        <f t="shared" si="15"/>
        <v>17.945200000000035</v>
      </c>
      <c r="AF29" s="64">
        <f t="shared" si="15"/>
        <v>16.022500000000036</v>
      </c>
      <c r="AG29" s="64">
        <f t="shared" si="15"/>
        <v>12.818000000000037</v>
      </c>
      <c r="AH29" s="64">
        <f t="shared" si="15"/>
        <v>9.6135000000000375</v>
      </c>
      <c r="AI29" s="393">
        <f t="shared" si="15"/>
        <v>6.409000000000038</v>
      </c>
      <c r="AJ29" s="393">
        <f t="shared" si="15"/>
        <v>3.8191672047105385E-14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245"/>
      <c r="B30" s="7"/>
      <c r="C30" s="67" t="s">
        <v>69</v>
      </c>
      <c r="D30" s="65">
        <f>SUM(I29:AR29)*5/G6</f>
        <v>34.550000000000004</v>
      </c>
      <c r="E30" s="17" t="s">
        <v>70</v>
      </c>
      <c r="F30" s="7"/>
      <c r="G30" s="7"/>
      <c r="H30" s="503" t="s">
        <v>57</v>
      </c>
      <c r="I30" s="63">
        <f>I29/$G$6</f>
        <v>5.3999999999999992E-2</v>
      </c>
      <c r="J30" s="63">
        <f t="shared" ref="J30:AJ30" si="16">J29/$G$6</f>
        <v>0.09</v>
      </c>
      <c r="K30" s="63">
        <f t="shared" si="16"/>
        <v>0.126</v>
      </c>
      <c r="L30" s="63">
        <f t="shared" si="16"/>
        <v>0.18</v>
      </c>
      <c r="M30" s="63">
        <f t="shared" si="16"/>
        <v>0.26100000000000001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0.52500000000000002</v>
      </c>
      <c r="Q30" s="63">
        <f t="shared" si="16"/>
        <v>0.57499999999999996</v>
      </c>
      <c r="R30" s="63">
        <f t="shared" si="16"/>
        <v>0.58799999999999997</v>
      </c>
      <c r="S30" s="63">
        <f t="shared" si="16"/>
        <v>0.56399999999999995</v>
      </c>
      <c r="T30" s="63">
        <f t="shared" si="16"/>
        <v>0.52500000000000002</v>
      </c>
      <c r="U30" s="63">
        <f t="shared" si="16"/>
        <v>0.47799999999999998</v>
      </c>
      <c r="V30" s="63">
        <f t="shared" si="16"/>
        <v>0.434</v>
      </c>
      <c r="W30" s="63">
        <f t="shared" si="16"/>
        <v>0.38200000000000001</v>
      </c>
      <c r="X30" s="63">
        <f t="shared" si="16"/>
        <v>0.32200000000000012</v>
      </c>
      <c r="Y30" s="63">
        <f t="shared" si="16"/>
        <v>0.25400000000000011</v>
      </c>
      <c r="Z30" s="63">
        <f t="shared" si="16"/>
        <v>0.19400000000000012</v>
      </c>
      <c r="AA30" s="63">
        <f t="shared" si="16"/>
        <v>0.13400000000000012</v>
      </c>
      <c r="AB30" s="63">
        <f t="shared" si="16"/>
        <v>9.2000000000000109E-2</v>
      </c>
      <c r="AC30" s="63">
        <f t="shared" si="16"/>
        <v>6.8000000000000102E-2</v>
      </c>
      <c r="AD30" s="63">
        <f t="shared" si="16"/>
        <v>6.2000000000000111E-2</v>
      </c>
      <c r="AE30" s="63">
        <f t="shared" si="16"/>
        <v>5.6000000000000112E-2</v>
      </c>
      <c r="AF30" s="63">
        <f t="shared" si="16"/>
        <v>5.0000000000000114E-2</v>
      </c>
      <c r="AG30" s="63">
        <f t="shared" si="16"/>
        <v>4.0000000000000119E-2</v>
      </c>
      <c r="AH30" s="63">
        <f t="shared" si="16"/>
        <v>3.0000000000000117E-2</v>
      </c>
      <c r="AI30" s="63">
        <f t="shared" si="16"/>
        <v>2.0000000000000118E-2</v>
      </c>
      <c r="AJ30" s="63">
        <f t="shared" si="16"/>
        <v>1.1918137633673081E-16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55</v>
      </c>
      <c r="D31" s="62"/>
      <c r="E31" s="60"/>
      <c r="F31" s="60"/>
      <c r="G31" s="60"/>
      <c r="H31" s="504" t="s">
        <v>56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69</v>
      </c>
      <c r="D32" s="65" t="str">
        <f>IF(E19=0,"N/A",SUM(I31:AR31)*5/E19)</f>
        <v>N/A</v>
      </c>
      <c r="E32" s="17" t="s">
        <v>70</v>
      </c>
      <c r="F32" s="17"/>
      <c r="G32" s="17"/>
      <c r="H32" s="503" t="s">
        <v>57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948</v>
      </c>
      <c r="D33" s="537">
        <f>F33/F$37</f>
        <v>0.81594724220623527</v>
      </c>
      <c r="E33" s="531" t="s">
        <v>1010</v>
      </c>
      <c r="F33" s="532">
        <f>SUM(I33:AR33)*5</f>
        <v>21806.622500000005</v>
      </c>
      <c r="G33" s="533" t="s">
        <v>1011</v>
      </c>
      <c r="H33" s="504" t="s">
        <v>56</v>
      </c>
      <c r="I33" s="433"/>
      <c r="J33" s="433"/>
      <c r="K33" s="64"/>
      <c r="L33" s="64"/>
      <c r="M33" s="64">
        <f>M17</f>
        <v>0</v>
      </c>
      <c r="N33" s="64">
        <f>M33+N17-(N19+N24)</f>
        <v>3.2044999999999999</v>
      </c>
      <c r="O33" s="64">
        <f t="shared" ref="O33:AQ33" si="19">N33+O17-(O19+O24)</f>
        <v>9.6135000000000002</v>
      </c>
      <c r="P33" s="64">
        <f t="shared" si="19"/>
        <v>19.227</v>
      </c>
      <c r="Q33" s="64">
        <f t="shared" si="19"/>
        <v>32.045000000000002</v>
      </c>
      <c r="R33" s="64">
        <f t="shared" si="19"/>
        <v>48.067500000000003</v>
      </c>
      <c r="S33" s="64">
        <f t="shared" si="19"/>
        <v>67.294499999999999</v>
      </c>
      <c r="T33" s="64">
        <f t="shared" si="19"/>
        <v>86.521500000000003</v>
      </c>
      <c r="U33" s="64">
        <f t="shared" si="19"/>
        <v>108.953</v>
      </c>
      <c r="V33" s="64">
        <f t="shared" si="19"/>
        <v>131.3845</v>
      </c>
      <c r="W33" s="64">
        <f t="shared" si="19"/>
        <v>157.0205</v>
      </c>
      <c r="X33" s="64">
        <f t="shared" si="19"/>
        <v>185.86099999999999</v>
      </c>
      <c r="Y33" s="64">
        <f t="shared" si="19"/>
        <v>217.90600000000001</v>
      </c>
      <c r="Z33" s="64">
        <f t="shared" si="19"/>
        <v>246.7465</v>
      </c>
      <c r="AA33" s="64">
        <f t="shared" si="19"/>
        <v>265.9735</v>
      </c>
      <c r="AB33" s="64">
        <f t="shared" si="19"/>
        <v>278.79149999999998</v>
      </c>
      <c r="AC33" s="64">
        <f t="shared" si="19"/>
        <v>281.99599999999998</v>
      </c>
      <c r="AD33" s="64">
        <f t="shared" si="19"/>
        <v>278.79149999999998</v>
      </c>
      <c r="AE33" s="64">
        <f t="shared" si="19"/>
        <v>275.58699999999999</v>
      </c>
      <c r="AF33" s="64">
        <f t="shared" si="19"/>
        <v>269.178</v>
      </c>
      <c r="AG33" s="64">
        <f t="shared" si="19"/>
        <v>262.76900000000001</v>
      </c>
      <c r="AH33" s="64">
        <f t="shared" si="19"/>
        <v>256.36</v>
      </c>
      <c r="AI33" s="64">
        <f t="shared" si="19"/>
        <v>246.7465</v>
      </c>
      <c r="AJ33" s="64">
        <f t="shared" si="19"/>
        <v>240.33749999999998</v>
      </c>
      <c r="AK33" s="64">
        <f t="shared" si="19"/>
        <v>227.51949999999997</v>
      </c>
      <c r="AL33" s="64">
        <f t="shared" si="19"/>
        <v>115.36199999999998</v>
      </c>
      <c r="AM33" s="64">
        <f t="shared" si="19"/>
        <v>35.249499999999983</v>
      </c>
      <c r="AN33" s="64">
        <f t="shared" si="19"/>
        <v>9.6134999999999842</v>
      </c>
      <c r="AO33" s="64">
        <f t="shared" si="19"/>
        <v>3.2044999999999844</v>
      </c>
      <c r="AP33" s="64">
        <f t="shared" si="19"/>
        <v>-1.5543122344752192E-14</v>
      </c>
      <c r="AQ33" s="64">
        <f t="shared" si="19"/>
        <v>-1.5543122344752192E-14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69</v>
      </c>
      <c r="D34" s="367">
        <f>SUM(I33:AR33)*5/(G6-E19)</f>
        <v>68.050000000000011</v>
      </c>
      <c r="E34" s="17" t="s">
        <v>70</v>
      </c>
      <c r="F34" s="17"/>
      <c r="G34" s="7"/>
      <c r="H34" s="502" t="s">
        <v>57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3.0000000000000002E-2</v>
      </c>
      <c r="P34" s="392">
        <f t="shared" si="20"/>
        <v>6.0000000000000005E-2</v>
      </c>
      <c r="Q34" s="392">
        <f t="shared" si="20"/>
        <v>0.1</v>
      </c>
      <c r="R34" s="392">
        <f t="shared" si="20"/>
        <v>0.15000000000000002</v>
      </c>
      <c r="S34" s="392">
        <f t="shared" si="20"/>
        <v>0.21</v>
      </c>
      <c r="T34" s="392">
        <f t="shared" si="20"/>
        <v>0.27</v>
      </c>
      <c r="U34" s="392">
        <f t="shared" si="20"/>
        <v>0.34</v>
      </c>
      <c r="V34" s="392">
        <f t="shared" si="20"/>
        <v>0.41000000000000003</v>
      </c>
      <c r="W34" s="392">
        <f t="shared" si="20"/>
        <v>0.49</v>
      </c>
      <c r="X34" s="392">
        <f t="shared" si="20"/>
        <v>0.57999999999999996</v>
      </c>
      <c r="Y34" s="392">
        <f t="shared" si="20"/>
        <v>0.68</v>
      </c>
      <c r="Z34" s="392">
        <f t="shared" si="20"/>
        <v>0.77</v>
      </c>
      <c r="AA34" s="392">
        <f t="shared" si="20"/>
        <v>0.83000000000000007</v>
      </c>
      <c r="AB34" s="392">
        <f t="shared" si="20"/>
        <v>0.87</v>
      </c>
      <c r="AC34" s="392">
        <f t="shared" si="20"/>
        <v>0.88</v>
      </c>
      <c r="AD34" s="392">
        <f t="shared" si="20"/>
        <v>0.87</v>
      </c>
      <c r="AE34" s="392">
        <f t="shared" si="20"/>
        <v>0.86</v>
      </c>
      <c r="AF34" s="392">
        <f t="shared" si="20"/>
        <v>0.84</v>
      </c>
      <c r="AG34" s="392">
        <f t="shared" si="20"/>
        <v>0.82000000000000006</v>
      </c>
      <c r="AH34" s="392">
        <f t="shared" si="20"/>
        <v>0.8</v>
      </c>
      <c r="AI34" s="392">
        <f t="shared" si="20"/>
        <v>0.77</v>
      </c>
      <c r="AJ34" s="392">
        <f t="shared" si="20"/>
        <v>0.75</v>
      </c>
      <c r="AK34" s="392">
        <f t="shared" si="20"/>
        <v>0.71</v>
      </c>
      <c r="AL34" s="392">
        <f t="shared" si="20"/>
        <v>0.35999999999999993</v>
      </c>
      <c r="AM34" s="392">
        <f t="shared" si="20"/>
        <v>0.10999999999999996</v>
      </c>
      <c r="AN34" s="392">
        <f t="shared" si="20"/>
        <v>2.999999999999995E-2</v>
      </c>
      <c r="AO34" s="392">
        <f t="shared" si="20"/>
        <v>9.9999999999999516E-3</v>
      </c>
      <c r="AP34" s="392">
        <f t="shared" si="20"/>
        <v>-4.8504048509134632E-17</v>
      </c>
      <c r="AQ34" s="392">
        <f t="shared" si="20"/>
        <v>-4.8504048509134632E-17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989</v>
      </c>
      <c r="D35" s="537">
        <f>F35/F$37</f>
        <v>0.18405275779376498</v>
      </c>
      <c r="E35" s="531" t="s">
        <v>1010</v>
      </c>
      <c r="F35" s="532">
        <f>SUM(I35:AR35)*5</f>
        <v>4918.9074999999993</v>
      </c>
      <c r="G35" s="533" t="s">
        <v>1011</v>
      </c>
      <c r="H35" s="504" t="s">
        <v>56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3.2044999999999999</v>
      </c>
      <c r="AB35" s="64">
        <f t="shared" si="21"/>
        <v>6.4089999999999998</v>
      </c>
      <c r="AC35" s="64">
        <f t="shared" si="21"/>
        <v>12.818</v>
      </c>
      <c r="AD35" s="64">
        <f t="shared" si="21"/>
        <v>19.227</v>
      </c>
      <c r="AE35" s="64">
        <f t="shared" si="21"/>
        <v>25.635999999999999</v>
      </c>
      <c r="AF35" s="64">
        <f t="shared" si="21"/>
        <v>35.249499999999998</v>
      </c>
      <c r="AG35" s="64">
        <f t="shared" si="21"/>
        <v>44.863</v>
      </c>
      <c r="AH35" s="64">
        <f t="shared" si="21"/>
        <v>54.476500000000001</v>
      </c>
      <c r="AI35" s="64">
        <f t="shared" si="21"/>
        <v>67.294499999999999</v>
      </c>
      <c r="AJ35" s="64">
        <f t="shared" si="21"/>
        <v>80.112499999999997</v>
      </c>
      <c r="AK35" s="64">
        <f t="shared" si="21"/>
        <v>92.930499999999995</v>
      </c>
      <c r="AL35" s="64">
        <f t="shared" si="21"/>
        <v>179.45199999999997</v>
      </c>
      <c r="AM35" s="64">
        <f t="shared" si="21"/>
        <v>179.45199999999994</v>
      </c>
      <c r="AN35" s="64">
        <f t="shared" si="21"/>
        <v>124.97549999999994</v>
      </c>
      <c r="AO35" s="64">
        <f t="shared" si="21"/>
        <v>51.271999999999949</v>
      </c>
      <c r="AP35" s="64">
        <f t="shared" si="21"/>
        <v>6.4089999999999563</v>
      </c>
      <c r="AQ35" s="64">
        <f t="shared" si="21"/>
        <v>-4.3520742565306136E-14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69</v>
      </c>
      <c r="D36" s="99">
        <f>SUM(I35:AR35)*5/G$6</f>
        <v>15.349999999999998</v>
      </c>
      <c r="E36" s="24" t="s">
        <v>70</v>
      </c>
      <c r="F36" s="24"/>
      <c r="G36" s="24"/>
      <c r="H36" s="505" t="s">
        <v>57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0.01</v>
      </c>
      <c r="AB36" s="75">
        <f t="shared" si="20"/>
        <v>0.02</v>
      </c>
      <c r="AC36" s="75">
        <f t="shared" si="20"/>
        <v>0.04</v>
      </c>
      <c r="AD36" s="75">
        <f t="shared" si="20"/>
        <v>6.0000000000000005E-2</v>
      </c>
      <c r="AE36" s="75">
        <f t="shared" si="20"/>
        <v>0.08</v>
      </c>
      <c r="AF36" s="75">
        <f t="shared" si="20"/>
        <v>0.11</v>
      </c>
      <c r="AG36" s="75">
        <f t="shared" si="20"/>
        <v>0.14000000000000001</v>
      </c>
      <c r="AH36" s="75">
        <f t="shared" si="20"/>
        <v>0.17</v>
      </c>
      <c r="AI36" s="75">
        <f t="shared" si="20"/>
        <v>0.21</v>
      </c>
      <c r="AJ36" s="75">
        <f t="shared" si="20"/>
        <v>0.25</v>
      </c>
      <c r="AK36" s="75">
        <f t="shared" si="20"/>
        <v>0.28999999999999998</v>
      </c>
      <c r="AL36" s="75">
        <f t="shared" si="20"/>
        <v>0.55999999999999994</v>
      </c>
      <c r="AM36" s="75">
        <f t="shared" si="20"/>
        <v>0.55999999999999983</v>
      </c>
      <c r="AN36" s="75">
        <f t="shared" si="20"/>
        <v>0.38999999999999985</v>
      </c>
      <c r="AO36" s="75">
        <f t="shared" si="20"/>
        <v>0.15999999999999984</v>
      </c>
      <c r="AP36" s="75">
        <f t="shared" si="20"/>
        <v>1.9999999999999865E-2</v>
      </c>
      <c r="AQ36" s="75">
        <f t="shared" si="20"/>
        <v>-1.3581133582557697E-16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1009</v>
      </c>
      <c r="D37" s="527"/>
      <c r="E37" s="531" t="s">
        <v>1010</v>
      </c>
      <c r="F37" s="532">
        <f>SUM(I37:AR37)*5</f>
        <v>26725.53</v>
      </c>
      <c r="G37" s="533" t="s">
        <v>1011</v>
      </c>
      <c r="H37" s="528" t="s">
        <v>56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3.2044999999999999</v>
      </c>
      <c r="O37" s="529">
        <f t="shared" si="22"/>
        <v>9.6135000000000002</v>
      </c>
      <c r="P37" s="529">
        <f t="shared" si="22"/>
        <v>19.227</v>
      </c>
      <c r="Q37" s="529">
        <f t="shared" si="22"/>
        <v>32.045000000000002</v>
      </c>
      <c r="R37" s="529">
        <f t="shared" si="22"/>
        <v>48.067500000000003</v>
      </c>
      <c r="S37" s="529">
        <f t="shared" si="22"/>
        <v>67.294499999999999</v>
      </c>
      <c r="T37" s="529">
        <f t="shared" si="22"/>
        <v>86.521500000000003</v>
      </c>
      <c r="U37" s="529">
        <f t="shared" si="22"/>
        <v>108.953</v>
      </c>
      <c r="V37" s="529">
        <f t="shared" si="22"/>
        <v>131.3845</v>
      </c>
      <c r="W37" s="529">
        <f t="shared" si="22"/>
        <v>157.0205</v>
      </c>
      <c r="X37" s="529">
        <f t="shared" si="22"/>
        <v>185.86099999999999</v>
      </c>
      <c r="Y37" s="529">
        <f t="shared" si="22"/>
        <v>217.90600000000001</v>
      </c>
      <c r="Z37" s="529">
        <f t="shared" si="22"/>
        <v>246.7465</v>
      </c>
      <c r="AA37" s="529">
        <f t="shared" si="22"/>
        <v>269.178</v>
      </c>
      <c r="AB37" s="529">
        <f t="shared" si="22"/>
        <v>285.20049999999998</v>
      </c>
      <c r="AC37" s="529">
        <f t="shared" si="22"/>
        <v>294.81399999999996</v>
      </c>
      <c r="AD37" s="529">
        <f t="shared" si="22"/>
        <v>298.01849999999996</v>
      </c>
      <c r="AE37" s="529">
        <f t="shared" si="22"/>
        <v>301.22300000000001</v>
      </c>
      <c r="AF37" s="529">
        <f t="shared" si="22"/>
        <v>304.42750000000001</v>
      </c>
      <c r="AG37" s="529">
        <f t="shared" si="22"/>
        <v>307.63200000000001</v>
      </c>
      <c r="AH37" s="529">
        <f t="shared" si="22"/>
        <v>310.8365</v>
      </c>
      <c r="AI37" s="529">
        <f t="shared" si="22"/>
        <v>314.041</v>
      </c>
      <c r="AJ37" s="529">
        <f t="shared" si="22"/>
        <v>320.45</v>
      </c>
      <c r="AK37" s="529">
        <f t="shared" si="22"/>
        <v>320.44999999999993</v>
      </c>
      <c r="AL37" s="529">
        <f t="shared" si="22"/>
        <v>294.81399999999996</v>
      </c>
      <c r="AM37" s="529">
        <f t="shared" si="22"/>
        <v>214.70149999999992</v>
      </c>
      <c r="AN37" s="529">
        <f t="shared" si="22"/>
        <v>134.58899999999991</v>
      </c>
      <c r="AO37" s="529">
        <f t="shared" si="22"/>
        <v>54.47649999999993</v>
      </c>
      <c r="AP37" s="529">
        <f t="shared" si="22"/>
        <v>6.4089999999999403</v>
      </c>
      <c r="AQ37" s="529">
        <f t="shared" si="22"/>
        <v>-5.9063864910058328E-14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57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3.0000000000000002E-2</v>
      </c>
      <c r="P38" s="75">
        <f t="shared" si="23"/>
        <v>6.0000000000000005E-2</v>
      </c>
      <c r="Q38" s="75">
        <f t="shared" si="23"/>
        <v>0.1</v>
      </c>
      <c r="R38" s="75">
        <f t="shared" si="23"/>
        <v>0.15000000000000002</v>
      </c>
      <c r="S38" s="75">
        <f t="shared" si="23"/>
        <v>0.21</v>
      </c>
      <c r="T38" s="75">
        <f t="shared" si="23"/>
        <v>0.27</v>
      </c>
      <c r="U38" s="75">
        <f t="shared" si="23"/>
        <v>0.34</v>
      </c>
      <c r="V38" s="75">
        <f t="shared" si="23"/>
        <v>0.41000000000000003</v>
      </c>
      <c r="W38" s="75">
        <f t="shared" si="23"/>
        <v>0.49</v>
      </c>
      <c r="X38" s="75">
        <f t="shared" si="23"/>
        <v>0.57999999999999996</v>
      </c>
      <c r="Y38" s="75">
        <f t="shared" si="23"/>
        <v>0.68</v>
      </c>
      <c r="Z38" s="75">
        <f t="shared" si="23"/>
        <v>0.77</v>
      </c>
      <c r="AA38" s="75">
        <f t="shared" si="23"/>
        <v>0.84</v>
      </c>
      <c r="AB38" s="75">
        <f t="shared" si="23"/>
        <v>0.89</v>
      </c>
      <c r="AC38" s="75">
        <f t="shared" si="23"/>
        <v>0.91999999999999993</v>
      </c>
      <c r="AD38" s="75">
        <f t="shared" si="23"/>
        <v>0.92999999999999994</v>
      </c>
      <c r="AE38" s="75">
        <f t="shared" si="23"/>
        <v>0.94000000000000006</v>
      </c>
      <c r="AF38" s="75">
        <f t="shared" si="23"/>
        <v>0.95000000000000007</v>
      </c>
      <c r="AG38" s="75">
        <f t="shared" si="23"/>
        <v>0.96000000000000008</v>
      </c>
      <c r="AH38" s="75">
        <f t="shared" si="23"/>
        <v>0.97000000000000008</v>
      </c>
      <c r="AI38" s="75">
        <f t="shared" si="23"/>
        <v>0.98</v>
      </c>
      <c r="AJ38" s="75">
        <f t="shared" si="23"/>
        <v>1</v>
      </c>
      <c r="AK38" s="75">
        <f t="shared" si="23"/>
        <v>0.99999999999999978</v>
      </c>
      <c r="AL38" s="75">
        <f t="shared" si="23"/>
        <v>0.91999999999999993</v>
      </c>
      <c r="AM38" s="75">
        <f t="shared" si="23"/>
        <v>0.66999999999999982</v>
      </c>
      <c r="AN38" s="75">
        <f t="shared" si="23"/>
        <v>0.41999999999999976</v>
      </c>
      <c r="AO38" s="75">
        <f t="shared" si="23"/>
        <v>0.16999999999999979</v>
      </c>
      <c r="AP38" s="75">
        <f t="shared" si="23"/>
        <v>1.9999999999999813E-2</v>
      </c>
      <c r="AQ38" s="75">
        <f t="shared" si="23"/>
        <v>-1.8431538433471159E-16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T98"/>
      <c r="AU98"/>
      <c r="AV98"/>
      <c r="AW98"/>
      <c r="AX98"/>
    </row>
    <row r="99" spans="4:50" ht="24" customHeight="1" x14ac:dyDescent="0.25"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T99"/>
      <c r="AU99"/>
      <c r="AV99"/>
      <c r="AW99"/>
      <c r="AX99"/>
    </row>
    <row r="100" spans="4:50" ht="24" customHeight="1" x14ac:dyDescent="0.25"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T100"/>
      <c r="AU100"/>
      <c r="AV100"/>
      <c r="AW100"/>
      <c r="AX100"/>
    </row>
    <row r="101" spans="4:50" ht="24" customHeight="1" x14ac:dyDescent="0.25"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T101"/>
      <c r="AU101"/>
      <c r="AV101"/>
      <c r="AW101"/>
      <c r="AX101"/>
    </row>
    <row r="102" spans="4:50" ht="24" customHeight="1" x14ac:dyDescent="0.25"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T102"/>
      <c r="AU102"/>
      <c r="AV102"/>
      <c r="AW102"/>
      <c r="AX102"/>
    </row>
    <row r="103" spans="4:50" ht="24" customHeight="1" x14ac:dyDescent="0.25"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T103"/>
      <c r="AU103"/>
      <c r="AV103"/>
      <c r="AW103"/>
      <c r="AX103"/>
    </row>
    <row r="104" spans="4:50" ht="24" customHeight="1" x14ac:dyDescent="0.25"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  <c r="Z104" s="246"/>
      <c r="AA104" s="246"/>
      <c r="AB104" s="246"/>
      <c r="AC104" s="246"/>
      <c r="AD104" s="246"/>
      <c r="AE104" s="246"/>
      <c r="AF104" s="246"/>
      <c r="AG104" s="246"/>
      <c r="AH104" s="246"/>
      <c r="AI104" s="246"/>
      <c r="AJ104" s="246"/>
      <c r="AK104" s="246"/>
      <c r="AL104" s="246"/>
      <c r="AM104" s="246"/>
      <c r="AT104"/>
      <c r="AU104"/>
      <c r="AV104"/>
      <c r="AW104"/>
      <c r="AX104"/>
    </row>
    <row r="105" spans="4:50" x14ac:dyDescent="0.25"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  <c r="Z105" s="246"/>
      <c r="AA105" s="246"/>
      <c r="AB105" s="246"/>
      <c r="AC105" s="246"/>
      <c r="AD105" s="246"/>
      <c r="AE105" s="246"/>
      <c r="AF105" s="246"/>
      <c r="AG105" s="246"/>
      <c r="AH105" s="246"/>
      <c r="AI105" s="246"/>
      <c r="AJ105" s="246"/>
      <c r="AK105" s="246"/>
      <c r="AL105" s="246"/>
      <c r="AM105" s="246"/>
      <c r="AT105"/>
      <c r="AU105"/>
      <c r="AV105"/>
      <c r="AW105"/>
      <c r="AX105"/>
    </row>
    <row r="106" spans="4:50" ht="18" customHeight="1" x14ac:dyDescent="0.25"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6"/>
      <c r="AH106" s="246"/>
      <c r="AI106" s="246"/>
      <c r="AJ106" s="246"/>
      <c r="AK106" s="246"/>
      <c r="AL106" s="246"/>
      <c r="AM106" s="246"/>
      <c r="AT106"/>
      <c r="AU106"/>
      <c r="AV106"/>
      <c r="AW106"/>
      <c r="AX106"/>
    </row>
    <row r="107" spans="4:50" ht="30" customHeight="1" x14ac:dyDescent="0.25"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  <c r="Z107" s="246"/>
      <c r="AA107" s="246"/>
      <c r="AB107" s="246"/>
      <c r="AC107" s="246"/>
      <c r="AD107" s="246"/>
      <c r="AE107" s="246"/>
      <c r="AF107" s="246"/>
      <c r="AG107" s="246"/>
      <c r="AH107" s="246"/>
      <c r="AI107" s="246"/>
      <c r="AJ107" s="246"/>
      <c r="AK107" s="246"/>
      <c r="AL107" s="246"/>
      <c r="AM107" s="246"/>
      <c r="AT107"/>
      <c r="AU107"/>
      <c r="AV107"/>
      <c r="AW107"/>
      <c r="AX107"/>
    </row>
    <row r="108" spans="4:50" ht="24" customHeight="1" x14ac:dyDescent="0.25"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246"/>
      <c r="AB108" s="246"/>
      <c r="AC108" s="246"/>
      <c r="AD108" s="246"/>
      <c r="AE108" s="246"/>
      <c r="AF108" s="246"/>
      <c r="AG108" s="246"/>
      <c r="AH108" s="246"/>
      <c r="AI108" s="246"/>
      <c r="AJ108" s="246"/>
      <c r="AK108" s="246"/>
      <c r="AL108" s="246"/>
      <c r="AM108" s="246"/>
      <c r="AT108"/>
      <c r="AU108"/>
      <c r="AV108"/>
      <c r="AW108"/>
      <c r="AX108"/>
    </row>
    <row r="109" spans="4:50" ht="24" customHeight="1" x14ac:dyDescent="0.25"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  <c r="Z109" s="246"/>
      <c r="AA109" s="246"/>
      <c r="AB109" s="246"/>
      <c r="AC109" s="246"/>
      <c r="AD109" s="246"/>
      <c r="AE109" s="246"/>
      <c r="AF109" s="246"/>
      <c r="AG109" s="246"/>
      <c r="AH109" s="246"/>
      <c r="AI109" s="246"/>
      <c r="AJ109" s="246"/>
      <c r="AK109" s="246"/>
      <c r="AL109" s="246"/>
      <c r="AM109" s="246"/>
      <c r="AT109"/>
      <c r="AU109"/>
      <c r="AV109"/>
      <c r="AW109"/>
      <c r="AX109"/>
    </row>
    <row r="110" spans="4:50" ht="24" customHeight="1" x14ac:dyDescent="0.25"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T110"/>
      <c r="AU110"/>
      <c r="AV110"/>
      <c r="AW110"/>
      <c r="AX110"/>
    </row>
    <row r="111" spans="4:50" ht="24" customHeight="1" x14ac:dyDescent="0.25"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T111"/>
      <c r="AU111"/>
      <c r="AV111"/>
      <c r="AW111"/>
      <c r="AX111"/>
    </row>
    <row r="112" spans="4:50" ht="24" customHeight="1" x14ac:dyDescent="0.25"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T112"/>
      <c r="AU112"/>
      <c r="AV112"/>
      <c r="AW112"/>
      <c r="AX112"/>
    </row>
    <row r="113" spans="4:50" ht="24" customHeight="1" x14ac:dyDescent="0.25"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T113"/>
      <c r="AU113"/>
      <c r="AV113"/>
      <c r="AW113"/>
      <c r="AX113"/>
    </row>
    <row r="114" spans="4:50" ht="24" customHeight="1" x14ac:dyDescent="0.25"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T114"/>
      <c r="AU114"/>
      <c r="AV114"/>
      <c r="AW114"/>
      <c r="AX114"/>
    </row>
    <row r="115" spans="4:50" ht="24" customHeight="1" x14ac:dyDescent="0.25"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T115"/>
      <c r="AU115"/>
      <c r="AV115"/>
      <c r="AW115"/>
      <c r="AX115"/>
    </row>
    <row r="116" spans="4:50" ht="24" customHeight="1" x14ac:dyDescent="0.25"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T116"/>
      <c r="AU116"/>
      <c r="AV116"/>
      <c r="AW116"/>
      <c r="AX116"/>
    </row>
    <row r="117" spans="4:50" ht="24" customHeight="1" x14ac:dyDescent="0.25"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T117"/>
      <c r="AU117"/>
      <c r="AV117"/>
      <c r="AW117"/>
      <c r="AX117"/>
    </row>
    <row r="118" spans="4:50" ht="24" customHeight="1" x14ac:dyDescent="0.25"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T118"/>
      <c r="AU118"/>
      <c r="AV118"/>
      <c r="AW118"/>
      <c r="AX118"/>
    </row>
    <row r="119" spans="4:50" ht="24" customHeight="1" x14ac:dyDescent="0.25"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T119"/>
      <c r="AU119"/>
      <c r="AV119"/>
      <c r="AW119"/>
      <c r="AX119"/>
    </row>
    <row r="120" spans="4:50" ht="24" customHeight="1" x14ac:dyDescent="0.25"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T120"/>
      <c r="AU120"/>
      <c r="AV120"/>
      <c r="AW120"/>
      <c r="AX120"/>
    </row>
    <row r="121" spans="4:50" ht="24" customHeight="1" x14ac:dyDescent="0.25"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T121"/>
      <c r="AU121"/>
      <c r="AV121"/>
      <c r="AW121"/>
      <c r="AX121"/>
    </row>
    <row r="122" spans="4:50" x14ac:dyDescent="0.25"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T122"/>
      <c r="AU122"/>
      <c r="AV122"/>
      <c r="AW122"/>
      <c r="AX122"/>
    </row>
    <row r="123" spans="4:50" ht="18" customHeight="1" x14ac:dyDescent="0.25"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T123"/>
      <c r="AU123"/>
      <c r="AV123"/>
      <c r="AW123"/>
      <c r="AX123"/>
    </row>
    <row r="124" spans="4:50" ht="30" customHeight="1" x14ac:dyDescent="0.25"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T124"/>
      <c r="AU124"/>
      <c r="AV124"/>
      <c r="AW124"/>
      <c r="AX124"/>
    </row>
    <row r="125" spans="4:50" ht="24" customHeight="1" x14ac:dyDescent="0.25"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T125"/>
      <c r="AU125"/>
      <c r="AV125"/>
      <c r="AW125"/>
      <c r="AX125"/>
    </row>
    <row r="126" spans="4:50" ht="24" customHeight="1" x14ac:dyDescent="0.25"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T126"/>
      <c r="AU126"/>
      <c r="AV126"/>
      <c r="AW126"/>
      <c r="AX126"/>
    </row>
    <row r="127" spans="4:50" ht="24" customHeight="1" x14ac:dyDescent="0.25"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T127"/>
      <c r="AU127"/>
      <c r="AV127"/>
      <c r="AW127"/>
      <c r="AX127"/>
    </row>
    <row r="128" spans="4:50" ht="24" customHeight="1" x14ac:dyDescent="0.25"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T128"/>
      <c r="AU128"/>
      <c r="AV128"/>
      <c r="AW128"/>
      <c r="AX128"/>
    </row>
    <row r="129" spans="4:50" ht="24" customHeight="1" x14ac:dyDescent="0.25"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246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T129"/>
      <c r="AU129"/>
      <c r="AV129"/>
      <c r="AW129"/>
      <c r="AX129"/>
    </row>
    <row r="130" spans="4:50" ht="24" customHeight="1" x14ac:dyDescent="0.25"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246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</row>
    <row r="131" spans="4:50" ht="24" customHeight="1" x14ac:dyDescent="0.25"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</row>
    <row r="132" spans="4:50" ht="24" customHeight="1" x14ac:dyDescent="0.25"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</row>
    <row r="133" spans="4:50" ht="24" customHeight="1" x14ac:dyDescent="0.25"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</row>
    <row r="134" spans="4:50" ht="24" customHeight="1" x14ac:dyDescent="0.25"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</row>
    <row r="135" spans="4:50" ht="24" customHeight="1" x14ac:dyDescent="0.25"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</row>
    <row r="136" spans="4:50" ht="24" customHeight="1" x14ac:dyDescent="0.25"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</row>
    <row r="137" spans="4:50" ht="24" customHeight="1" x14ac:dyDescent="0.25"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</row>
    <row r="138" spans="4:50" ht="24" customHeight="1" x14ac:dyDescent="0.25"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</row>
    <row r="139" spans="4:50" x14ac:dyDescent="0.25"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</row>
    <row r="140" spans="4:50" x14ac:dyDescent="0.25"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</row>
    <row r="141" spans="4:50" x14ac:dyDescent="0.25"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</row>
    <row r="142" spans="4:50" x14ac:dyDescent="0.25"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</row>
    <row r="143" spans="4:50" x14ac:dyDescent="0.25"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</row>
    <row r="144" spans="4:50" x14ac:dyDescent="0.25"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  <c r="Z144" s="246"/>
      <c r="AA144" s="246"/>
      <c r="AB144" s="246"/>
      <c r="AC144" s="246"/>
      <c r="AD144" s="246"/>
      <c r="AE144" s="246"/>
      <c r="AF144" s="246"/>
      <c r="AG144" s="246"/>
      <c r="AH144" s="246"/>
      <c r="AI144" s="246"/>
      <c r="AJ144" s="246"/>
      <c r="AK144" s="246"/>
      <c r="AL144" s="246"/>
      <c r="AM144" s="246"/>
    </row>
    <row r="145" spans="4:39" x14ac:dyDescent="0.25">
      <c r="D145" s="246"/>
      <c r="E145" s="246"/>
      <c r="F145" s="246"/>
      <c r="G145" s="246"/>
      <c r="H145" s="246"/>
    </row>
    <row r="146" spans="4:39" x14ac:dyDescent="0.25"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  <c r="Z146" s="246"/>
      <c r="AA146" s="246"/>
      <c r="AB146" s="246"/>
      <c r="AC146" s="246"/>
      <c r="AD146" s="246"/>
      <c r="AE146" s="246"/>
      <c r="AF146" s="246"/>
      <c r="AG146" s="246"/>
      <c r="AH146" s="246"/>
      <c r="AI146" s="246"/>
      <c r="AJ146" s="246"/>
      <c r="AK146" s="246"/>
      <c r="AL146" s="246"/>
      <c r="AM146" s="246"/>
    </row>
    <row r="147" spans="4:39" x14ac:dyDescent="0.25"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  <c r="Z147" s="246"/>
      <c r="AA147" s="246"/>
      <c r="AB147" s="246"/>
      <c r="AC147" s="246"/>
      <c r="AD147" s="246"/>
      <c r="AE147" s="246"/>
      <c r="AF147" s="246"/>
      <c r="AG147" s="246"/>
      <c r="AH147" s="246"/>
      <c r="AI147" s="246"/>
      <c r="AJ147" s="246"/>
      <c r="AK147" s="246"/>
      <c r="AL147" s="246"/>
      <c r="AM147" s="246"/>
    </row>
  </sheetData>
  <mergeCells count="2">
    <mergeCell ref="A7:A24"/>
    <mergeCell ref="E3:H3"/>
  </mergeCells>
  <conditionalFormatting sqref="H7">
    <cfRule type="cellIs" dxfId="26" priority="9" operator="notEqual">
      <formula>1</formula>
    </cfRule>
  </conditionalFormatting>
  <conditionalFormatting sqref="H9">
    <cfRule type="cellIs" dxfId="25" priority="8" operator="notEqual">
      <formula>1</formula>
    </cfRule>
  </conditionalFormatting>
  <conditionalFormatting sqref="H12">
    <cfRule type="cellIs" dxfId="24" priority="7" operator="notEqual">
      <formula>1</formula>
    </cfRule>
  </conditionalFormatting>
  <conditionalFormatting sqref="H14">
    <cfRule type="cellIs" dxfId="23" priority="6" operator="notEqual">
      <formula>1</formula>
    </cfRule>
  </conditionalFormatting>
  <conditionalFormatting sqref="H16">
    <cfRule type="cellIs" dxfId="22" priority="5" operator="notEqual">
      <formula>1</formula>
    </cfRule>
  </conditionalFormatting>
  <conditionalFormatting sqref="H18">
    <cfRule type="cellIs" dxfId="21" priority="4" operator="notEqual">
      <formula>1</formula>
    </cfRule>
  </conditionalFormatting>
  <conditionalFormatting sqref="H20">
    <cfRule type="cellIs" dxfId="20" priority="3" operator="notEqual">
      <formula>1</formula>
    </cfRule>
  </conditionalFormatting>
  <conditionalFormatting sqref="H22">
    <cfRule type="cellIs" dxfId="19" priority="2" operator="notEqual">
      <formula>1</formula>
    </cfRule>
  </conditionalFormatting>
  <conditionalFormatting sqref="H25">
    <cfRule type="cellIs" dxfId="18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F39" sqref="F39"/>
    </sheetView>
  </sheetViews>
  <sheetFormatPr defaultRowHeight="15" x14ac:dyDescent="0.25"/>
  <cols>
    <col min="1" max="2" width="4.7109375" style="440" customWidth="1"/>
    <col min="3" max="3" width="40.7109375" style="440" customWidth="1"/>
    <col min="4" max="8" width="8.7109375" style="4" customWidth="1"/>
    <col min="9" max="39" width="6.7109375" style="4" customWidth="1"/>
    <col min="40" max="45" width="6.7109375" style="440" customWidth="1"/>
    <col min="46" max="16384" width="9.140625" style="44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1059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439">
        <f>'Departure Lounge 2027'!C3</f>
        <v>42075</v>
      </c>
      <c r="D3" s="57" t="str">
        <f>CONCATENATE("Ver. ",'Departure Lounge 2027'!E3)</f>
        <v>Ver. 7</v>
      </c>
      <c r="E3" s="1013" t="str">
        <f>'Departure Lounge 2027'!F3</f>
        <v>Workbook audited for release to PAPL</v>
      </c>
      <c r="F3" s="1013"/>
      <c r="G3" s="1013"/>
      <c r="H3" s="1013"/>
      <c r="I3" s="332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996</v>
      </c>
      <c r="C4" s="15"/>
      <c r="D4" s="34" t="s">
        <v>46</v>
      </c>
      <c r="E4" s="34" t="s">
        <v>28</v>
      </c>
      <c r="F4" s="34" t="s">
        <v>68</v>
      </c>
      <c r="G4" s="34" t="s">
        <v>3</v>
      </c>
      <c r="H4" s="496"/>
      <c r="I4" s="247" t="s">
        <v>50</v>
      </c>
      <c r="J4" s="247"/>
      <c r="K4" s="247"/>
      <c r="M4" s="247"/>
      <c r="N4" s="247"/>
      <c r="O4" s="247"/>
      <c r="P4" s="380" t="s">
        <v>984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977</v>
      </c>
      <c r="AB4" s="95"/>
      <c r="AC4" s="95"/>
      <c r="AD4" s="95"/>
      <c r="AE4" s="95"/>
      <c r="AF4" s="95"/>
      <c r="AG4" s="96" t="s">
        <v>985</v>
      </c>
      <c r="AH4" s="15"/>
      <c r="AM4" s="450"/>
      <c r="AN4" s="97" t="s">
        <v>92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987</v>
      </c>
      <c r="C5" s="7"/>
      <c r="D5" s="7"/>
      <c r="E5" s="29"/>
      <c r="F5" s="29"/>
      <c r="G5" s="29"/>
      <c r="H5" s="497"/>
      <c r="I5" s="7" t="s">
        <v>945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946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947</v>
      </c>
      <c r="AH5" s="7"/>
      <c r="AM5" s="451"/>
      <c r="AN5" s="250"/>
      <c r="AO5" s="398"/>
      <c r="AP5" s="399"/>
      <c r="AQ5" s="400" t="s">
        <v>1093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109</v>
      </c>
      <c r="C6" s="389" t="e">
        <f>CONCATENATE(VLOOKUP(B6,Airlines,2,FALSE),", ",VLOOKUP(D6,Aircraft,2,FALSE))</f>
        <v>#N/A</v>
      </c>
      <c r="D6" s="48">
        <v>320</v>
      </c>
      <c r="E6" s="20">
        <f>VLOOKUP(D6,Aircraft,5,FALSE)</f>
        <v>180</v>
      </c>
      <c r="F6" s="49">
        <v>0.85</v>
      </c>
      <c r="G6" s="50">
        <f>E6*F6</f>
        <v>153</v>
      </c>
      <c r="H6" s="498" t="s">
        <v>53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27</v>
      </c>
      <c r="AT6"/>
      <c r="AU6"/>
      <c r="AV6"/>
      <c r="AW6"/>
      <c r="AX6"/>
    </row>
    <row r="7" spans="1:50" s="8" customFormat="1" ht="24" customHeight="1" x14ac:dyDescent="0.25">
      <c r="A7" s="1014" t="s">
        <v>996</v>
      </c>
      <c r="B7" s="7"/>
      <c r="C7" s="21" t="s">
        <v>54</v>
      </c>
      <c r="D7" s="29" t="s">
        <v>4</v>
      </c>
      <c r="E7" s="184">
        <v>0.9</v>
      </c>
      <c r="F7" s="29"/>
      <c r="G7" s="29"/>
      <c r="H7" s="499">
        <f t="shared" ref="H7:H26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4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4"/>
      <c r="B9" s="7"/>
      <c r="C9" s="21" t="s">
        <v>976</v>
      </c>
      <c r="D9" s="29" t="s">
        <v>4</v>
      </c>
      <c r="E9" s="369">
        <f>1-E7</f>
        <v>9.9999999999999978E-2</v>
      </c>
      <c r="F9" s="387" t="s">
        <v>993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4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4"/>
      <c r="B11" s="408"/>
      <c r="C11" s="507"/>
      <c r="D11" s="508" t="s">
        <v>1005</v>
      </c>
      <c r="E11" s="509">
        <f>-(SUMPRODUCT(I6:Z6,I8:Z8)+SUMPRODUCT(T6:AF6,T10:AF10))/G6</f>
        <v>141.95000000000002</v>
      </c>
      <c r="F11" s="409"/>
      <c r="G11" s="409"/>
      <c r="H11" s="511" t="s">
        <v>1004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4"/>
      <c r="B12" s="7"/>
      <c r="C12" s="21" t="s">
        <v>978</v>
      </c>
      <c r="D12" s="29" t="s">
        <v>4</v>
      </c>
      <c r="E12" s="184">
        <v>0.5</v>
      </c>
      <c r="F12" s="387" t="s">
        <v>991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4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4"/>
      <c r="B14" s="7"/>
      <c r="C14" s="21" t="s">
        <v>979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4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4"/>
      <c r="B16" s="7"/>
      <c r="C16" s="21" t="s">
        <v>981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0.01</v>
      </c>
      <c r="P16" s="47">
        <v>0.02</v>
      </c>
      <c r="Q16" s="47">
        <v>0.02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0.02</v>
      </c>
      <c r="AG16" s="46">
        <v>0.02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4"/>
      <c r="B17" s="18"/>
      <c r="C17" s="51" t="s">
        <v>982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1.53</v>
      </c>
      <c r="P17" s="66">
        <f t="shared" si="7"/>
        <v>3.06</v>
      </c>
      <c r="Q17" s="66">
        <f t="shared" si="7"/>
        <v>3.06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3.06</v>
      </c>
      <c r="AG17" s="66">
        <f t="shared" si="7"/>
        <v>3.06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4"/>
      <c r="B18" s="7"/>
      <c r="C18" s="21" t="s">
        <v>51</v>
      </c>
      <c r="D18" s="29" t="s">
        <v>4</v>
      </c>
      <c r="E18" s="184">
        <v>0</v>
      </c>
      <c r="F18" s="387" t="s">
        <v>995</v>
      </c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1014"/>
      <c r="B19" s="17"/>
      <c r="C19" s="458"/>
      <c r="D19" s="33" t="s">
        <v>3</v>
      </c>
      <c r="E19" s="55">
        <f>E18*G$6</f>
        <v>0</v>
      </c>
      <c r="F19" s="33"/>
      <c r="G19" s="33"/>
      <c r="H19" s="500">
        <f t="shared" si="1"/>
        <v>0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</v>
      </c>
      <c r="R19" s="65">
        <f t="shared" si="7"/>
        <v>0</v>
      </c>
      <c r="S19" s="65">
        <f t="shared" si="7"/>
        <v>0</v>
      </c>
      <c r="T19" s="65">
        <f t="shared" si="7"/>
        <v>0</v>
      </c>
      <c r="U19" s="65">
        <f t="shared" si="7"/>
        <v>0</v>
      </c>
      <c r="V19" s="65">
        <f t="shared" si="7"/>
        <v>0</v>
      </c>
      <c r="W19" s="65">
        <f t="shared" si="7"/>
        <v>0</v>
      </c>
      <c r="X19" s="65">
        <f t="shared" si="7"/>
        <v>0</v>
      </c>
      <c r="Y19" s="65">
        <f t="shared" si="7"/>
        <v>0</v>
      </c>
      <c r="Z19" s="65">
        <f t="shared" si="7"/>
        <v>0</v>
      </c>
      <c r="AA19" s="65">
        <f t="shared" si="7"/>
        <v>0</v>
      </c>
      <c r="AB19" s="65">
        <f t="shared" si="7"/>
        <v>0</v>
      </c>
      <c r="AC19" s="65">
        <f t="shared" si="7"/>
        <v>0</v>
      </c>
      <c r="AD19" s="65">
        <f t="shared" si="7"/>
        <v>0</v>
      </c>
      <c r="AE19" s="65">
        <f t="shared" si="7"/>
        <v>0</v>
      </c>
      <c r="AF19" s="65">
        <f t="shared" si="7"/>
        <v>0</v>
      </c>
      <c r="AG19" s="65">
        <f t="shared" si="7"/>
        <v>0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4"/>
      <c r="B20" s="7"/>
      <c r="C20" s="21" t="s">
        <v>52</v>
      </c>
      <c r="D20" s="29" t="s">
        <v>4</v>
      </c>
      <c r="E20" s="91">
        <f>E18</f>
        <v>0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4"/>
      <c r="B21" s="18"/>
      <c r="C21" s="51"/>
      <c r="D21" s="32" t="s">
        <v>3</v>
      </c>
      <c r="E21" s="52">
        <f>E20*G$6</f>
        <v>0</v>
      </c>
      <c r="F21" s="32"/>
      <c r="G21" s="32"/>
      <c r="H21" s="443">
        <f t="shared" si="1"/>
        <v>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0</v>
      </c>
      <c r="AM21" s="66">
        <f t="shared" si="8"/>
        <v>0</v>
      </c>
      <c r="AN21" s="66">
        <f t="shared" si="8"/>
        <v>0</v>
      </c>
      <c r="AO21" s="66">
        <f t="shared" si="8"/>
        <v>0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4"/>
      <c r="B22" s="7"/>
      <c r="C22" s="21" t="s">
        <v>983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0.02</v>
      </c>
      <c r="AD22" s="47">
        <v>0.03</v>
      </c>
      <c r="AE22" s="47">
        <v>0.03</v>
      </c>
      <c r="AF22" s="47">
        <v>0.04</v>
      </c>
      <c r="AG22" s="47">
        <v>0.03</v>
      </c>
      <c r="AH22" s="47">
        <v>0.02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4"/>
      <c r="B23" s="383"/>
      <c r="C23" s="383"/>
      <c r="D23" s="379"/>
      <c r="E23" s="384"/>
      <c r="F23" s="379"/>
      <c r="G23" s="379"/>
      <c r="H23" s="510" t="s">
        <v>1006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0.02</v>
      </c>
      <c r="AD23" s="385">
        <f t="shared" si="9"/>
        <v>0.05</v>
      </c>
      <c r="AE23" s="385">
        <f t="shared" si="9"/>
        <v>0.08</v>
      </c>
      <c r="AF23" s="385">
        <f t="shared" si="9"/>
        <v>0.12</v>
      </c>
      <c r="AG23" s="385">
        <f t="shared" si="9"/>
        <v>0.15</v>
      </c>
      <c r="AH23" s="391">
        <f t="shared" si="9"/>
        <v>0.16999999999999998</v>
      </c>
      <c r="AI23" s="385">
        <f t="shared" si="9"/>
        <v>0.18</v>
      </c>
      <c r="AJ23" s="385">
        <f t="shared" si="9"/>
        <v>0.19</v>
      </c>
      <c r="AK23" s="385">
        <f t="shared" si="9"/>
        <v>0.2</v>
      </c>
      <c r="AL23" s="385">
        <f t="shared" si="9"/>
        <v>0.21000000000000002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4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3.06</v>
      </c>
      <c r="AD24" s="367">
        <f t="shared" si="10"/>
        <v>4.59</v>
      </c>
      <c r="AE24" s="367">
        <f t="shared" si="10"/>
        <v>4.59</v>
      </c>
      <c r="AF24" s="367">
        <f t="shared" si="10"/>
        <v>6.12</v>
      </c>
      <c r="AG24" s="367">
        <f t="shared" si="10"/>
        <v>4.59</v>
      </c>
      <c r="AH24" s="367">
        <f t="shared" si="10"/>
        <v>3.06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438"/>
      <c r="B25" s="193"/>
      <c r="C25" s="396" t="s">
        <v>990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 t="shared" si="1"/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438"/>
      <c r="B27" s="7"/>
      <c r="C27" s="31" t="s">
        <v>980</v>
      </c>
      <c r="D27" s="29"/>
      <c r="E27" s="366"/>
      <c r="F27" s="7"/>
      <c r="G27" s="7"/>
      <c r="H27" s="502" t="s">
        <v>56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438"/>
      <c r="B28" s="17"/>
      <c r="C28" s="67" t="s">
        <v>69</v>
      </c>
      <c r="D28" s="65">
        <f>SUM(I27:AR27)*5/E13</f>
        <v>25.849999999999991</v>
      </c>
      <c r="E28" s="17" t="s">
        <v>70</v>
      </c>
      <c r="F28" s="17"/>
      <c r="G28" s="17"/>
      <c r="H28" s="503" t="s">
        <v>57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438"/>
      <c r="B29" s="7"/>
      <c r="C29" s="61" t="s">
        <v>986</v>
      </c>
      <c r="D29" s="367"/>
      <c r="E29" s="7"/>
      <c r="F29" s="7"/>
      <c r="G29" s="7"/>
      <c r="H29" s="502" t="s">
        <v>56</v>
      </c>
      <c r="I29" s="64">
        <f>I8+I10</f>
        <v>8.2620000000000005</v>
      </c>
      <c r="J29" s="64">
        <f>I29+J8+J10-J17</f>
        <v>13.770000000000001</v>
      </c>
      <c r="K29" s="64">
        <f t="shared" ref="K29:AJ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69.921000000000006</v>
      </c>
      <c r="P29" s="64">
        <f t="shared" si="15"/>
        <v>83.385000000000005</v>
      </c>
      <c r="Q29" s="64">
        <f t="shared" si="15"/>
        <v>94.094999999999999</v>
      </c>
      <c r="R29" s="64">
        <f t="shared" si="15"/>
        <v>99.144000000000005</v>
      </c>
      <c r="S29" s="64">
        <f t="shared" si="15"/>
        <v>98.531999999999996</v>
      </c>
      <c r="T29" s="64">
        <f t="shared" si="15"/>
        <v>94.094999999999999</v>
      </c>
      <c r="U29" s="64">
        <f t="shared" si="15"/>
        <v>88.433999999999997</v>
      </c>
      <c r="V29" s="64">
        <f t="shared" si="15"/>
        <v>81.701999999999998</v>
      </c>
      <c r="W29" s="64">
        <f t="shared" si="15"/>
        <v>73.746000000000009</v>
      </c>
      <c r="X29" s="64">
        <f t="shared" si="15"/>
        <v>64.566000000000017</v>
      </c>
      <c r="Y29" s="64">
        <f t="shared" si="15"/>
        <v>54.16200000000002</v>
      </c>
      <c r="Z29" s="64">
        <f t="shared" si="15"/>
        <v>43.452000000000012</v>
      </c>
      <c r="AA29" s="64">
        <f t="shared" si="15"/>
        <v>31.212000000000014</v>
      </c>
      <c r="AB29" s="64">
        <f t="shared" si="15"/>
        <v>21.726000000000013</v>
      </c>
      <c r="AC29" s="64">
        <f t="shared" si="15"/>
        <v>18.054000000000013</v>
      </c>
      <c r="AD29" s="64">
        <f t="shared" si="15"/>
        <v>14.076000000000011</v>
      </c>
      <c r="AE29" s="64">
        <f t="shared" si="15"/>
        <v>11.628000000000011</v>
      </c>
      <c r="AF29" s="64">
        <f t="shared" si="15"/>
        <v>9.1800000000000104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7"/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438"/>
      <c r="B30" s="7"/>
      <c r="C30" s="67" t="s">
        <v>69</v>
      </c>
      <c r="D30" s="65">
        <f>SUM(I29:AR29)*5/G6</f>
        <v>40.150000000000006</v>
      </c>
      <c r="E30" s="17" t="s">
        <v>70</v>
      </c>
      <c r="F30" s="7"/>
      <c r="G30" s="7"/>
      <c r="H30" s="503" t="s">
        <v>57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0.45700000000000002</v>
      </c>
      <c r="P30" s="63">
        <f t="shared" si="16"/>
        <v>0.54500000000000004</v>
      </c>
      <c r="Q30" s="63">
        <f t="shared" si="16"/>
        <v>0.61499999999999999</v>
      </c>
      <c r="R30" s="63">
        <f t="shared" si="16"/>
        <v>0.64800000000000002</v>
      </c>
      <c r="S30" s="63">
        <f t="shared" si="16"/>
        <v>0.64400000000000002</v>
      </c>
      <c r="T30" s="63">
        <f t="shared" si="16"/>
        <v>0.61499999999999999</v>
      </c>
      <c r="U30" s="63">
        <f t="shared" si="16"/>
        <v>0.57799999999999996</v>
      </c>
      <c r="V30" s="63">
        <f t="shared" si="16"/>
        <v>0.53400000000000003</v>
      </c>
      <c r="W30" s="63">
        <f t="shared" si="16"/>
        <v>0.48200000000000004</v>
      </c>
      <c r="X30" s="63">
        <f t="shared" si="16"/>
        <v>0.4220000000000001</v>
      </c>
      <c r="Y30" s="63">
        <f t="shared" si="16"/>
        <v>0.35400000000000015</v>
      </c>
      <c r="Z30" s="63">
        <f t="shared" si="16"/>
        <v>0.28400000000000009</v>
      </c>
      <c r="AA30" s="63">
        <f t="shared" si="16"/>
        <v>0.2040000000000001</v>
      </c>
      <c r="AB30" s="63">
        <f t="shared" si="16"/>
        <v>0.1420000000000001</v>
      </c>
      <c r="AC30" s="63">
        <f t="shared" si="16"/>
        <v>0.11800000000000008</v>
      </c>
      <c r="AD30" s="63">
        <f t="shared" si="16"/>
        <v>9.2000000000000068E-2</v>
      </c>
      <c r="AE30" s="63">
        <f t="shared" si="16"/>
        <v>7.6000000000000068E-2</v>
      </c>
      <c r="AF30" s="63">
        <f t="shared" si="16"/>
        <v>6.0000000000000067E-2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7"/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55</v>
      </c>
      <c r="D31" s="62"/>
      <c r="E31" s="60"/>
      <c r="F31" s="60"/>
      <c r="G31" s="60"/>
      <c r="H31" s="504" t="s">
        <v>56</v>
      </c>
      <c r="I31" s="64"/>
      <c r="J31" s="64"/>
      <c r="K31" s="64"/>
      <c r="L31" s="64"/>
      <c r="M31" s="64"/>
      <c r="N31" s="64">
        <f>M31+N19-N21</f>
        <v>0</v>
      </c>
      <c r="O31" s="64">
        <f t="shared" ref="O31:AQ31" si="17">N31+O19-O21</f>
        <v>0</v>
      </c>
      <c r="P31" s="64">
        <f t="shared" si="17"/>
        <v>0</v>
      </c>
      <c r="Q31" s="64">
        <f t="shared" si="17"/>
        <v>0</v>
      </c>
      <c r="R31" s="64">
        <f t="shared" si="17"/>
        <v>0</v>
      </c>
      <c r="S31" s="64">
        <f t="shared" si="17"/>
        <v>0</v>
      </c>
      <c r="T31" s="64">
        <f t="shared" si="17"/>
        <v>0</v>
      </c>
      <c r="U31" s="64">
        <f t="shared" si="17"/>
        <v>0</v>
      </c>
      <c r="V31" s="64">
        <f t="shared" si="17"/>
        <v>0</v>
      </c>
      <c r="W31" s="64">
        <f t="shared" si="17"/>
        <v>0</v>
      </c>
      <c r="X31" s="64">
        <f t="shared" si="17"/>
        <v>0</v>
      </c>
      <c r="Y31" s="64">
        <f t="shared" si="17"/>
        <v>0</v>
      </c>
      <c r="Z31" s="64">
        <f t="shared" si="17"/>
        <v>0</v>
      </c>
      <c r="AA31" s="64">
        <f t="shared" si="17"/>
        <v>0</v>
      </c>
      <c r="AB31" s="64">
        <f t="shared" si="17"/>
        <v>0</v>
      </c>
      <c r="AC31" s="64">
        <f t="shared" si="17"/>
        <v>0</v>
      </c>
      <c r="AD31" s="64">
        <f t="shared" si="17"/>
        <v>0</v>
      </c>
      <c r="AE31" s="64">
        <f t="shared" si="17"/>
        <v>0</v>
      </c>
      <c r="AF31" s="64">
        <f t="shared" si="17"/>
        <v>0</v>
      </c>
      <c r="AG31" s="64">
        <f t="shared" si="17"/>
        <v>0</v>
      </c>
      <c r="AH31" s="64">
        <f t="shared" si="17"/>
        <v>0</v>
      </c>
      <c r="AI31" s="64">
        <f t="shared" si="17"/>
        <v>0</v>
      </c>
      <c r="AJ31" s="64">
        <f t="shared" si="17"/>
        <v>0</v>
      </c>
      <c r="AK31" s="64">
        <f t="shared" si="17"/>
        <v>0</v>
      </c>
      <c r="AL31" s="64">
        <f t="shared" si="17"/>
        <v>0</v>
      </c>
      <c r="AM31" s="64">
        <f t="shared" si="17"/>
        <v>0</v>
      </c>
      <c r="AN31" s="64">
        <f t="shared" si="17"/>
        <v>0</v>
      </c>
      <c r="AO31" s="64">
        <f t="shared" si="17"/>
        <v>0</v>
      </c>
      <c r="AP31" s="64">
        <f t="shared" si="17"/>
        <v>0</v>
      </c>
      <c r="AQ31" s="64">
        <f t="shared" si="17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69</v>
      </c>
      <c r="D32" s="65" t="str">
        <f>IF(E19=0,"N/A",SUM(I31:AR31)*5/E19)</f>
        <v>N/A</v>
      </c>
      <c r="E32" s="17" t="s">
        <v>70</v>
      </c>
      <c r="F32" s="17"/>
      <c r="G32" s="17"/>
      <c r="H32" s="503" t="s">
        <v>57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0</v>
      </c>
      <c r="R32" s="63">
        <f t="shared" si="14"/>
        <v>0</v>
      </c>
      <c r="S32" s="63">
        <f t="shared" si="14"/>
        <v>0</v>
      </c>
      <c r="T32" s="63">
        <f t="shared" si="14"/>
        <v>0</v>
      </c>
      <c r="U32" s="63">
        <f t="shared" si="14"/>
        <v>0</v>
      </c>
      <c r="V32" s="63">
        <f t="shared" si="14"/>
        <v>0</v>
      </c>
      <c r="W32" s="63">
        <f t="shared" si="14"/>
        <v>0</v>
      </c>
      <c r="X32" s="63">
        <f t="shared" si="14"/>
        <v>0</v>
      </c>
      <c r="Y32" s="63">
        <f t="shared" si="14"/>
        <v>0</v>
      </c>
      <c r="Z32" s="63">
        <f t="shared" si="14"/>
        <v>0</v>
      </c>
      <c r="AA32" s="63">
        <f t="shared" si="14"/>
        <v>0</v>
      </c>
      <c r="AB32" s="63">
        <f t="shared" si="14"/>
        <v>0</v>
      </c>
      <c r="AC32" s="63">
        <f t="shared" si="14"/>
        <v>0</v>
      </c>
      <c r="AD32" s="63">
        <f t="shared" si="14"/>
        <v>0</v>
      </c>
      <c r="AE32" s="63">
        <f t="shared" si="14"/>
        <v>0</v>
      </c>
      <c r="AF32" s="63">
        <f t="shared" si="14"/>
        <v>0</v>
      </c>
      <c r="AG32" s="63">
        <f t="shared" si="14"/>
        <v>0</v>
      </c>
      <c r="AH32" s="63">
        <f t="shared" si="14"/>
        <v>0</v>
      </c>
      <c r="AI32" s="63">
        <f t="shared" si="14"/>
        <v>0</v>
      </c>
      <c r="AJ32" s="63">
        <f t="shared" si="14"/>
        <v>0</v>
      </c>
      <c r="AK32" s="63">
        <f t="shared" si="14"/>
        <v>0</v>
      </c>
      <c r="AL32" s="63">
        <f t="shared" si="14"/>
        <v>0</v>
      </c>
      <c r="AM32" s="63">
        <f t="shared" si="14"/>
        <v>0</v>
      </c>
      <c r="AN32" s="63">
        <f t="shared" si="14"/>
        <v>0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8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948</v>
      </c>
      <c r="D33" s="538">
        <f>F33/F$37</f>
        <v>0.84356197352587248</v>
      </c>
      <c r="E33" s="534" t="s">
        <v>1010</v>
      </c>
      <c r="F33" s="535">
        <f>SUM(I33:AR33)*5</f>
        <v>10725.3</v>
      </c>
      <c r="G33" s="536" t="s">
        <v>1011</v>
      </c>
      <c r="H33" s="504" t="s">
        <v>56</v>
      </c>
      <c r="I33" s="433"/>
      <c r="J33" s="433"/>
      <c r="K33" s="64"/>
      <c r="L33" s="64"/>
      <c r="M33" s="64">
        <f>M17</f>
        <v>0</v>
      </c>
      <c r="N33" s="64">
        <f>M33+N17-(N19+N24)</f>
        <v>1.53</v>
      </c>
      <c r="O33" s="64">
        <f t="shared" ref="O33:AQ33" si="19">N33+O17-(O19+O24)</f>
        <v>3.06</v>
      </c>
      <c r="P33" s="64">
        <f t="shared" si="19"/>
        <v>6.12</v>
      </c>
      <c r="Q33" s="64">
        <f t="shared" si="19"/>
        <v>9.18</v>
      </c>
      <c r="R33" s="64">
        <f t="shared" si="19"/>
        <v>13.77</v>
      </c>
      <c r="S33" s="64">
        <f t="shared" si="19"/>
        <v>19.89</v>
      </c>
      <c r="T33" s="64">
        <f t="shared" si="19"/>
        <v>27.54</v>
      </c>
      <c r="U33" s="64">
        <f t="shared" si="19"/>
        <v>36.72</v>
      </c>
      <c r="V33" s="64">
        <f t="shared" si="19"/>
        <v>47.43</v>
      </c>
      <c r="W33" s="64">
        <f t="shared" si="19"/>
        <v>59.67</v>
      </c>
      <c r="X33" s="64">
        <f t="shared" si="19"/>
        <v>73.44</v>
      </c>
      <c r="Y33" s="64">
        <f t="shared" si="19"/>
        <v>88.74</v>
      </c>
      <c r="Z33" s="64">
        <f t="shared" si="19"/>
        <v>104.03999999999999</v>
      </c>
      <c r="AA33" s="64">
        <f t="shared" si="19"/>
        <v>117.80999999999999</v>
      </c>
      <c r="AB33" s="64">
        <f t="shared" si="19"/>
        <v>128.51999999999998</v>
      </c>
      <c r="AC33" s="64">
        <f t="shared" si="19"/>
        <v>130.04999999999998</v>
      </c>
      <c r="AD33" s="64">
        <f t="shared" si="19"/>
        <v>130.04999999999998</v>
      </c>
      <c r="AE33" s="64">
        <f t="shared" si="19"/>
        <v>128.51999999999998</v>
      </c>
      <c r="AF33" s="64">
        <f t="shared" si="19"/>
        <v>125.45999999999998</v>
      </c>
      <c r="AG33" s="64">
        <f t="shared" si="19"/>
        <v>123.92999999999998</v>
      </c>
      <c r="AH33" s="64">
        <f t="shared" si="19"/>
        <v>122.39999999999998</v>
      </c>
      <c r="AI33" s="64">
        <f t="shared" si="19"/>
        <v>122.39999999999998</v>
      </c>
      <c r="AJ33" s="64">
        <f t="shared" si="19"/>
        <v>123.92999999999998</v>
      </c>
      <c r="AK33" s="64">
        <f t="shared" si="19"/>
        <v>122.39999999999998</v>
      </c>
      <c r="AL33" s="64">
        <f t="shared" si="19"/>
        <v>120.86999999999998</v>
      </c>
      <c r="AM33" s="64">
        <f t="shared" si="19"/>
        <v>111.68999999999997</v>
      </c>
      <c r="AN33" s="64">
        <f t="shared" si="19"/>
        <v>42.839999999999961</v>
      </c>
      <c r="AO33" s="64">
        <f t="shared" si="19"/>
        <v>3.0599999999999596</v>
      </c>
      <c r="AP33" s="64">
        <f t="shared" si="19"/>
        <v>-4.0412118096355698E-14</v>
      </c>
      <c r="AQ33" s="64">
        <f t="shared" si="19"/>
        <v>-4.0412118096355698E-14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69</v>
      </c>
      <c r="D34" s="367">
        <f>SUM(I33:AR33)*5/(G6-E19)</f>
        <v>70.099999999999994</v>
      </c>
      <c r="E34" s="17" t="s">
        <v>70</v>
      </c>
      <c r="F34" s="17"/>
      <c r="G34" s="7"/>
      <c r="H34" s="502" t="s">
        <v>57</v>
      </c>
      <c r="I34" s="392"/>
      <c r="J34" s="392"/>
      <c r="K34" s="392"/>
      <c r="L34" s="392"/>
      <c r="M34" s="392">
        <f t="shared" ref="M34:AR36" si="20">M33/$G$6</f>
        <v>0</v>
      </c>
      <c r="N34" s="392">
        <f t="shared" si="20"/>
        <v>0.01</v>
      </c>
      <c r="O34" s="392">
        <f t="shared" si="20"/>
        <v>0.02</v>
      </c>
      <c r="P34" s="392">
        <f t="shared" si="20"/>
        <v>0.04</v>
      </c>
      <c r="Q34" s="392">
        <f t="shared" si="20"/>
        <v>0.06</v>
      </c>
      <c r="R34" s="392">
        <f t="shared" si="20"/>
        <v>0.09</v>
      </c>
      <c r="S34" s="392">
        <f t="shared" si="20"/>
        <v>0.13</v>
      </c>
      <c r="T34" s="392">
        <f t="shared" si="20"/>
        <v>0.18</v>
      </c>
      <c r="U34" s="392">
        <f t="shared" si="20"/>
        <v>0.24</v>
      </c>
      <c r="V34" s="392">
        <f t="shared" si="20"/>
        <v>0.31</v>
      </c>
      <c r="W34" s="392">
        <f t="shared" si="20"/>
        <v>0.39</v>
      </c>
      <c r="X34" s="392">
        <f t="shared" si="20"/>
        <v>0.48</v>
      </c>
      <c r="Y34" s="392">
        <f t="shared" si="20"/>
        <v>0.57999999999999996</v>
      </c>
      <c r="Z34" s="392">
        <f t="shared" si="20"/>
        <v>0.67999999999999994</v>
      </c>
      <c r="AA34" s="392">
        <f t="shared" si="20"/>
        <v>0.76999999999999991</v>
      </c>
      <c r="AB34" s="392">
        <f t="shared" si="20"/>
        <v>0.83999999999999986</v>
      </c>
      <c r="AC34" s="392">
        <f t="shared" si="20"/>
        <v>0.84999999999999987</v>
      </c>
      <c r="AD34" s="392">
        <f t="shared" si="20"/>
        <v>0.84999999999999987</v>
      </c>
      <c r="AE34" s="392">
        <f t="shared" si="20"/>
        <v>0.83999999999999986</v>
      </c>
      <c r="AF34" s="392">
        <f t="shared" si="20"/>
        <v>0.81999999999999984</v>
      </c>
      <c r="AG34" s="392">
        <f t="shared" si="20"/>
        <v>0.80999999999999983</v>
      </c>
      <c r="AH34" s="392">
        <f t="shared" si="20"/>
        <v>0.79999999999999982</v>
      </c>
      <c r="AI34" s="392">
        <f t="shared" si="20"/>
        <v>0.79999999999999982</v>
      </c>
      <c r="AJ34" s="392">
        <f t="shared" si="20"/>
        <v>0.80999999999999983</v>
      </c>
      <c r="AK34" s="392">
        <f t="shared" si="20"/>
        <v>0.79999999999999982</v>
      </c>
      <c r="AL34" s="392">
        <f t="shared" si="20"/>
        <v>0.78999999999999981</v>
      </c>
      <c r="AM34" s="392">
        <f t="shared" si="20"/>
        <v>0.72999999999999976</v>
      </c>
      <c r="AN34" s="392">
        <f t="shared" si="20"/>
        <v>0.27999999999999975</v>
      </c>
      <c r="AO34" s="392">
        <f t="shared" si="20"/>
        <v>1.9999999999999737E-2</v>
      </c>
      <c r="AP34" s="392">
        <f t="shared" si="20"/>
        <v>-2.6413149082585423E-16</v>
      </c>
      <c r="AQ34" s="392">
        <f t="shared" si="20"/>
        <v>-2.6413149082585423E-16</v>
      </c>
      <c r="AR34" s="392">
        <f t="shared" si="20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989</v>
      </c>
      <c r="D35" s="538">
        <f>F35/F$37</f>
        <v>0.15643802647412755</v>
      </c>
      <c r="E35" s="534" t="s">
        <v>1010</v>
      </c>
      <c r="F35" s="535">
        <f>SUM(I35:AR35)*5</f>
        <v>1988.9999999999998</v>
      </c>
      <c r="G35" s="536" t="s">
        <v>1011</v>
      </c>
      <c r="H35" s="504" t="s">
        <v>56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>
        <f>Y24</f>
        <v>0</v>
      </c>
      <c r="Z35" s="64">
        <f>Y35+Z21+Z24-Z26</f>
        <v>0</v>
      </c>
      <c r="AA35" s="64">
        <f t="shared" ref="AA35:AQ35" si="21">Z35+AA21+AA24-AA26</f>
        <v>0</v>
      </c>
      <c r="AB35" s="64">
        <f t="shared" si="21"/>
        <v>0</v>
      </c>
      <c r="AC35" s="64">
        <f t="shared" si="21"/>
        <v>3.06</v>
      </c>
      <c r="AD35" s="64">
        <f t="shared" si="21"/>
        <v>7.65</v>
      </c>
      <c r="AE35" s="64">
        <f t="shared" si="21"/>
        <v>12.24</v>
      </c>
      <c r="AF35" s="64">
        <f t="shared" si="21"/>
        <v>18.36</v>
      </c>
      <c r="AG35" s="64">
        <f t="shared" si="21"/>
        <v>22.95</v>
      </c>
      <c r="AH35" s="64">
        <f t="shared" si="21"/>
        <v>26.009999999999998</v>
      </c>
      <c r="AI35" s="64">
        <f t="shared" si="21"/>
        <v>27.54</v>
      </c>
      <c r="AJ35" s="64">
        <f t="shared" si="21"/>
        <v>29.07</v>
      </c>
      <c r="AK35" s="64">
        <f t="shared" si="21"/>
        <v>30.6</v>
      </c>
      <c r="AL35" s="64">
        <f t="shared" si="21"/>
        <v>32.130000000000003</v>
      </c>
      <c r="AM35" s="64">
        <f t="shared" si="21"/>
        <v>41.31</v>
      </c>
      <c r="AN35" s="64">
        <f t="shared" si="21"/>
        <v>82.62</v>
      </c>
      <c r="AO35" s="64">
        <f t="shared" si="21"/>
        <v>61.2</v>
      </c>
      <c r="AP35" s="64">
        <f t="shared" si="21"/>
        <v>3.0600000000000023</v>
      </c>
      <c r="AQ35" s="64">
        <f t="shared" si="21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69</v>
      </c>
      <c r="D36" s="99">
        <f>SUM(I35:AR35)*5/G$6</f>
        <v>12.999999999999998</v>
      </c>
      <c r="E36" s="24" t="s">
        <v>70</v>
      </c>
      <c r="F36" s="24"/>
      <c r="G36" s="24"/>
      <c r="H36" s="505" t="s">
        <v>57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>
        <f t="shared" si="20"/>
        <v>0</v>
      </c>
      <c r="AA36" s="75">
        <f t="shared" si="20"/>
        <v>0</v>
      </c>
      <c r="AB36" s="75">
        <f t="shared" si="20"/>
        <v>0</v>
      </c>
      <c r="AC36" s="75">
        <f t="shared" si="20"/>
        <v>0.02</v>
      </c>
      <c r="AD36" s="75">
        <f t="shared" si="20"/>
        <v>0.05</v>
      </c>
      <c r="AE36" s="75">
        <f t="shared" si="20"/>
        <v>0.08</v>
      </c>
      <c r="AF36" s="75">
        <f t="shared" si="20"/>
        <v>0.12</v>
      </c>
      <c r="AG36" s="75">
        <f t="shared" si="20"/>
        <v>0.15</v>
      </c>
      <c r="AH36" s="75">
        <f t="shared" si="20"/>
        <v>0.16999999999999998</v>
      </c>
      <c r="AI36" s="75">
        <f t="shared" si="20"/>
        <v>0.18</v>
      </c>
      <c r="AJ36" s="75">
        <f t="shared" si="20"/>
        <v>0.19</v>
      </c>
      <c r="AK36" s="75">
        <f t="shared" si="20"/>
        <v>0.2</v>
      </c>
      <c r="AL36" s="75">
        <f t="shared" si="20"/>
        <v>0.21000000000000002</v>
      </c>
      <c r="AM36" s="75">
        <f t="shared" si="20"/>
        <v>0.27</v>
      </c>
      <c r="AN36" s="75">
        <f t="shared" si="20"/>
        <v>0.54</v>
      </c>
      <c r="AO36" s="75">
        <f t="shared" si="20"/>
        <v>0.4</v>
      </c>
      <c r="AP36" s="75">
        <f t="shared" si="20"/>
        <v>2.0000000000000014E-2</v>
      </c>
      <c r="AQ36" s="75">
        <f t="shared" si="20"/>
        <v>0</v>
      </c>
      <c r="AR36" s="75">
        <f t="shared" si="20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1009</v>
      </c>
      <c r="D37" s="527"/>
      <c r="E37" s="534" t="s">
        <v>1010</v>
      </c>
      <c r="F37" s="535">
        <f>SUM(I37:AR37)*5</f>
        <v>12714.3</v>
      </c>
      <c r="G37" s="536" t="s">
        <v>1011</v>
      </c>
      <c r="H37" s="528" t="s">
        <v>56</v>
      </c>
      <c r="I37" s="529">
        <f>I33+I35</f>
        <v>0</v>
      </c>
      <c r="J37" s="529">
        <f t="shared" ref="J37:AR37" si="22">J33+J35</f>
        <v>0</v>
      </c>
      <c r="K37" s="529">
        <f t="shared" si="22"/>
        <v>0</v>
      </c>
      <c r="L37" s="529">
        <f t="shared" si="22"/>
        <v>0</v>
      </c>
      <c r="M37" s="529">
        <f t="shared" si="22"/>
        <v>0</v>
      </c>
      <c r="N37" s="529">
        <f t="shared" si="22"/>
        <v>1.53</v>
      </c>
      <c r="O37" s="529">
        <f t="shared" si="22"/>
        <v>3.06</v>
      </c>
      <c r="P37" s="529">
        <f t="shared" si="22"/>
        <v>6.12</v>
      </c>
      <c r="Q37" s="529">
        <f t="shared" si="22"/>
        <v>9.18</v>
      </c>
      <c r="R37" s="529">
        <f t="shared" si="22"/>
        <v>13.77</v>
      </c>
      <c r="S37" s="529">
        <f t="shared" si="22"/>
        <v>19.89</v>
      </c>
      <c r="T37" s="529">
        <f t="shared" si="22"/>
        <v>27.54</v>
      </c>
      <c r="U37" s="529">
        <f t="shared" si="22"/>
        <v>36.72</v>
      </c>
      <c r="V37" s="529">
        <f t="shared" si="22"/>
        <v>47.43</v>
      </c>
      <c r="W37" s="529">
        <f t="shared" si="22"/>
        <v>59.67</v>
      </c>
      <c r="X37" s="529">
        <f t="shared" si="22"/>
        <v>73.44</v>
      </c>
      <c r="Y37" s="529">
        <f t="shared" si="22"/>
        <v>88.74</v>
      </c>
      <c r="Z37" s="529">
        <f t="shared" si="22"/>
        <v>104.03999999999999</v>
      </c>
      <c r="AA37" s="529">
        <f t="shared" si="22"/>
        <v>117.80999999999999</v>
      </c>
      <c r="AB37" s="529">
        <f t="shared" si="22"/>
        <v>128.51999999999998</v>
      </c>
      <c r="AC37" s="529">
        <f t="shared" si="22"/>
        <v>133.10999999999999</v>
      </c>
      <c r="AD37" s="529">
        <f t="shared" si="22"/>
        <v>137.69999999999999</v>
      </c>
      <c r="AE37" s="529">
        <f t="shared" si="22"/>
        <v>140.76</v>
      </c>
      <c r="AF37" s="529">
        <f t="shared" si="22"/>
        <v>143.82</v>
      </c>
      <c r="AG37" s="529">
        <f t="shared" si="22"/>
        <v>146.87999999999997</v>
      </c>
      <c r="AH37" s="529">
        <f t="shared" si="22"/>
        <v>148.40999999999997</v>
      </c>
      <c r="AI37" s="529">
        <f t="shared" si="22"/>
        <v>149.93999999999997</v>
      </c>
      <c r="AJ37" s="529">
        <f t="shared" si="22"/>
        <v>152.99999999999997</v>
      </c>
      <c r="AK37" s="529">
        <f t="shared" si="22"/>
        <v>152.99999999999997</v>
      </c>
      <c r="AL37" s="529">
        <f t="shared" si="22"/>
        <v>152.99999999999997</v>
      </c>
      <c r="AM37" s="529">
        <f t="shared" si="22"/>
        <v>152.99999999999997</v>
      </c>
      <c r="AN37" s="529">
        <f t="shared" si="22"/>
        <v>125.45999999999997</v>
      </c>
      <c r="AO37" s="529">
        <f t="shared" si="22"/>
        <v>64.259999999999962</v>
      </c>
      <c r="AP37" s="529">
        <f t="shared" si="22"/>
        <v>3.0599999999999619</v>
      </c>
      <c r="AQ37" s="529">
        <f t="shared" si="22"/>
        <v>-4.0412118096355698E-14</v>
      </c>
      <c r="AR37" s="529">
        <f t="shared" si="22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57</v>
      </c>
      <c r="I38" s="75">
        <f>I37/$G$6</f>
        <v>0</v>
      </c>
      <c r="J38" s="75">
        <f t="shared" ref="J38:AR38" si="23">J37/$G$6</f>
        <v>0</v>
      </c>
      <c r="K38" s="75">
        <f t="shared" si="23"/>
        <v>0</v>
      </c>
      <c r="L38" s="75">
        <f t="shared" si="23"/>
        <v>0</v>
      </c>
      <c r="M38" s="75">
        <f t="shared" si="23"/>
        <v>0</v>
      </c>
      <c r="N38" s="75">
        <f t="shared" si="23"/>
        <v>0.01</v>
      </c>
      <c r="O38" s="75">
        <f t="shared" si="23"/>
        <v>0.02</v>
      </c>
      <c r="P38" s="75">
        <f t="shared" si="23"/>
        <v>0.04</v>
      </c>
      <c r="Q38" s="75">
        <f t="shared" si="23"/>
        <v>0.06</v>
      </c>
      <c r="R38" s="75">
        <f t="shared" si="23"/>
        <v>0.09</v>
      </c>
      <c r="S38" s="75">
        <f t="shared" si="23"/>
        <v>0.13</v>
      </c>
      <c r="T38" s="75">
        <f t="shared" si="23"/>
        <v>0.18</v>
      </c>
      <c r="U38" s="75">
        <f t="shared" si="23"/>
        <v>0.24</v>
      </c>
      <c r="V38" s="75">
        <f t="shared" si="23"/>
        <v>0.31</v>
      </c>
      <c r="W38" s="75">
        <f t="shared" si="23"/>
        <v>0.39</v>
      </c>
      <c r="X38" s="75">
        <f t="shared" si="23"/>
        <v>0.48</v>
      </c>
      <c r="Y38" s="75">
        <f t="shared" si="23"/>
        <v>0.57999999999999996</v>
      </c>
      <c r="Z38" s="75">
        <f t="shared" si="23"/>
        <v>0.67999999999999994</v>
      </c>
      <c r="AA38" s="75">
        <f t="shared" si="23"/>
        <v>0.76999999999999991</v>
      </c>
      <c r="AB38" s="75">
        <f t="shared" si="23"/>
        <v>0.83999999999999986</v>
      </c>
      <c r="AC38" s="75">
        <f t="shared" si="23"/>
        <v>0.86999999999999988</v>
      </c>
      <c r="AD38" s="75">
        <f t="shared" si="23"/>
        <v>0.89999999999999991</v>
      </c>
      <c r="AE38" s="75">
        <f t="shared" si="23"/>
        <v>0.91999999999999993</v>
      </c>
      <c r="AF38" s="75">
        <f t="shared" si="23"/>
        <v>0.94</v>
      </c>
      <c r="AG38" s="75">
        <f t="shared" si="23"/>
        <v>0.95999999999999974</v>
      </c>
      <c r="AH38" s="75">
        <f t="shared" si="23"/>
        <v>0.96999999999999975</v>
      </c>
      <c r="AI38" s="75">
        <f t="shared" si="23"/>
        <v>0.97999999999999976</v>
      </c>
      <c r="AJ38" s="75">
        <f t="shared" si="23"/>
        <v>0.99999999999999978</v>
      </c>
      <c r="AK38" s="75">
        <f t="shared" si="23"/>
        <v>0.99999999999999978</v>
      </c>
      <c r="AL38" s="75">
        <f t="shared" si="23"/>
        <v>0.99999999999999978</v>
      </c>
      <c r="AM38" s="75">
        <f t="shared" si="23"/>
        <v>0.99999999999999978</v>
      </c>
      <c r="AN38" s="75">
        <f t="shared" si="23"/>
        <v>0.81999999999999973</v>
      </c>
      <c r="AO38" s="75">
        <f t="shared" si="23"/>
        <v>0.41999999999999976</v>
      </c>
      <c r="AP38" s="75">
        <f t="shared" si="23"/>
        <v>1.9999999999999751E-2</v>
      </c>
      <c r="AQ38" s="75">
        <f t="shared" si="23"/>
        <v>-2.6413149082585423E-16</v>
      </c>
      <c r="AR38" s="75">
        <f t="shared" si="23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440"/>
      <c r="E98" s="440"/>
      <c r="F98" s="440"/>
      <c r="G98" s="440"/>
      <c r="H98" s="440"/>
      <c r="I98" s="440"/>
      <c r="J98" s="440"/>
      <c r="K98" s="440"/>
      <c r="L98" s="440"/>
      <c r="M98" s="440"/>
      <c r="N98" s="440"/>
      <c r="O98" s="440"/>
      <c r="P98" s="440"/>
      <c r="Q98" s="440"/>
      <c r="R98" s="440"/>
      <c r="S98" s="440"/>
      <c r="T98" s="440"/>
      <c r="U98" s="440"/>
      <c r="V98" s="440"/>
      <c r="W98" s="440"/>
      <c r="X98" s="440"/>
      <c r="Y98" s="440"/>
      <c r="Z98" s="440"/>
      <c r="AA98" s="440"/>
      <c r="AB98" s="440"/>
      <c r="AC98" s="440"/>
      <c r="AD98" s="440"/>
      <c r="AE98" s="440"/>
      <c r="AF98" s="440"/>
      <c r="AG98" s="440"/>
      <c r="AH98" s="440"/>
      <c r="AI98" s="440"/>
      <c r="AJ98" s="440"/>
      <c r="AK98" s="440"/>
      <c r="AL98" s="440"/>
      <c r="AM98" s="440"/>
      <c r="AT98"/>
      <c r="AU98"/>
      <c r="AV98"/>
      <c r="AW98"/>
      <c r="AX98"/>
    </row>
    <row r="99" spans="4:50" ht="24" customHeight="1" x14ac:dyDescent="0.25">
      <c r="D99" s="440"/>
      <c r="E99" s="440"/>
      <c r="F99" s="440"/>
      <c r="G99" s="440"/>
      <c r="H99" s="440"/>
      <c r="I99" s="440"/>
      <c r="J99" s="440"/>
      <c r="K99" s="440"/>
      <c r="L99" s="440"/>
      <c r="M99" s="440"/>
      <c r="N99" s="440"/>
      <c r="O99" s="440"/>
      <c r="P99" s="440"/>
      <c r="Q99" s="440"/>
      <c r="R99" s="440"/>
      <c r="S99" s="440"/>
      <c r="T99" s="440"/>
      <c r="U99" s="440"/>
      <c r="V99" s="440"/>
      <c r="W99" s="440"/>
      <c r="X99" s="440"/>
      <c r="Y99" s="440"/>
      <c r="Z99" s="440"/>
      <c r="AA99" s="440"/>
      <c r="AB99" s="440"/>
      <c r="AC99" s="440"/>
      <c r="AD99" s="440"/>
      <c r="AE99" s="440"/>
      <c r="AF99" s="440"/>
      <c r="AG99" s="440"/>
      <c r="AH99" s="440"/>
      <c r="AI99" s="440"/>
      <c r="AJ99" s="440"/>
      <c r="AK99" s="440"/>
      <c r="AL99" s="440"/>
      <c r="AM99" s="440"/>
      <c r="AT99"/>
      <c r="AU99"/>
      <c r="AV99"/>
      <c r="AW99"/>
      <c r="AX99"/>
    </row>
    <row r="100" spans="4:50" ht="24" customHeight="1" x14ac:dyDescent="0.25">
      <c r="D100" s="440"/>
      <c r="E100" s="440"/>
      <c r="F100" s="440"/>
      <c r="G100" s="440"/>
      <c r="H100" s="440"/>
      <c r="I100" s="440"/>
      <c r="J100" s="440"/>
      <c r="K100" s="440"/>
      <c r="L100" s="440"/>
      <c r="M100" s="440"/>
      <c r="N100" s="440"/>
      <c r="O100" s="440"/>
      <c r="P100" s="440"/>
      <c r="Q100" s="440"/>
      <c r="R100" s="440"/>
      <c r="S100" s="440"/>
      <c r="T100" s="440"/>
      <c r="U100" s="440"/>
      <c r="V100" s="440"/>
      <c r="W100" s="440"/>
      <c r="X100" s="440"/>
      <c r="Y100" s="440"/>
      <c r="Z100" s="440"/>
      <c r="AA100" s="440"/>
      <c r="AB100" s="440"/>
      <c r="AC100" s="440"/>
      <c r="AD100" s="440"/>
      <c r="AE100" s="440"/>
      <c r="AF100" s="440"/>
      <c r="AG100" s="440"/>
      <c r="AH100" s="440"/>
      <c r="AI100" s="440"/>
      <c r="AJ100" s="440"/>
      <c r="AK100" s="440"/>
      <c r="AL100" s="440"/>
      <c r="AM100" s="440"/>
      <c r="AT100"/>
      <c r="AU100"/>
      <c r="AV100"/>
      <c r="AW100"/>
      <c r="AX100"/>
    </row>
    <row r="101" spans="4:50" ht="24" customHeight="1" x14ac:dyDescent="0.25">
      <c r="D101" s="440"/>
      <c r="E101" s="440"/>
      <c r="F101" s="440"/>
      <c r="G101" s="440"/>
      <c r="H101" s="440"/>
      <c r="I101" s="440"/>
      <c r="J101" s="440"/>
      <c r="K101" s="440"/>
      <c r="L101" s="440"/>
      <c r="M101" s="440"/>
      <c r="N101" s="440"/>
      <c r="O101" s="440"/>
      <c r="P101" s="440"/>
      <c r="Q101" s="440"/>
      <c r="R101" s="440"/>
      <c r="S101" s="440"/>
      <c r="T101" s="440"/>
      <c r="U101" s="440"/>
      <c r="V101" s="440"/>
      <c r="W101" s="440"/>
      <c r="X101" s="440"/>
      <c r="Y101" s="440"/>
      <c r="Z101" s="440"/>
      <c r="AA101" s="440"/>
      <c r="AB101" s="440"/>
      <c r="AC101" s="440"/>
      <c r="AD101" s="440"/>
      <c r="AE101" s="440"/>
      <c r="AF101" s="440"/>
      <c r="AG101" s="440"/>
      <c r="AH101" s="440"/>
      <c r="AI101" s="440"/>
      <c r="AJ101" s="440"/>
      <c r="AK101" s="440"/>
      <c r="AL101" s="440"/>
      <c r="AM101" s="440"/>
      <c r="AT101"/>
      <c r="AU101"/>
      <c r="AV101"/>
      <c r="AW101"/>
      <c r="AX101"/>
    </row>
    <row r="102" spans="4:50" ht="24" customHeight="1" x14ac:dyDescent="0.25">
      <c r="D102" s="440"/>
      <c r="E102" s="440"/>
      <c r="F102" s="440"/>
      <c r="G102" s="440"/>
      <c r="H102" s="440"/>
      <c r="I102" s="440"/>
      <c r="J102" s="440"/>
      <c r="K102" s="440"/>
      <c r="L102" s="440"/>
      <c r="M102" s="440"/>
      <c r="N102" s="440"/>
      <c r="O102" s="440"/>
      <c r="P102" s="440"/>
      <c r="Q102" s="440"/>
      <c r="R102" s="440"/>
      <c r="S102" s="440"/>
      <c r="T102" s="440"/>
      <c r="U102" s="440"/>
      <c r="V102" s="440"/>
      <c r="W102" s="440"/>
      <c r="X102" s="440"/>
      <c r="Y102" s="440"/>
      <c r="Z102" s="440"/>
      <c r="AA102" s="440"/>
      <c r="AB102" s="440"/>
      <c r="AC102" s="440"/>
      <c r="AD102" s="440"/>
      <c r="AE102" s="440"/>
      <c r="AF102" s="440"/>
      <c r="AG102" s="440"/>
      <c r="AH102" s="440"/>
      <c r="AI102" s="440"/>
      <c r="AJ102" s="440"/>
      <c r="AK102" s="440"/>
      <c r="AL102" s="440"/>
      <c r="AM102" s="440"/>
      <c r="AT102"/>
      <c r="AU102"/>
      <c r="AV102"/>
      <c r="AW102"/>
      <c r="AX102"/>
    </row>
    <row r="103" spans="4:50" ht="24" customHeight="1" x14ac:dyDescent="0.25">
      <c r="D103" s="440"/>
      <c r="E103" s="440"/>
      <c r="F103" s="440"/>
      <c r="G103" s="440"/>
      <c r="H103" s="440"/>
      <c r="I103" s="440"/>
      <c r="J103" s="440"/>
      <c r="K103" s="440"/>
      <c r="L103" s="440"/>
      <c r="M103" s="440"/>
      <c r="N103" s="440"/>
      <c r="O103" s="440"/>
      <c r="P103" s="440"/>
      <c r="Q103" s="440"/>
      <c r="R103" s="440"/>
      <c r="S103" s="440"/>
      <c r="T103" s="440"/>
      <c r="U103" s="440"/>
      <c r="V103" s="440"/>
      <c r="W103" s="440"/>
      <c r="X103" s="440"/>
      <c r="Y103" s="440"/>
      <c r="Z103" s="440"/>
      <c r="AA103" s="440"/>
      <c r="AB103" s="440"/>
      <c r="AC103" s="440"/>
      <c r="AD103" s="440"/>
      <c r="AE103" s="440"/>
      <c r="AF103" s="440"/>
      <c r="AG103" s="440"/>
      <c r="AH103" s="440"/>
      <c r="AI103" s="440"/>
      <c r="AJ103" s="440"/>
      <c r="AK103" s="440"/>
      <c r="AL103" s="440"/>
      <c r="AM103" s="440"/>
      <c r="AT103"/>
      <c r="AU103"/>
      <c r="AV103"/>
      <c r="AW103"/>
      <c r="AX103"/>
    </row>
    <row r="104" spans="4:50" ht="24" customHeight="1" x14ac:dyDescent="0.25">
      <c r="D104" s="440"/>
      <c r="E104" s="440"/>
      <c r="F104" s="440"/>
      <c r="G104" s="440"/>
      <c r="H104" s="440"/>
      <c r="I104" s="440"/>
      <c r="J104" s="440"/>
      <c r="K104" s="440"/>
      <c r="L104" s="440"/>
      <c r="M104" s="440"/>
      <c r="N104" s="440"/>
      <c r="O104" s="440"/>
      <c r="P104" s="440"/>
      <c r="Q104" s="440"/>
      <c r="R104" s="440"/>
      <c r="S104" s="440"/>
      <c r="T104" s="440"/>
      <c r="U104" s="440"/>
      <c r="V104" s="440"/>
      <c r="W104" s="440"/>
      <c r="X104" s="440"/>
      <c r="Y104" s="440"/>
      <c r="Z104" s="440"/>
      <c r="AA104" s="440"/>
      <c r="AB104" s="440"/>
      <c r="AC104" s="440"/>
      <c r="AD104" s="440"/>
      <c r="AE104" s="440"/>
      <c r="AF104" s="440"/>
      <c r="AG104" s="440"/>
      <c r="AH104" s="440"/>
      <c r="AI104" s="440"/>
      <c r="AJ104" s="440"/>
      <c r="AK104" s="440"/>
      <c r="AL104" s="440"/>
      <c r="AM104" s="440"/>
      <c r="AT104"/>
      <c r="AU104"/>
      <c r="AV104"/>
      <c r="AW104"/>
      <c r="AX104"/>
    </row>
    <row r="105" spans="4:50" x14ac:dyDescent="0.25">
      <c r="D105" s="440"/>
      <c r="E105" s="440"/>
      <c r="F105" s="440"/>
      <c r="G105" s="440"/>
      <c r="H105" s="440"/>
      <c r="I105" s="440"/>
      <c r="J105" s="440"/>
      <c r="K105" s="440"/>
      <c r="L105" s="440"/>
      <c r="M105" s="440"/>
      <c r="N105" s="440"/>
      <c r="O105" s="440"/>
      <c r="P105" s="440"/>
      <c r="Q105" s="440"/>
      <c r="R105" s="440"/>
      <c r="S105" s="440"/>
      <c r="T105" s="440"/>
      <c r="U105" s="440"/>
      <c r="V105" s="440"/>
      <c r="W105" s="440"/>
      <c r="X105" s="440"/>
      <c r="Y105" s="440"/>
      <c r="Z105" s="440"/>
      <c r="AA105" s="440"/>
      <c r="AB105" s="440"/>
      <c r="AC105" s="440"/>
      <c r="AD105" s="440"/>
      <c r="AE105" s="440"/>
      <c r="AF105" s="440"/>
      <c r="AG105" s="440"/>
      <c r="AH105" s="440"/>
      <c r="AI105" s="440"/>
      <c r="AJ105" s="440"/>
      <c r="AK105" s="440"/>
      <c r="AL105" s="440"/>
      <c r="AM105" s="440"/>
      <c r="AT105"/>
      <c r="AU105"/>
      <c r="AV105"/>
      <c r="AW105"/>
      <c r="AX105"/>
    </row>
    <row r="106" spans="4:50" ht="18" customHeight="1" x14ac:dyDescent="0.25">
      <c r="D106" s="440"/>
      <c r="E106" s="440"/>
      <c r="F106" s="440"/>
      <c r="G106" s="440"/>
      <c r="H106" s="440"/>
      <c r="I106" s="440"/>
      <c r="J106" s="440"/>
      <c r="K106" s="440"/>
      <c r="L106" s="440"/>
      <c r="M106" s="440"/>
      <c r="N106" s="440"/>
      <c r="O106" s="440"/>
      <c r="P106" s="440"/>
      <c r="Q106" s="440"/>
      <c r="R106" s="440"/>
      <c r="S106" s="440"/>
      <c r="T106" s="440"/>
      <c r="U106" s="440"/>
      <c r="V106" s="440"/>
      <c r="W106" s="440"/>
      <c r="X106" s="440"/>
      <c r="Y106" s="440"/>
      <c r="Z106" s="440"/>
      <c r="AA106" s="440"/>
      <c r="AB106" s="440"/>
      <c r="AC106" s="440"/>
      <c r="AD106" s="440"/>
      <c r="AE106" s="440"/>
      <c r="AF106" s="440"/>
      <c r="AG106" s="440"/>
      <c r="AH106" s="440"/>
      <c r="AI106" s="440"/>
      <c r="AJ106" s="440"/>
      <c r="AK106" s="440"/>
      <c r="AL106" s="440"/>
      <c r="AM106" s="440"/>
      <c r="AT106"/>
      <c r="AU106"/>
      <c r="AV106"/>
      <c r="AW106"/>
      <c r="AX106"/>
    </row>
    <row r="107" spans="4:50" ht="30" customHeight="1" x14ac:dyDescent="0.25"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0"/>
      <c r="S107" s="440"/>
      <c r="T107" s="440"/>
      <c r="U107" s="440"/>
      <c r="V107" s="440"/>
      <c r="W107" s="440"/>
      <c r="X107" s="440"/>
      <c r="Y107" s="440"/>
      <c r="Z107" s="440"/>
      <c r="AA107" s="440"/>
      <c r="AB107" s="440"/>
      <c r="AC107" s="440"/>
      <c r="AD107" s="440"/>
      <c r="AE107" s="440"/>
      <c r="AF107" s="440"/>
      <c r="AG107" s="440"/>
      <c r="AH107" s="440"/>
      <c r="AI107" s="440"/>
      <c r="AJ107" s="440"/>
      <c r="AK107" s="440"/>
      <c r="AL107" s="440"/>
      <c r="AM107" s="440"/>
      <c r="AT107"/>
      <c r="AU107"/>
      <c r="AV107"/>
      <c r="AW107"/>
      <c r="AX107"/>
    </row>
    <row r="108" spans="4:50" ht="24" customHeight="1" x14ac:dyDescent="0.25">
      <c r="D108" s="440"/>
      <c r="E108" s="440"/>
      <c r="F108" s="440"/>
      <c r="G108" s="440"/>
      <c r="H108" s="440"/>
      <c r="I108" s="440"/>
      <c r="J108" s="440"/>
      <c r="K108" s="440"/>
      <c r="L108" s="440"/>
      <c r="M108" s="440"/>
      <c r="N108" s="440"/>
      <c r="O108" s="440"/>
      <c r="P108" s="440"/>
      <c r="Q108" s="440"/>
      <c r="R108" s="440"/>
      <c r="S108" s="440"/>
      <c r="T108" s="440"/>
      <c r="U108" s="440"/>
      <c r="V108" s="440"/>
      <c r="W108" s="440"/>
      <c r="X108" s="440"/>
      <c r="Y108" s="440"/>
      <c r="Z108" s="440"/>
      <c r="AA108" s="440"/>
      <c r="AB108" s="440"/>
      <c r="AC108" s="440"/>
      <c r="AD108" s="440"/>
      <c r="AE108" s="440"/>
      <c r="AF108" s="440"/>
      <c r="AG108" s="440"/>
      <c r="AH108" s="440"/>
      <c r="AI108" s="440"/>
      <c r="AJ108" s="440"/>
      <c r="AK108" s="440"/>
      <c r="AL108" s="440"/>
      <c r="AM108" s="440"/>
      <c r="AT108"/>
      <c r="AU108"/>
      <c r="AV108"/>
      <c r="AW108"/>
      <c r="AX108"/>
    </row>
    <row r="109" spans="4:50" ht="24" customHeight="1" x14ac:dyDescent="0.25">
      <c r="D109" s="440"/>
      <c r="E109" s="440"/>
      <c r="F109" s="440"/>
      <c r="G109" s="440"/>
      <c r="H109" s="440"/>
      <c r="I109" s="440"/>
      <c r="J109" s="440"/>
      <c r="K109" s="440"/>
      <c r="L109" s="440"/>
      <c r="M109" s="440"/>
      <c r="N109" s="440"/>
      <c r="O109" s="440"/>
      <c r="P109" s="440"/>
      <c r="Q109" s="440"/>
      <c r="R109" s="440"/>
      <c r="S109" s="440"/>
      <c r="T109" s="440"/>
      <c r="U109" s="440"/>
      <c r="V109" s="440"/>
      <c r="W109" s="440"/>
      <c r="X109" s="440"/>
      <c r="Y109" s="440"/>
      <c r="Z109" s="440"/>
      <c r="AA109" s="440"/>
      <c r="AB109" s="440"/>
      <c r="AC109" s="440"/>
      <c r="AD109" s="440"/>
      <c r="AE109" s="440"/>
      <c r="AF109" s="440"/>
      <c r="AG109" s="440"/>
      <c r="AH109" s="440"/>
      <c r="AI109" s="440"/>
      <c r="AJ109" s="440"/>
      <c r="AK109" s="440"/>
      <c r="AL109" s="440"/>
      <c r="AM109" s="440"/>
      <c r="AT109"/>
      <c r="AU109"/>
      <c r="AV109"/>
      <c r="AW109"/>
      <c r="AX109"/>
    </row>
    <row r="110" spans="4:50" ht="24" customHeight="1" x14ac:dyDescent="0.25">
      <c r="D110" s="440"/>
      <c r="E110" s="440"/>
      <c r="F110" s="440"/>
      <c r="G110" s="440"/>
      <c r="H110" s="440"/>
      <c r="I110" s="440"/>
      <c r="J110" s="440"/>
      <c r="K110" s="440"/>
      <c r="L110" s="440"/>
      <c r="M110" s="440"/>
      <c r="N110" s="440"/>
      <c r="O110" s="440"/>
      <c r="P110" s="440"/>
      <c r="Q110" s="440"/>
      <c r="R110" s="440"/>
      <c r="S110" s="440"/>
      <c r="T110" s="440"/>
      <c r="U110" s="440"/>
      <c r="V110" s="440"/>
      <c r="W110" s="440"/>
      <c r="X110" s="440"/>
      <c r="Y110" s="440"/>
      <c r="Z110" s="440"/>
      <c r="AA110" s="440"/>
      <c r="AB110" s="440"/>
      <c r="AC110" s="440"/>
      <c r="AD110" s="440"/>
      <c r="AE110" s="440"/>
      <c r="AF110" s="440"/>
      <c r="AG110" s="440"/>
      <c r="AH110" s="440"/>
      <c r="AI110" s="440"/>
      <c r="AJ110" s="440"/>
      <c r="AK110" s="440"/>
      <c r="AL110" s="440"/>
      <c r="AM110" s="440"/>
      <c r="AT110"/>
      <c r="AU110"/>
      <c r="AV110"/>
      <c r="AW110"/>
      <c r="AX110"/>
    </row>
    <row r="111" spans="4:50" ht="24" customHeight="1" x14ac:dyDescent="0.25">
      <c r="D111" s="440"/>
      <c r="E111" s="440"/>
      <c r="F111" s="440"/>
      <c r="G111" s="440"/>
      <c r="H111" s="440"/>
      <c r="I111" s="440"/>
      <c r="J111" s="440"/>
      <c r="K111" s="440"/>
      <c r="L111" s="440"/>
      <c r="M111" s="440"/>
      <c r="N111" s="440"/>
      <c r="O111" s="440"/>
      <c r="P111" s="440"/>
      <c r="Q111" s="440"/>
      <c r="R111" s="440"/>
      <c r="S111" s="440"/>
      <c r="T111" s="440"/>
      <c r="U111" s="440"/>
      <c r="V111" s="440"/>
      <c r="W111" s="440"/>
      <c r="X111" s="440"/>
      <c r="Y111" s="440"/>
      <c r="Z111" s="440"/>
      <c r="AA111" s="440"/>
      <c r="AB111" s="440"/>
      <c r="AC111" s="440"/>
      <c r="AD111" s="440"/>
      <c r="AE111" s="440"/>
      <c r="AF111" s="440"/>
      <c r="AG111" s="440"/>
      <c r="AH111" s="440"/>
      <c r="AI111" s="440"/>
      <c r="AJ111" s="440"/>
      <c r="AK111" s="440"/>
      <c r="AL111" s="440"/>
      <c r="AM111" s="440"/>
      <c r="AT111"/>
      <c r="AU111"/>
      <c r="AV111"/>
      <c r="AW111"/>
      <c r="AX111"/>
    </row>
    <row r="112" spans="4:50" ht="24" customHeight="1" x14ac:dyDescent="0.25">
      <c r="D112" s="440"/>
      <c r="E112" s="440"/>
      <c r="F112" s="440"/>
      <c r="G112" s="440"/>
      <c r="H112" s="440"/>
      <c r="I112" s="440"/>
      <c r="J112" s="440"/>
      <c r="K112" s="440"/>
      <c r="L112" s="440"/>
      <c r="M112" s="440"/>
      <c r="N112" s="440"/>
      <c r="O112" s="440"/>
      <c r="P112" s="440"/>
      <c r="Q112" s="440"/>
      <c r="R112" s="440"/>
      <c r="S112" s="440"/>
      <c r="T112" s="440"/>
      <c r="U112" s="440"/>
      <c r="V112" s="440"/>
      <c r="W112" s="440"/>
      <c r="X112" s="440"/>
      <c r="Y112" s="440"/>
      <c r="Z112" s="440"/>
      <c r="AA112" s="440"/>
      <c r="AB112" s="440"/>
      <c r="AC112" s="440"/>
      <c r="AD112" s="440"/>
      <c r="AE112" s="440"/>
      <c r="AF112" s="440"/>
      <c r="AG112" s="440"/>
      <c r="AH112" s="440"/>
      <c r="AI112" s="440"/>
      <c r="AJ112" s="440"/>
      <c r="AK112" s="440"/>
      <c r="AL112" s="440"/>
      <c r="AM112" s="440"/>
      <c r="AT112"/>
      <c r="AU112"/>
      <c r="AV112"/>
      <c r="AW112"/>
      <c r="AX112"/>
    </row>
    <row r="113" spans="4:50" ht="24" customHeight="1" x14ac:dyDescent="0.25">
      <c r="D113" s="440"/>
      <c r="E113" s="440"/>
      <c r="F113" s="440"/>
      <c r="G113" s="440"/>
      <c r="H113" s="440"/>
      <c r="I113" s="440"/>
      <c r="J113" s="440"/>
      <c r="K113" s="440"/>
      <c r="L113" s="440"/>
      <c r="M113" s="440"/>
      <c r="N113" s="440"/>
      <c r="O113" s="440"/>
      <c r="P113" s="440"/>
      <c r="Q113" s="440"/>
      <c r="R113" s="440"/>
      <c r="S113" s="440"/>
      <c r="T113" s="440"/>
      <c r="U113" s="440"/>
      <c r="V113" s="440"/>
      <c r="W113" s="440"/>
      <c r="X113" s="440"/>
      <c r="Y113" s="440"/>
      <c r="Z113" s="440"/>
      <c r="AA113" s="440"/>
      <c r="AB113" s="440"/>
      <c r="AC113" s="440"/>
      <c r="AD113" s="440"/>
      <c r="AE113" s="440"/>
      <c r="AF113" s="440"/>
      <c r="AG113" s="440"/>
      <c r="AH113" s="440"/>
      <c r="AI113" s="440"/>
      <c r="AJ113" s="440"/>
      <c r="AK113" s="440"/>
      <c r="AL113" s="440"/>
      <c r="AM113" s="440"/>
      <c r="AT113"/>
      <c r="AU113"/>
      <c r="AV113"/>
      <c r="AW113"/>
      <c r="AX113"/>
    </row>
    <row r="114" spans="4:50" ht="24" customHeight="1" x14ac:dyDescent="0.25">
      <c r="D114" s="440"/>
      <c r="E114" s="440"/>
      <c r="F114" s="440"/>
      <c r="G114" s="440"/>
      <c r="H114" s="440"/>
      <c r="I114" s="440"/>
      <c r="J114" s="440"/>
      <c r="K114" s="440"/>
      <c r="L114" s="440"/>
      <c r="M114" s="440"/>
      <c r="N114" s="440"/>
      <c r="O114" s="440"/>
      <c r="P114" s="440"/>
      <c r="Q114" s="440"/>
      <c r="R114" s="440"/>
      <c r="S114" s="440"/>
      <c r="T114" s="440"/>
      <c r="U114" s="440"/>
      <c r="V114" s="440"/>
      <c r="W114" s="440"/>
      <c r="X114" s="440"/>
      <c r="Y114" s="440"/>
      <c r="Z114" s="440"/>
      <c r="AA114" s="440"/>
      <c r="AB114" s="440"/>
      <c r="AC114" s="440"/>
      <c r="AD114" s="440"/>
      <c r="AE114" s="440"/>
      <c r="AF114" s="440"/>
      <c r="AG114" s="440"/>
      <c r="AH114" s="440"/>
      <c r="AI114" s="440"/>
      <c r="AJ114" s="440"/>
      <c r="AK114" s="440"/>
      <c r="AL114" s="440"/>
      <c r="AM114" s="440"/>
      <c r="AT114"/>
      <c r="AU114"/>
      <c r="AV114"/>
      <c r="AW114"/>
      <c r="AX114"/>
    </row>
    <row r="115" spans="4:50" ht="24" customHeight="1" x14ac:dyDescent="0.25">
      <c r="D115" s="440"/>
      <c r="E115" s="440"/>
      <c r="F115" s="440"/>
      <c r="G115" s="440"/>
      <c r="H115" s="440"/>
      <c r="I115" s="440"/>
      <c r="J115" s="440"/>
      <c r="K115" s="440"/>
      <c r="L115" s="440"/>
      <c r="M115" s="440"/>
      <c r="N115" s="440"/>
      <c r="O115" s="440"/>
      <c r="P115" s="440"/>
      <c r="Q115" s="440"/>
      <c r="R115" s="440"/>
      <c r="S115" s="440"/>
      <c r="T115" s="440"/>
      <c r="U115" s="440"/>
      <c r="V115" s="440"/>
      <c r="W115" s="440"/>
      <c r="X115" s="440"/>
      <c r="Y115" s="440"/>
      <c r="Z115" s="440"/>
      <c r="AA115" s="440"/>
      <c r="AB115" s="440"/>
      <c r="AC115" s="440"/>
      <c r="AD115" s="440"/>
      <c r="AE115" s="440"/>
      <c r="AF115" s="440"/>
      <c r="AG115" s="440"/>
      <c r="AH115" s="440"/>
      <c r="AI115" s="440"/>
      <c r="AJ115" s="440"/>
      <c r="AK115" s="440"/>
      <c r="AL115" s="440"/>
      <c r="AM115" s="440"/>
      <c r="AT115"/>
      <c r="AU115"/>
      <c r="AV115"/>
      <c r="AW115"/>
      <c r="AX115"/>
    </row>
    <row r="116" spans="4:50" ht="24" customHeight="1" x14ac:dyDescent="0.25">
      <c r="D116" s="440"/>
      <c r="E116" s="440"/>
      <c r="F116" s="440"/>
      <c r="G116" s="440"/>
      <c r="H116" s="440"/>
      <c r="I116" s="440"/>
      <c r="J116" s="440"/>
      <c r="K116" s="440"/>
      <c r="L116" s="440"/>
      <c r="M116" s="440"/>
      <c r="N116" s="440"/>
      <c r="O116" s="440"/>
      <c r="P116" s="440"/>
      <c r="Q116" s="440"/>
      <c r="R116" s="440"/>
      <c r="S116" s="440"/>
      <c r="T116" s="440"/>
      <c r="U116" s="440"/>
      <c r="V116" s="440"/>
      <c r="W116" s="440"/>
      <c r="X116" s="440"/>
      <c r="Y116" s="440"/>
      <c r="Z116" s="440"/>
      <c r="AA116" s="440"/>
      <c r="AB116" s="440"/>
      <c r="AC116" s="440"/>
      <c r="AD116" s="440"/>
      <c r="AE116" s="440"/>
      <c r="AF116" s="440"/>
      <c r="AG116" s="440"/>
      <c r="AH116" s="440"/>
      <c r="AI116" s="440"/>
      <c r="AJ116" s="440"/>
      <c r="AK116" s="440"/>
      <c r="AL116" s="440"/>
      <c r="AM116" s="440"/>
      <c r="AT116"/>
      <c r="AU116"/>
      <c r="AV116"/>
      <c r="AW116"/>
      <c r="AX116"/>
    </row>
    <row r="117" spans="4:50" ht="24" customHeight="1" x14ac:dyDescent="0.25">
      <c r="D117" s="440"/>
      <c r="E117" s="440"/>
      <c r="F117" s="440"/>
      <c r="G117" s="440"/>
      <c r="H117" s="440"/>
      <c r="I117" s="440"/>
      <c r="J117" s="440"/>
      <c r="K117" s="440"/>
      <c r="L117" s="440"/>
      <c r="M117" s="440"/>
      <c r="N117" s="440"/>
      <c r="O117" s="440"/>
      <c r="P117" s="440"/>
      <c r="Q117" s="440"/>
      <c r="R117" s="440"/>
      <c r="S117" s="440"/>
      <c r="T117" s="440"/>
      <c r="U117" s="440"/>
      <c r="V117" s="440"/>
      <c r="W117" s="440"/>
      <c r="X117" s="440"/>
      <c r="Y117" s="440"/>
      <c r="Z117" s="440"/>
      <c r="AA117" s="440"/>
      <c r="AB117" s="440"/>
      <c r="AC117" s="440"/>
      <c r="AD117" s="440"/>
      <c r="AE117" s="440"/>
      <c r="AF117" s="440"/>
      <c r="AG117" s="440"/>
      <c r="AH117" s="440"/>
      <c r="AI117" s="440"/>
      <c r="AJ117" s="440"/>
      <c r="AK117" s="440"/>
      <c r="AL117" s="440"/>
      <c r="AM117" s="440"/>
      <c r="AT117"/>
      <c r="AU117"/>
      <c r="AV117"/>
      <c r="AW117"/>
      <c r="AX117"/>
    </row>
    <row r="118" spans="4:50" ht="24" customHeight="1" x14ac:dyDescent="0.25">
      <c r="D118" s="440"/>
      <c r="E118" s="440"/>
      <c r="F118" s="440"/>
      <c r="G118" s="440"/>
      <c r="H118" s="440"/>
      <c r="I118" s="440"/>
      <c r="J118" s="440"/>
      <c r="K118" s="440"/>
      <c r="L118" s="440"/>
      <c r="M118" s="440"/>
      <c r="N118" s="440"/>
      <c r="O118" s="440"/>
      <c r="P118" s="440"/>
      <c r="Q118" s="440"/>
      <c r="R118" s="440"/>
      <c r="S118" s="440"/>
      <c r="T118" s="440"/>
      <c r="U118" s="440"/>
      <c r="V118" s="440"/>
      <c r="W118" s="440"/>
      <c r="X118" s="440"/>
      <c r="Y118" s="440"/>
      <c r="Z118" s="440"/>
      <c r="AA118" s="440"/>
      <c r="AB118" s="440"/>
      <c r="AC118" s="440"/>
      <c r="AD118" s="440"/>
      <c r="AE118" s="440"/>
      <c r="AF118" s="440"/>
      <c r="AG118" s="440"/>
      <c r="AH118" s="440"/>
      <c r="AI118" s="440"/>
      <c r="AJ118" s="440"/>
      <c r="AK118" s="440"/>
      <c r="AL118" s="440"/>
      <c r="AM118" s="440"/>
      <c r="AT118"/>
      <c r="AU118"/>
      <c r="AV118"/>
      <c r="AW118"/>
      <c r="AX118"/>
    </row>
    <row r="119" spans="4:50" ht="24" customHeight="1" x14ac:dyDescent="0.25">
      <c r="D119" s="440"/>
      <c r="E119" s="440"/>
      <c r="F119" s="440"/>
      <c r="G119" s="440"/>
      <c r="H119" s="440"/>
      <c r="I119" s="440"/>
      <c r="J119" s="440"/>
      <c r="K119" s="440"/>
      <c r="L119" s="440"/>
      <c r="M119" s="440"/>
      <c r="N119" s="440"/>
      <c r="O119" s="440"/>
      <c r="P119" s="440"/>
      <c r="Q119" s="440"/>
      <c r="R119" s="440"/>
      <c r="S119" s="440"/>
      <c r="T119" s="440"/>
      <c r="U119" s="440"/>
      <c r="V119" s="440"/>
      <c r="W119" s="440"/>
      <c r="X119" s="440"/>
      <c r="Y119" s="440"/>
      <c r="Z119" s="440"/>
      <c r="AA119" s="440"/>
      <c r="AB119" s="440"/>
      <c r="AC119" s="440"/>
      <c r="AD119" s="440"/>
      <c r="AE119" s="440"/>
      <c r="AF119" s="440"/>
      <c r="AG119" s="440"/>
      <c r="AH119" s="440"/>
      <c r="AI119" s="440"/>
      <c r="AJ119" s="440"/>
      <c r="AK119" s="440"/>
      <c r="AL119" s="440"/>
      <c r="AM119" s="440"/>
      <c r="AT119"/>
      <c r="AU119"/>
      <c r="AV119"/>
      <c r="AW119"/>
      <c r="AX119"/>
    </row>
    <row r="120" spans="4:50" ht="24" customHeight="1" x14ac:dyDescent="0.25">
      <c r="D120" s="440"/>
      <c r="E120" s="440"/>
      <c r="F120" s="440"/>
      <c r="G120" s="440"/>
      <c r="H120" s="440"/>
      <c r="I120" s="440"/>
      <c r="J120" s="440"/>
      <c r="K120" s="440"/>
      <c r="L120" s="440"/>
      <c r="M120" s="440"/>
      <c r="N120" s="440"/>
      <c r="O120" s="440"/>
      <c r="P120" s="440"/>
      <c r="Q120" s="440"/>
      <c r="R120" s="440"/>
      <c r="S120" s="440"/>
      <c r="T120" s="440"/>
      <c r="U120" s="440"/>
      <c r="V120" s="440"/>
      <c r="W120" s="440"/>
      <c r="X120" s="440"/>
      <c r="Y120" s="440"/>
      <c r="Z120" s="440"/>
      <c r="AA120" s="440"/>
      <c r="AB120" s="440"/>
      <c r="AC120" s="440"/>
      <c r="AD120" s="440"/>
      <c r="AE120" s="440"/>
      <c r="AF120" s="440"/>
      <c r="AG120" s="440"/>
      <c r="AH120" s="440"/>
      <c r="AI120" s="440"/>
      <c r="AJ120" s="440"/>
      <c r="AK120" s="440"/>
      <c r="AL120" s="440"/>
      <c r="AM120" s="440"/>
      <c r="AT120"/>
      <c r="AU120"/>
      <c r="AV120"/>
      <c r="AW120"/>
      <c r="AX120"/>
    </row>
    <row r="121" spans="4:50" ht="24" customHeight="1" x14ac:dyDescent="0.25">
      <c r="D121" s="440"/>
      <c r="E121" s="440"/>
      <c r="F121" s="440"/>
      <c r="G121" s="440"/>
      <c r="H121" s="440"/>
      <c r="I121" s="440"/>
      <c r="J121" s="440"/>
      <c r="K121" s="440"/>
      <c r="L121" s="440"/>
      <c r="M121" s="440"/>
      <c r="N121" s="440"/>
      <c r="O121" s="440"/>
      <c r="P121" s="440"/>
      <c r="Q121" s="440"/>
      <c r="R121" s="440"/>
      <c r="S121" s="440"/>
      <c r="T121" s="440"/>
      <c r="U121" s="440"/>
      <c r="V121" s="440"/>
      <c r="W121" s="440"/>
      <c r="X121" s="440"/>
      <c r="Y121" s="440"/>
      <c r="Z121" s="440"/>
      <c r="AA121" s="440"/>
      <c r="AB121" s="440"/>
      <c r="AC121" s="440"/>
      <c r="AD121" s="440"/>
      <c r="AE121" s="440"/>
      <c r="AF121" s="440"/>
      <c r="AG121" s="440"/>
      <c r="AH121" s="440"/>
      <c r="AI121" s="440"/>
      <c r="AJ121" s="440"/>
      <c r="AK121" s="440"/>
      <c r="AL121" s="440"/>
      <c r="AM121" s="440"/>
      <c r="AT121"/>
      <c r="AU121"/>
      <c r="AV121"/>
      <c r="AW121"/>
      <c r="AX121"/>
    </row>
    <row r="122" spans="4:50" x14ac:dyDescent="0.25">
      <c r="D122" s="440"/>
      <c r="E122" s="440"/>
      <c r="F122" s="440"/>
      <c r="G122" s="440"/>
      <c r="H122" s="440"/>
      <c r="I122" s="440"/>
      <c r="J122" s="440"/>
      <c r="K122" s="440"/>
      <c r="L122" s="440"/>
      <c r="M122" s="440"/>
      <c r="N122" s="440"/>
      <c r="O122" s="440"/>
      <c r="P122" s="440"/>
      <c r="Q122" s="440"/>
      <c r="R122" s="440"/>
      <c r="S122" s="440"/>
      <c r="T122" s="440"/>
      <c r="U122" s="440"/>
      <c r="V122" s="440"/>
      <c r="W122" s="440"/>
      <c r="X122" s="440"/>
      <c r="Y122" s="440"/>
      <c r="Z122" s="440"/>
      <c r="AA122" s="440"/>
      <c r="AB122" s="440"/>
      <c r="AC122" s="440"/>
      <c r="AD122" s="440"/>
      <c r="AE122" s="440"/>
      <c r="AF122" s="440"/>
      <c r="AG122" s="440"/>
      <c r="AH122" s="440"/>
      <c r="AI122" s="440"/>
      <c r="AJ122" s="440"/>
      <c r="AK122" s="440"/>
      <c r="AL122" s="440"/>
      <c r="AM122" s="440"/>
      <c r="AT122"/>
      <c r="AU122"/>
      <c r="AV122"/>
      <c r="AW122"/>
      <c r="AX122"/>
    </row>
    <row r="123" spans="4:50" ht="18" customHeight="1" x14ac:dyDescent="0.25">
      <c r="D123" s="440"/>
      <c r="E123" s="440"/>
      <c r="F123" s="440"/>
      <c r="G123" s="440"/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0"/>
      <c r="W123" s="440"/>
      <c r="X123" s="440"/>
      <c r="Y123" s="440"/>
      <c r="Z123" s="440"/>
      <c r="AA123" s="440"/>
      <c r="AB123" s="440"/>
      <c r="AC123" s="440"/>
      <c r="AD123" s="440"/>
      <c r="AE123" s="440"/>
      <c r="AF123" s="440"/>
      <c r="AG123" s="440"/>
      <c r="AH123" s="440"/>
      <c r="AI123" s="440"/>
      <c r="AJ123" s="440"/>
      <c r="AK123" s="440"/>
      <c r="AL123" s="440"/>
      <c r="AM123" s="440"/>
      <c r="AT123"/>
      <c r="AU123"/>
      <c r="AV123"/>
      <c r="AW123"/>
      <c r="AX123"/>
    </row>
    <row r="124" spans="4:50" ht="30" customHeight="1" x14ac:dyDescent="0.25">
      <c r="D124" s="440"/>
      <c r="E124" s="440"/>
      <c r="F124" s="440"/>
      <c r="G124" s="440"/>
      <c r="H124" s="440"/>
      <c r="I124" s="440"/>
      <c r="J124" s="440"/>
      <c r="K124" s="440"/>
      <c r="L124" s="440"/>
      <c r="M124" s="440"/>
      <c r="N124" s="440"/>
      <c r="O124" s="440"/>
      <c r="P124" s="440"/>
      <c r="Q124" s="440"/>
      <c r="R124" s="440"/>
      <c r="S124" s="440"/>
      <c r="T124" s="440"/>
      <c r="U124" s="440"/>
      <c r="V124" s="440"/>
      <c r="W124" s="440"/>
      <c r="X124" s="440"/>
      <c r="Y124" s="440"/>
      <c r="Z124" s="440"/>
      <c r="AA124" s="440"/>
      <c r="AB124" s="440"/>
      <c r="AC124" s="440"/>
      <c r="AD124" s="440"/>
      <c r="AE124" s="440"/>
      <c r="AF124" s="440"/>
      <c r="AG124" s="440"/>
      <c r="AH124" s="440"/>
      <c r="AI124" s="440"/>
      <c r="AJ124" s="440"/>
      <c r="AK124" s="440"/>
      <c r="AL124" s="440"/>
      <c r="AM124" s="440"/>
      <c r="AT124"/>
      <c r="AU124"/>
      <c r="AV124"/>
      <c r="AW124"/>
      <c r="AX124"/>
    </row>
    <row r="125" spans="4:50" ht="24" customHeight="1" x14ac:dyDescent="0.25">
      <c r="D125" s="440"/>
      <c r="E125" s="440"/>
      <c r="F125" s="440"/>
      <c r="G125" s="440"/>
      <c r="H125" s="440"/>
      <c r="I125" s="440"/>
      <c r="J125" s="440"/>
      <c r="K125" s="440"/>
      <c r="L125" s="440"/>
      <c r="M125" s="440"/>
      <c r="N125" s="440"/>
      <c r="O125" s="440"/>
      <c r="P125" s="440"/>
      <c r="Q125" s="440"/>
      <c r="R125" s="440"/>
      <c r="S125" s="440"/>
      <c r="T125" s="440"/>
      <c r="U125" s="440"/>
      <c r="V125" s="440"/>
      <c r="W125" s="440"/>
      <c r="X125" s="440"/>
      <c r="Y125" s="440"/>
      <c r="Z125" s="440"/>
      <c r="AA125" s="440"/>
      <c r="AB125" s="440"/>
      <c r="AC125" s="440"/>
      <c r="AD125" s="440"/>
      <c r="AE125" s="440"/>
      <c r="AF125" s="440"/>
      <c r="AG125" s="440"/>
      <c r="AH125" s="440"/>
      <c r="AI125" s="440"/>
      <c r="AJ125" s="440"/>
      <c r="AK125" s="440"/>
      <c r="AL125" s="440"/>
      <c r="AM125" s="440"/>
      <c r="AT125"/>
      <c r="AU125"/>
      <c r="AV125"/>
      <c r="AW125"/>
      <c r="AX125"/>
    </row>
    <row r="126" spans="4:50" ht="24" customHeight="1" x14ac:dyDescent="0.25">
      <c r="D126" s="440"/>
      <c r="E126" s="440"/>
      <c r="F126" s="440"/>
      <c r="G126" s="440"/>
      <c r="H126" s="440"/>
      <c r="I126" s="440"/>
      <c r="J126" s="440"/>
      <c r="K126" s="440"/>
      <c r="L126" s="440"/>
      <c r="M126" s="440"/>
      <c r="N126" s="440"/>
      <c r="O126" s="440"/>
      <c r="P126" s="440"/>
      <c r="Q126" s="440"/>
      <c r="R126" s="440"/>
      <c r="S126" s="440"/>
      <c r="T126" s="440"/>
      <c r="U126" s="440"/>
      <c r="V126" s="440"/>
      <c r="W126" s="440"/>
      <c r="X126" s="440"/>
      <c r="Y126" s="440"/>
      <c r="Z126" s="440"/>
      <c r="AA126" s="440"/>
      <c r="AB126" s="440"/>
      <c r="AC126" s="440"/>
      <c r="AD126" s="440"/>
      <c r="AE126" s="440"/>
      <c r="AF126" s="440"/>
      <c r="AG126" s="440"/>
      <c r="AH126" s="440"/>
      <c r="AI126" s="440"/>
      <c r="AJ126" s="440"/>
      <c r="AK126" s="440"/>
      <c r="AL126" s="440"/>
      <c r="AM126" s="440"/>
      <c r="AT126"/>
      <c r="AU126"/>
      <c r="AV126"/>
      <c r="AW126"/>
      <c r="AX126"/>
    </row>
    <row r="127" spans="4:50" ht="24" customHeight="1" x14ac:dyDescent="0.25">
      <c r="D127" s="440"/>
      <c r="E127" s="440"/>
      <c r="F127" s="440"/>
      <c r="G127" s="440"/>
      <c r="H127" s="440"/>
      <c r="I127" s="440"/>
      <c r="J127" s="440"/>
      <c r="K127" s="440"/>
      <c r="L127" s="440"/>
      <c r="M127" s="440"/>
      <c r="N127" s="440"/>
      <c r="O127" s="440"/>
      <c r="P127" s="440"/>
      <c r="Q127" s="440"/>
      <c r="R127" s="440"/>
      <c r="S127" s="440"/>
      <c r="T127" s="440"/>
      <c r="U127" s="440"/>
      <c r="V127" s="440"/>
      <c r="W127" s="440"/>
      <c r="X127" s="440"/>
      <c r="Y127" s="440"/>
      <c r="Z127" s="440"/>
      <c r="AA127" s="440"/>
      <c r="AB127" s="440"/>
      <c r="AC127" s="440"/>
      <c r="AD127" s="440"/>
      <c r="AE127" s="440"/>
      <c r="AF127" s="440"/>
      <c r="AG127" s="440"/>
      <c r="AH127" s="440"/>
      <c r="AI127" s="440"/>
      <c r="AJ127" s="440"/>
      <c r="AK127" s="440"/>
      <c r="AL127" s="440"/>
      <c r="AM127" s="440"/>
      <c r="AT127"/>
      <c r="AU127"/>
      <c r="AV127"/>
      <c r="AW127"/>
      <c r="AX127"/>
    </row>
    <row r="128" spans="4:50" ht="24" customHeight="1" x14ac:dyDescent="0.25">
      <c r="D128" s="440"/>
      <c r="E128" s="440"/>
      <c r="F128" s="440"/>
      <c r="G128" s="440"/>
      <c r="H128" s="440"/>
      <c r="I128" s="440"/>
      <c r="J128" s="440"/>
      <c r="K128" s="440"/>
      <c r="L128" s="440"/>
      <c r="M128" s="440"/>
      <c r="N128" s="440"/>
      <c r="O128" s="440"/>
      <c r="P128" s="440"/>
      <c r="Q128" s="440"/>
      <c r="R128" s="440"/>
      <c r="S128" s="440"/>
      <c r="T128" s="440"/>
      <c r="U128" s="440"/>
      <c r="V128" s="440"/>
      <c r="W128" s="440"/>
      <c r="X128" s="440"/>
      <c r="Y128" s="440"/>
      <c r="Z128" s="440"/>
      <c r="AA128" s="440"/>
      <c r="AB128" s="440"/>
      <c r="AC128" s="440"/>
      <c r="AD128" s="440"/>
      <c r="AE128" s="440"/>
      <c r="AF128" s="440"/>
      <c r="AG128" s="440"/>
      <c r="AH128" s="440"/>
      <c r="AI128" s="440"/>
      <c r="AJ128" s="440"/>
      <c r="AK128" s="440"/>
      <c r="AL128" s="440"/>
      <c r="AM128" s="440"/>
      <c r="AT128"/>
      <c r="AU128"/>
      <c r="AV128"/>
      <c r="AW128"/>
      <c r="AX128"/>
    </row>
    <row r="129" spans="4:50" ht="24" customHeight="1" x14ac:dyDescent="0.25">
      <c r="D129" s="440"/>
      <c r="E129" s="440"/>
      <c r="F129" s="440"/>
      <c r="G129" s="440"/>
      <c r="H129" s="440"/>
      <c r="I129" s="440"/>
      <c r="J129" s="440"/>
      <c r="K129" s="440"/>
      <c r="L129" s="440"/>
      <c r="M129" s="440"/>
      <c r="N129" s="440"/>
      <c r="O129" s="440"/>
      <c r="P129" s="440"/>
      <c r="Q129" s="440"/>
      <c r="R129" s="440"/>
      <c r="S129" s="440"/>
      <c r="T129" s="440"/>
      <c r="U129" s="440"/>
      <c r="V129" s="440"/>
      <c r="W129" s="440"/>
      <c r="X129" s="440"/>
      <c r="Y129" s="440"/>
      <c r="Z129" s="440"/>
      <c r="AA129" s="440"/>
      <c r="AB129" s="440"/>
      <c r="AC129" s="440"/>
      <c r="AD129" s="440"/>
      <c r="AE129" s="440"/>
      <c r="AF129" s="440"/>
      <c r="AG129" s="440"/>
      <c r="AH129" s="440"/>
      <c r="AI129" s="440"/>
      <c r="AJ129" s="440"/>
      <c r="AK129" s="440"/>
      <c r="AL129" s="440"/>
      <c r="AM129" s="440"/>
      <c r="AT129"/>
      <c r="AU129"/>
      <c r="AV129"/>
      <c r="AW129"/>
      <c r="AX129"/>
    </row>
    <row r="130" spans="4:50" ht="24" customHeight="1" x14ac:dyDescent="0.25">
      <c r="D130" s="440"/>
      <c r="E130" s="440"/>
      <c r="F130" s="440"/>
      <c r="G130" s="440"/>
      <c r="H130" s="440"/>
      <c r="I130" s="440"/>
      <c r="J130" s="440"/>
      <c r="K130" s="440"/>
      <c r="L130" s="440"/>
      <c r="M130" s="440"/>
      <c r="N130" s="440"/>
      <c r="O130" s="440"/>
      <c r="P130" s="440"/>
      <c r="Q130" s="440"/>
      <c r="R130" s="440"/>
      <c r="S130" s="440"/>
      <c r="T130" s="440"/>
      <c r="U130" s="440"/>
      <c r="V130" s="440"/>
      <c r="W130" s="440"/>
      <c r="X130" s="440"/>
      <c r="Y130" s="440"/>
      <c r="Z130" s="440"/>
      <c r="AA130" s="440"/>
      <c r="AB130" s="440"/>
      <c r="AC130" s="440"/>
      <c r="AD130" s="440"/>
      <c r="AE130" s="440"/>
      <c r="AF130" s="440"/>
      <c r="AG130" s="440"/>
      <c r="AH130" s="440"/>
      <c r="AI130" s="440"/>
      <c r="AJ130" s="440"/>
      <c r="AK130" s="440"/>
      <c r="AL130" s="440"/>
      <c r="AM130" s="440"/>
    </row>
    <row r="131" spans="4:50" ht="24" customHeight="1" x14ac:dyDescent="0.25">
      <c r="D131" s="44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440"/>
      <c r="Q131" s="440"/>
      <c r="R131" s="440"/>
      <c r="S131" s="440"/>
      <c r="T131" s="440"/>
      <c r="U131" s="440"/>
      <c r="V131" s="440"/>
      <c r="W131" s="440"/>
      <c r="X131" s="440"/>
      <c r="Y131" s="440"/>
      <c r="Z131" s="440"/>
      <c r="AA131" s="440"/>
      <c r="AB131" s="440"/>
      <c r="AC131" s="440"/>
      <c r="AD131" s="440"/>
      <c r="AE131" s="440"/>
      <c r="AF131" s="440"/>
      <c r="AG131" s="440"/>
      <c r="AH131" s="440"/>
      <c r="AI131" s="440"/>
      <c r="AJ131" s="440"/>
      <c r="AK131" s="440"/>
      <c r="AL131" s="440"/>
      <c r="AM131" s="440"/>
    </row>
    <row r="132" spans="4:50" ht="24" customHeight="1" x14ac:dyDescent="0.25">
      <c r="D132" s="440"/>
      <c r="E132" s="440"/>
      <c r="F132" s="440"/>
      <c r="G132" s="440"/>
      <c r="H132" s="440"/>
      <c r="I132" s="440"/>
      <c r="J132" s="440"/>
      <c r="K132" s="440"/>
      <c r="L132" s="440"/>
      <c r="M132" s="440"/>
      <c r="N132" s="440"/>
      <c r="O132" s="440"/>
      <c r="P132" s="440"/>
      <c r="Q132" s="440"/>
      <c r="R132" s="440"/>
      <c r="S132" s="440"/>
      <c r="T132" s="440"/>
      <c r="U132" s="440"/>
      <c r="V132" s="440"/>
      <c r="W132" s="440"/>
      <c r="X132" s="440"/>
      <c r="Y132" s="440"/>
      <c r="Z132" s="440"/>
      <c r="AA132" s="440"/>
      <c r="AB132" s="440"/>
      <c r="AC132" s="440"/>
      <c r="AD132" s="440"/>
      <c r="AE132" s="440"/>
      <c r="AF132" s="440"/>
      <c r="AG132" s="440"/>
      <c r="AH132" s="440"/>
      <c r="AI132" s="440"/>
      <c r="AJ132" s="440"/>
      <c r="AK132" s="440"/>
      <c r="AL132" s="440"/>
      <c r="AM132" s="440"/>
    </row>
    <row r="133" spans="4:50" ht="24" customHeight="1" x14ac:dyDescent="0.25">
      <c r="D133" s="440"/>
      <c r="E133" s="440"/>
      <c r="F133" s="440"/>
      <c r="G133" s="440"/>
      <c r="H133" s="440"/>
      <c r="I133" s="440"/>
      <c r="J133" s="440"/>
      <c r="K133" s="440"/>
      <c r="L133" s="440"/>
      <c r="M133" s="440"/>
      <c r="N133" s="440"/>
      <c r="O133" s="440"/>
      <c r="P133" s="440"/>
      <c r="Q133" s="440"/>
      <c r="R133" s="440"/>
      <c r="S133" s="440"/>
      <c r="T133" s="440"/>
      <c r="U133" s="440"/>
      <c r="V133" s="440"/>
      <c r="W133" s="440"/>
      <c r="X133" s="440"/>
      <c r="Y133" s="440"/>
      <c r="Z133" s="440"/>
      <c r="AA133" s="440"/>
      <c r="AB133" s="440"/>
      <c r="AC133" s="440"/>
      <c r="AD133" s="440"/>
      <c r="AE133" s="440"/>
      <c r="AF133" s="440"/>
      <c r="AG133" s="440"/>
      <c r="AH133" s="440"/>
      <c r="AI133" s="440"/>
      <c r="AJ133" s="440"/>
      <c r="AK133" s="440"/>
      <c r="AL133" s="440"/>
      <c r="AM133" s="440"/>
    </row>
    <row r="134" spans="4:50" ht="24" customHeight="1" x14ac:dyDescent="0.25">
      <c r="D134" s="440"/>
      <c r="E134" s="440"/>
      <c r="F134" s="440"/>
      <c r="G134" s="440"/>
      <c r="H134" s="440"/>
      <c r="I134" s="440"/>
      <c r="J134" s="440"/>
      <c r="K134" s="440"/>
      <c r="L134" s="440"/>
      <c r="M134" s="440"/>
      <c r="N134" s="440"/>
      <c r="O134" s="440"/>
      <c r="P134" s="440"/>
      <c r="Q134" s="440"/>
      <c r="R134" s="440"/>
      <c r="S134" s="440"/>
      <c r="T134" s="440"/>
      <c r="U134" s="440"/>
      <c r="V134" s="440"/>
      <c r="W134" s="440"/>
      <c r="X134" s="440"/>
      <c r="Y134" s="440"/>
      <c r="Z134" s="440"/>
      <c r="AA134" s="440"/>
      <c r="AB134" s="440"/>
      <c r="AC134" s="440"/>
      <c r="AD134" s="440"/>
      <c r="AE134" s="440"/>
      <c r="AF134" s="440"/>
      <c r="AG134" s="440"/>
      <c r="AH134" s="440"/>
      <c r="AI134" s="440"/>
      <c r="AJ134" s="440"/>
      <c r="AK134" s="440"/>
      <c r="AL134" s="440"/>
      <c r="AM134" s="440"/>
    </row>
    <row r="135" spans="4:50" ht="24" customHeight="1" x14ac:dyDescent="0.25">
      <c r="D135" s="440"/>
      <c r="E135" s="440"/>
      <c r="F135" s="440"/>
      <c r="G135" s="440"/>
      <c r="H135" s="440"/>
      <c r="I135" s="440"/>
      <c r="J135" s="440"/>
      <c r="K135" s="440"/>
      <c r="L135" s="440"/>
      <c r="M135" s="440"/>
      <c r="N135" s="440"/>
      <c r="O135" s="440"/>
      <c r="P135" s="440"/>
      <c r="Q135" s="440"/>
      <c r="R135" s="440"/>
      <c r="S135" s="440"/>
      <c r="T135" s="440"/>
      <c r="U135" s="440"/>
      <c r="V135" s="440"/>
      <c r="W135" s="440"/>
      <c r="X135" s="440"/>
      <c r="Y135" s="440"/>
      <c r="Z135" s="440"/>
      <c r="AA135" s="440"/>
      <c r="AB135" s="440"/>
      <c r="AC135" s="440"/>
      <c r="AD135" s="440"/>
      <c r="AE135" s="440"/>
      <c r="AF135" s="440"/>
      <c r="AG135" s="440"/>
      <c r="AH135" s="440"/>
      <c r="AI135" s="440"/>
      <c r="AJ135" s="440"/>
      <c r="AK135" s="440"/>
      <c r="AL135" s="440"/>
      <c r="AM135" s="440"/>
    </row>
    <row r="136" spans="4:50" ht="24" customHeight="1" x14ac:dyDescent="0.25">
      <c r="D136" s="440"/>
      <c r="E136" s="440"/>
      <c r="F136" s="440"/>
      <c r="G136" s="440"/>
      <c r="H136" s="440"/>
      <c r="I136" s="440"/>
      <c r="J136" s="440"/>
      <c r="K136" s="440"/>
      <c r="L136" s="440"/>
      <c r="M136" s="440"/>
      <c r="N136" s="440"/>
      <c r="O136" s="440"/>
      <c r="P136" s="440"/>
      <c r="Q136" s="440"/>
      <c r="R136" s="440"/>
      <c r="S136" s="440"/>
      <c r="T136" s="440"/>
      <c r="U136" s="440"/>
      <c r="V136" s="440"/>
      <c r="W136" s="440"/>
      <c r="X136" s="440"/>
      <c r="Y136" s="440"/>
      <c r="Z136" s="440"/>
      <c r="AA136" s="440"/>
      <c r="AB136" s="440"/>
      <c r="AC136" s="440"/>
      <c r="AD136" s="440"/>
      <c r="AE136" s="440"/>
      <c r="AF136" s="440"/>
      <c r="AG136" s="440"/>
      <c r="AH136" s="440"/>
      <c r="AI136" s="440"/>
      <c r="AJ136" s="440"/>
      <c r="AK136" s="440"/>
      <c r="AL136" s="440"/>
      <c r="AM136" s="440"/>
    </row>
    <row r="137" spans="4:50" ht="24" customHeight="1" x14ac:dyDescent="0.25">
      <c r="D137" s="440"/>
      <c r="E137" s="440"/>
      <c r="F137" s="440"/>
      <c r="G137" s="440"/>
      <c r="H137" s="440"/>
      <c r="I137" s="440"/>
      <c r="J137" s="440"/>
      <c r="K137" s="440"/>
      <c r="L137" s="440"/>
      <c r="M137" s="440"/>
      <c r="N137" s="440"/>
      <c r="O137" s="440"/>
      <c r="P137" s="440"/>
      <c r="Q137" s="440"/>
      <c r="R137" s="440"/>
      <c r="S137" s="440"/>
      <c r="T137" s="440"/>
      <c r="U137" s="440"/>
      <c r="V137" s="440"/>
      <c r="W137" s="440"/>
      <c r="X137" s="440"/>
      <c r="Y137" s="440"/>
      <c r="Z137" s="440"/>
      <c r="AA137" s="440"/>
      <c r="AB137" s="440"/>
      <c r="AC137" s="440"/>
      <c r="AD137" s="440"/>
      <c r="AE137" s="440"/>
      <c r="AF137" s="440"/>
      <c r="AG137" s="440"/>
      <c r="AH137" s="440"/>
      <c r="AI137" s="440"/>
      <c r="AJ137" s="440"/>
      <c r="AK137" s="440"/>
      <c r="AL137" s="440"/>
      <c r="AM137" s="440"/>
    </row>
    <row r="138" spans="4:50" ht="24" customHeight="1" x14ac:dyDescent="0.25">
      <c r="D138" s="440"/>
      <c r="E138" s="440"/>
      <c r="F138" s="440"/>
      <c r="G138" s="440"/>
      <c r="H138" s="440"/>
      <c r="I138" s="440"/>
      <c r="J138" s="440"/>
      <c r="K138" s="440"/>
      <c r="L138" s="440"/>
      <c r="M138" s="440"/>
      <c r="N138" s="440"/>
      <c r="O138" s="440"/>
      <c r="P138" s="440"/>
      <c r="Q138" s="440"/>
      <c r="R138" s="440"/>
      <c r="S138" s="440"/>
      <c r="T138" s="440"/>
      <c r="U138" s="440"/>
      <c r="V138" s="440"/>
      <c r="W138" s="440"/>
      <c r="X138" s="440"/>
      <c r="Y138" s="440"/>
      <c r="Z138" s="440"/>
      <c r="AA138" s="440"/>
      <c r="AB138" s="440"/>
      <c r="AC138" s="440"/>
      <c r="AD138" s="440"/>
      <c r="AE138" s="440"/>
      <c r="AF138" s="440"/>
      <c r="AG138" s="440"/>
      <c r="AH138" s="440"/>
      <c r="AI138" s="440"/>
      <c r="AJ138" s="440"/>
      <c r="AK138" s="440"/>
      <c r="AL138" s="440"/>
      <c r="AM138" s="440"/>
    </row>
    <row r="139" spans="4:50" x14ac:dyDescent="0.25">
      <c r="D139" s="440"/>
      <c r="E139" s="440"/>
      <c r="F139" s="440"/>
      <c r="G139" s="440"/>
      <c r="H139" s="440"/>
      <c r="I139" s="440"/>
      <c r="J139" s="440"/>
      <c r="K139" s="440"/>
      <c r="L139" s="440"/>
      <c r="M139" s="440"/>
      <c r="N139" s="440"/>
      <c r="O139" s="440"/>
      <c r="P139" s="440"/>
      <c r="Q139" s="440"/>
      <c r="R139" s="440"/>
      <c r="S139" s="440"/>
      <c r="T139" s="440"/>
      <c r="U139" s="440"/>
      <c r="V139" s="440"/>
      <c r="W139" s="440"/>
      <c r="X139" s="440"/>
      <c r="Y139" s="440"/>
      <c r="Z139" s="440"/>
      <c r="AA139" s="440"/>
      <c r="AB139" s="440"/>
      <c r="AC139" s="440"/>
      <c r="AD139" s="440"/>
      <c r="AE139" s="440"/>
      <c r="AF139" s="440"/>
      <c r="AG139" s="440"/>
      <c r="AH139" s="440"/>
      <c r="AI139" s="440"/>
      <c r="AJ139" s="440"/>
      <c r="AK139" s="440"/>
      <c r="AL139" s="440"/>
      <c r="AM139" s="440"/>
    </row>
    <row r="140" spans="4:50" x14ac:dyDescent="0.25">
      <c r="D140" s="440"/>
      <c r="E140" s="440"/>
      <c r="F140" s="440"/>
      <c r="G140" s="440"/>
      <c r="H140" s="440"/>
      <c r="I140" s="440"/>
      <c r="J140" s="440"/>
      <c r="K140" s="440"/>
      <c r="L140" s="440"/>
      <c r="M140" s="440"/>
      <c r="N140" s="440"/>
      <c r="O140" s="440"/>
      <c r="P140" s="440"/>
      <c r="Q140" s="440"/>
      <c r="R140" s="440"/>
      <c r="S140" s="440"/>
      <c r="T140" s="440"/>
      <c r="U140" s="440"/>
      <c r="V140" s="440"/>
      <c r="W140" s="440"/>
      <c r="X140" s="440"/>
      <c r="Y140" s="440"/>
      <c r="Z140" s="440"/>
      <c r="AA140" s="440"/>
      <c r="AB140" s="440"/>
      <c r="AC140" s="440"/>
      <c r="AD140" s="440"/>
      <c r="AE140" s="440"/>
      <c r="AF140" s="440"/>
      <c r="AG140" s="440"/>
      <c r="AH140" s="440"/>
      <c r="AI140" s="440"/>
      <c r="AJ140" s="440"/>
      <c r="AK140" s="440"/>
      <c r="AL140" s="440"/>
      <c r="AM140" s="440"/>
    </row>
    <row r="141" spans="4:50" x14ac:dyDescent="0.25">
      <c r="D141" s="440"/>
      <c r="E141" s="440"/>
      <c r="F141" s="440"/>
      <c r="G141" s="440"/>
      <c r="H141" s="440"/>
      <c r="I141" s="440"/>
      <c r="J141" s="440"/>
      <c r="K141" s="440"/>
      <c r="L141" s="440"/>
      <c r="M141" s="440"/>
      <c r="N141" s="440"/>
      <c r="O141" s="440"/>
      <c r="P141" s="440"/>
      <c r="Q141" s="440"/>
      <c r="R141" s="440"/>
      <c r="S141" s="440"/>
      <c r="T141" s="440"/>
      <c r="U141" s="440"/>
      <c r="V141" s="440"/>
      <c r="W141" s="440"/>
      <c r="X141" s="440"/>
      <c r="Y141" s="440"/>
      <c r="Z141" s="440"/>
      <c r="AA141" s="440"/>
      <c r="AB141" s="440"/>
      <c r="AC141" s="440"/>
      <c r="AD141" s="440"/>
      <c r="AE141" s="440"/>
      <c r="AF141" s="440"/>
      <c r="AG141" s="440"/>
      <c r="AH141" s="440"/>
      <c r="AI141" s="440"/>
      <c r="AJ141" s="440"/>
      <c r="AK141" s="440"/>
      <c r="AL141" s="440"/>
      <c r="AM141" s="440"/>
    </row>
    <row r="142" spans="4:50" x14ac:dyDescent="0.25">
      <c r="D142" s="440"/>
      <c r="E142" s="440"/>
      <c r="F142" s="440"/>
      <c r="G142" s="440"/>
      <c r="H142" s="440"/>
      <c r="I142" s="440"/>
      <c r="J142" s="440"/>
      <c r="K142" s="440"/>
      <c r="L142" s="440"/>
      <c r="M142" s="440"/>
      <c r="N142" s="440"/>
      <c r="O142" s="440"/>
      <c r="P142" s="440"/>
      <c r="Q142" s="440"/>
      <c r="R142" s="440"/>
      <c r="S142" s="440"/>
      <c r="T142" s="440"/>
      <c r="U142" s="440"/>
      <c r="V142" s="440"/>
      <c r="W142" s="440"/>
      <c r="X142" s="440"/>
      <c r="Y142" s="440"/>
      <c r="Z142" s="440"/>
      <c r="AA142" s="440"/>
      <c r="AB142" s="440"/>
      <c r="AC142" s="440"/>
      <c r="AD142" s="440"/>
      <c r="AE142" s="440"/>
      <c r="AF142" s="440"/>
      <c r="AG142" s="440"/>
      <c r="AH142" s="440"/>
      <c r="AI142" s="440"/>
      <c r="AJ142" s="440"/>
      <c r="AK142" s="440"/>
      <c r="AL142" s="440"/>
      <c r="AM142" s="440"/>
    </row>
    <row r="143" spans="4:50" x14ac:dyDescent="0.25">
      <c r="D143" s="440"/>
      <c r="E143" s="440"/>
      <c r="F143" s="440"/>
      <c r="G143" s="440"/>
      <c r="H143" s="440"/>
      <c r="I143" s="440"/>
      <c r="J143" s="440"/>
      <c r="K143" s="440"/>
      <c r="L143" s="440"/>
      <c r="M143" s="440"/>
      <c r="N143" s="440"/>
      <c r="O143" s="440"/>
      <c r="P143" s="440"/>
      <c r="Q143" s="440"/>
      <c r="R143" s="440"/>
      <c r="S143" s="440"/>
      <c r="T143" s="440"/>
      <c r="U143" s="440"/>
      <c r="V143" s="440"/>
      <c r="W143" s="440"/>
      <c r="X143" s="440"/>
      <c r="Y143" s="440"/>
      <c r="Z143" s="440"/>
      <c r="AA143" s="440"/>
      <c r="AB143" s="440"/>
      <c r="AC143" s="440"/>
      <c r="AD143" s="440"/>
      <c r="AE143" s="440"/>
      <c r="AF143" s="440"/>
      <c r="AG143" s="440"/>
      <c r="AH143" s="440"/>
      <c r="AI143" s="440"/>
      <c r="AJ143" s="440"/>
      <c r="AK143" s="440"/>
      <c r="AL143" s="440"/>
      <c r="AM143" s="440"/>
    </row>
    <row r="144" spans="4:50" x14ac:dyDescent="0.25">
      <c r="D144" s="440"/>
      <c r="E144" s="440"/>
      <c r="F144" s="440"/>
      <c r="G144" s="440"/>
      <c r="H144" s="440"/>
      <c r="I144" s="440"/>
      <c r="J144" s="440"/>
      <c r="K144" s="440"/>
      <c r="L144" s="440"/>
      <c r="M144" s="440"/>
      <c r="N144" s="440"/>
      <c r="O144" s="440"/>
      <c r="P144" s="440"/>
      <c r="Q144" s="440"/>
      <c r="R144" s="440"/>
      <c r="S144" s="440"/>
      <c r="T144" s="440"/>
      <c r="U144" s="440"/>
      <c r="V144" s="440"/>
      <c r="W144" s="440"/>
      <c r="X144" s="440"/>
      <c r="Y144" s="440"/>
      <c r="Z144" s="440"/>
      <c r="AA144" s="440"/>
      <c r="AB144" s="440"/>
      <c r="AC144" s="440"/>
      <c r="AD144" s="440"/>
      <c r="AE144" s="440"/>
      <c r="AF144" s="440"/>
      <c r="AG144" s="440"/>
      <c r="AH144" s="440"/>
      <c r="AI144" s="440"/>
      <c r="AJ144" s="440"/>
      <c r="AK144" s="440"/>
      <c r="AL144" s="440"/>
      <c r="AM144" s="440"/>
    </row>
    <row r="145" spans="4:39" x14ac:dyDescent="0.25">
      <c r="D145" s="440"/>
      <c r="E145" s="440"/>
      <c r="F145" s="440"/>
      <c r="G145" s="440"/>
      <c r="H145" s="440"/>
    </row>
    <row r="146" spans="4:39" x14ac:dyDescent="0.25">
      <c r="D146" s="440"/>
      <c r="E146" s="440"/>
      <c r="F146" s="440"/>
      <c r="G146" s="440"/>
      <c r="H146" s="440"/>
      <c r="I146" s="440"/>
      <c r="J146" s="440"/>
      <c r="K146" s="440"/>
      <c r="L146" s="440"/>
      <c r="M146" s="440"/>
      <c r="N146" s="440"/>
      <c r="O146" s="440"/>
      <c r="P146" s="440"/>
      <c r="Q146" s="440"/>
      <c r="R146" s="440"/>
      <c r="S146" s="440"/>
      <c r="T146" s="440"/>
      <c r="U146" s="440"/>
      <c r="V146" s="440"/>
      <c r="W146" s="440"/>
      <c r="X146" s="440"/>
      <c r="Y146" s="440"/>
      <c r="Z146" s="440"/>
      <c r="AA146" s="440"/>
      <c r="AB146" s="440"/>
      <c r="AC146" s="440"/>
      <c r="AD146" s="440"/>
      <c r="AE146" s="440"/>
      <c r="AF146" s="440"/>
      <c r="AG146" s="440"/>
      <c r="AH146" s="440"/>
      <c r="AI146" s="440"/>
      <c r="AJ146" s="440"/>
      <c r="AK146" s="440"/>
      <c r="AL146" s="440"/>
      <c r="AM146" s="440"/>
    </row>
    <row r="147" spans="4:39" x14ac:dyDescent="0.25">
      <c r="D147" s="440"/>
      <c r="E147" s="440"/>
      <c r="F147" s="440"/>
      <c r="G147" s="440"/>
      <c r="H147" s="440"/>
      <c r="I147" s="440"/>
      <c r="J147" s="440"/>
      <c r="K147" s="440"/>
      <c r="L147" s="440"/>
      <c r="M147" s="440"/>
      <c r="N147" s="440"/>
      <c r="O147" s="440"/>
      <c r="P147" s="440"/>
      <c r="Q147" s="440"/>
      <c r="R147" s="440"/>
      <c r="S147" s="440"/>
      <c r="T147" s="440"/>
      <c r="U147" s="440"/>
      <c r="V147" s="440"/>
      <c r="W147" s="440"/>
      <c r="X147" s="440"/>
      <c r="Y147" s="440"/>
      <c r="Z147" s="440"/>
      <c r="AA147" s="440"/>
      <c r="AB147" s="440"/>
      <c r="AC147" s="440"/>
      <c r="AD147" s="440"/>
      <c r="AE147" s="440"/>
      <c r="AF147" s="440"/>
      <c r="AG147" s="440"/>
      <c r="AH147" s="440"/>
      <c r="AI147" s="440"/>
      <c r="AJ147" s="440"/>
      <c r="AK147" s="440"/>
      <c r="AL147" s="440"/>
      <c r="AM147" s="440"/>
    </row>
  </sheetData>
  <mergeCells count="2">
    <mergeCell ref="E3:H3"/>
    <mergeCell ref="A7:A24"/>
  </mergeCells>
  <conditionalFormatting sqref="H7">
    <cfRule type="cellIs" dxfId="17" priority="9" operator="notEqual">
      <formula>1</formula>
    </cfRule>
  </conditionalFormatting>
  <conditionalFormatting sqref="H9">
    <cfRule type="cellIs" dxfId="16" priority="8" operator="notEqual">
      <formula>1</formula>
    </cfRule>
  </conditionalFormatting>
  <conditionalFormatting sqref="H12">
    <cfRule type="cellIs" dxfId="15" priority="7" operator="notEqual">
      <formula>1</formula>
    </cfRule>
  </conditionalFormatting>
  <conditionalFormatting sqref="H14">
    <cfRule type="cellIs" dxfId="14" priority="6" operator="notEqual">
      <formula>1</formula>
    </cfRule>
  </conditionalFormatting>
  <conditionalFormatting sqref="H16">
    <cfRule type="cellIs" dxfId="13" priority="5" operator="notEqual">
      <formula>1</formula>
    </cfRule>
  </conditionalFormatting>
  <conditionalFormatting sqref="H18">
    <cfRule type="cellIs" dxfId="12" priority="4" operator="notEqual">
      <formula>1</formula>
    </cfRule>
  </conditionalFormatting>
  <conditionalFormatting sqref="H20">
    <cfRule type="cellIs" dxfId="11" priority="3" operator="notEqual">
      <formula>1</formula>
    </cfRule>
  </conditionalFormatting>
  <conditionalFormatting sqref="H22">
    <cfRule type="cellIs" dxfId="10" priority="2" operator="notEqual">
      <formula>1</formula>
    </cfRule>
  </conditionalFormatting>
  <conditionalFormatting sqref="H25">
    <cfRule type="cellIs" dxfId="9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7"/>
  <sheetViews>
    <sheetView zoomScale="90" zoomScaleNormal="90" workbookViewId="0">
      <pane xSplit="8" ySplit="6" topLeftCell="I7" activePane="bottomRight" state="frozen"/>
      <selection activeCell="M11" sqref="M11"/>
      <selection pane="topRight" activeCell="M11" sqref="M11"/>
      <selection pane="bottomLeft" activeCell="M11" sqref="M11"/>
      <selection pane="bottomRight" activeCell="I7" sqref="I7"/>
    </sheetView>
  </sheetViews>
  <sheetFormatPr defaultRowHeight="15" x14ac:dyDescent="0.25"/>
  <cols>
    <col min="1" max="2" width="4.7109375" style="560" customWidth="1"/>
    <col min="3" max="3" width="40.7109375" style="560" customWidth="1"/>
    <col min="4" max="8" width="8.7109375" style="4" customWidth="1"/>
    <col min="9" max="39" width="6.7109375" style="4" customWidth="1"/>
    <col min="40" max="45" width="6.7109375" style="560" customWidth="1"/>
    <col min="46" max="16384" width="9.140625" style="560"/>
  </cols>
  <sheetData>
    <row r="1" spans="1:50" ht="23.25" x14ac:dyDescent="0.35">
      <c r="A1" s="421" t="s">
        <v>0</v>
      </c>
      <c r="B1" s="422"/>
      <c r="C1" s="423"/>
      <c r="D1" s="424"/>
      <c r="E1" s="424"/>
      <c r="F1" s="424"/>
      <c r="G1" s="424"/>
      <c r="H1" s="424"/>
      <c r="I1" s="425" t="s">
        <v>1029</v>
      </c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  <c r="AA1" s="425"/>
      <c r="AB1" s="425"/>
      <c r="AC1" s="425"/>
      <c r="AD1" s="425"/>
      <c r="AE1" s="425"/>
      <c r="AF1" s="425"/>
      <c r="AG1" s="425"/>
      <c r="AH1" s="425"/>
      <c r="AI1" s="425"/>
      <c r="AJ1" s="425"/>
      <c r="AK1" s="425"/>
      <c r="AL1" s="425"/>
      <c r="AM1" s="425"/>
      <c r="AN1" s="424"/>
      <c r="AO1" s="426"/>
      <c r="AP1" s="426"/>
      <c r="AQ1" s="426"/>
      <c r="AR1" s="426"/>
      <c r="AS1" s="427"/>
      <c r="AT1"/>
      <c r="AU1"/>
      <c r="AV1"/>
      <c r="AW1"/>
      <c r="AX1"/>
    </row>
    <row r="2" spans="1:50" s="8" customFormat="1" ht="24" customHeight="1" x14ac:dyDescent="0.25">
      <c r="A2" s="16"/>
      <c r="B2" s="7"/>
      <c r="C2" s="428" t="str">
        <f>'Departure Lounge 2027'!C2</f>
        <v>Previous version: ver.6, 12-Mar-15</v>
      </c>
      <c r="D2" s="7"/>
      <c r="E2" s="7"/>
      <c r="F2" s="11"/>
      <c r="G2" s="11"/>
      <c r="H2" s="41" t="s">
        <v>1</v>
      </c>
      <c r="I2" s="11" t="str">
        <f>'Departure Lounge 2027'!M2</f>
        <v>PERTH: New International Pier (STEP) - Project Definition Update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11"/>
      <c r="AF2" s="11"/>
      <c r="AG2" s="11"/>
      <c r="AH2" s="11"/>
      <c r="AI2" s="11"/>
      <c r="AJ2" s="11"/>
      <c r="AK2" s="11"/>
      <c r="AL2" s="11"/>
      <c r="AM2" s="11"/>
      <c r="AN2" s="10"/>
      <c r="AO2" s="7"/>
      <c r="AP2" s="7"/>
      <c r="AQ2" s="7"/>
      <c r="AR2" s="7"/>
      <c r="AS2" s="429"/>
      <c r="AT2"/>
      <c r="AU2"/>
      <c r="AV2"/>
      <c r="AW2"/>
      <c r="AX2"/>
    </row>
    <row r="3" spans="1:50" s="8" customFormat="1" ht="24" customHeight="1" thickBot="1" x14ac:dyDescent="0.3">
      <c r="A3" s="430" t="s">
        <v>2</v>
      </c>
      <c r="B3" s="56"/>
      <c r="C3" s="559">
        <f>'Departure Lounge 2027'!C3</f>
        <v>42075</v>
      </c>
      <c r="D3" s="57" t="str">
        <f>CONCATENATE("Ver. ",'Departure Lounge 2027'!E3)</f>
        <v>Ver. 7</v>
      </c>
      <c r="E3" s="1013" t="str">
        <f>'Departure Lounge 2027'!F3</f>
        <v>Workbook audited for release to PAPL</v>
      </c>
      <c r="F3" s="1013"/>
      <c r="G3" s="1013"/>
      <c r="H3" s="1013"/>
      <c r="I3" s="332"/>
      <c r="J3" s="557"/>
      <c r="K3" s="557"/>
      <c r="L3" s="557"/>
      <c r="M3" s="557"/>
      <c r="N3" s="557"/>
      <c r="O3" s="557"/>
      <c r="P3" s="557"/>
      <c r="Q3" s="557"/>
      <c r="R3" s="557"/>
      <c r="S3" s="557"/>
      <c r="T3" s="557"/>
      <c r="U3" s="557"/>
      <c r="V3" s="557"/>
      <c r="W3" s="557"/>
      <c r="X3" s="557"/>
      <c r="Y3" s="557"/>
      <c r="Z3" s="557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431"/>
      <c r="AT3"/>
      <c r="AU3"/>
      <c r="AV3"/>
      <c r="AW3"/>
      <c r="AX3"/>
    </row>
    <row r="4" spans="1:50" s="8" customFormat="1" ht="18" customHeight="1" x14ac:dyDescent="0.25">
      <c r="A4" s="419" t="s">
        <v>996</v>
      </c>
      <c r="C4" s="15"/>
      <c r="D4" s="34" t="s">
        <v>46</v>
      </c>
      <c r="E4" s="34" t="s">
        <v>28</v>
      </c>
      <c r="F4" s="34" t="s">
        <v>68</v>
      </c>
      <c r="G4" s="34" t="s">
        <v>3</v>
      </c>
      <c r="H4" s="496"/>
      <c r="I4" s="247" t="s">
        <v>50</v>
      </c>
      <c r="J4" s="247"/>
      <c r="K4" s="247"/>
      <c r="M4" s="247"/>
      <c r="N4" s="247"/>
      <c r="O4" s="247"/>
      <c r="P4" s="380" t="s">
        <v>984</v>
      </c>
      <c r="Q4" s="381"/>
      <c r="R4" s="381"/>
      <c r="S4" s="381"/>
      <c r="T4" s="381"/>
      <c r="U4" s="248"/>
      <c r="V4" s="247"/>
      <c r="W4" s="95"/>
      <c r="X4" s="95"/>
      <c r="Y4" s="95"/>
      <c r="Z4" s="95"/>
      <c r="AA4" s="96" t="s">
        <v>977</v>
      </c>
      <c r="AB4" s="95"/>
      <c r="AC4" s="95"/>
      <c r="AD4" s="95"/>
      <c r="AE4" s="95"/>
      <c r="AF4" s="95"/>
      <c r="AG4" s="96" t="s">
        <v>985</v>
      </c>
      <c r="AH4" s="15"/>
      <c r="AM4" s="450"/>
      <c r="AN4" s="97" t="s">
        <v>92</v>
      </c>
      <c r="AO4" s="373"/>
      <c r="AP4" s="98"/>
      <c r="AQ4" s="98"/>
      <c r="AR4" s="914"/>
      <c r="AS4" s="915"/>
      <c r="AT4"/>
      <c r="AU4"/>
      <c r="AV4"/>
      <c r="AW4"/>
      <c r="AX4"/>
    </row>
    <row r="5" spans="1:50" s="8" customFormat="1" ht="18" customHeight="1" x14ac:dyDescent="0.25">
      <c r="A5" s="16"/>
      <c r="B5" s="386" t="s">
        <v>987</v>
      </c>
      <c r="C5" s="7"/>
      <c r="D5" s="7"/>
      <c r="E5" s="29"/>
      <c r="F5" s="29"/>
      <c r="G5" s="29"/>
      <c r="H5" s="497"/>
      <c r="I5" s="7" t="s">
        <v>945</v>
      </c>
      <c r="J5" s="249"/>
      <c r="K5" s="249"/>
      <c r="L5" s="249"/>
      <c r="M5" s="249"/>
      <c r="N5" s="249"/>
      <c r="O5" s="249"/>
      <c r="P5" s="382"/>
      <c r="Q5" s="249"/>
      <c r="R5" s="249"/>
      <c r="S5" s="249"/>
      <c r="T5" s="249"/>
      <c r="U5" s="29" t="s">
        <v>946</v>
      </c>
      <c r="V5" s="249"/>
      <c r="W5" s="21"/>
      <c r="X5" s="21"/>
      <c r="Y5" s="21"/>
      <c r="Z5" s="21"/>
      <c r="AA5" s="93"/>
      <c r="AB5" s="7"/>
      <c r="AC5" s="7"/>
      <c r="AD5" s="7"/>
      <c r="AE5" s="7"/>
      <c r="AF5" s="7"/>
      <c r="AG5" s="29" t="s">
        <v>947</v>
      </c>
      <c r="AH5" s="7"/>
      <c r="AM5" s="451"/>
      <c r="AN5" s="250"/>
      <c r="AO5" s="398"/>
      <c r="AP5" s="399"/>
      <c r="AQ5" s="400" t="s">
        <v>1093</v>
      </c>
      <c r="AS5" s="30"/>
      <c r="AT5"/>
      <c r="AU5"/>
      <c r="AV5"/>
      <c r="AW5"/>
      <c r="AX5"/>
    </row>
    <row r="6" spans="1:50" s="8" customFormat="1" ht="30" customHeight="1" x14ac:dyDescent="0.25">
      <c r="A6" s="16"/>
      <c r="B6" s="77" t="s">
        <v>1016</v>
      </c>
      <c r="C6" s="389" t="e">
        <f>CONCATENATE(VLOOKUP(B6,Airlines,2,FALSE),", ",VLOOKUP(D6,Aircraft,2,FALSE))</f>
        <v>#N/A</v>
      </c>
      <c r="D6" s="48">
        <v>739</v>
      </c>
      <c r="E6" s="20">
        <f>VLOOKUP(D6,Aircraft,4,FALSE)</f>
        <v>180</v>
      </c>
      <c r="F6" s="49">
        <v>0.85</v>
      </c>
      <c r="G6" s="50">
        <f>E6*F6</f>
        <v>153</v>
      </c>
      <c r="H6" s="498" t="s">
        <v>53</v>
      </c>
      <c r="I6" s="45">
        <f t="shared" ref="I6:AQ6" si="0">J6-5</f>
        <v>-180</v>
      </c>
      <c r="J6" s="45">
        <f t="shared" si="0"/>
        <v>-175</v>
      </c>
      <c r="K6" s="45">
        <f t="shared" si="0"/>
        <v>-170</v>
      </c>
      <c r="L6" s="45">
        <f t="shared" si="0"/>
        <v>-165</v>
      </c>
      <c r="M6" s="45">
        <f t="shared" si="0"/>
        <v>-160</v>
      </c>
      <c r="N6" s="45">
        <f t="shared" si="0"/>
        <v>-155</v>
      </c>
      <c r="O6" s="45">
        <f t="shared" si="0"/>
        <v>-150</v>
      </c>
      <c r="P6" s="45">
        <f t="shared" si="0"/>
        <v>-145</v>
      </c>
      <c r="Q6" s="45">
        <f t="shared" si="0"/>
        <v>-140</v>
      </c>
      <c r="R6" s="45">
        <f t="shared" si="0"/>
        <v>-135</v>
      </c>
      <c r="S6" s="45">
        <f t="shared" si="0"/>
        <v>-130</v>
      </c>
      <c r="T6" s="45">
        <f t="shared" si="0"/>
        <v>-125</v>
      </c>
      <c r="U6" s="45">
        <f t="shared" si="0"/>
        <v>-120</v>
      </c>
      <c r="V6" s="45">
        <f t="shared" si="0"/>
        <v>-115</v>
      </c>
      <c r="W6" s="45">
        <f t="shared" si="0"/>
        <v>-110</v>
      </c>
      <c r="X6" s="45">
        <f t="shared" si="0"/>
        <v>-105</v>
      </c>
      <c r="Y6" s="45">
        <f t="shared" si="0"/>
        <v>-100</v>
      </c>
      <c r="Z6" s="45">
        <f t="shared" si="0"/>
        <v>-95</v>
      </c>
      <c r="AA6" s="45">
        <f t="shared" si="0"/>
        <v>-90</v>
      </c>
      <c r="AB6" s="45">
        <f t="shared" si="0"/>
        <v>-85</v>
      </c>
      <c r="AC6" s="45">
        <f t="shared" si="0"/>
        <v>-80</v>
      </c>
      <c r="AD6" s="45">
        <f t="shared" si="0"/>
        <v>-75</v>
      </c>
      <c r="AE6" s="45">
        <f t="shared" si="0"/>
        <v>-70</v>
      </c>
      <c r="AF6" s="45">
        <f t="shared" si="0"/>
        <v>-65</v>
      </c>
      <c r="AG6" s="45">
        <f t="shared" si="0"/>
        <v>-60</v>
      </c>
      <c r="AH6" s="45">
        <f t="shared" si="0"/>
        <v>-55</v>
      </c>
      <c r="AI6" s="45">
        <f t="shared" si="0"/>
        <v>-50</v>
      </c>
      <c r="AJ6" s="45">
        <f t="shared" si="0"/>
        <v>-45</v>
      </c>
      <c r="AK6" s="45">
        <f t="shared" si="0"/>
        <v>-40</v>
      </c>
      <c r="AL6" s="45">
        <f t="shared" si="0"/>
        <v>-35</v>
      </c>
      <c r="AM6" s="45">
        <f t="shared" si="0"/>
        <v>-30</v>
      </c>
      <c r="AN6" s="45">
        <f t="shared" si="0"/>
        <v>-25</v>
      </c>
      <c r="AO6" s="45">
        <f t="shared" si="0"/>
        <v>-20</v>
      </c>
      <c r="AP6" s="45">
        <f t="shared" si="0"/>
        <v>-15</v>
      </c>
      <c r="AQ6" s="45">
        <f t="shared" si="0"/>
        <v>-10</v>
      </c>
      <c r="AR6" s="37">
        <v>-5</v>
      </c>
      <c r="AS6" s="68" t="s">
        <v>27</v>
      </c>
      <c r="AT6"/>
      <c r="AU6"/>
      <c r="AV6"/>
      <c r="AW6"/>
      <c r="AX6"/>
    </row>
    <row r="7" spans="1:50" s="8" customFormat="1" ht="24" customHeight="1" x14ac:dyDescent="0.25">
      <c r="A7" s="1014" t="s">
        <v>996</v>
      </c>
      <c r="B7" s="7"/>
      <c r="C7" s="21" t="s">
        <v>54</v>
      </c>
      <c r="D7" s="29" t="s">
        <v>4</v>
      </c>
      <c r="E7" s="184">
        <v>0.9</v>
      </c>
      <c r="F7" s="29"/>
      <c r="G7" s="29"/>
      <c r="H7" s="499">
        <f t="shared" ref="H7:H25" si="1">SUM(I7:AR7)</f>
        <v>1.0000000000000002</v>
      </c>
      <c r="I7" s="46">
        <v>0.06</v>
      </c>
      <c r="J7" s="46">
        <v>0.04</v>
      </c>
      <c r="K7" s="46">
        <v>0.04</v>
      </c>
      <c r="L7" s="46">
        <v>0.06</v>
      </c>
      <c r="M7" s="46">
        <v>0.09</v>
      </c>
      <c r="N7" s="46">
        <v>0.12</v>
      </c>
      <c r="O7" s="46">
        <v>0.12</v>
      </c>
      <c r="P7" s="46">
        <v>0.12</v>
      </c>
      <c r="Q7" s="46">
        <v>0.1</v>
      </c>
      <c r="R7" s="46">
        <v>7.0000000000000007E-2</v>
      </c>
      <c r="S7" s="46">
        <v>0.04</v>
      </c>
      <c r="T7" s="46">
        <v>0.02</v>
      </c>
      <c r="U7" s="46">
        <v>0.02</v>
      </c>
      <c r="V7" s="46">
        <v>0.02</v>
      </c>
      <c r="W7" s="46">
        <v>0.02</v>
      </c>
      <c r="X7" s="46">
        <v>0.02</v>
      </c>
      <c r="Y7" s="46">
        <v>0.02</v>
      </c>
      <c r="Z7" s="46">
        <v>0.02</v>
      </c>
      <c r="AA7" s="94"/>
      <c r="AB7" s="46"/>
      <c r="AC7" s="46"/>
      <c r="AD7" s="46"/>
      <c r="AE7" s="46"/>
      <c r="AF7" s="46"/>
      <c r="AG7" s="94"/>
      <c r="AH7" s="46"/>
      <c r="AI7" s="46"/>
      <c r="AJ7" s="46"/>
      <c r="AK7" s="46"/>
      <c r="AL7" s="46"/>
      <c r="AM7" s="452"/>
      <c r="AN7" s="374"/>
      <c r="AO7" s="46"/>
      <c r="AP7" s="46"/>
      <c r="AQ7" s="401"/>
      <c r="AR7" s="452"/>
      <c r="AS7" s="69"/>
      <c r="AT7"/>
      <c r="AU7"/>
      <c r="AV7"/>
      <c r="AW7"/>
      <c r="AX7"/>
    </row>
    <row r="8" spans="1:50" s="8" customFormat="1" ht="24" customHeight="1" x14ac:dyDescent="0.25">
      <c r="A8" s="1014"/>
      <c r="B8" s="18"/>
      <c r="C8" s="51"/>
      <c r="D8" s="32" t="s">
        <v>3</v>
      </c>
      <c r="E8" s="52">
        <f>E7*G$6</f>
        <v>137.70000000000002</v>
      </c>
      <c r="F8" s="32"/>
      <c r="G8" s="32"/>
      <c r="H8" s="443">
        <f t="shared" si="1"/>
        <v>137.69999999999999</v>
      </c>
      <c r="I8" s="66">
        <f t="shared" ref="I8:Z15" si="2">I7*$E8</f>
        <v>8.2620000000000005</v>
      </c>
      <c r="J8" s="66">
        <f t="shared" si="2"/>
        <v>5.5080000000000009</v>
      </c>
      <c r="K8" s="66">
        <f t="shared" si="2"/>
        <v>5.5080000000000009</v>
      </c>
      <c r="L8" s="66">
        <f t="shared" si="2"/>
        <v>8.2620000000000005</v>
      </c>
      <c r="M8" s="66">
        <f t="shared" si="2"/>
        <v>12.393000000000001</v>
      </c>
      <c r="N8" s="66">
        <f t="shared" si="2"/>
        <v>16.524000000000001</v>
      </c>
      <c r="O8" s="66">
        <f t="shared" si="2"/>
        <v>16.524000000000001</v>
      </c>
      <c r="P8" s="66">
        <f t="shared" si="2"/>
        <v>16.524000000000001</v>
      </c>
      <c r="Q8" s="66">
        <f t="shared" si="2"/>
        <v>13.770000000000003</v>
      </c>
      <c r="R8" s="66">
        <f t="shared" si="2"/>
        <v>9.6390000000000029</v>
      </c>
      <c r="S8" s="66">
        <f t="shared" si="2"/>
        <v>5.5080000000000009</v>
      </c>
      <c r="T8" s="66">
        <f t="shared" si="2"/>
        <v>2.7540000000000004</v>
      </c>
      <c r="U8" s="66">
        <f t="shared" si="2"/>
        <v>2.7540000000000004</v>
      </c>
      <c r="V8" s="66">
        <f t="shared" si="2"/>
        <v>2.7540000000000004</v>
      </c>
      <c r="W8" s="66">
        <f t="shared" si="2"/>
        <v>2.7540000000000004</v>
      </c>
      <c r="X8" s="66">
        <f t="shared" si="2"/>
        <v>2.7540000000000004</v>
      </c>
      <c r="Y8" s="66">
        <f t="shared" si="2"/>
        <v>2.7540000000000004</v>
      </c>
      <c r="Z8" s="66">
        <f t="shared" si="2"/>
        <v>2.7540000000000004</v>
      </c>
      <c r="AA8" s="388"/>
      <c r="AB8" s="66"/>
      <c r="AC8" s="66"/>
      <c r="AD8" s="66"/>
      <c r="AE8" s="66"/>
      <c r="AF8" s="66"/>
      <c r="AG8" s="370"/>
      <c r="AH8" s="66"/>
      <c r="AI8" s="66"/>
      <c r="AJ8" s="66"/>
      <c r="AK8" s="66"/>
      <c r="AL8" s="66"/>
      <c r="AM8" s="453"/>
      <c r="AN8" s="375"/>
      <c r="AO8" s="53"/>
      <c r="AP8" s="53"/>
      <c r="AQ8" s="402"/>
      <c r="AR8" s="453"/>
      <c r="AS8" s="70"/>
      <c r="AT8"/>
      <c r="AU8"/>
      <c r="AV8"/>
      <c r="AW8"/>
      <c r="AX8"/>
    </row>
    <row r="9" spans="1:50" s="8" customFormat="1" ht="24" customHeight="1" x14ac:dyDescent="0.25">
      <c r="A9" s="1014"/>
      <c r="B9" s="7"/>
      <c r="C9" s="21" t="s">
        <v>976</v>
      </c>
      <c r="D9" s="29" t="s">
        <v>4</v>
      </c>
      <c r="E9" s="369">
        <f>1-E7</f>
        <v>9.9999999999999978E-2</v>
      </c>
      <c r="F9" s="387" t="s">
        <v>993</v>
      </c>
      <c r="G9" s="29"/>
      <c r="H9" s="499">
        <f t="shared" si="1"/>
        <v>1</v>
      </c>
      <c r="I9" s="367"/>
      <c r="J9" s="367"/>
      <c r="K9" s="367"/>
      <c r="L9" s="367"/>
      <c r="M9" s="367"/>
      <c r="N9" s="367"/>
      <c r="O9" s="46"/>
      <c r="P9" s="382"/>
      <c r="Q9" s="46"/>
      <c r="R9" s="46"/>
      <c r="S9" s="46"/>
      <c r="T9" s="46">
        <v>0.03</v>
      </c>
      <c r="U9" s="46">
        <v>0.05</v>
      </c>
      <c r="V9" s="46">
        <v>0.08</v>
      </c>
      <c r="W9" s="46">
        <v>0.1</v>
      </c>
      <c r="X9" s="46">
        <v>0.12</v>
      </c>
      <c r="Y9" s="46">
        <v>0.14000000000000001</v>
      </c>
      <c r="Z9" s="46">
        <v>0.12</v>
      </c>
      <c r="AA9" s="46">
        <v>0.1</v>
      </c>
      <c r="AB9" s="46">
        <v>0.08</v>
      </c>
      <c r="AC9" s="46">
        <v>0.06</v>
      </c>
      <c r="AD9" s="46">
        <v>0.04</v>
      </c>
      <c r="AE9" s="46">
        <v>0.04</v>
      </c>
      <c r="AF9" s="46">
        <v>0.04</v>
      </c>
      <c r="AG9" s="371"/>
      <c r="AH9" s="367"/>
      <c r="AI9" s="367"/>
      <c r="AJ9" s="367"/>
      <c r="AK9" s="367"/>
      <c r="AL9" s="367"/>
      <c r="AM9" s="454"/>
      <c r="AN9" s="376"/>
      <c r="AO9" s="368"/>
      <c r="AP9" s="368"/>
      <c r="AQ9" s="403"/>
      <c r="AR9" s="454"/>
      <c r="AS9" s="69"/>
      <c r="AT9"/>
      <c r="AU9"/>
      <c r="AV9"/>
      <c r="AW9"/>
      <c r="AX9"/>
    </row>
    <row r="10" spans="1:50" s="8" customFormat="1" ht="24" customHeight="1" x14ac:dyDescent="0.25">
      <c r="A10" s="1014"/>
      <c r="B10" s="18"/>
      <c r="C10" s="449">
        <f>-(SUMPRODUCT(I6:Z6,I8:Z8)+SUMPRODUCT(T6:AF6,T10:AF10))/G6</f>
        <v>141.95000000000002</v>
      </c>
      <c r="D10" s="32" t="s">
        <v>3</v>
      </c>
      <c r="E10" s="52">
        <f>E9*G$6</f>
        <v>15.299999999999997</v>
      </c>
      <c r="F10" s="32"/>
      <c r="G10" s="32"/>
      <c r="H10" s="443">
        <f t="shared" si="1"/>
        <v>15.299999999999999</v>
      </c>
      <c r="I10" s="66"/>
      <c r="J10" s="66"/>
      <c r="K10" s="66"/>
      <c r="L10" s="66"/>
      <c r="M10" s="66"/>
      <c r="N10" s="66"/>
      <c r="O10" s="66"/>
      <c r="P10" s="382"/>
      <c r="Q10" s="66"/>
      <c r="R10" s="66"/>
      <c r="S10" s="66"/>
      <c r="T10" s="66">
        <f t="shared" ref="T10:AF10" si="3">T9*$E10</f>
        <v>0.45899999999999991</v>
      </c>
      <c r="U10" s="66">
        <f t="shared" si="3"/>
        <v>0.7649999999999999</v>
      </c>
      <c r="V10" s="66">
        <f t="shared" si="3"/>
        <v>1.2239999999999998</v>
      </c>
      <c r="W10" s="66">
        <f t="shared" si="3"/>
        <v>1.5299999999999998</v>
      </c>
      <c r="X10" s="66">
        <f t="shared" si="3"/>
        <v>1.8359999999999996</v>
      </c>
      <c r="Y10" s="66">
        <f t="shared" si="3"/>
        <v>2.1419999999999999</v>
      </c>
      <c r="Z10" s="66">
        <f t="shared" si="3"/>
        <v>1.8359999999999996</v>
      </c>
      <c r="AA10" s="66">
        <f t="shared" si="3"/>
        <v>1.5299999999999998</v>
      </c>
      <c r="AB10" s="66">
        <f t="shared" si="3"/>
        <v>1.2239999999999998</v>
      </c>
      <c r="AC10" s="66">
        <f t="shared" si="3"/>
        <v>0.91799999999999982</v>
      </c>
      <c r="AD10" s="66">
        <f t="shared" si="3"/>
        <v>0.61199999999999988</v>
      </c>
      <c r="AE10" s="66">
        <f t="shared" si="3"/>
        <v>0.61199999999999988</v>
      </c>
      <c r="AF10" s="66">
        <f t="shared" si="3"/>
        <v>0.61199999999999988</v>
      </c>
      <c r="AG10" s="388"/>
      <c r="AH10" s="66"/>
      <c r="AI10" s="66"/>
      <c r="AJ10" s="66"/>
      <c r="AK10" s="66"/>
      <c r="AL10" s="66"/>
      <c r="AM10" s="453"/>
      <c r="AN10" s="375"/>
      <c r="AO10" s="53"/>
      <c r="AP10" s="53"/>
      <c r="AQ10" s="402"/>
      <c r="AR10" s="453"/>
      <c r="AS10" s="70"/>
      <c r="AT10"/>
      <c r="AU10"/>
      <c r="AV10"/>
      <c r="AW10"/>
      <c r="AX10"/>
    </row>
    <row r="11" spans="1:50" s="8" customFormat="1" ht="24" customHeight="1" x14ac:dyDescent="0.25">
      <c r="A11" s="1014"/>
      <c r="B11" s="408"/>
      <c r="C11" s="507"/>
      <c r="D11" s="508" t="s">
        <v>1005</v>
      </c>
      <c r="E11" s="509">
        <f>-(SUMPRODUCT(I6:Z6,I8:Z8)+SUMPRODUCT(T6:AF6,T10:AF10))/G6</f>
        <v>141.95000000000002</v>
      </c>
      <c r="F11" s="409"/>
      <c r="G11" s="409"/>
      <c r="H11" s="511" t="s">
        <v>1004</v>
      </c>
      <c r="I11" s="410">
        <f>(I8+I10)/G6</f>
        <v>5.4000000000000006E-2</v>
      </c>
      <c r="J11" s="410">
        <f>I11+(J8+J10)/$G$6</f>
        <v>9.0000000000000011E-2</v>
      </c>
      <c r="K11" s="410">
        <f t="shared" ref="K11:AF11" si="4">J11+(K8+K10)/$G$6</f>
        <v>0.126</v>
      </c>
      <c r="L11" s="410">
        <f t="shared" si="4"/>
        <v>0.18</v>
      </c>
      <c r="M11" s="410">
        <f t="shared" si="4"/>
        <v>0.26100000000000001</v>
      </c>
      <c r="N11" s="410">
        <f t="shared" si="4"/>
        <v>0.36899999999999999</v>
      </c>
      <c r="O11" s="411">
        <f t="shared" si="4"/>
        <v>0.47699999999999998</v>
      </c>
      <c r="P11" s="390">
        <f t="shared" si="4"/>
        <v>0.58499999999999996</v>
      </c>
      <c r="Q11" s="412">
        <f t="shared" si="4"/>
        <v>0.67500000000000004</v>
      </c>
      <c r="R11" s="410">
        <f t="shared" si="4"/>
        <v>0.7380000000000001</v>
      </c>
      <c r="S11" s="410">
        <f t="shared" si="4"/>
        <v>0.77400000000000013</v>
      </c>
      <c r="T11" s="410">
        <f t="shared" si="4"/>
        <v>0.79500000000000015</v>
      </c>
      <c r="U11" s="410">
        <f t="shared" si="4"/>
        <v>0.81800000000000017</v>
      </c>
      <c r="V11" s="410">
        <f t="shared" si="4"/>
        <v>0.84400000000000019</v>
      </c>
      <c r="W11" s="410">
        <f t="shared" si="4"/>
        <v>0.87200000000000022</v>
      </c>
      <c r="X11" s="410">
        <f t="shared" si="4"/>
        <v>0.90200000000000025</v>
      </c>
      <c r="Y11" s="410">
        <f t="shared" si="4"/>
        <v>0.93400000000000027</v>
      </c>
      <c r="Z11" s="410">
        <f t="shared" si="4"/>
        <v>0.9640000000000003</v>
      </c>
      <c r="AA11" s="410">
        <f t="shared" si="4"/>
        <v>0.97400000000000031</v>
      </c>
      <c r="AB11" s="410">
        <f t="shared" si="4"/>
        <v>0.98200000000000032</v>
      </c>
      <c r="AC11" s="410">
        <f t="shared" si="4"/>
        <v>0.98800000000000032</v>
      </c>
      <c r="AD11" s="410">
        <f t="shared" si="4"/>
        <v>0.99200000000000033</v>
      </c>
      <c r="AE11" s="410">
        <f t="shared" si="4"/>
        <v>0.99600000000000033</v>
      </c>
      <c r="AF11" s="410">
        <f t="shared" si="4"/>
        <v>1.0000000000000002</v>
      </c>
      <c r="AG11" s="418"/>
      <c r="AH11" s="413"/>
      <c r="AI11" s="413"/>
      <c r="AJ11" s="413"/>
      <c r="AK11" s="413"/>
      <c r="AL11" s="413"/>
      <c r="AM11" s="455"/>
      <c r="AN11" s="414"/>
      <c r="AO11" s="415"/>
      <c r="AP11" s="415"/>
      <c r="AQ11" s="416"/>
      <c r="AR11" s="455"/>
      <c r="AS11" s="417"/>
      <c r="AT11"/>
      <c r="AU11"/>
      <c r="AV11"/>
      <c r="AW11"/>
      <c r="AX11"/>
    </row>
    <row r="12" spans="1:50" s="8" customFormat="1" ht="24" hidden="1" customHeight="1" x14ac:dyDescent="0.25">
      <c r="A12" s="1014"/>
      <c r="B12" s="7"/>
      <c r="C12" s="21" t="s">
        <v>978</v>
      </c>
      <c r="D12" s="29" t="s">
        <v>4</v>
      </c>
      <c r="E12" s="184">
        <v>0.5</v>
      </c>
      <c r="F12" s="387" t="s">
        <v>991</v>
      </c>
      <c r="G12" s="29"/>
      <c r="H12" s="499">
        <f t="shared" si="1"/>
        <v>1</v>
      </c>
      <c r="I12" s="367"/>
      <c r="J12" s="367"/>
      <c r="K12" s="46"/>
      <c r="L12" s="46">
        <v>0.03</v>
      </c>
      <c r="M12" s="46">
        <v>0.04</v>
      </c>
      <c r="N12" s="46">
        <v>0.05</v>
      </c>
      <c r="O12" s="46">
        <v>0.06</v>
      </c>
      <c r="P12" s="46">
        <v>7.0000000000000007E-2</v>
      </c>
      <c r="Q12" s="46">
        <v>0.09</v>
      </c>
      <c r="R12" s="46">
        <v>0.11</v>
      </c>
      <c r="S12" s="46">
        <v>0.12</v>
      </c>
      <c r="T12" s="46">
        <v>0.11</v>
      </c>
      <c r="U12" s="46">
        <v>0.09</v>
      </c>
      <c r="V12" s="46">
        <v>0.05</v>
      </c>
      <c r="W12" s="46">
        <v>0.03</v>
      </c>
      <c r="X12" s="46">
        <v>0.03</v>
      </c>
      <c r="Y12" s="46">
        <v>0.03</v>
      </c>
      <c r="Z12" s="46">
        <v>0.03</v>
      </c>
      <c r="AA12" s="46">
        <v>0.02</v>
      </c>
      <c r="AB12" s="46">
        <v>0.02</v>
      </c>
      <c r="AC12" s="46">
        <v>0.02</v>
      </c>
      <c r="AD12" s="367"/>
      <c r="AE12" s="367"/>
      <c r="AF12" s="367"/>
      <c r="AG12" s="367"/>
      <c r="AH12" s="367"/>
      <c r="AI12" s="367"/>
      <c r="AJ12" s="367"/>
      <c r="AK12" s="367"/>
      <c r="AL12" s="367"/>
      <c r="AM12" s="454"/>
      <c r="AN12" s="376"/>
      <c r="AO12" s="368"/>
      <c r="AP12" s="368"/>
      <c r="AQ12" s="403"/>
      <c r="AR12" s="454"/>
      <c r="AS12" s="69"/>
      <c r="AT12"/>
      <c r="AU12"/>
      <c r="AV12"/>
      <c r="AW12"/>
      <c r="AX12"/>
    </row>
    <row r="13" spans="1:50" s="8" customFormat="1" ht="24" hidden="1" customHeight="1" x14ac:dyDescent="0.25">
      <c r="A13" s="1014"/>
      <c r="B13" s="18"/>
      <c r="C13" s="51"/>
      <c r="D13" s="32" t="s">
        <v>3</v>
      </c>
      <c r="E13" s="52">
        <f>E12*G$6</f>
        <v>76.5</v>
      </c>
      <c r="F13" s="32"/>
      <c r="G13" s="32"/>
      <c r="H13" s="443">
        <f t="shared" si="1"/>
        <v>76.5</v>
      </c>
      <c r="I13" s="66"/>
      <c r="J13" s="66"/>
      <c r="K13" s="66"/>
      <c r="L13" s="66">
        <f t="shared" si="2"/>
        <v>2.2949999999999999</v>
      </c>
      <c r="M13" s="66">
        <f t="shared" si="2"/>
        <v>3.06</v>
      </c>
      <c r="N13" s="66">
        <f t="shared" si="2"/>
        <v>3.8250000000000002</v>
      </c>
      <c r="O13" s="66">
        <f t="shared" si="2"/>
        <v>4.59</v>
      </c>
      <c r="P13" s="66">
        <f t="shared" si="2"/>
        <v>5.3550000000000004</v>
      </c>
      <c r="Q13" s="66">
        <f t="shared" si="2"/>
        <v>6.8849999999999998</v>
      </c>
      <c r="R13" s="66">
        <f t="shared" si="2"/>
        <v>8.4150000000000009</v>
      </c>
      <c r="S13" s="66">
        <f t="shared" si="2"/>
        <v>9.18</v>
      </c>
      <c r="T13" s="66">
        <f t="shared" si="2"/>
        <v>8.4150000000000009</v>
      </c>
      <c r="U13" s="66">
        <f t="shared" si="2"/>
        <v>6.8849999999999998</v>
      </c>
      <c r="V13" s="66">
        <f t="shared" si="2"/>
        <v>3.8250000000000002</v>
      </c>
      <c r="W13" s="66">
        <f t="shared" si="2"/>
        <v>2.2949999999999999</v>
      </c>
      <c r="X13" s="66">
        <f t="shared" si="2"/>
        <v>2.2949999999999999</v>
      </c>
      <c r="Y13" s="66">
        <f t="shared" si="2"/>
        <v>2.2949999999999999</v>
      </c>
      <c r="Z13" s="66">
        <f t="shared" si="2"/>
        <v>2.2949999999999999</v>
      </c>
      <c r="AA13" s="66">
        <f t="shared" ref="AA13:AC13" si="5">AA12*$E13</f>
        <v>1.53</v>
      </c>
      <c r="AB13" s="66">
        <f t="shared" si="5"/>
        <v>1.53</v>
      </c>
      <c r="AC13" s="66">
        <f t="shared" si="5"/>
        <v>1.53</v>
      </c>
      <c r="AD13" s="66"/>
      <c r="AE13" s="66"/>
      <c r="AF13" s="66"/>
      <c r="AG13" s="66"/>
      <c r="AH13" s="66"/>
      <c r="AI13" s="66"/>
      <c r="AJ13" s="66"/>
      <c r="AK13" s="66"/>
      <c r="AL13" s="66"/>
      <c r="AM13" s="453"/>
      <c r="AN13" s="375"/>
      <c r="AO13" s="53"/>
      <c r="AP13" s="53"/>
      <c r="AQ13" s="402"/>
      <c r="AR13" s="453"/>
      <c r="AS13" s="70"/>
      <c r="AT13"/>
      <c r="AU13"/>
      <c r="AV13"/>
      <c r="AW13"/>
      <c r="AX13"/>
    </row>
    <row r="14" spans="1:50" s="8" customFormat="1" ht="24" hidden="1" customHeight="1" x14ac:dyDescent="0.25">
      <c r="A14" s="1014"/>
      <c r="B14" s="7"/>
      <c r="C14" s="21" t="s">
        <v>979</v>
      </c>
      <c r="D14" s="29" t="s">
        <v>4</v>
      </c>
      <c r="E14" s="91">
        <f>E12</f>
        <v>0.5</v>
      </c>
      <c r="F14" s="29"/>
      <c r="G14" s="29"/>
      <c r="H14" s="499">
        <f t="shared" si="1"/>
        <v>1</v>
      </c>
      <c r="I14" s="367"/>
      <c r="J14" s="367"/>
      <c r="K14" s="367"/>
      <c r="L14" s="367"/>
      <c r="M14" s="367"/>
      <c r="N14" s="367"/>
      <c r="O14" s="46">
        <v>0.02</v>
      </c>
      <c r="P14" s="46">
        <v>0.01</v>
      </c>
      <c r="Q14" s="46">
        <v>0.01</v>
      </c>
      <c r="R14" s="46">
        <v>0.02</v>
      </c>
      <c r="S14" s="46">
        <v>0.04</v>
      </c>
      <c r="T14" s="46">
        <v>0.06</v>
      </c>
      <c r="U14" s="46">
        <v>0.06</v>
      </c>
      <c r="V14" s="46">
        <v>7.0000000000000007E-2</v>
      </c>
      <c r="W14" s="46">
        <v>0.09</v>
      </c>
      <c r="X14" s="46">
        <v>0.11</v>
      </c>
      <c r="Y14" s="46">
        <v>0.12</v>
      </c>
      <c r="Z14" s="46">
        <v>0.12</v>
      </c>
      <c r="AA14" s="46">
        <v>0.1</v>
      </c>
      <c r="AB14" s="46">
        <v>0.05</v>
      </c>
      <c r="AC14" s="46">
        <v>0.03</v>
      </c>
      <c r="AD14" s="46">
        <v>0.03</v>
      </c>
      <c r="AE14" s="46">
        <v>0.02</v>
      </c>
      <c r="AF14" s="46">
        <v>0.02</v>
      </c>
      <c r="AG14" s="46">
        <v>0.02</v>
      </c>
      <c r="AH14" s="367"/>
      <c r="AI14" s="367"/>
      <c r="AJ14" s="367"/>
      <c r="AK14" s="367"/>
      <c r="AL14" s="367"/>
      <c r="AM14" s="454"/>
      <c r="AN14" s="376"/>
      <c r="AO14" s="368"/>
      <c r="AP14" s="368"/>
      <c r="AQ14" s="403"/>
      <c r="AR14" s="454"/>
      <c r="AS14" s="69"/>
      <c r="AT14"/>
      <c r="AU14"/>
      <c r="AV14"/>
      <c r="AW14"/>
      <c r="AX14"/>
    </row>
    <row r="15" spans="1:50" s="8" customFormat="1" ht="24" hidden="1" customHeight="1" x14ac:dyDescent="0.25">
      <c r="A15" s="1014"/>
      <c r="B15" s="18"/>
      <c r="C15" s="372"/>
      <c r="D15" s="32" t="s">
        <v>3</v>
      </c>
      <c r="E15" s="52">
        <f>E14*G$6</f>
        <v>76.5</v>
      </c>
      <c r="F15" s="32"/>
      <c r="G15" s="32"/>
      <c r="H15" s="443">
        <f t="shared" si="1"/>
        <v>76.5</v>
      </c>
      <c r="I15" s="66"/>
      <c r="J15" s="66"/>
      <c r="K15" s="66"/>
      <c r="L15" s="66"/>
      <c r="M15" s="66"/>
      <c r="N15" s="66"/>
      <c r="O15" s="66">
        <f t="shared" si="2"/>
        <v>1.53</v>
      </c>
      <c r="P15" s="66">
        <f t="shared" si="2"/>
        <v>0.76500000000000001</v>
      </c>
      <c r="Q15" s="66">
        <f t="shared" si="2"/>
        <v>0.76500000000000001</v>
      </c>
      <c r="R15" s="66">
        <f t="shared" si="2"/>
        <v>1.53</v>
      </c>
      <c r="S15" s="66">
        <f t="shared" si="2"/>
        <v>3.06</v>
      </c>
      <c r="T15" s="66">
        <f t="shared" si="2"/>
        <v>4.59</v>
      </c>
      <c r="U15" s="66">
        <f t="shared" si="2"/>
        <v>4.59</v>
      </c>
      <c r="V15" s="66">
        <f t="shared" si="2"/>
        <v>5.3550000000000004</v>
      </c>
      <c r="W15" s="66">
        <f t="shared" si="2"/>
        <v>6.8849999999999998</v>
      </c>
      <c r="X15" s="66">
        <f t="shared" si="2"/>
        <v>8.4150000000000009</v>
      </c>
      <c r="Y15" s="66">
        <f t="shared" si="2"/>
        <v>9.18</v>
      </c>
      <c r="Z15" s="66">
        <f t="shared" si="2"/>
        <v>9.18</v>
      </c>
      <c r="AA15" s="66">
        <f t="shared" ref="AA15:AG15" si="6">AA14*$E15</f>
        <v>7.65</v>
      </c>
      <c r="AB15" s="66">
        <f t="shared" si="6"/>
        <v>3.8250000000000002</v>
      </c>
      <c r="AC15" s="66">
        <f t="shared" si="6"/>
        <v>2.2949999999999999</v>
      </c>
      <c r="AD15" s="66">
        <f t="shared" si="6"/>
        <v>2.2949999999999999</v>
      </c>
      <c r="AE15" s="66">
        <f t="shared" si="6"/>
        <v>1.53</v>
      </c>
      <c r="AF15" s="66">
        <f t="shared" si="6"/>
        <v>1.53</v>
      </c>
      <c r="AG15" s="66">
        <f t="shared" si="6"/>
        <v>1.53</v>
      </c>
      <c r="AH15" s="66"/>
      <c r="AI15" s="66"/>
      <c r="AJ15" s="66"/>
      <c r="AK15" s="66"/>
      <c r="AL15" s="66"/>
      <c r="AM15" s="453"/>
      <c r="AN15" s="375"/>
      <c r="AO15" s="53"/>
      <c r="AP15" s="53"/>
      <c r="AQ15" s="402"/>
      <c r="AR15" s="453"/>
      <c r="AS15" s="70"/>
      <c r="AT15"/>
      <c r="AU15"/>
      <c r="AV15"/>
      <c r="AW15"/>
      <c r="AX15"/>
    </row>
    <row r="16" spans="1:50" s="8" customFormat="1" ht="24" customHeight="1" x14ac:dyDescent="0.25">
      <c r="A16" s="1014"/>
      <c r="B16" s="7"/>
      <c r="C16" s="21" t="s">
        <v>981</v>
      </c>
      <c r="D16" s="29" t="s">
        <v>4</v>
      </c>
      <c r="E16" s="47">
        <v>1</v>
      </c>
      <c r="F16" s="29"/>
      <c r="G16" s="29"/>
      <c r="H16" s="499">
        <f>SUM(I16:AR16)</f>
        <v>1</v>
      </c>
      <c r="I16" s="47"/>
      <c r="J16" s="47"/>
      <c r="K16" s="47"/>
      <c r="L16" s="47"/>
      <c r="M16" s="47"/>
      <c r="N16" s="47">
        <v>0.01</v>
      </c>
      <c r="O16" s="47">
        <v>0.02</v>
      </c>
      <c r="P16" s="47">
        <v>0.02</v>
      </c>
      <c r="Q16" s="47">
        <v>0.03</v>
      </c>
      <c r="R16" s="47">
        <v>0.03</v>
      </c>
      <c r="S16" s="47">
        <v>0.04</v>
      </c>
      <c r="T16" s="47">
        <v>0.05</v>
      </c>
      <c r="U16" s="47">
        <v>0.06</v>
      </c>
      <c r="V16" s="47">
        <v>7.0000000000000007E-2</v>
      </c>
      <c r="W16" s="47">
        <v>0.08</v>
      </c>
      <c r="X16" s="47">
        <v>0.09</v>
      </c>
      <c r="Y16" s="47">
        <v>0.1</v>
      </c>
      <c r="Z16" s="47">
        <v>0.1</v>
      </c>
      <c r="AA16" s="47">
        <v>0.09</v>
      </c>
      <c r="AB16" s="46">
        <v>7.0000000000000007E-2</v>
      </c>
      <c r="AC16" s="46">
        <v>0.03</v>
      </c>
      <c r="AD16" s="46">
        <v>0.03</v>
      </c>
      <c r="AE16" s="46">
        <v>0.02</v>
      </c>
      <c r="AF16" s="46">
        <v>0.01</v>
      </c>
      <c r="AG16" s="46">
        <v>0.01</v>
      </c>
      <c r="AH16" s="46">
        <v>0.01</v>
      </c>
      <c r="AI16" s="46">
        <v>0.01</v>
      </c>
      <c r="AJ16" s="46">
        <v>0.02</v>
      </c>
      <c r="AK16" s="46"/>
      <c r="AL16" s="47"/>
      <c r="AM16" s="456"/>
      <c r="AN16" s="377"/>
      <c r="AO16" s="47"/>
      <c r="AP16" s="47"/>
      <c r="AQ16" s="404"/>
      <c r="AR16" s="456"/>
      <c r="AS16" s="69"/>
      <c r="AT16"/>
      <c r="AU16"/>
      <c r="AV16"/>
      <c r="AW16"/>
      <c r="AX16"/>
    </row>
    <row r="17" spans="1:50" s="8" customFormat="1" ht="24" customHeight="1" x14ac:dyDescent="0.25">
      <c r="A17" s="1014"/>
      <c r="B17" s="18"/>
      <c r="C17" s="51" t="s">
        <v>982</v>
      </c>
      <c r="D17" s="32" t="s">
        <v>3</v>
      </c>
      <c r="E17" s="52">
        <f>E16*G$6</f>
        <v>153</v>
      </c>
      <c r="F17" s="32"/>
      <c r="G17" s="32"/>
      <c r="H17" s="443">
        <f>SUM(I17:AR17)</f>
        <v>153</v>
      </c>
      <c r="I17" s="54"/>
      <c r="J17" s="54"/>
      <c r="K17" s="66"/>
      <c r="L17" s="66"/>
      <c r="M17" s="66"/>
      <c r="N17" s="66">
        <f t="shared" ref="N17:AJ19" si="7">N16*$E17</f>
        <v>1.53</v>
      </c>
      <c r="O17" s="66">
        <f t="shared" si="7"/>
        <v>3.06</v>
      </c>
      <c r="P17" s="66">
        <f t="shared" si="7"/>
        <v>3.06</v>
      </c>
      <c r="Q17" s="66">
        <f t="shared" si="7"/>
        <v>4.59</v>
      </c>
      <c r="R17" s="66">
        <f t="shared" si="7"/>
        <v>4.59</v>
      </c>
      <c r="S17" s="66">
        <f t="shared" si="7"/>
        <v>6.12</v>
      </c>
      <c r="T17" s="66">
        <f t="shared" si="7"/>
        <v>7.65</v>
      </c>
      <c r="U17" s="66">
        <f t="shared" si="7"/>
        <v>9.18</v>
      </c>
      <c r="V17" s="66">
        <f t="shared" si="7"/>
        <v>10.71</v>
      </c>
      <c r="W17" s="66">
        <f t="shared" si="7"/>
        <v>12.24</v>
      </c>
      <c r="X17" s="66">
        <f t="shared" si="7"/>
        <v>13.77</v>
      </c>
      <c r="Y17" s="66">
        <f t="shared" si="7"/>
        <v>15.3</v>
      </c>
      <c r="Z17" s="66">
        <f t="shared" si="7"/>
        <v>15.3</v>
      </c>
      <c r="AA17" s="66">
        <f t="shared" si="7"/>
        <v>13.77</v>
      </c>
      <c r="AB17" s="66">
        <f t="shared" si="7"/>
        <v>10.71</v>
      </c>
      <c r="AC17" s="66">
        <f t="shared" si="7"/>
        <v>4.59</v>
      </c>
      <c r="AD17" s="66">
        <f t="shared" si="7"/>
        <v>4.59</v>
      </c>
      <c r="AE17" s="66">
        <f t="shared" si="7"/>
        <v>3.06</v>
      </c>
      <c r="AF17" s="66">
        <f t="shared" si="7"/>
        <v>1.53</v>
      </c>
      <c r="AG17" s="66">
        <f t="shared" si="7"/>
        <v>1.53</v>
      </c>
      <c r="AH17" s="66">
        <f t="shared" si="7"/>
        <v>1.53</v>
      </c>
      <c r="AI17" s="66">
        <f t="shared" si="7"/>
        <v>1.53</v>
      </c>
      <c r="AJ17" s="66">
        <f t="shared" si="7"/>
        <v>3.06</v>
      </c>
      <c r="AK17" s="66"/>
      <c r="AL17" s="66"/>
      <c r="AM17" s="457"/>
      <c r="AN17" s="378"/>
      <c r="AO17" s="54"/>
      <c r="AP17" s="54"/>
      <c r="AQ17" s="405"/>
      <c r="AR17" s="910"/>
      <c r="AS17" s="70"/>
      <c r="AT17"/>
      <c r="AU17"/>
      <c r="AV17"/>
      <c r="AW17"/>
      <c r="AX17"/>
    </row>
    <row r="18" spans="1:50" s="8" customFormat="1" ht="24" customHeight="1" x14ac:dyDescent="0.25">
      <c r="A18" s="1014"/>
      <c r="B18" s="7"/>
      <c r="C18" s="21" t="s">
        <v>51</v>
      </c>
      <c r="D18" s="29" t="s">
        <v>4</v>
      </c>
      <c r="E18" s="184">
        <v>0.2</v>
      </c>
      <c r="F18" s="387"/>
      <c r="G18" s="29"/>
      <c r="H18" s="499">
        <f t="shared" si="1"/>
        <v>1</v>
      </c>
      <c r="I18" s="47"/>
      <c r="J18" s="47"/>
      <c r="K18" s="47"/>
      <c r="L18" s="47"/>
      <c r="M18" s="47"/>
      <c r="N18" s="47"/>
      <c r="O18" s="46"/>
      <c r="P18" s="46"/>
      <c r="Q18" s="46">
        <v>0.02</v>
      </c>
      <c r="R18" s="46">
        <v>0.02</v>
      </c>
      <c r="S18" s="46">
        <v>0.02</v>
      </c>
      <c r="T18" s="46">
        <v>0.04</v>
      </c>
      <c r="U18" s="46">
        <v>0.06</v>
      </c>
      <c r="V18" s="46">
        <v>0.08</v>
      </c>
      <c r="W18" s="46">
        <v>0.08</v>
      </c>
      <c r="X18" s="46">
        <v>0.1</v>
      </c>
      <c r="Y18" s="46">
        <v>0.12</v>
      </c>
      <c r="Z18" s="46">
        <v>0.12</v>
      </c>
      <c r="AA18" s="46">
        <v>0.1</v>
      </c>
      <c r="AB18" s="46">
        <v>0.08</v>
      </c>
      <c r="AC18" s="46">
        <v>0.06</v>
      </c>
      <c r="AD18" s="46">
        <v>0.04</v>
      </c>
      <c r="AE18" s="46">
        <v>0.02</v>
      </c>
      <c r="AF18" s="46">
        <v>0.02</v>
      </c>
      <c r="AG18" s="46">
        <v>0.02</v>
      </c>
      <c r="AH18" s="47"/>
      <c r="AI18" s="47"/>
      <c r="AJ18" s="47"/>
      <c r="AK18" s="47"/>
      <c r="AL18" s="47"/>
      <c r="AM18" s="456"/>
      <c r="AN18" s="377"/>
      <c r="AO18" s="47"/>
      <c r="AP18" s="47"/>
      <c r="AQ18" s="404"/>
      <c r="AR18" s="456"/>
      <c r="AS18" s="69"/>
      <c r="AT18"/>
      <c r="AU18"/>
      <c r="AV18"/>
      <c r="AW18"/>
      <c r="AX18"/>
    </row>
    <row r="19" spans="1:50" s="8" customFormat="1" ht="24" customHeight="1" x14ac:dyDescent="0.25">
      <c r="A19" s="1014"/>
      <c r="B19" s="17"/>
      <c r="C19" s="458"/>
      <c r="D19" s="33" t="s">
        <v>3</v>
      </c>
      <c r="E19" s="55">
        <f>E18*G$6</f>
        <v>30.6</v>
      </c>
      <c r="F19" s="33"/>
      <c r="G19" s="33"/>
      <c r="H19" s="500">
        <f t="shared" si="1"/>
        <v>30.599999999999994</v>
      </c>
      <c r="I19" s="459"/>
      <c r="J19" s="459"/>
      <c r="K19" s="459"/>
      <c r="L19" s="459"/>
      <c r="M19" s="459"/>
      <c r="N19" s="65"/>
      <c r="O19" s="65"/>
      <c r="P19" s="65"/>
      <c r="Q19" s="65">
        <f t="shared" si="7"/>
        <v>0.61199999999999999</v>
      </c>
      <c r="R19" s="65">
        <f t="shared" si="7"/>
        <v>0.61199999999999999</v>
      </c>
      <c r="S19" s="65">
        <f t="shared" si="7"/>
        <v>0.61199999999999999</v>
      </c>
      <c r="T19" s="65">
        <f t="shared" si="7"/>
        <v>1.224</v>
      </c>
      <c r="U19" s="65">
        <f t="shared" si="7"/>
        <v>1.8360000000000001</v>
      </c>
      <c r="V19" s="65">
        <f t="shared" si="7"/>
        <v>2.448</v>
      </c>
      <c r="W19" s="65">
        <f t="shared" si="7"/>
        <v>2.448</v>
      </c>
      <c r="X19" s="65">
        <f t="shared" si="7"/>
        <v>3.0600000000000005</v>
      </c>
      <c r="Y19" s="65">
        <f t="shared" si="7"/>
        <v>3.6720000000000002</v>
      </c>
      <c r="Z19" s="65">
        <f t="shared" si="7"/>
        <v>3.6720000000000002</v>
      </c>
      <c r="AA19" s="65">
        <f t="shared" si="7"/>
        <v>3.0600000000000005</v>
      </c>
      <c r="AB19" s="65">
        <f t="shared" si="7"/>
        <v>2.448</v>
      </c>
      <c r="AC19" s="65">
        <f t="shared" si="7"/>
        <v>1.8360000000000001</v>
      </c>
      <c r="AD19" s="65">
        <f t="shared" si="7"/>
        <v>1.224</v>
      </c>
      <c r="AE19" s="65">
        <f t="shared" si="7"/>
        <v>0.61199999999999999</v>
      </c>
      <c r="AF19" s="65">
        <f t="shared" si="7"/>
        <v>0.61199999999999999</v>
      </c>
      <c r="AG19" s="65">
        <f t="shared" si="7"/>
        <v>0.61199999999999999</v>
      </c>
      <c r="AH19" s="65"/>
      <c r="AI19" s="65"/>
      <c r="AJ19" s="65"/>
      <c r="AK19" s="65"/>
      <c r="AL19" s="65"/>
      <c r="AM19" s="462"/>
      <c r="AN19" s="460"/>
      <c r="AO19" s="459"/>
      <c r="AP19" s="459"/>
      <c r="AQ19" s="461"/>
      <c r="AR19" s="462"/>
      <c r="AS19" s="71"/>
      <c r="AT19"/>
      <c r="AU19"/>
      <c r="AV19"/>
      <c r="AW19"/>
      <c r="AX19"/>
    </row>
    <row r="20" spans="1:50" s="8" customFormat="1" ht="24" customHeight="1" x14ac:dyDescent="0.25">
      <c r="A20" s="1014"/>
      <c r="B20" s="7"/>
      <c r="C20" s="21" t="s">
        <v>52</v>
      </c>
      <c r="D20" s="29" t="s">
        <v>4</v>
      </c>
      <c r="E20" s="91">
        <f>E18</f>
        <v>0.2</v>
      </c>
      <c r="F20" s="29"/>
      <c r="G20" s="29"/>
      <c r="H20" s="499">
        <f t="shared" si="1"/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>
        <v>0.05</v>
      </c>
      <c r="AM20" s="47">
        <v>0.1</v>
      </c>
      <c r="AN20" s="47">
        <v>0.45</v>
      </c>
      <c r="AO20" s="47">
        <v>0.4</v>
      </c>
      <c r="AP20" s="47"/>
      <c r="AQ20" s="404"/>
      <c r="AR20" s="456"/>
      <c r="AS20" s="69"/>
      <c r="AT20"/>
      <c r="AU20"/>
      <c r="AV20"/>
      <c r="AW20"/>
      <c r="AX20"/>
    </row>
    <row r="21" spans="1:50" s="8" customFormat="1" ht="24" customHeight="1" x14ac:dyDescent="0.25">
      <c r="A21" s="1014"/>
      <c r="B21" s="18"/>
      <c r="C21" s="51"/>
      <c r="D21" s="32" t="s">
        <v>3</v>
      </c>
      <c r="E21" s="52">
        <f>E20*G$6</f>
        <v>30.6</v>
      </c>
      <c r="F21" s="32"/>
      <c r="G21" s="32"/>
      <c r="H21" s="443">
        <f t="shared" si="1"/>
        <v>30.600000000000005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66"/>
      <c r="AL21" s="66">
        <f t="shared" ref="AL21:AO21" si="8">AL20*$E21</f>
        <v>1.5300000000000002</v>
      </c>
      <c r="AM21" s="66">
        <f t="shared" si="8"/>
        <v>3.0600000000000005</v>
      </c>
      <c r="AN21" s="66">
        <f t="shared" si="8"/>
        <v>13.770000000000001</v>
      </c>
      <c r="AO21" s="66">
        <f t="shared" si="8"/>
        <v>12.240000000000002</v>
      </c>
      <c r="AP21" s="66"/>
      <c r="AQ21" s="405"/>
      <c r="AR21" s="910"/>
      <c r="AS21" s="70"/>
      <c r="AT21"/>
      <c r="AU21"/>
      <c r="AV21"/>
      <c r="AW21"/>
      <c r="AX21"/>
    </row>
    <row r="22" spans="1:50" s="8" customFormat="1" ht="24" customHeight="1" x14ac:dyDescent="0.25">
      <c r="A22" s="1014"/>
      <c r="B22" s="7"/>
      <c r="C22" s="21" t="s">
        <v>983</v>
      </c>
      <c r="D22" s="29" t="s">
        <v>4</v>
      </c>
      <c r="E22" s="47">
        <v>1</v>
      </c>
      <c r="F22" s="29"/>
      <c r="G22" s="29"/>
      <c r="H22" s="499">
        <f t="shared" si="1"/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0.01</v>
      </c>
      <c r="AD22" s="47">
        <v>0.02</v>
      </c>
      <c r="AE22" s="47">
        <v>0.03</v>
      </c>
      <c r="AF22" s="47">
        <v>0.04</v>
      </c>
      <c r="AG22" s="47">
        <v>0.04</v>
      </c>
      <c r="AH22" s="47">
        <v>0.03</v>
      </c>
      <c r="AI22" s="47">
        <v>0.01</v>
      </c>
      <c r="AJ22" s="47">
        <v>0.01</v>
      </c>
      <c r="AK22" s="47">
        <v>0.01</v>
      </c>
      <c r="AL22" s="47">
        <v>0.01</v>
      </c>
      <c r="AM22" s="47">
        <v>0.06</v>
      </c>
      <c r="AN22" s="47">
        <v>0.45</v>
      </c>
      <c r="AO22" s="47">
        <v>0.26</v>
      </c>
      <c r="AP22" s="47">
        <v>0.02</v>
      </c>
      <c r="AQ22" s="404"/>
      <c r="AR22" s="456"/>
      <c r="AS22" s="69"/>
      <c r="AT22"/>
      <c r="AU22"/>
      <c r="AV22"/>
      <c r="AW22"/>
      <c r="AX22"/>
    </row>
    <row r="23" spans="1:50" s="8" customFormat="1" ht="24" customHeight="1" x14ac:dyDescent="0.25">
      <c r="A23" s="1014"/>
      <c r="B23" s="383"/>
      <c r="C23" s="383"/>
      <c r="D23" s="379"/>
      <c r="E23" s="384"/>
      <c r="F23" s="379"/>
      <c r="G23" s="379"/>
      <c r="H23" s="510" t="s">
        <v>1006</v>
      </c>
      <c r="I23" s="384"/>
      <c r="J23" s="384"/>
      <c r="K23" s="384"/>
      <c r="L23" s="384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384"/>
      <c r="Z23" s="384"/>
      <c r="AA23" s="385"/>
      <c r="AB23" s="385"/>
      <c r="AC23" s="385">
        <f t="shared" ref="AC23:AP23" si="9">AB23+AC22</f>
        <v>0.01</v>
      </c>
      <c r="AD23" s="385">
        <f t="shared" si="9"/>
        <v>0.03</v>
      </c>
      <c r="AE23" s="385">
        <f t="shared" si="9"/>
        <v>0.06</v>
      </c>
      <c r="AF23" s="385">
        <f t="shared" si="9"/>
        <v>0.1</v>
      </c>
      <c r="AG23" s="385">
        <f t="shared" si="9"/>
        <v>0.14000000000000001</v>
      </c>
      <c r="AH23" s="391">
        <f t="shared" si="9"/>
        <v>0.17</v>
      </c>
      <c r="AI23" s="385">
        <f t="shared" si="9"/>
        <v>0.18000000000000002</v>
      </c>
      <c r="AJ23" s="385">
        <f t="shared" si="9"/>
        <v>0.19000000000000003</v>
      </c>
      <c r="AK23" s="385">
        <f t="shared" si="9"/>
        <v>0.20000000000000004</v>
      </c>
      <c r="AL23" s="385">
        <f t="shared" si="9"/>
        <v>0.21000000000000005</v>
      </c>
      <c r="AM23" s="391">
        <f t="shared" si="9"/>
        <v>0.27</v>
      </c>
      <c r="AN23" s="385">
        <f t="shared" si="9"/>
        <v>0.72</v>
      </c>
      <c r="AO23" s="385">
        <f t="shared" si="9"/>
        <v>0.98</v>
      </c>
      <c r="AP23" s="385">
        <f t="shared" si="9"/>
        <v>1</v>
      </c>
      <c r="AQ23" s="404"/>
      <c r="AR23" s="456"/>
      <c r="AS23" s="69"/>
      <c r="AT23"/>
      <c r="AU23"/>
      <c r="AV23"/>
      <c r="AW23"/>
      <c r="AX23"/>
    </row>
    <row r="24" spans="1:50" s="8" customFormat="1" ht="24" customHeight="1" x14ac:dyDescent="0.25">
      <c r="A24" s="1014"/>
      <c r="B24" s="7"/>
      <c r="C24" s="13"/>
      <c r="D24" s="29" t="s">
        <v>3</v>
      </c>
      <c r="E24" s="366">
        <f>E22*G$6</f>
        <v>153</v>
      </c>
      <c r="F24" s="7"/>
      <c r="G24" s="7"/>
      <c r="H24" s="512">
        <f t="shared" si="1"/>
        <v>153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367"/>
      <c r="AB24" s="367"/>
      <c r="AC24" s="367">
        <f t="shared" ref="AC24:AN24" si="10">AC22*$E24</f>
        <v>1.53</v>
      </c>
      <c r="AD24" s="367">
        <f t="shared" si="10"/>
        <v>3.06</v>
      </c>
      <c r="AE24" s="367">
        <f t="shared" si="10"/>
        <v>4.59</v>
      </c>
      <c r="AF24" s="367">
        <f t="shared" si="10"/>
        <v>6.12</v>
      </c>
      <c r="AG24" s="367">
        <f t="shared" si="10"/>
        <v>6.12</v>
      </c>
      <c r="AH24" s="367">
        <f t="shared" si="10"/>
        <v>4.59</v>
      </c>
      <c r="AI24" s="367">
        <f t="shared" si="10"/>
        <v>1.53</v>
      </c>
      <c r="AJ24" s="66">
        <f t="shared" si="10"/>
        <v>1.53</v>
      </c>
      <c r="AK24" s="66">
        <f t="shared" si="10"/>
        <v>1.53</v>
      </c>
      <c r="AL24" s="66">
        <f t="shared" si="10"/>
        <v>1.53</v>
      </c>
      <c r="AM24" s="66">
        <f t="shared" si="10"/>
        <v>9.18</v>
      </c>
      <c r="AN24" s="66">
        <f t="shared" si="10"/>
        <v>68.850000000000009</v>
      </c>
      <c r="AO24" s="66">
        <f>AO22*$E24</f>
        <v>39.78</v>
      </c>
      <c r="AP24" s="66">
        <f>AP22*$E24</f>
        <v>3.06</v>
      </c>
      <c r="AQ24" s="406"/>
      <c r="AR24" s="911"/>
      <c r="AS24" s="69"/>
      <c r="AT24"/>
      <c r="AU24"/>
      <c r="AV24"/>
      <c r="AW24"/>
      <c r="AX24"/>
    </row>
    <row r="25" spans="1:50" s="8" customFormat="1" ht="24" customHeight="1" x14ac:dyDescent="0.25">
      <c r="A25" s="558"/>
      <c r="B25" s="193"/>
      <c r="C25" s="396" t="s">
        <v>990</v>
      </c>
      <c r="D25" s="394" t="s">
        <v>4</v>
      </c>
      <c r="E25" s="397">
        <f>E22</f>
        <v>1</v>
      </c>
      <c r="F25" s="394"/>
      <c r="G25" s="394"/>
      <c r="H25" s="444">
        <f t="shared" si="1"/>
        <v>1</v>
      </c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395"/>
      <c r="AB25" s="395"/>
      <c r="AC25" s="395"/>
      <c r="AD25" s="395"/>
      <c r="AE25" s="395"/>
      <c r="AF25" s="395"/>
      <c r="AG25" s="395"/>
      <c r="AH25" s="395"/>
      <c r="AI25" s="395"/>
      <c r="AJ25" s="407"/>
      <c r="AK25" s="407"/>
      <c r="AL25" s="407"/>
      <c r="AM25" s="407"/>
      <c r="AN25" s="407">
        <v>0.18</v>
      </c>
      <c r="AO25" s="407">
        <v>0.4</v>
      </c>
      <c r="AP25" s="407">
        <v>0.4</v>
      </c>
      <c r="AQ25" s="407">
        <v>0.02</v>
      </c>
      <c r="AR25" s="912"/>
      <c r="AS25" s="420"/>
      <c r="AT25"/>
      <c r="AU25"/>
      <c r="AV25"/>
      <c r="AW25"/>
      <c r="AX25"/>
    </row>
    <row r="26" spans="1:50" s="8" customFormat="1" ht="24" customHeight="1" thickBot="1" x14ac:dyDescent="0.3">
      <c r="A26" s="445"/>
      <c r="B26" s="24"/>
      <c r="C26" s="58"/>
      <c r="D26" s="446" t="s">
        <v>3</v>
      </c>
      <c r="E26" s="447">
        <f>E25*G$6</f>
        <v>153</v>
      </c>
      <c r="F26" s="446"/>
      <c r="G26" s="446"/>
      <c r="H26" s="501">
        <f>SUM(I26:AR26)</f>
        <v>153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>
        <f t="shared" ref="AN26:AQ26" si="11">AN25*$E26</f>
        <v>27.54</v>
      </c>
      <c r="AO26" s="99">
        <f t="shared" si="11"/>
        <v>61.2</v>
      </c>
      <c r="AP26" s="99">
        <f t="shared" si="11"/>
        <v>61.2</v>
      </c>
      <c r="AQ26" s="99">
        <f t="shared" si="11"/>
        <v>3.06</v>
      </c>
      <c r="AR26" s="913"/>
      <c r="AS26" s="76"/>
      <c r="AT26"/>
      <c r="AU26"/>
      <c r="AV26"/>
      <c r="AW26"/>
      <c r="AX26"/>
    </row>
    <row r="27" spans="1:50" s="8" customFormat="1" ht="24" hidden="1" customHeight="1" x14ac:dyDescent="0.25">
      <c r="A27" s="558"/>
      <c r="B27" s="7"/>
      <c r="C27" s="31" t="s">
        <v>980</v>
      </c>
      <c r="D27" s="29"/>
      <c r="E27" s="366"/>
      <c r="F27" s="7"/>
      <c r="G27" s="7"/>
      <c r="H27" s="502" t="s">
        <v>56</v>
      </c>
      <c r="I27" s="393">
        <f>I13</f>
        <v>0</v>
      </c>
      <c r="J27" s="393">
        <f t="shared" ref="J27:K27" si="12">I27+J13-J15</f>
        <v>0</v>
      </c>
      <c r="K27" s="393">
        <f t="shared" si="12"/>
        <v>0</v>
      </c>
      <c r="L27" s="393">
        <f>K27+L13-L15</f>
        <v>2.2949999999999999</v>
      </c>
      <c r="M27" s="393">
        <f t="shared" ref="M27:AH27" si="13">L27+M13-M15</f>
        <v>5.3550000000000004</v>
      </c>
      <c r="N27" s="393">
        <f t="shared" si="13"/>
        <v>9.18</v>
      </c>
      <c r="O27" s="393">
        <f t="shared" si="13"/>
        <v>12.24</v>
      </c>
      <c r="P27" s="393">
        <f t="shared" si="13"/>
        <v>16.829999999999998</v>
      </c>
      <c r="Q27" s="393">
        <f t="shared" si="13"/>
        <v>22.949999999999996</v>
      </c>
      <c r="R27" s="393">
        <f t="shared" si="13"/>
        <v>29.834999999999994</v>
      </c>
      <c r="S27" s="393">
        <f t="shared" si="13"/>
        <v>35.954999999999991</v>
      </c>
      <c r="T27" s="393">
        <f t="shared" si="13"/>
        <v>39.779999999999987</v>
      </c>
      <c r="U27" s="393">
        <f t="shared" si="13"/>
        <v>42.074999999999989</v>
      </c>
      <c r="V27" s="393">
        <f t="shared" si="13"/>
        <v>40.544999999999987</v>
      </c>
      <c r="W27" s="393">
        <f t="shared" si="13"/>
        <v>35.954999999999991</v>
      </c>
      <c r="X27" s="393">
        <f t="shared" si="13"/>
        <v>29.834999999999994</v>
      </c>
      <c r="Y27" s="393">
        <f t="shared" si="13"/>
        <v>22.949999999999996</v>
      </c>
      <c r="Z27" s="393">
        <f t="shared" si="13"/>
        <v>16.064999999999998</v>
      </c>
      <c r="AA27" s="393">
        <f t="shared" si="13"/>
        <v>9.9449999999999985</v>
      </c>
      <c r="AB27" s="393">
        <f t="shared" si="13"/>
        <v>7.6499999999999977</v>
      </c>
      <c r="AC27" s="393">
        <f t="shared" si="13"/>
        <v>6.884999999999998</v>
      </c>
      <c r="AD27" s="393">
        <f t="shared" si="13"/>
        <v>4.5899999999999981</v>
      </c>
      <c r="AE27" s="393">
        <f t="shared" si="13"/>
        <v>3.0599999999999978</v>
      </c>
      <c r="AF27" s="393">
        <f t="shared" si="13"/>
        <v>1.5299999999999978</v>
      </c>
      <c r="AG27" s="393">
        <f t="shared" si="13"/>
        <v>-2.2204460492503131E-15</v>
      </c>
      <c r="AH27" s="393">
        <f t="shared" si="13"/>
        <v>-2.2204460492503131E-15</v>
      </c>
      <c r="AI27" s="7"/>
      <c r="AJ27" s="7"/>
      <c r="AK27" s="7"/>
      <c r="AL27" s="7"/>
      <c r="AM27" s="7"/>
      <c r="AN27" s="367"/>
      <c r="AO27" s="367"/>
      <c r="AP27" s="367"/>
      <c r="AQ27" s="367"/>
      <c r="AR27" s="7"/>
      <c r="AS27" s="69"/>
      <c r="AT27"/>
      <c r="AU27"/>
      <c r="AV27"/>
      <c r="AW27"/>
      <c r="AX27"/>
    </row>
    <row r="28" spans="1:50" s="8" customFormat="1" ht="24" hidden="1" customHeight="1" x14ac:dyDescent="0.25">
      <c r="A28" s="558"/>
      <c r="B28" s="17"/>
      <c r="C28" s="67" t="s">
        <v>69</v>
      </c>
      <c r="D28" s="65">
        <f>SUM(I27:AR27)*5/E13</f>
        <v>25.849999999999991</v>
      </c>
      <c r="E28" s="17" t="s">
        <v>70</v>
      </c>
      <c r="F28" s="17"/>
      <c r="G28" s="17"/>
      <c r="H28" s="503" t="s">
        <v>57</v>
      </c>
      <c r="I28" s="63">
        <f t="shared" ref="I28:AQ32" si="14">I27/$G$6</f>
        <v>0</v>
      </c>
      <c r="J28" s="63">
        <f t="shared" si="14"/>
        <v>0</v>
      </c>
      <c r="K28" s="63">
        <f t="shared" si="14"/>
        <v>0</v>
      </c>
      <c r="L28" s="63">
        <f t="shared" si="14"/>
        <v>1.4999999999999999E-2</v>
      </c>
      <c r="M28" s="63">
        <f t="shared" si="14"/>
        <v>3.5000000000000003E-2</v>
      </c>
      <c r="N28" s="63">
        <f t="shared" si="14"/>
        <v>0.06</v>
      </c>
      <c r="O28" s="63">
        <f t="shared" si="14"/>
        <v>0.08</v>
      </c>
      <c r="P28" s="63">
        <f t="shared" si="14"/>
        <v>0.10999999999999999</v>
      </c>
      <c r="Q28" s="63">
        <f t="shared" si="14"/>
        <v>0.14999999999999997</v>
      </c>
      <c r="R28" s="63">
        <f t="shared" si="14"/>
        <v>0.19499999999999995</v>
      </c>
      <c r="S28" s="63">
        <f t="shared" si="14"/>
        <v>0.23499999999999993</v>
      </c>
      <c r="T28" s="63">
        <f t="shared" si="14"/>
        <v>0.2599999999999999</v>
      </c>
      <c r="U28" s="63">
        <f t="shared" si="14"/>
        <v>0.27499999999999991</v>
      </c>
      <c r="V28" s="63">
        <f t="shared" si="14"/>
        <v>0.2649999999999999</v>
      </c>
      <c r="W28" s="63">
        <f t="shared" si="14"/>
        <v>0.23499999999999993</v>
      </c>
      <c r="X28" s="63">
        <f t="shared" si="14"/>
        <v>0.19499999999999995</v>
      </c>
      <c r="Y28" s="63">
        <f t="shared" si="14"/>
        <v>0.14999999999999997</v>
      </c>
      <c r="Z28" s="63">
        <f t="shared" si="14"/>
        <v>0.10499999999999998</v>
      </c>
      <c r="AA28" s="63">
        <f t="shared" si="14"/>
        <v>6.4999999999999988E-2</v>
      </c>
      <c r="AB28" s="63">
        <f t="shared" si="14"/>
        <v>4.9999999999999982E-2</v>
      </c>
      <c r="AC28" s="63">
        <f t="shared" si="14"/>
        <v>4.4999999999999984E-2</v>
      </c>
      <c r="AD28" s="63">
        <f t="shared" si="14"/>
        <v>2.9999999999999988E-2</v>
      </c>
      <c r="AE28" s="63">
        <f t="shared" si="14"/>
        <v>1.9999999999999987E-2</v>
      </c>
      <c r="AF28" s="63">
        <f t="shared" si="14"/>
        <v>9.9999999999999863E-3</v>
      </c>
      <c r="AG28" s="63">
        <f t="shared" si="14"/>
        <v>-1.4512719276145838E-17</v>
      </c>
      <c r="AH28" s="63">
        <f t="shared" si="14"/>
        <v>-1.4512719276145838E-17</v>
      </c>
      <c r="AI28" s="17"/>
      <c r="AJ28" s="17"/>
      <c r="AK28" s="17"/>
      <c r="AL28" s="17"/>
      <c r="AM28" s="17"/>
      <c r="AN28" s="65"/>
      <c r="AO28" s="65"/>
      <c r="AP28" s="65"/>
      <c r="AQ28" s="65"/>
      <c r="AR28" s="17"/>
      <c r="AS28" s="71"/>
      <c r="AT28"/>
      <c r="AU28"/>
      <c r="AV28"/>
      <c r="AW28"/>
      <c r="AX28"/>
    </row>
    <row r="29" spans="1:50" s="8" customFormat="1" ht="24" customHeight="1" x14ac:dyDescent="0.25">
      <c r="A29" s="558"/>
      <c r="B29" s="7"/>
      <c r="C29" s="61" t="s">
        <v>986</v>
      </c>
      <c r="D29" s="367"/>
      <c r="E29" s="7"/>
      <c r="F29" s="7"/>
      <c r="G29" s="7"/>
      <c r="H29" s="502" t="s">
        <v>56</v>
      </c>
      <c r="I29" s="64">
        <f>I8+I10</f>
        <v>8.2620000000000005</v>
      </c>
      <c r="J29" s="64">
        <f>I29+J8+J10-J17</f>
        <v>13.770000000000001</v>
      </c>
      <c r="K29" s="64">
        <f t="shared" ref="K29:AK29" si="15">J29+K8+K10-K17</f>
        <v>19.278000000000002</v>
      </c>
      <c r="L29" s="64">
        <f t="shared" si="15"/>
        <v>27.540000000000003</v>
      </c>
      <c r="M29" s="64">
        <f t="shared" si="15"/>
        <v>39.933000000000007</v>
      </c>
      <c r="N29" s="64">
        <f t="shared" si="15"/>
        <v>54.927000000000007</v>
      </c>
      <c r="O29" s="64">
        <f t="shared" si="15"/>
        <v>68.391000000000005</v>
      </c>
      <c r="P29" s="64">
        <f t="shared" si="15"/>
        <v>81.855000000000004</v>
      </c>
      <c r="Q29" s="64">
        <f t="shared" si="15"/>
        <v>91.034999999999997</v>
      </c>
      <c r="R29" s="64">
        <f t="shared" si="15"/>
        <v>96.084000000000003</v>
      </c>
      <c r="S29" s="64">
        <f t="shared" si="15"/>
        <v>95.471999999999994</v>
      </c>
      <c r="T29" s="64">
        <f t="shared" si="15"/>
        <v>91.034999999999997</v>
      </c>
      <c r="U29" s="64">
        <f t="shared" si="15"/>
        <v>85.373999999999995</v>
      </c>
      <c r="V29" s="64">
        <f t="shared" si="15"/>
        <v>78.641999999999996</v>
      </c>
      <c r="W29" s="64">
        <f t="shared" si="15"/>
        <v>70.686000000000007</v>
      </c>
      <c r="X29" s="64">
        <f t="shared" si="15"/>
        <v>61.506000000000014</v>
      </c>
      <c r="Y29" s="64">
        <f t="shared" si="15"/>
        <v>51.102000000000018</v>
      </c>
      <c r="Z29" s="64">
        <f t="shared" si="15"/>
        <v>40.39200000000001</v>
      </c>
      <c r="AA29" s="64">
        <f t="shared" si="15"/>
        <v>28.152000000000012</v>
      </c>
      <c r="AB29" s="64">
        <f t="shared" si="15"/>
        <v>18.666000000000011</v>
      </c>
      <c r="AC29" s="64">
        <f t="shared" si="15"/>
        <v>14.99400000000001</v>
      </c>
      <c r="AD29" s="64">
        <f t="shared" si="15"/>
        <v>11.016000000000011</v>
      </c>
      <c r="AE29" s="64">
        <f t="shared" si="15"/>
        <v>8.5680000000000103</v>
      </c>
      <c r="AF29" s="64">
        <f t="shared" si="15"/>
        <v>7.6500000000000101</v>
      </c>
      <c r="AG29" s="64">
        <f t="shared" si="15"/>
        <v>6.1200000000000099</v>
      </c>
      <c r="AH29" s="64">
        <f t="shared" si="15"/>
        <v>4.5900000000000096</v>
      </c>
      <c r="AI29" s="393">
        <f t="shared" si="15"/>
        <v>3.0600000000000094</v>
      </c>
      <c r="AJ29" s="393">
        <f t="shared" si="15"/>
        <v>9.3258734068513149E-15</v>
      </c>
      <c r="AK29" s="393">
        <f t="shared" si="15"/>
        <v>9.3258734068513149E-15</v>
      </c>
      <c r="AL29" s="7"/>
      <c r="AM29" s="7"/>
      <c r="AN29" s="367"/>
      <c r="AO29" s="367"/>
      <c r="AP29" s="367"/>
      <c r="AQ29" s="367"/>
      <c r="AR29" s="7"/>
      <c r="AS29" s="69"/>
      <c r="AT29"/>
      <c r="AU29"/>
      <c r="AV29"/>
      <c r="AW29"/>
      <c r="AX29"/>
    </row>
    <row r="30" spans="1:50" s="8" customFormat="1" ht="24" customHeight="1" x14ac:dyDescent="0.25">
      <c r="A30" s="558"/>
      <c r="B30" s="7"/>
      <c r="C30" s="67" t="s">
        <v>69</v>
      </c>
      <c r="D30" s="65">
        <f>SUM(I29:AR29)*5/G6</f>
        <v>38.500000000000014</v>
      </c>
      <c r="E30" s="17" t="s">
        <v>70</v>
      </c>
      <c r="F30" s="7"/>
      <c r="G30" s="7"/>
      <c r="H30" s="503" t="s">
        <v>57</v>
      </c>
      <c r="I30" s="63">
        <f>I29/$G$6</f>
        <v>5.4000000000000006E-2</v>
      </c>
      <c r="J30" s="63">
        <f t="shared" ref="J30:AJ30" si="16">J29/$G$6</f>
        <v>9.0000000000000011E-2</v>
      </c>
      <c r="K30" s="63">
        <f t="shared" si="16"/>
        <v>0.126</v>
      </c>
      <c r="L30" s="63">
        <f t="shared" si="16"/>
        <v>0.18000000000000002</v>
      </c>
      <c r="M30" s="63">
        <f t="shared" si="16"/>
        <v>0.26100000000000007</v>
      </c>
      <c r="N30" s="63">
        <f t="shared" si="16"/>
        <v>0.35900000000000004</v>
      </c>
      <c r="O30" s="63">
        <f t="shared" si="16"/>
        <v>0.44700000000000001</v>
      </c>
      <c r="P30" s="63">
        <f t="shared" si="16"/>
        <v>0.53500000000000003</v>
      </c>
      <c r="Q30" s="63">
        <f t="shared" si="16"/>
        <v>0.59499999999999997</v>
      </c>
      <c r="R30" s="63">
        <f t="shared" si="16"/>
        <v>0.628</v>
      </c>
      <c r="S30" s="63">
        <f t="shared" si="16"/>
        <v>0.624</v>
      </c>
      <c r="T30" s="63">
        <f t="shared" si="16"/>
        <v>0.59499999999999997</v>
      </c>
      <c r="U30" s="63">
        <f t="shared" si="16"/>
        <v>0.55799999999999994</v>
      </c>
      <c r="V30" s="63">
        <f t="shared" si="16"/>
        <v>0.51400000000000001</v>
      </c>
      <c r="W30" s="63">
        <f t="shared" si="16"/>
        <v>0.46200000000000002</v>
      </c>
      <c r="X30" s="63">
        <f t="shared" si="16"/>
        <v>0.40200000000000008</v>
      </c>
      <c r="Y30" s="63">
        <f t="shared" si="16"/>
        <v>0.33400000000000013</v>
      </c>
      <c r="Z30" s="63">
        <f t="shared" si="16"/>
        <v>0.26400000000000007</v>
      </c>
      <c r="AA30" s="63">
        <f t="shared" si="16"/>
        <v>0.18400000000000008</v>
      </c>
      <c r="AB30" s="63">
        <f t="shared" si="16"/>
        <v>0.12200000000000007</v>
      </c>
      <c r="AC30" s="63">
        <f t="shared" si="16"/>
        <v>9.8000000000000073E-2</v>
      </c>
      <c r="AD30" s="63">
        <f t="shared" si="16"/>
        <v>7.2000000000000064E-2</v>
      </c>
      <c r="AE30" s="63">
        <f t="shared" si="16"/>
        <v>5.6000000000000071E-2</v>
      </c>
      <c r="AF30" s="63">
        <f t="shared" si="16"/>
        <v>5.0000000000000065E-2</v>
      </c>
      <c r="AG30" s="63">
        <f t="shared" si="16"/>
        <v>4.0000000000000063E-2</v>
      </c>
      <c r="AH30" s="63">
        <f t="shared" si="16"/>
        <v>3.0000000000000061E-2</v>
      </c>
      <c r="AI30" s="63">
        <f t="shared" si="16"/>
        <v>2.0000000000000063E-2</v>
      </c>
      <c r="AJ30" s="63">
        <f t="shared" si="16"/>
        <v>6.0953420959812521E-17</v>
      </c>
      <c r="AK30" s="63">
        <f t="shared" ref="AK30" si="17">AK29/$G$6</f>
        <v>6.0953420959812521E-17</v>
      </c>
      <c r="AL30" s="7"/>
      <c r="AM30" s="7"/>
      <c r="AN30" s="367"/>
      <c r="AO30" s="367"/>
      <c r="AP30" s="367"/>
      <c r="AQ30" s="367"/>
      <c r="AR30" s="7"/>
      <c r="AS30" s="69"/>
      <c r="AT30"/>
      <c r="AU30"/>
      <c r="AV30"/>
      <c r="AW30"/>
      <c r="AX30"/>
    </row>
    <row r="31" spans="1:50" s="8" customFormat="1" ht="24" customHeight="1" x14ac:dyDescent="0.25">
      <c r="A31" s="16"/>
      <c r="B31" s="60"/>
      <c r="C31" s="61" t="s">
        <v>55</v>
      </c>
      <c r="D31" s="62"/>
      <c r="E31" s="60"/>
      <c r="F31" s="60"/>
      <c r="G31" s="60"/>
      <c r="H31" s="504" t="s">
        <v>56</v>
      </c>
      <c r="I31" s="64"/>
      <c r="J31" s="64"/>
      <c r="K31" s="64"/>
      <c r="L31" s="64"/>
      <c r="M31" s="64"/>
      <c r="N31" s="64">
        <f t="shared" ref="N31:AQ31" si="18">M31+N19-N21</f>
        <v>0</v>
      </c>
      <c r="O31" s="64">
        <f t="shared" si="18"/>
        <v>0</v>
      </c>
      <c r="P31" s="64">
        <f t="shared" si="18"/>
        <v>0</v>
      </c>
      <c r="Q31" s="64">
        <f t="shared" si="18"/>
        <v>0.61199999999999999</v>
      </c>
      <c r="R31" s="64">
        <f t="shared" si="18"/>
        <v>1.224</v>
      </c>
      <c r="S31" s="64">
        <f t="shared" si="18"/>
        <v>1.8359999999999999</v>
      </c>
      <c r="T31" s="64">
        <f t="shared" si="18"/>
        <v>3.0599999999999996</v>
      </c>
      <c r="U31" s="64">
        <f t="shared" si="18"/>
        <v>4.8959999999999999</v>
      </c>
      <c r="V31" s="64">
        <f t="shared" si="18"/>
        <v>7.3439999999999994</v>
      </c>
      <c r="W31" s="64">
        <f t="shared" si="18"/>
        <v>9.7919999999999998</v>
      </c>
      <c r="X31" s="64">
        <f t="shared" si="18"/>
        <v>12.852</v>
      </c>
      <c r="Y31" s="64">
        <f t="shared" si="18"/>
        <v>16.524000000000001</v>
      </c>
      <c r="Z31" s="64">
        <f t="shared" si="18"/>
        <v>20.196000000000002</v>
      </c>
      <c r="AA31" s="64">
        <f t="shared" si="18"/>
        <v>23.256</v>
      </c>
      <c r="AB31" s="64">
        <f t="shared" si="18"/>
        <v>25.704000000000001</v>
      </c>
      <c r="AC31" s="64">
        <f t="shared" si="18"/>
        <v>27.54</v>
      </c>
      <c r="AD31" s="64">
        <f t="shared" si="18"/>
        <v>28.763999999999999</v>
      </c>
      <c r="AE31" s="64">
        <f t="shared" si="18"/>
        <v>29.375999999999998</v>
      </c>
      <c r="AF31" s="64">
        <f>AE31+AF19-AF21</f>
        <v>29.987999999999996</v>
      </c>
      <c r="AG31" s="64">
        <f t="shared" si="18"/>
        <v>30.599999999999994</v>
      </c>
      <c r="AH31" s="64">
        <f t="shared" si="18"/>
        <v>30.599999999999994</v>
      </c>
      <c r="AI31" s="64">
        <f t="shared" si="18"/>
        <v>30.599999999999994</v>
      </c>
      <c r="AJ31" s="64">
        <f t="shared" si="18"/>
        <v>30.599999999999994</v>
      </c>
      <c r="AK31" s="64">
        <f t="shared" si="18"/>
        <v>30.599999999999994</v>
      </c>
      <c r="AL31" s="64">
        <f t="shared" si="18"/>
        <v>29.069999999999993</v>
      </c>
      <c r="AM31" s="64">
        <f t="shared" si="18"/>
        <v>26.009999999999991</v>
      </c>
      <c r="AN31" s="64">
        <f t="shared" si="18"/>
        <v>12.23999999999999</v>
      </c>
      <c r="AO31" s="64">
        <f t="shared" si="18"/>
        <v>0</v>
      </c>
      <c r="AP31" s="64">
        <f t="shared" si="18"/>
        <v>0</v>
      </c>
      <c r="AQ31" s="64">
        <f t="shared" si="18"/>
        <v>0</v>
      </c>
      <c r="AR31" s="433">
        <v>0</v>
      </c>
      <c r="AS31" s="72"/>
      <c r="AT31"/>
      <c r="AU31"/>
      <c r="AV31"/>
      <c r="AW31"/>
      <c r="AX31"/>
    </row>
    <row r="32" spans="1:50" s="8" customFormat="1" ht="24" customHeight="1" x14ac:dyDescent="0.25">
      <c r="A32" s="16"/>
      <c r="B32" s="17"/>
      <c r="C32" s="67" t="s">
        <v>69</v>
      </c>
      <c r="D32" s="65">
        <f>IF(E19=0,"N/A",SUM(I31:AR31)*5/E19)</f>
        <v>75.7</v>
      </c>
      <c r="E32" s="17" t="s">
        <v>70</v>
      </c>
      <c r="F32" s="17"/>
      <c r="G32" s="17"/>
      <c r="H32" s="503" t="s">
        <v>57</v>
      </c>
      <c r="I32" s="63"/>
      <c r="J32" s="63"/>
      <c r="K32" s="63"/>
      <c r="L32" s="63"/>
      <c r="M32" s="63"/>
      <c r="N32" s="63">
        <f t="shared" si="14"/>
        <v>0</v>
      </c>
      <c r="O32" s="63">
        <f t="shared" si="14"/>
        <v>0</v>
      </c>
      <c r="P32" s="63">
        <f t="shared" si="14"/>
        <v>0</v>
      </c>
      <c r="Q32" s="63">
        <f t="shared" si="14"/>
        <v>4.0000000000000001E-3</v>
      </c>
      <c r="R32" s="63">
        <f t="shared" si="14"/>
        <v>8.0000000000000002E-3</v>
      </c>
      <c r="S32" s="63">
        <f t="shared" si="14"/>
        <v>1.1999999999999999E-2</v>
      </c>
      <c r="T32" s="63">
        <f t="shared" si="14"/>
        <v>1.9999999999999997E-2</v>
      </c>
      <c r="U32" s="63">
        <f t="shared" si="14"/>
        <v>3.2000000000000001E-2</v>
      </c>
      <c r="V32" s="63">
        <f t="shared" si="14"/>
        <v>4.7999999999999994E-2</v>
      </c>
      <c r="W32" s="63">
        <f t="shared" si="14"/>
        <v>6.4000000000000001E-2</v>
      </c>
      <c r="X32" s="63">
        <f t="shared" si="14"/>
        <v>8.4000000000000005E-2</v>
      </c>
      <c r="Y32" s="63">
        <f t="shared" si="14"/>
        <v>0.10800000000000001</v>
      </c>
      <c r="Z32" s="63">
        <f t="shared" si="14"/>
        <v>0.13200000000000001</v>
      </c>
      <c r="AA32" s="63">
        <f t="shared" si="14"/>
        <v>0.152</v>
      </c>
      <c r="AB32" s="63">
        <f t="shared" si="14"/>
        <v>0.16800000000000001</v>
      </c>
      <c r="AC32" s="63">
        <f t="shared" si="14"/>
        <v>0.18</v>
      </c>
      <c r="AD32" s="63">
        <f t="shared" si="14"/>
        <v>0.188</v>
      </c>
      <c r="AE32" s="63">
        <f t="shared" si="14"/>
        <v>0.19199999999999998</v>
      </c>
      <c r="AF32" s="63">
        <f t="shared" si="14"/>
        <v>0.19599999999999998</v>
      </c>
      <c r="AG32" s="63">
        <f t="shared" si="14"/>
        <v>0.19999999999999996</v>
      </c>
      <c r="AH32" s="63">
        <f t="shared" si="14"/>
        <v>0.19999999999999996</v>
      </c>
      <c r="AI32" s="63">
        <f t="shared" si="14"/>
        <v>0.19999999999999996</v>
      </c>
      <c r="AJ32" s="63">
        <f t="shared" si="14"/>
        <v>0.19999999999999996</v>
      </c>
      <c r="AK32" s="63">
        <f t="shared" si="14"/>
        <v>0.19999999999999996</v>
      </c>
      <c r="AL32" s="63">
        <f t="shared" si="14"/>
        <v>0.18999999999999995</v>
      </c>
      <c r="AM32" s="63">
        <f t="shared" si="14"/>
        <v>0.16999999999999993</v>
      </c>
      <c r="AN32" s="63">
        <f t="shared" si="14"/>
        <v>7.9999999999999932E-2</v>
      </c>
      <c r="AO32" s="63">
        <f t="shared" si="14"/>
        <v>0</v>
      </c>
      <c r="AP32" s="63">
        <f t="shared" si="14"/>
        <v>0</v>
      </c>
      <c r="AQ32" s="63">
        <f t="shared" si="14"/>
        <v>0</v>
      </c>
      <c r="AR32" s="63">
        <f t="shared" ref="AR32" si="19">AR31/$G$6</f>
        <v>0</v>
      </c>
      <c r="AS32" s="68"/>
      <c r="AT32"/>
      <c r="AU32"/>
      <c r="AV32"/>
      <c r="AW32"/>
      <c r="AX32"/>
    </row>
    <row r="33" spans="1:50" s="8" customFormat="1" ht="24" customHeight="1" x14ac:dyDescent="0.25">
      <c r="A33" s="16"/>
      <c r="B33" s="60"/>
      <c r="C33" s="31" t="s">
        <v>948</v>
      </c>
      <c r="D33" s="538">
        <f>F33/F$37</f>
        <v>0.81899152420629173</v>
      </c>
      <c r="E33" s="534" t="s">
        <v>1010</v>
      </c>
      <c r="F33" s="535">
        <f>SUM(I33:AR33)*5</f>
        <v>8722.529999999997</v>
      </c>
      <c r="G33" s="536" t="s">
        <v>1011</v>
      </c>
      <c r="H33" s="504" t="s">
        <v>56</v>
      </c>
      <c r="I33" s="433"/>
      <c r="J33" s="433"/>
      <c r="K33" s="64"/>
      <c r="L33" s="64"/>
      <c r="M33" s="64">
        <f>L33+M17+M21-(M19+M24)</f>
        <v>0</v>
      </c>
      <c r="N33" s="64">
        <f>M33+N17+N21-(N19+N24)</f>
        <v>1.53</v>
      </c>
      <c r="O33" s="64">
        <f t="shared" ref="O33:AQ33" si="20">N33+O17+O21-(O19+O24)</f>
        <v>4.59</v>
      </c>
      <c r="P33" s="64">
        <f t="shared" si="20"/>
        <v>7.65</v>
      </c>
      <c r="Q33" s="64">
        <f t="shared" si="20"/>
        <v>11.628</v>
      </c>
      <c r="R33" s="64">
        <f t="shared" si="20"/>
        <v>15.606</v>
      </c>
      <c r="S33" s="64">
        <f t="shared" si="20"/>
        <v>21.114000000000001</v>
      </c>
      <c r="T33" s="64">
        <f t="shared" si="20"/>
        <v>27.540000000000003</v>
      </c>
      <c r="U33" s="64">
        <f t="shared" si="20"/>
        <v>34.884</v>
      </c>
      <c r="V33" s="64">
        <f t="shared" si="20"/>
        <v>43.146000000000001</v>
      </c>
      <c r="W33" s="64">
        <f t="shared" si="20"/>
        <v>52.938000000000002</v>
      </c>
      <c r="X33" s="64">
        <f t="shared" si="20"/>
        <v>63.647999999999996</v>
      </c>
      <c r="Y33" s="64">
        <f t="shared" si="20"/>
        <v>75.275999999999996</v>
      </c>
      <c r="Z33" s="64">
        <f t="shared" si="20"/>
        <v>86.903999999999996</v>
      </c>
      <c r="AA33" s="64">
        <f t="shared" si="20"/>
        <v>97.61399999999999</v>
      </c>
      <c r="AB33" s="64">
        <f t="shared" si="20"/>
        <v>105.87599999999999</v>
      </c>
      <c r="AC33" s="64">
        <f t="shared" si="20"/>
        <v>107.1</v>
      </c>
      <c r="AD33" s="64">
        <f t="shared" si="20"/>
        <v>107.40599999999999</v>
      </c>
      <c r="AE33" s="64">
        <f t="shared" si="20"/>
        <v>105.264</v>
      </c>
      <c r="AF33" s="64">
        <f t="shared" si="20"/>
        <v>100.062</v>
      </c>
      <c r="AG33" s="64">
        <f t="shared" si="20"/>
        <v>94.86</v>
      </c>
      <c r="AH33" s="64">
        <f t="shared" si="20"/>
        <v>91.8</v>
      </c>
      <c r="AI33" s="64">
        <f t="shared" si="20"/>
        <v>91.8</v>
      </c>
      <c r="AJ33" s="64">
        <f t="shared" si="20"/>
        <v>93.33</v>
      </c>
      <c r="AK33" s="64">
        <f t="shared" si="20"/>
        <v>91.8</v>
      </c>
      <c r="AL33" s="64">
        <f t="shared" si="20"/>
        <v>91.8</v>
      </c>
      <c r="AM33" s="64">
        <f t="shared" si="20"/>
        <v>85.68</v>
      </c>
      <c r="AN33" s="64">
        <f t="shared" si="20"/>
        <v>30.599999999999994</v>
      </c>
      <c r="AO33" s="64">
        <f t="shared" si="20"/>
        <v>3.0599999999999952</v>
      </c>
      <c r="AP33" s="64">
        <f t="shared" si="20"/>
        <v>-4.8849813083506888E-15</v>
      </c>
      <c r="AQ33" s="64">
        <f t="shared" si="20"/>
        <v>-4.8849813083506888E-15</v>
      </c>
      <c r="AR33" s="433">
        <v>0</v>
      </c>
      <c r="AS33" s="72"/>
      <c r="AT33"/>
      <c r="AU33"/>
      <c r="AV33"/>
      <c r="AW33"/>
      <c r="AX33"/>
    </row>
    <row r="34" spans="1:50" s="8" customFormat="1" ht="24" customHeight="1" x14ac:dyDescent="0.25">
      <c r="A34" s="16"/>
      <c r="B34" s="7"/>
      <c r="C34" s="10" t="s">
        <v>69</v>
      </c>
      <c r="D34" s="367">
        <f>SUM(I33:AR33)*5/(G6-E19)</f>
        <v>71.262499999999974</v>
      </c>
      <c r="E34" s="17" t="s">
        <v>70</v>
      </c>
      <c r="F34" s="17"/>
      <c r="G34" s="7"/>
      <c r="H34" s="502" t="s">
        <v>57</v>
      </c>
      <c r="I34" s="392"/>
      <c r="J34" s="392"/>
      <c r="K34" s="392"/>
      <c r="L34" s="392"/>
      <c r="M34" s="392">
        <f t="shared" ref="M34:AR36" si="21">M33/$G$6</f>
        <v>0</v>
      </c>
      <c r="N34" s="392">
        <f t="shared" si="21"/>
        <v>0.01</v>
      </c>
      <c r="O34" s="392">
        <f t="shared" si="21"/>
        <v>0.03</v>
      </c>
      <c r="P34" s="392">
        <f t="shared" si="21"/>
        <v>0.05</v>
      </c>
      <c r="Q34" s="392">
        <f t="shared" si="21"/>
        <v>7.5999999999999998E-2</v>
      </c>
      <c r="R34" s="392">
        <f t="shared" si="21"/>
        <v>0.10199999999999999</v>
      </c>
      <c r="S34" s="392">
        <f t="shared" si="21"/>
        <v>0.13800000000000001</v>
      </c>
      <c r="T34" s="392">
        <f t="shared" si="21"/>
        <v>0.18000000000000002</v>
      </c>
      <c r="U34" s="392">
        <f t="shared" si="21"/>
        <v>0.22800000000000001</v>
      </c>
      <c r="V34" s="392">
        <f t="shared" si="21"/>
        <v>0.28200000000000003</v>
      </c>
      <c r="W34" s="392">
        <f t="shared" si="21"/>
        <v>0.34600000000000003</v>
      </c>
      <c r="X34" s="392">
        <f t="shared" si="21"/>
        <v>0.41599999999999998</v>
      </c>
      <c r="Y34" s="392">
        <f t="shared" si="21"/>
        <v>0.49199999999999999</v>
      </c>
      <c r="Z34" s="392">
        <f t="shared" si="21"/>
        <v>0.56799999999999995</v>
      </c>
      <c r="AA34" s="392">
        <f t="shared" si="21"/>
        <v>0.6379999999999999</v>
      </c>
      <c r="AB34" s="392">
        <f t="shared" si="21"/>
        <v>0.69199999999999995</v>
      </c>
      <c r="AC34" s="392">
        <f t="shared" si="21"/>
        <v>0.7</v>
      </c>
      <c r="AD34" s="392">
        <f t="shared" si="21"/>
        <v>0.70199999999999996</v>
      </c>
      <c r="AE34" s="392">
        <f t="shared" si="21"/>
        <v>0.68799999999999994</v>
      </c>
      <c r="AF34" s="392">
        <f t="shared" si="21"/>
        <v>0.65400000000000003</v>
      </c>
      <c r="AG34" s="392">
        <f t="shared" si="21"/>
        <v>0.62</v>
      </c>
      <c r="AH34" s="392">
        <f t="shared" si="21"/>
        <v>0.6</v>
      </c>
      <c r="AI34" s="392">
        <f t="shared" si="21"/>
        <v>0.6</v>
      </c>
      <c r="AJ34" s="392">
        <f t="shared" si="21"/>
        <v>0.61</v>
      </c>
      <c r="AK34" s="392">
        <f t="shared" si="21"/>
        <v>0.6</v>
      </c>
      <c r="AL34" s="392">
        <f t="shared" si="21"/>
        <v>0.6</v>
      </c>
      <c r="AM34" s="392">
        <f t="shared" si="21"/>
        <v>0.56000000000000005</v>
      </c>
      <c r="AN34" s="392">
        <f t="shared" si="21"/>
        <v>0.19999999999999996</v>
      </c>
      <c r="AO34" s="392">
        <f t="shared" si="21"/>
        <v>1.9999999999999969E-2</v>
      </c>
      <c r="AP34" s="392">
        <f t="shared" si="21"/>
        <v>-3.1927982407520839E-17</v>
      </c>
      <c r="AQ34" s="392">
        <f t="shared" si="21"/>
        <v>-3.1927982407520839E-17</v>
      </c>
      <c r="AR34" s="392">
        <f t="shared" si="21"/>
        <v>0</v>
      </c>
      <c r="AS34" s="69"/>
      <c r="AT34"/>
      <c r="AU34"/>
      <c r="AV34"/>
      <c r="AW34"/>
      <c r="AX34"/>
    </row>
    <row r="35" spans="1:50" s="8" customFormat="1" ht="24" customHeight="1" x14ac:dyDescent="0.25">
      <c r="A35" s="16"/>
      <c r="B35" s="60"/>
      <c r="C35" s="61" t="s">
        <v>989</v>
      </c>
      <c r="D35" s="538">
        <f>F35/F$37</f>
        <v>0.18100847579370777</v>
      </c>
      <c r="E35" s="534" t="s">
        <v>1010</v>
      </c>
      <c r="F35" s="535">
        <f>SUM(I35:AR35)*5</f>
        <v>1927.8</v>
      </c>
      <c r="G35" s="536" t="s">
        <v>1011</v>
      </c>
      <c r="H35" s="504" t="s">
        <v>56</v>
      </c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64"/>
      <c r="Z35" s="64"/>
      <c r="AA35" s="64"/>
      <c r="AB35" s="64">
        <f t="shared" ref="AB35:AQ35" si="22">AA35+AB24-AB26</f>
        <v>0</v>
      </c>
      <c r="AC35" s="64">
        <f t="shared" si="22"/>
        <v>1.53</v>
      </c>
      <c r="AD35" s="64">
        <f t="shared" si="22"/>
        <v>4.59</v>
      </c>
      <c r="AE35" s="64">
        <f t="shared" si="22"/>
        <v>9.18</v>
      </c>
      <c r="AF35" s="64">
        <f t="shared" si="22"/>
        <v>15.3</v>
      </c>
      <c r="AG35" s="64">
        <f t="shared" si="22"/>
        <v>21.42</v>
      </c>
      <c r="AH35" s="64">
        <f t="shared" si="22"/>
        <v>26.01</v>
      </c>
      <c r="AI35" s="64">
        <f t="shared" si="22"/>
        <v>27.540000000000003</v>
      </c>
      <c r="AJ35" s="64">
        <f t="shared" si="22"/>
        <v>29.070000000000004</v>
      </c>
      <c r="AK35" s="64">
        <f t="shared" si="22"/>
        <v>30.600000000000005</v>
      </c>
      <c r="AL35" s="64">
        <f t="shared" si="22"/>
        <v>32.130000000000003</v>
      </c>
      <c r="AM35" s="64">
        <f t="shared" si="22"/>
        <v>41.31</v>
      </c>
      <c r="AN35" s="64">
        <f t="shared" si="22"/>
        <v>82.62</v>
      </c>
      <c r="AO35" s="64">
        <f t="shared" si="22"/>
        <v>61.2</v>
      </c>
      <c r="AP35" s="64">
        <f t="shared" si="22"/>
        <v>3.0600000000000023</v>
      </c>
      <c r="AQ35" s="64">
        <f t="shared" si="22"/>
        <v>0</v>
      </c>
      <c r="AR35" s="433">
        <v>0</v>
      </c>
      <c r="AS35" s="72"/>
      <c r="AT35"/>
      <c r="AU35"/>
      <c r="AV35"/>
      <c r="AW35"/>
      <c r="AX35"/>
    </row>
    <row r="36" spans="1:50" s="8" customFormat="1" ht="24" customHeight="1" thickBot="1" x14ac:dyDescent="0.3">
      <c r="A36" s="23"/>
      <c r="B36" s="24"/>
      <c r="C36" s="74" t="s">
        <v>69</v>
      </c>
      <c r="D36" s="99">
        <f>SUM(I35:AR35)*5/G$6</f>
        <v>12.6</v>
      </c>
      <c r="E36" s="24" t="s">
        <v>70</v>
      </c>
      <c r="F36" s="24"/>
      <c r="G36" s="24"/>
      <c r="H36" s="505" t="s">
        <v>57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>
        <f t="shared" si="21"/>
        <v>0</v>
      </c>
      <c r="AC36" s="75">
        <f t="shared" si="21"/>
        <v>0.01</v>
      </c>
      <c r="AD36" s="75">
        <f t="shared" si="21"/>
        <v>0.03</v>
      </c>
      <c r="AE36" s="75">
        <f t="shared" si="21"/>
        <v>0.06</v>
      </c>
      <c r="AF36" s="75">
        <f t="shared" si="21"/>
        <v>0.1</v>
      </c>
      <c r="AG36" s="75">
        <f t="shared" si="21"/>
        <v>0.14000000000000001</v>
      </c>
      <c r="AH36" s="75">
        <f t="shared" si="21"/>
        <v>0.17</v>
      </c>
      <c r="AI36" s="75">
        <f t="shared" si="21"/>
        <v>0.18000000000000002</v>
      </c>
      <c r="AJ36" s="75">
        <f t="shared" si="21"/>
        <v>0.19000000000000003</v>
      </c>
      <c r="AK36" s="75">
        <f t="shared" si="21"/>
        <v>0.20000000000000004</v>
      </c>
      <c r="AL36" s="75">
        <f t="shared" si="21"/>
        <v>0.21000000000000002</v>
      </c>
      <c r="AM36" s="75">
        <f t="shared" si="21"/>
        <v>0.27</v>
      </c>
      <c r="AN36" s="75">
        <f t="shared" si="21"/>
        <v>0.54</v>
      </c>
      <c r="AO36" s="75">
        <f t="shared" si="21"/>
        <v>0.4</v>
      </c>
      <c r="AP36" s="75">
        <f t="shared" si="21"/>
        <v>2.0000000000000014E-2</v>
      </c>
      <c r="AQ36" s="75">
        <f t="shared" si="21"/>
        <v>0</v>
      </c>
      <c r="AR36" s="75">
        <f t="shared" si="21"/>
        <v>0</v>
      </c>
      <c r="AS36" s="76"/>
      <c r="AT36"/>
      <c r="AU36"/>
      <c r="AV36"/>
      <c r="AW36"/>
      <c r="AX36"/>
    </row>
    <row r="37" spans="1:50" s="8" customFormat="1" ht="24" customHeight="1" x14ac:dyDescent="0.25">
      <c r="A37" s="73"/>
      <c r="B37" s="15"/>
      <c r="C37" s="526" t="s">
        <v>1009</v>
      </c>
      <c r="D37" s="527"/>
      <c r="E37" s="534" t="s">
        <v>1010</v>
      </c>
      <c r="F37" s="535">
        <f>SUM(I37:AR37)*5</f>
        <v>10650.330000000002</v>
      </c>
      <c r="G37" s="536" t="s">
        <v>1011</v>
      </c>
      <c r="H37" s="528" t="s">
        <v>56</v>
      </c>
      <c r="I37" s="529">
        <f>I33+I35</f>
        <v>0</v>
      </c>
      <c r="J37" s="529">
        <f t="shared" ref="J37:AR37" si="23">J33+J35</f>
        <v>0</v>
      </c>
      <c r="K37" s="529">
        <f t="shared" si="23"/>
        <v>0</v>
      </c>
      <c r="L37" s="529">
        <f t="shared" si="23"/>
        <v>0</v>
      </c>
      <c r="M37" s="529">
        <f t="shared" si="23"/>
        <v>0</v>
      </c>
      <c r="N37" s="529">
        <f t="shared" si="23"/>
        <v>1.53</v>
      </c>
      <c r="O37" s="529">
        <f t="shared" si="23"/>
        <v>4.59</v>
      </c>
      <c r="P37" s="529">
        <f t="shared" si="23"/>
        <v>7.65</v>
      </c>
      <c r="Q37" s="529">
        <f t="shared" si="23"/>
        <v>11.628</v>
      </c>
      <c r="R37" s="529">
        <f t="shared" si="23"/>
        <v>15.606</v>
      </c>
      <c r="S37" s="529">
        <f t="shared" si="23"/>
        <v>21.114000000000001</v>
      </c>
      <c r="T37" s="529">
        <f t="shared" si="23"/>
        <v>27.540000000000003</v>
      </c>
      <c r="U37" s="529">
        <f t="shared" si="23"/>
        <v>34.884</v>
      </c>
      <c r="V37" s="529">
        <f t="shared" si="23"/>
        <v>43.146000000000001</v>
      </c>
      <c r="W37" s="529">
        <f t="shared" si="23"/>
        <v>52.938000000000002</v>
      </c>
      <c r="X37" s="529">
        <f t="shared" si="23"/>
        <v>63.647999999999996</v>
      </c>
      <c r="Y37" s="529">
        <f t="shared" si="23"/>
        <v>75.275999999999996</v>
      </c>
      <c r="Z37" s="529">
        <f t="shared" si="23"/>
        <v>86.903999999999996</v>
      </c>
      <c r="AA37" s="529">
        <f t="shared" si="23"/>
        <v>97.61399999999999</v>
      </c>
      <c r="AB37" s="529">
        <f t="shared" si="23"/>
        <v>105.87599999999999</v>
      </c>
      <c r="AC37" s="529">
        <f t="shared" si="23"/>
        <v>108.63</v>
      </c>
      <c r="AD37" s="529">
        <f t="shared" si="23"/>
        <v>111.996</v>
      </c>
      <c r="AE37" s="529">
        <f t="shared" si="23"/>
        <v>114.44399999999999</v>
      </c>
      <c r="AF37" s="529">
        <f t="shared" si="23"/>
        <v>115.36199999999999</v>
      </c>
      <c r="AG37" s="529">
        <f t="shared" si="23"/>
        <v>116.28</v>
      </c>
      <c r="AH37" s="529">
        <f t="shared" si="23"/>
        <v>117.81</v>
      </c>
      <c r="AI37" s="529">
        <f t="shared" si="23"/>
        <v>119.34</v>
      </c>
      <c r="AJ37" s="529">
        <f t="shared" si="23"/>
        <v>122.4</v>
      </c>
      <c r="AK37" s="529">
        <f t="shared" si="23"/>
        <v>122.4</v>
      </c>
      <c r="AL37" s="529">
        <f t="shared" si="23"/>
        <v>123.93</v>
      </c>
      <c r="AM37" s="529">
        <f t="shared" si="23"/>
        <v>126.99000000000001</v>
      </c>
      <c r="AN37" s="529">
        <f t="shared" si="23"/>
        <v>113.22</v>
      </c>
      <c r="AO37" s="529">
        <f t="shared" si="23"/>
        <v>64.259999999999991</v>
      </c>
      <c r="AP37" s="529">
        <f t="shared" si="23"/>
        <v>3.0599999999999974</v>
      </c>
      <c r="AQ37" s="529">
        <f t="shared" si="23"/>
        <v>-4.8849813083506888E-15</v>
      </c>
      <c r="AR37" s="529">
        <f t="shared" si="23"/>
        <v>0</v>
      </c>
      <c r="AS37" s="530"/>
      <c r="AT37"/>
      <c r="AU37"/>
      <c r="AV37"/>
      <c r="AW37"/>
      <c r="AX37"/>
    </row>
    <row r="38" spans="1:50" s="8" customFormat="1" ht="24" customHeight="1" thickBot="1" x14ac:dyDescent="0.3">
      <c r="A38" s="23"/>
      <c r="B38" s="24"/>
      <c r="C38" s="74"/>
      <c r="D38" s="99"/>
      <c r="E38" s="24"/>
      <c r="F38" s="24"/>
      <c r="G38" s="24"/>
      <c r="H38" s="505" t="s">
        <v>57</v>
      </c>
      <c r="I38" s="75">
        <f>I37/$G$6</f>
        <v>0</v>
      </c>
      <c r="J38" s="75">
        <f t="shared" ref="J38:AR38" si="24">J37/$G$6</f>
        <v>0</v>
      </c>
      <c r="K38" s="75">
        <f t="shared" si="24"/>
        <v>0</v>
      </c>
      <c r="L38" s="75">
        <f t="shared" si="24"/>
        <v>0</v>
      </c>
      <c r="M38" s="75">
        <f t="shared" si="24"/>
        <v>0</v>
      </c>
      <c r="N38" s="75">
        <f t="shared" si="24"/>
        <v>0.01</v>
      </c>
      <c r="O38" s="75">
        <f t="shared" si="24"/>
        <v>0.03</v>
      </c>
      <c r="P38" s="75">
        <f t="shared" si="24"/>
        <v>0.05</v>
      </c>
      <c r="Q38" s="75">
        <f t="shared" si="24"/>
        <v>7.5999999999999998E-2</v>
      </c>
      <c r="R38" s="75">
        <f t="shared" si="24"/>
        <v>0.10199999999999999</v>
      </c>
      <c r="S38" s="75">
        <f t="shared" si="24"/>
        <v>0.13800000000000001</v>
      </c>
      <c r="T38" s="75">
        <f t="shared" si="24"/>
        <v>0.18000000000000002</v>
      </c>
      <c r="U38" s="75">
        <f t="shared" si="24"/>
        <v>0.22800000000000001</v>
      </c>
      <c r="V38" s="75">
        <f t="shared" si="24"/>
        <v>0.28200000000000003</v>
      </c>
      <c r="W38" s="75">
        <f t="shared" si="24"/>
        <v>0.34600000000000003</v>
      </c>
      <c r="X38" s="75">
        <f t="shared" si="24"/>
        <v>0.41599999999999998</v>
      </c>
      <c r="Y38" s="75">
        <f t="shared" si="24"/>
        <v>0.49199999999999999</v>
      </c>
      <c r="Z38" s="75">
        <f t="shared" si="24"/>
        <v>0.56799999999999995</v>
      </c>
      <c r="AA38" s="75">
        <f t="shared" si="24"/>
        <v>0.6379999999999999</v>
      </c>
      <c r="AB38" s="75">
        <f t="shared" si="24"/>
        <v>0.69199999999999995</v>
      </c>
      <c r="AC38" s="75">
        <f t="shared" si="24"/>
        <v>0.71</v>
      </c>
      <c r="AD38" s="75">
        <f t="shared" si="24"/>
        <v>0.73199999999999998</v>
      </c>
      <c r="AE38" s="75">
        <f t="shared" si="24"/>
        <v>0.74799999999999989</v>
      </c>
      <c r="AF38" s="75">
        <f t="shared" si="24"/>
        <v>0.754</v>
      </c>
      <c r="AG38" s="75">
        <f t="shared" si="24"/>
        <v>0.76</v>
      </c>
      <c r="AH38" s="75">
        <f t="shared" si="24"/>
        <v>0.77</v>
      </c>
      <c r="AI38" s="75">
        <f t="shared" si="24"/>
        <v>0.78</v>
      </c>
      <c r="AJ38" s="75">
        <f t="shared" si="24"/>
        <v>0.8</v>
      </c>
      <c r="AK38" s="75">
        <f t="shared" si="24"/>
        <v>0.8</v>
      </c>
      <c r="AL38" s="75">
        <f t="shared" si="24"/>
        <v>0.81</v>
      </c>
      <c r="AM38" s="75">
        <f t="shared" si="24"/>
        <v>0.83000000000000007</v>
      </c>
      <c r="AN38" s="75">
        <f t="shared" si="24"/>
        <v>0.74</v>
      </c>
      <c r="AO38" s="75">
        <f t="shared" si="24"/>
        <v>0.41999999999999993</v>
      </c>
      <c r="AP38" s="75">
        <f t="shared" si="24"/>
        <v>1.9999999999999983E-2</v>
      </c>
      <c r="AQ38" s="75">
        <f t="shared" si="24"/>
        <v>-3.1927982407520839E-17</v>
      </c>
      <c r="AR38" s="75">
        <f t="shared" si="24"/>
        <v>0</v>
      </c>
      <c r="AS38" s="76"/>
      <c r="AT38"/>
      <c r="AU38"/>
      <c r="AV38"/>
      <c r="AW38"/>
      <c r="AX38"/>
    </row>
    <row r="39" spans="1:50" s="8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0" s="8" customFormat="1" ht="24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0" s="8" customFormat="1" ht="24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0" s="8" customFormat="1" ht="24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0" s="8" customFormat="1" ht="24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0" s="8" customFormat="1" ht="24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0" s="8" customFormat="1" ht="24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0" s="8" customFormat="1" ht="24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0" s="8" customFormat="1" ht="24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</row>
    <row r="48" spans="1:50" s="8" customFormat="1" ht="24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</row>
    <row r="49" spans="1:50" s="8" customFormat="1" ht="24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</row>
    <row r="50" spans="1:50" s="8" customFormat="1" ht="24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</row>
    <row r="51" spans="1:50" s="8" customFormat="1" ht="24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</row>
    <row r="52" spans="1:50" s="8" customFormat="1" ht="24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</row>
    <row r="53" spans="1:50" s="8" customFormat="1" ht="24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</row>
    <row r="54" spans="1:50" s="8" customFormat="1" ht="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</row>
    <row r="55" spans="1:50" s="8" customFormat="1" ht="18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</row>
    <row r="56" spans="1:50" s="8" customFormat="1" ht="30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</row>
    <row r="57" spans="1:50" s="8" customFormat="1" ht="24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</row>
    <row r="58" spans="1:50" s="8" customFormat="1" ht="24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</row>
    <row r="59" spans="1:50" s="8" customFormat="1" ht="24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</row>
    <row r="60" spans="1:50" s="8" customFormat="1" ht="24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</row>
    <row r="61" spans="1:50" s="8" customFormat="1" ht="24" customHeigh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</row>
    <row r="62" spans="1:50" s="8" customFormat="1" ht="24" customHeigh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</row>
    <row r="63" spans="1:50" s="8" customFormat="1" ht="24" customHeigh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</row>
    <row r="64" spans="1:50" s="8" customFormat="1" ht="24" customHeigh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</row>
    <row r="65" spans="1:50" s="8" customFormat="1" ht="24" customHeigh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</row>
    <row r="66" spans="1:50" s="8" customFormat="1" ht="24" customHeigh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</row>
    <row r="67" spans="1:50" s="8" customFormat="1" ht="24" customHeigh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</row>
    <row r="68" spans="1:50" s="8" customFormat="1" ht="24" customHeigh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</row>
    <row r="69" spans="1:50" s="8" customFormat="1" ht="24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</row>
    <row r="70" spans="1:50" s="8" customFormat="1" ht="24" customHeigh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</row>
    <row r="71" spans="1:50" s="8" customFormat="1" x14ac:dyDescent="0.25">
      <c r="AT71"/>
      <c r="AU71"/>
      <c r="AV71"/>
      <c r="AW71"/>
      <c r="AX71"/>
    </row>
    <row r="72" spans="1:50" s="8" customFormat="1" ht="18" customHeight="1" x14ac:dyDescent="0.25">
      <c r="AT72"/>
      <c r="AU72"/>
      <c r="AV72"/>
      <c r="AW72"/>
      <c r="AX72"/>
    </row>
    <row r="73" spans="1:50" s="8" customFormat="1" ht="30" customHeight="1" x14ac:dyDescent="0.25">
      <c r="AT73"/>
      <c r="AU73"/>
      <c r="AV73"/>
      <c r="AW73"/>
      <c r="AX73"/>
    </row>
    <row r="74" spans="1:50" s="8" customFormat="1" ht="24" customHeight="1" x14ac:dyDescent="0.25">
      <c r="AT74"/>
      <c r="AU74"/>
      <c r="AV74"/>
      <c r="AW74"/>
      <c r="AX74"/>
    </row>
    <row r="75" spans="1:50" s="8" customFormat="1" ht="24" customHeight="1" x14ac:dyDescent="0.25">
      <c r="AT75"/>
      <c r="AU75"/>
      <c r="AV75"/>
      <c r="AW75"/>
      <c r="AX75"/>
    </row>
    <row r="76" spans="1:50" s="8" customFormat="1" ht="24" customHeight="1" x14ac:dyDescent="0.25">
      <c r="AT76"/>
      <c r="AU76"/>
      <c r="AV76"/>
      <c r="AW76"/>
      <c r="AX76"/>
    </row>
    <row r="77" spans="1:50" s="8" customFormat="1" ht="24" customHeight="1" x14ac:dyDescent="0.25">
      <c r="AT77"/>
      <c r="AU77"/>
      <c r="AV77"/>
      <c r="AW77"/>
      <c r="AX77"/>
    </row>
    <row r="78" spans="1:50" s="8" customFormat="1" ht="24" customHeight="1" x14ac:dyDescent="0.25">
      <c r="AT78"/>
      <c r="AU78"/>
      <c r="AV78"/>
      <c r="AW78"/>
      <c r="AX78"/>
    </row>
    <row r="79" spans="1:50" s="8" customFormat="1" ht="24" customHeight="1" x14ac:dyDescent="0.25">
      <c r="AT79"/>
      <c r="AU79"/>
      <c r="AV79"/>
      <c r="AW79"/>
      <c r="AX79"/>
    </row>
    <row r="80" spans="1:50" s="8" customFormat="1" ht="24" customHeight="1" x14ac:dyDescent="0.25">
      <c r="AT80"/>
      <c r="AU80"/>
      <c r="AV80"/>
      <c r="AW80"/>
      <c r="AX80"/>
    </row>
    <row r="81" spans="1:50" s="8" customFormat="1" ht="24" customHeight="1" x14ac:dyDescent="0.25">
      <c r="AT81"/>
      <c r="AU81"/>
      <c r="AV81"/>
      <c r="AW81"/>
      <c r="AX81"/>
    </row>
    <row r="82" spans="1:50" s="8" customFormat="1" ht="24" customHeight="1" x14ac:dyDescent="0.25">
      <c r="AT82"/>
      <c r="AU82"/>
      <c r="AV82"/>
      <c r="AW82"/>
      <c r="AX82"/>
    </row>
    <row r="83" spans="1:50" s="8" customFormat="1" ht="24" customHeight="1" x14ac:dyDescent="0.25">
      <c r="AT83"/>
      <c r="AU83"/>
      <c r="AV83"/>
      <c r="AW83"/>
      <c r="AX83"/>
    </row>
    <row r="84" spans="1:50" s="8" customFormat="1" ht="24" customHeight="1" x14ac:dyDescent="0.25">
      <c r="AT84"/>
      <c r="AU84"/>
      <c r="AV84"/>
      <c r="AW84"/>
      <c r="AX84"/>
    </row>
    <row r="85" spans="1:50" s="8" customFormat="1" ht="24" customHeight="1" x14ac:dyDescent="0.25">
      <c r="AT85"/>
      <c r="AU85"/>
      <c r="AV85"/>
      <c r="AW85"/>
      <c r="AX85"/>
    </row>
    <row r="86" spans="1:50" s="8" customFormat="1" ht="24" customHeight="1" x14ac:dyDescent="0.25">
      <c r="AT86"/>
      <c r="AU86"/>
      <c r="AV86"/>
      <c r="AW86"/>
      <c r="AX86"/>
    </row>
    <row r="87" spans="1:50" s="8" customFormat="1" ht="24" customHeight="1" x14ac:dyDescent="0.25">
      <c r="AT87"/>
      <c r="AU87"/>
      <c r="AV87"/>
      <c r="AW87"/>
      <c r="AX87"/>
    </row>
    <row r="88" spans="1:50" s="8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</row>
    <row r="89" spans="1:50" s="8" customFormat="1" ht="18" customHeight="1" x14ac:dyDescent="0.25">
      <c r="AT89"/>
      <c r="AU89"/>
      <c r="AV89"/>
      <c r="AW89"/>
      <c r="AX89"/>
    </row>
    <row r="90" spans="1:50" s="8" customFormat="1" ht="30" customHeight="1" x14ac:dyDescent="0.25">
      <c r="AT90"/>
      <c r="AU90"/>
      <c r="AV90"/>
      <c r="AW90"/>
      <c r="AX90"/>
    </row>
    <row r="91" spans="1:50" s="8" customFormat="1" ht="24" customHeight="1" x14ac:dyDescent="0.25">
      <c r="AT91"/>
      <c r="AU91"/>
      <c r="AV91"/>
      <c r="AW91"/>
      <c r="AX91"/>
    </row>
    <row r="92" spans="1:50" s="8" customFormat="1" ht="24" customHeight="1" x14ac:dyDescent="0.25">
      <c r="AT92"/>
      <c r="AU92"/>
      <c r="AV92"/>
      <c r="AW92"/>
      <c r="AX92"/>
    </row>
    <row r="93" spans="1:50" s="8" customFormat="1" ht="24" customHeight="1" x14ac:dyDescent="0.25">
      <c r="AT93"/>
      <c r="AU93"/>
      <c r="AV93"/>
      <c r="AW93"/>
      <c r="AX93"/>
    </row>
    <row r="94" spans="1:50" s="8" customFormat="1" ht="24" customHeight="1" x14ac:dyDescent="0.25">
      <c r="AT94"/>
      <c r="AU94"/>
      <c r="AV94"/>
      <c r="AW94"/>
      <c r="AX94"/>
    </row>
    <row r="95" spans="1:50" s="8" customFormat="1" ht="24" customHeight="1" x14ac:dyDescent="0.25">
      <c r="AT95"/>
      <c r="AU95"/>
      <c r="AV95"/>
      <c r="AW95"/>
      <c r="AX95"/>
    </row>
    <row r="96" spans="1:50" s="8" customFormat="1" ht="24" customHeight="1" x14ac:dyDescent="0.25">
      <c r="AT96"/>
      <c r="AU96"/>
      <c r="AV96"/>
      <c r="AW96"/>
      <c r="AX96"/>
    </row>
    <row r="97" spans="4:50" s="8" customFormat="1" ht="24" customHeight="1" x14ac:dyDescent="0.25">
      <c r="AT97"/>
      <c r="AU97"/>
      <c r="AV97"/>
      <c r="AW97"/>
      <c r="AX97"/>
    </row>
    <row r="98" spans="4:50" ht="24" customHeight="1" x14ac:dyDescent="0.25"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0"/>
      <c r="P98" s="560"/>
      <c r="Q98" s="560"/>
      <c r="R98" s="560"/>
      <c r="S98" s="560"/>
      <c r="T98" s="560"/>
      <c r="U98" s="560"/>
      <c r="V98" s="560"/>
      <c r="W98" s="560"/>
      <c r="X98" s="560"/>
      <c r="Y98" s="560"/>
      <c r="Z98" s="560"/>
      <c r="AA98" s="560"/>
      <c r="AB98" s="560"/>
      <c r="AC98" s="560"/>
      <c r="AD98" s="560"/>
      <c r="AE98" s="560"/>
      <c r="AF98" s="560"/>
      <c r="AG98" s="560"/>
      <c r="AH98" s="560"/>
      <c r="AI98" s="560"/>
      <c r="AJ98" s="560"/>
      <c r="AK98" s="560"/>
      <c r="AL98" s="560"/>
      <c r="AM98" s="560"/>
      <c r="AT98"/>
      <c r="AU98"/>
      <c r="AV98"/>
      <c r="AW98"/>
      <c r="AX98"/>
    </row>
    <row r="99" spans="4:50" ht="24" customHeight="1" x14ac:dyDescent="0.25"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60"/>
      <c r="AB99" s="560"/>
      <c r="AC99" s="560"/>
      <c r="AD99" s="560"/>
      <c r="AE99" s="560"/>
      <c r="AF99" s="560"/>
      <c r="AG99" s="560"/>
      <c r="AH99" s="560"/>
      <c r="AI99" s="560"/>
      <c r="AJ99" s="560"/>
      <c r="AK99" s="560"/>
      <c r="AL99" s="560"/>
      <c r="AM99" s="560"/>
      <c r="AT99"/>
      <c r="AU99"/>
      <c r="AV99"/>
      <c r="AW99"/>
      <c r="AX99"/>
    </row>
    <row r="100" spans="4:50" ht="24" customHeight="1" x14ac:dyDescent="0.25"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60"/>
      <c r="AB100" s="560"/>
      <c r="AC100" s="560"/>
      <c r="AD100" s="560"/>
      <c r="AE100" s="560"/>
      <c r="AF100" s="560"/>
      <c r="AG100" s="560"/>
      <c r="AH100" s="560"/>
      <c r="AI100" s="560"/>
      <c r="AJ100" s="560"/>
      <c r="AK100" s="560"/>
      <c r="AL100" s="560"/>
      <c r="AM100" s="560"/>
      <c r="AT100"/>
      <c r="AU100"/>
      <c r="AV100"/>
      <c r="AW100"/>
      <c r="AX100"/>
    </row>
    <row r="101" spans="4:50" ht="24" customHeight="1" x14ac:dyDescent="0.25">
      <c r="D101" s="560"/>
      <c r="E101" s="560"/>
      <c r="F101" s="560"/>
      <c r="G101" s="560"/>
      <c r="H101" s="560"/>
      <c r="I101" s="560"/>
      <c r="J101" s="560"/>
      <c r="K101" s="560"/>
      <c r="L101" s="560"/>
      <c r="M101" s="560"/>
      <c r="N101" s="560"/>
      <c r="O101" s="560"/>
      <c r="P101" s="560"/>
      <c r="Q101" s="560"/>
      <c r="R101" s="560"/>
      <c r="S101" s="560"/>
      <c r="T101" s="560"/>
      <c r="U101" s="560"/>
      <c r="V101" s="560"/>
      <c r="W101" s="560"/>
      <c r="X101" s="560"/>
      <c r="Y101" s="560"/>
      <c r="Z101" s="560"/>
      <c r="AA101" s="560"/>
      <c r="AB101" s="560"/>
      <c r="AC101" s="560"/>
      <c r="AD101" s="560"/>
      <c r="AE101" s="560"/>
      <c r="AF101" s="560"/>
      <c r="AG101" s="560"/>
      <c r="AH101" s="560"/>
      <c r="AI101" s="560"/>
      <c r="AJ101" s="560"/>
      <c r="AK101" s="560"/>
      <c r="AL101" s="560"/>
      <c r="AM101" s="560"/>
      <c r="AT101"/>
      <c r="AU101"/>
      <c r="AV101"/>
      <c r="AW101"/>
      <c r="AX101"/>
    </row>
    <row r="102" spans="4:50" ht="24" customHeight="1" x14ac:dyDescent="0.25">
      <c r="D102" s="560"/>
      <c r="E102" s="560"/>
      <c r="F102" s="560"/>
      <c r="G102" s="560"/>
      <c r="H102" s="560"/>
      <c r="I102" s="560"/>
      <c r="J102" s="560"/>
      <c r="K102" s="560"/>
      <c r="L102" s="560"/>
      <c r="M102" s="560"/>
      <c r="N102" s="560"/>
      <c r="O102" s="560"/>
      <c r="P102" s="560"/>
      <c r="Q102" s="560"/>
      <c r="R102" s="560"/>
      <c r="S102" s="560"/>
      <c r="T102" s="560"/>
      <c r="U102" s="560"/>
      <c r="V102" s="560"/>
      <c r="W102" s="560"/>
      <c r="X102" s="560"/>
      <c r="Y102" s="560"/>
      <c r="Z102" s="560"/>
      <c r="AA102" s="560"/>
      <c r="AB102" s="560"/>
      <c r="AC102" s="560"/>
      <c r="AD102" s="560"/>
      <c r="AE102" s="560"/>
      <c r="AF102" s="560"/>
      <c r="AG102" s="560"/>
      <c r="AH102" s="560"/>
      <c r="AI102" s="560"/>
      <c r="AJ102" s="560"/>
      <c r="AK102" s="560"/>
      <c r="AL102" s="560"/>
      <c r="AM102" s="560"/>
      <c r="AT102"/>
      <c r="AU102"/>
      <c r="AV102"/>
      <c r="AW102"/>
      <c r="AX102"/>
    </row>
    <row r="103" spans="4:50" ht="24" customHeight="1" x14ac:dyDescent="0.25">
      <c r="D103" s="560"/>
      <c r="E103" s="560"/>
      <c r="F103" s="560"/>
      <c r="G103" s="560"/>
      <c r="H103" s="560"/>
      <c r="I103" s="560"/>
      <c r="J103" s="560"/>
      <c r="K103" s="560"/>
      <c r="L103" s="560"/>
      <c r="M103" s="560"/>
      <c r="N103" s="560"/>
      <c r="O103" s="560"/>
      <c r="P103" s="560"/>
      <c r="Q103" s="560"/>
      <c r="R103" s="560"/>
      <c r="S103" s="560"/>
      <c r="T103" s="560"/>
      <c r="U103" s="560"/>
      <c r="V103" s="560"/>
      <c r="W103" s="560"/>
      <c r="X103" s="560"/>
      <c r="Y103" s="560"/>
      <c r="Z103" s="560"/>
      <c r="AA103" s="560"/>
      <c r="AB103" s="560"/>
      <c r="AC103" s="560"/>
      <c r="AD103" s="560"/>
      <c r="AE103" s="560"/>
      <c r="AF103" s="560"/>
      <c r="AG103" s="560"/>
      <c r="AH103" s="560"/>
      <c r="AI103" s="560"/>
      <c r="AJ103" s="560"/>
      <c r="AK103" s="560"/>
      <c r="AL103" s="560"/>
      <c r="AM103" s="560"/>
      <c r="AT103"/>
      <c r="AU103"/>
      <c r="AV103"/>
      <c r="AW103"/>
      <c r="AX103"/>
    </row>
    <row r="104" spans="4:50" ht="24" customHeight="1" x14ac:dyDescent="0.25">
      <c r="D104" s="560"/>
      <c r="E104" s="560"/>
      <c r="F104" s="560"/>
      <c r="G104" s="560"/>
      <c r="H104" s="560"/>
      <c r="I104" s="560"/>
      <c r="J104" s="560"/>
      <c r="K104" s="560"/>
      <c r="L104" s="560"/>
      <c r="M104" s="560"/>
      <c r="N104" s="560"/>
      <c r="O104" s="560"/>
      <c r="P104" s="560"/>
      <c r="Q104" s="560"/>
      <c r="R104" s="560"/>
      <c r="S104" s="560"/>
      <c r="T104" s="560"/>
      <c r="U104" s="560"/>
      <c r="V104" s="560"/>
      <c r="W104" s="560"/>
      <c r="X104" s="560"/>
      <c r="Y104" s="560"/>
      <c r="Z104" s="560"/>
      <c r="AA104" s="560"/>
      <c r="AB104" s="560"/>
      <c r="AC104" s="560"/>
      <c r="AD104" s="560"/>
      <c r="AE104" s="560"/>
      <c r="AF104" s="560"/>
      <c r="AG104" s="560"/>
      <c r="AH104" s="560"/>
      <c r="AI104" s="560"/>
      <c r="AJ104" s="560"/>
      <c r="AK104" s="560"/>
      <c r="AL104" s="560"/>
      <c r="AM104" s="560"/>
      <c r="AT104"/>
      <c r="AU104"/>
      <c r="AV104"/>
      <c r="AW104"/>
      <c r="AX104"/>
    </row>
    <row r="105" spans="4:50" x14ac:dyDescent="0.25"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0"/>
      <c r="P105" s="560"/>
      <c r="Q105" s="560"/>
      <c r="R105" s="560"/>
      <c r="S105" s="560"/>
      <c r="T105" s="560"/>
      <c r="U105" s="560"/>
      <c r="V105" s="560"/>
      <c r="W105" s="560"/>
      <c r="X105" s="560"/>
      <c r="Y105" s="560"/>
      <c r="Z105" s="560"/>
      <c r="AA105" s="560"/>
      <c r="AB105" s="560"/>
      <c r="AC105" s="560"/>
      <c r="AD105" s="560"/>
      <c r="AE105" s="560"/>
      <c r="AF105" s="560"/>
      <c r="AG105" s="560"/>
      <c r="AH105" s="560"/>
      <c r="AI105" s="560"/>
      <c r="AJ105" s="560"/>
      <c r="AK105" s="560"/>
      <c r="AL105" s="560"/>
      <c r="AM105" s="560"/>
      <c r="AT105"/>
      <c r="AU105"/>
      <c r="AV105"/>
      <c r="AW105"/>
      <c r="AX105"/>
    </row>
    <row r="106" spans="4:50" ht="18" customHeight="1" x14ac:dyDescent="0.25"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0"/>
      <c r="P106" s="560"/>
      <c r="Q106" s="560"/>
      <c r="R106" s="560"/>
      <c r="S106" s="560"/>
      <c r="T106" s="560"/>
      <c r="U106" s="560"/>
      <c r="V106" s="560"/>
      <c r="W106" s="560"/>
      <c r="X106" s="560"/>
      <c r="Y106" s="560"/>
      <c r="Z106" s="560"/>
      <c r="AA106" s="560"/>
      <c r="AB106" s="560"/>
      <c r="AC106" s="560"/>
      <c r="AD106" s="560"/>
      <c r="AE106" s="560"/>
      <c r="AF106" s="560"/>
      <c r="AG106" s="560"/>
      <c r="AH106" s="560"/>
      <c r="AI106" s="560"/>
      <c r="AJ106" s="560"/>
      <c r="AK106" s="560"/>
      <c r="AL106" s="560"/>
      <c r="AM106" s="560"/>
      <c r="AT106"/>
      <c r="AU106"/>
      <c r="AV106"/>
      <c r="AW106"/>
      <c r="AX106"/>
    </row>
    <row r="107" spans="4:50" ht="30" customHeight="1" x14ac:dyDescent="0.25"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60"/>
      <c r="AB107" s="560"/>
      <c r="AC107" s="560"/>
      <c r="AD107" s="560"/>
      <c r="AE107" s="560"/>
      <c r="AF107" s="560"/>
      <c r="AG107" s="560"/>
      <c r="AH107" s="560"/>
      <c r="AI107" s="560"/>
      <c r="AJ107" s="560"/>
      <c r="AK107" s="560"/>
      <c r="AL107" s="560"/>
      <c r="AM107" s="560"/>
      <c r="AT107"/>
      <c r="AU107"/>
      <c r="AV107"/>
      <c r="AW107"/>
      <c r="AX107"/>
    </row>
    <row r="108" spans="4:50" ht="24" customHeight="1" x14ac:dyDescent="0.25">
      <c r="D108" s="560"/>
      <c r="E108" s="560"/>
      <c r="F108" s="560"/>
      <c r="G108" s="560"/>
      <c r="H108" s="560"/>
      <c r="I108" s="560"/>
      <c r="J108" s="560"/>
      <c r="K108" s="560"/>
      <c r="L108" s="560"/>
      <c r="M108" s="560"/>
      <c r="N108" s="560"/>
      <c r="O108" s="560"/>
      <c r="P108" s="560"/>
      <c r="Q108" s="560"/>
      <c r="R108" s="560"/>
      <c r="S108" s="560"/>
      <c r="T108" s="560"/>
      <c r="U108" s="560"/>
      <c r="V108" s="560"/>
      <c r="W108" s="560"/>
      <c r="X108" s="560"/>
      <c r="Y108" s="560"/>
      <c r="Z108" s="560"/>
      <c r="AA108" s="560"/>
      <c r="AB108" s="560"/>
      <c r="AC108" s="560"/>
      <c r="AD108" s="560"/>
      <c r="AE108" s="560"/>
      <c r="AF108" s="560"/>
      <c r="AG108" s="560"/>
      <c r="AH108" s="560"/>
      <c r="AI108" s="560"/>
      <c r="AJ108" s="560"/>
      <c r="AK108" s="560"/>
      <c r="AL108" s="560"/>
      <c r="AM108" s="560"/>
      <c r="AT108"/>
      <c r="AU108"/>
      <c r="AV108"/>
      <c r="AW108"/>
      <c r="AX108"/>
    </row>
    <row r="109" spans="4:50" ht="24" customHeight="1" x14ac:dyDescent="0.25">
      <c r="D109" s="560"/>
      <c r="E109" s="560"/>
      <c r="F109" s="560"/>
      <c r="G109" s="560"/>
      <c r="H109" s="560"/>
      <c r="I109" s="560"/>
      <c r="J109" s="560"/>
      <c r="K109" s="560"/>
      <c r="L109" s="560"/>
      <c r="M109" s="560"/>
      <c r="N109" s="560"/>
      <c r="O109" s="560"/>
      <c r="P109" s="560"/>
      <c r="Q109" s="560"/>
      <c r="R109" s="560"/>
      <c r="S109" s="560"/>
      <c r="T109" s="560"/>
      <c r="U109" s="560"/>
      <c r="V109" s="560"/>
      <c r="W109" s="560"/>
      <c r="X109" s="560"/>
      <c r="Y109" s="560"/>
      <c r="Z109" s="560"/>
      <c r="AA109" s="560"/>
      <c r="AB109" s="560"/>
      <c r="AC109" s="560"/>
      <c r="AD109" s="560"/>
      <c r="AE109" s="560"/>
      <c r="AF109" s="560"/>
      <c r="AG109" s="560"/>
      <c r="AH109" s="560"/>
      <c r="AI109" s="560"/>
      <c r="AJ109" s="560"/>
      <c r="AK109" s="560"/>
      <c r="AL109" s="560"/>
      <c r="AM109" s="560"/>
      <c r="AT109"/>
      <c r="AU109"/>
      <c r="AV109"/>
      <c r="AW109"/>
      <c r="AX109"/>
    </row>
    <row r="110" spans="4:50" ht="24" customHeight="1" x14ac:dyDescent="0.25">
      <c r="D110" s="560"/>
      <c r="E110" s="560"/>
      <c r="F110" s="560"/>
      <c r="G110" s="560"/>
      <c r="H110" s="560"/>
      <c r="I110" s="560"/>
      <c r="J110" s="560"/>
      <c r="K110" s="560"/>
      <c r="L110" s="560"/>
      <c r="M110" s="560"/>
      <c r="N110" s="560"/>
      <c r="O110" s="560"/>
      <c r="P110" s="560"/>
      <c r="Q110" s="560"/>
      <c r="R110" s="560"/>
      <c r="S110" s="560"/>
      <c r="T110" s="560"/>
      <c r="U110" s="560"/>
      <c r="V110" s="560"/>
      <c r="W110" s="560"/>
      <c r="X110" s="560"/>
      <c r="Y110" s="560"/>
      <c r="Z110" s="560"/>
      <c r="AA110" s="560"/>
      <c r="AB110" s="560"/>
      <c r="AC110" s="560"/>
      <c r="AD110" s="560"/>
      <c r="AE110" s="560"/>
      <c r="AF110" s="560"/>
      <c r="AG110" s="560"/>
      <c r="AH110" s="560"/>
      <c r="AI110" s="560"/>
      <c r="AJ110" s="560"/>
      <c r="AK110" s="560"/>
      <c r="AL110" s="560"/>
      <c r="AM110" s="560"/>
      <c r="AT110"/>
      <c r="AU110"/>
      <c r="AV110"/>
      <c r="AW110"/>
      <c r="AX110"/>
    </row>
    <row r="111" spans="4:50" ht="24" customHeight="1" x14ac:dyDescent="0.25"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0"/>
      <c r="P111" s="560"/>
      <c r="Q111" s="560"/>
      <c r="R111" s="560"/>
      <c r="S111" s="560"/>
      <c r="T111" s="560"/>
      <c r="U111" s="560"/>
      <c r="V111" s="560"/>
      <c r="W111" s="560"/>
      <c r="X111" s="560"/>
      <c r="Y111" s="560"/>
      <c r="Z111" s="560"/>
      <c r="AA111" s="560"/>
      <c r="AB111" s="560"/>
      <c r="AC111" s="560"/>
      <c r="AD111" s="560"/>
      <c r="AE111" s="560"/>
      <c r="AF111" s="560"/>
      <c r="AG111" s="560"/>
      <c r="AH111" s="560"/>
      <c r="AI111" s="560"/>
      <c r="AJ111" s="560"/>
      <c r="AK111" s="560"/>
      <c r="AL111" s="560"/>
      <c r="AM111" s="560"/>
      <c r="AT111"/>
      <c r="AU111"/>
      <c r="AV111"/>
      <c r="AW111"/>
      <c r="AX111"/>
    </row>
    <row r="112" spans="4:50" ht="24" customHeight="1" x14ac:dyDescent="0.25"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0"/>
      <c r="P112" s="560"/>
      <c r="Q112" s="560"/>
      <c r="R112" s="560"/>
      <c r="S112" s="560"/>
      <c r="T112" s="560"/>
      <c r="U112" s="560"/>
      <c r="V112" s="560"/>
      <c r="W112" s="560"/>
      <c r="X112" s="560"/>
      <c r="Y112" s="560"/>
      <c r="Z112" s="560"/>
      <c r="AA112" s="560"/>
      <c r="AB112" s="560"/>
      <c r="AC112" s="560"/>
      <c r="AD112" s="560"/>
      <c r="AE112" s="560"/>
      <c r="AF112" s="560"/>
      <c r="AG112" s="560"/>
      <c r="AH112" s="560"/>
      <c r="AI112" s="560"/>
      <c r="AJ112" s="560"/>
      <c r="AK112" s="560"/>
      <c r="AL112" s="560"/>
      <c r="AM112" s="560"/>
      <c r="AT112"/>
      <c r="AU112"/>
      <c r="AV112"/>
      <c r="AW112"/>
      <c r="AX112"/>
    </row>
    <row r="113" spans="4:50" ht="24" customHeight="1" x14ac:dyDescent="0.25"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60"/>
      <c r="AB113" s="560"/>
      <c r="AC113" s="560"/>
      <c r="AD113" s="560"/>
      <c r="AE113" s="560"/>
      <c r="AF113" s="560"/>
      <c r="AG113" s="560"/>
      <c r="AH113" s="560"/>
      <c r="AI113" s="560"/>
      <c r="AJ113" s="560"/>
      <c r="AK113" s="560"/>
      <c r="AL113" s="560"/>
      <c r="AM113" s="560"/>
      <c r="AT113"/>
      <c r="AU113"/>
      <c r="AV113"/>
      <c r="AW113"/>
      <c r="AX113"/>
    </row>
    <row r="114" spans="4:50" ht="24" customHeight="1" x14ac:dyDescent="0.25">
      <c r="D114" s="560"/>
      <c r="E114" s="560"/>
      <c r="F114" s="560"/>
      <c r="G114" s="560"/>
      <c r="H114" s="560"/>
      <c r="I114" s="560"/>
      <c r="J114" s="560"/>
      <c r="K114" s="560"/>
      <c r="L114" s="560"/>
      <c r="M114" s="560"/>
      <c r="N114" s="560"/>
      <c r="O114" s="560"/>
      <c r="P114" s="560"/>
      <c r="Q114" s="560"/>
      <c r="R114" s="560"/>
      <c r="S114" s="560"/>
      <c r="T114" s="560"/>
      <c r="U114" s="560"/>
      <c r="V114" s="560"/>
      <c r="W114" s="560"/>
      <c r="X114" s="560"/>
      <c r="Y114" s="560"/>
      <c r="Z114" s="560"/>
      <c r="AA114" s="560"/>
      <c r="AB114" s="560"/>
      <c r="AC114" s="560"/>
      <c r="AD114" s="560"/>
      <c r="AE114" s="560"/>
      <c r="AF114" s="560"/>
      <c r="AG114" s="560"/>
      <c r="AH114" s="560"/>
      <c r="AI114" s="560"/>
      <c r="AJ114" s="560"/>
      <c r="AK114" s="560"/>
      <c r="AL114" s="560"/>
      <c r="AM114" s="560"/>
      <c r="AT114"/>
      <c r="AU114"/>
      <c r="AV114"/>
      <c r="AW114"/>
      <c r="AX114"/>
    </row>
    <row r="115" spans="4:50" ht="24" customHeight="1" x14ac:dyDescent="0.25">
      <c r="D115" s="560"/>
      <c r="E115" s="560"/>
      <c r="F115" s="560"/>
      <c r="G115" s="560"/>
      <c r="H115" s="560"/>
      <c r="I115" s="560"/>
      <c r="J115" s="560"/>
      <c r="K115" s="560"/>
      <c r="L115" s="560"/>
      <c r="M115" s="560"/>
      <c r="N115" s="560"/>
      <c r="O115" s="560"/>
      <c r="P115" s="560"/>
      <c r="Q115" s="560"/>
      <c r="R115" s="560"/>
      <c r="S115" s="560"/>
      <c r="T115" s="560"/>
      <c r="U115" s="560"/>
      <c r="V115" s="560"/>
      <c r="W115" s="560"/>
      <c r="X115" s="560"/>
      <c r="Y115" s="560"/>
      <c r="Z115" s="560"/>
      <c r="AA115" s="560"/>
      <c r="AB115" s="560"/>
      <c r="AC115" s="560"/>
      <c r="AD115" s="560"/>
      <c r="AE115" s="560"/>
      <c r="AF115" s="560"/>
      <c r="AG115" s="560"/>
      <c r="AH115" s="560"/>
      <c r="AI115" s="560"/>
      <c r="AJ115" s="560"/>
      <c r="AK115" s="560"/>
      <c r="AL115" s="560"/>
      <c r="AM115" s="560"/>
      <c r="AT115"/>
      <c r="AU115"/>
      <c r="AV115"/>
      <c r="AW115"/>
      <c r="AX115"/>
    </row>
    <row r="116" spans="4:50" ht="24" customHeight="1" x14ac:dyDescent="0.25">
      <c r="D116" s="560"/>
      <c r="E116" s="560"/>
      <c r="F116" s="560"/>
      <c r="G116" s="560"/>
      <c r="H116" s="560"/>
      <c r="I116" s="560"/>
      <c r="J116" s="560"/>
      <c r="K116" s="560"/>
      <c r="L116" s="560"/>
      <c r="M116" s="560"/>
      <c r="N116" s="560"/>
      <c r="O116" s="560"/>
      <c r="P116" s="560"/>
      <c r="Q116" s="560"/>
      <c r="R116" s="560"/>
      <c r="S116" s="560"/>
      <c r="T116" s="560"/>
      <c r="U116" s="560"/>
      <c r="V116" s="560"/>
      <c r="W116" s="560"/>
      <c r="X116" s="560"/>
      <c r="Y116" s="560"/>
      <c r="Z116" s="560"/>
      <c r="AA116" s="560"/>
      <c r="AB116" s="560"/>
      <c r="AC116" s="560"/>
      <c r="AD116" s="560"/>
      <c r="AE116" s="560"/>
      <c r="AF116" s="560"/>
      <c r="AG116" s="560"/>
      <c r="AH116" s="560"/>
      <c r="AI116" s="560"/>
      <c r="AJ116" s="560"/>
      <c r="AK116" s="560"/>
      <c r="AL116" s="560"/>
      <c r="AM116" s="560"/>
      <c r="AT116"/>
      <c r="AU116"/>
      <c r="AV116"/>
      <c r="AW116"/>
      <c r="AX116"/>
    </row>
    <row r="117" spans="4:50" ht="24" customHeight="1" x14ac:dyDescent="0.25">
      <c r="D117" s="560"/>
      <c r="E117" s="560"/>
      <c r="F117" s="560"/>
      <c r="G117" s="560"/>
      <c r="H117" s="560"/>
      <c r="I117" s="560"/>
      <c r="J117" s="560"/>
      <c r="K117" s="560"/>
      <c r="L117" s="560"/>
      <c r="M117" s="560"/>
      <c r="N117" s="560"/>
      <c r="O117" s="560"/>
      <c r="P117" s="560"/>
      <c r="Q117" s="560"/>
      <c r="R117" s="560"/>
      <c r="S117" s="560"/>
      <c r="T117" s="560"/>
      <c r="U117" s="560"/>
      <c r="V117" s="560"/>
      <c r="W117" s="560"/>
      <c r="X117" s="560"/>
      <c r="Y117" s="560"/>
      <c r="Z117" s="560"/>
      <c r="AA117" s="560"/>
      <c r="AB117" s="560"/>
      <c r="AC117" s="560"/>
      <c r="AD117" s="560"/>
      <c r="AE117" s="560"/>
      <c r="AF117" s="560"/>
      <c r="AG117" s="560"/>
      <c r="AH117" s="560"/>
      <c r="AI117" s="560"/>
      <c r="AJ117" s="560"/>
      <c r="AK117" s="560"/>
      <c r="AL117" s="560"/>
      <c r="AM117" s="560"/>
      <c r="AT117"/>
      <c r="AU117"/>
      <c r="AV117"/>
      <c r="AW117"/>
      <c r="AX117"/>
    </row>
    <row r="118" spans="4:50" ht="24" customHeight="1" x14ac:dyDescent="0.25"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0"/>
      <c r="P118" s="560"/>
      <c r="Q118" s="560"/>
      <c r="R118" s="560"/>
      <c r="S118" s="560"/>
      <c r="T118" s="560"/>
      <c r="U118" s="560"/>
      <c r="V118" s="560"/>
      <c r="W118" s="560"/>
      <c r="X118" s="560"/>
      <c r="Y118" s="560"/>
      <c r="Z118" s="560"/>
      <c r="AA118" s="560"/>
      <c r="AB118" s="560"/>
      <c r="AC118" s="560"/>
      <c r="AD118" s="560"/>
      <c r="AE118" s="560"/>
      <c r="AF118" s="560"/>
      <c r="AG118" s="560"/>
      <c r="AH118" s="560"/>
      <c r="AI118" s="560"/>
      <c r="AJ118" s="560"/>
      <c r="AK118" s="560"/>
      <c r="AL118" s="560"/>
      <c r="AM118" s="560"/>
      <c r="AT118"/>
      <c r="AU118"/>
      <c r="AV118"/>
      <c r="AW118"/>
      <c r="AX118"/>
    </row>
    <row r="119" spans="4:50" ht="24" customHeight="1" x14ac:dyDescent="0.25"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0"/>
      <c r="P119" s="560"/>
      <c r="Q119" s="560"/>
      <c r="R119" s="560"/>
      <c r="S119" s="560"/>
      <c r="T119" s="560"/>
      <c r="U119" s="560"/>
      <c r="V119" s="560"/>
      <c r="W119" s="560"/>
      <c r="X119" s="560"/>
      <c r="Y119" s="560"/>
      <c r="Z119" s="560"/>
      <c r="AA119" s="560"/>
      <c r="AB119" s="560"/>
      <c r="AC119" s="560"/>
      <c r="AD119" s="560"/>
      <c r="AE119" s="560"/>
      <c r="AF119" s="560"/>
      <c r="AG119" s="560"/>
      <c r="AH119" s="560"/>
      <c r="AI119" s="560"/>
      <c r="AJ119" s="560"/>
      <c r="AK119" s="560"/>
      <c r="AL119" s="560"/>
      <c r="AM119" s="560"/>
      <c r="AT119"/>
      <c r="AU119"/>
      <c r="AV119"/>
      <c r="AW119"/>
      <c r="AX119"/>
    </row>
    <row r="120" spans="4:50" ht="24" customHeight="1" x14ac:dyDescent="0.25"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60"/>
      <c r="AB120" s="560"/>
      <c r="AC120" s="560"/>
      <c r="AD120" s="560"/>
      <c r="AE120" s="560"/>
      <c r="AF120" s="560"/>
      <c r="AG120" s="560"/>
      <c r="AH120" s="560"/>
      <c r="AI120" s="560"/>
      <c r="AJ120" s="560"/>
      <c r="AK120" s="560"/>
      <c r="AL120" s="560"/>
      <c r="AM120" s="560"/>
      <c r="AT120"/>
      <c r="AU120"/>
      <c r="AV120"/>
      <c r="AW120"/>
      <c r="AX120"/>
    </row>
    <row r="121" spans="4:50" ht="24" customHeight="1" x14ac:dyDescent="0.25">
      <c r="D121" s="560"/>
      <c r="E121" s="560"/>
      <c r="F121" s="560"/>
      <c r="G121" s="560"/>
      <c r="H121" s="560"/>
      <c r="I121" s="560"/>
      <c r="J121" s="560"/>
      <c r="K121" s="560"/>
      <c r="L121" s="560"/>
      <c r="M121" s="560"/>
      <c r="N121" s="560"/>
      <c r="O121" s="560"/>
      <c r="P121" s="560"/>
      <c r="Q121" s="560"/>
      <c r="R121" s="560"/>
      <c r="S121" s="560"/>
      <c r="T121" s="560"/>
      <c r="U121" s="560"/>
      <c r="V121" s="560"/>
      <c r="W121" s="560"/>
      <c r="X121" s="560"/>
      <c r="Y121" s="560"/>
      <c r="Z121" s="560"/>
      <c r="AA121" s="560"/>
      <c r="AB121" s="560"/>
      <c r="AC121" s="560"/>
      <c r="AD121" s="560"/>
      <c r="AE121" s="560"/>
      <c r="AF121" s="560"/>
      <c r="AG121" s="560"/>
      <c r="AH121" s="560"/>
      <c r="AI121" s="560"/>
      <c r="AJ121" s="560"/>
      <c r="AK121" s="560"/>
      <c r="AL121" s="560"/>
      <c r="AM121" s="560"/>
      <c r="AT121"/>
      <c r="AU121"/>
      <c r="AV121"/>
      <c r="AW121"/>
      <c r="AX121"/>
    </row>
    <row r="122" spans="4:50" x14ac:dyDescent="0.25">
      <c r="D122" s="560"/>
      <c r="E122" s="560"/>
      <c r="F122" s="560"/>
      <c r="G122" s="560"/>
      <c r="H122" s="560"/>
      <c r="I122" s="560"/>
      <c r="J122" s="560"/>
      <c r="K122" s="560"/>
      <c r="L122" s="560"/>
      <c r="M122" s="560"/>
      <c r="N122" s="560"/>
      <c r="O122" s="560"/>
      <c r="P122" s="560"/>
      <c r="Q122" s="560"/>
      <c r="R122" s="560"/>
      <c r="S122" s="560"/>
      <c r="T122" s="560"/>
      <c r="U122" s="560"/>
      <c r="V122" s="560"/>
      <c r="W122" s="560"/>
      <c r="X122" s="560"/>
      <c r="Y122" s="560"/>
      <c r="Z122" s="560"/>
      <c r="AA122" s="560"/>
      <c r="AB122" s="560"/>
      <c r="AC122" s="560"/>
      <c r="AD122" s="560"/>
      <c r="AE122" s="560"/>
      <c r="AF122" s="560"/>
      <c r="AG122" s="560"/>
      <c r="AH122" s="560"/>
      <c r="AI122" s="560"/>
      <c r="AJ122" s="560"/>
      <c r="AK122" s="560"/>
      <c r="AL122" s="560"/>
      <c r="AM122" s="560"/>
      <c r="AT122"/>
      <c r="AU122"/>
      <c r="AV122"/>
      <c r="AW122"/>
      <c r="AX122"/>
    </row>
    <row r="123" spans="4:50" ht="18" customHeight="1" x14ac:dyDescent="0.25"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0"/>
      <c r="P123" s="560"/>
      <c r="Q123" s="560"/>
      <c r="R123" s="560"/>
      <c r="S123" s="560"/>
      <c r="T123" s="560"/>
      <c r="U123" s="560"/>
      <c r="V123" s="560"/>
      <c r="W123" s="560"/>
      <c r="X123" s="560"/>
      <c r="Y123" s="560"/>
      <c r="Z123" s="560"/>
      <c r="AA123" s="560"/>
      <c r="AB123" s="560"/>
      <c r="AC123" s="560"/>
      <c r="AD123" s="560"/>
      <c r="AE123" s="560"/>
      <c r="AF123" s="560"/>
      <c r="AG123" s="560"/>
      <c r="AH123" s="560"/>
      <c r="AI123" s="560"/>
      <c r="AJ123" s="560"/>
      <c r="AK123" s="560"/>
      <c r="AL123" s="560"/>
      <c r="AM123" s="560"/>
      <c r="AT123"/>
      <c r="AU123"/>
      <c r="AV123"/>
      <c r="AW123"/>
      <c r="AX123"/>
    </row>
    <row r="124" spans="4:50" ht="30" customHeight="1" x14ac:dyDescent="0.25"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0"/>
      <c r="P124" s="560"/>
      <c r="Q124" s="560"/>
      <c r="R124" s="560"/>
      <c r="S124" s="560"/>
      <c r="T124" s="560"/>
      <c r="U124" s="560"/>
      <c r="V124" s="560"/>
      <c r="W124" s="560"/>
      <c r="X124" s="560"/>
      <c r="Y124" s="560"/>
      <c r="Z124" s="560"/>
      <c r="AA124" s="560"/>
      <c r="AB124" s="560"/>
      <c r="AC124" s="560"/>
      <c r="AD124" s="560"/>
      <c r="AE124" s="560"/>
      <c r="AF124" s="560"/>
      <c r="AG124" s="560"/>
      <c r="AH124" s="560"/>
      <c r="AI124" s="560"/>
      <c r="AJ124" s="560"/>
      <c r="AK124" s="560"/>
      <c r="AL124" s="560"/>
      <c r="AM124" s="560"/>
      <c r="AT124"/>
      <c r="AU124"/>
      <c r="AV124"/>
      <c r="AW124"/>
      <c r="AX124"/>
    </row>
    <row r="125" spans="4:50" ht="24" customHeight="1" x14ac:dyDescent="0.25"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60"/>
      <c r="AB125" s="560"/>
      <c r="AC125" s="560"/>
      <c r="AD125" s="560"/>
      <c r="AE125" s="560"/>
      <c r="AF125" s="560"/>
      <c r="AG125" s="560"/>
      <c r="AH125" s="560"/>
      <c r="AI125" s="560"/>
      <c r="AJ125" s="560"/>
      <c r="AK125" s="560"/>
      <c r="AL125" s="560"/>
      <c r="AM125" s="560"/>
      <c r="AT125"/>
      <c r="AU125"/>
      <c r="AV125"/>
      <c r="AW125"/>
      <c r="AX125"/>
    </row>
    <row r="126" spans="4:50" ht="24" customHeight="1" x14ac:dyDescent="0.25"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60"/>
      <c r="AB126" s="560"/>
      <c r="AC126" s="560"/>
      <c r="AD126" s="560"/>
      <c r="AE126" s="560"/>
      <c r="AF126" s="560"/>
      <c r="AG126" s="560"/>
      <c r="AH126" s="560"/>
      <c r="AI126" s="560"/>
      <c r="AJ126" s="560"/>
      <c r="AK126" s="560"/>
      <c r="AL126" s="560"/>
      <c r="AM126" s="560"/>
      <c r="AT126"/>
      <c r="AU126"/>
      <c r="AV126"/>
      <c r="AW126"/>
      <c r="AX126"/>
    </row>
    <row r="127" spans="4:50" ht="24" customHeight="1" x14ac:dyDescent="0.25">
      <c r="D127" s="560"/>
      <c r="E127" s="560"/>
      <c r="F127" s="560"/>
      <c r="G127" s="560"/>
      <c r="H127" s="560"/>
      <c r="I127" s="560"/>
      <c r="J127" s="560"/>
      <c r="K127" s="560"/>
      <c r="L127" s="560"/>
      <c r="M127" s="560"/>
      <c r="N127" s="560"/>
      <c r="O127" s="560"/>
      <c r="P127" s="560"/>
      <c r="Q127" s="560"/>
      <c r="R127" s="560"/>
      <c r="S127" s="560"/>
      <c r="T127" s="560"/>
      <c r="U127" s="560"/>
      <c r="V127" s="560"/>
      <c r="W127" s="560"/>
      <c r="X127" s="560"/>
      <c r="Y127" s="560"/>
      <c r="Z127" s="560"/>
      <c r="AA127" s="560"/>
      <c r="AB127" s="560"/>
      <c r="AC127" s="560"/>
      <c r="AD127" s="560"/>
      <c r="AE127" s="560"/>
      <c r="AF127" s="560"/>
      <c r="AG127" s="560"/>
      <c r="AH127" s="560"/>
      <c r="AI127" s="560"/>
      <c r="AJ127" s="560"/>
      <c r="AK127" s="560"/>
      <c r="AL127" s="560"/>
      <c r="AM127" s="560"/>
      <c r="AT127"/>
      <c r="AU127"/>
      <c r="AV127"/>
      <c r="AW127"/>
      <c r="AX127"/>
    </row>
    <row r="128" spans="4:50" ht="24" customHeight="1" x14ac:dyDescent="0.25">
      <c r="D128" s="560"/>
      <c r="E128" s="560"/>
      <c r="F128" s="560"/>
      <c r="G128" s="560"/>
      <c r="H128" s="560"/>
      <c r="I128" s="560"/>
      <c r="J128" s="560"/>
      <c r="K128" s="560"/>
      <c r="L128" s="560"/>
      <c r="M128" s="560"/>
      <c r="N128" s="560"/>
      <c r="O128" s="560"/>
      <c r="P128" s="560"/>
      <c r="Q128" s="560"/>
      <c r="R128" s="560"/>
      <c r="S128" s="560"/>
      <c r="T128" s="560"/>
      <c r="U128" s="560"/>
      <c r="V128" s="560"/>
      <c r="W128" s="560"/>
      <c r="X128" s="560"/>
      <c r="Y128" s="560"/>
      <c r="Z128" s="560"/>
      <c r="AA128" s="560"/>
      <c r="AB128" s="560"/>
      <c r="AC128" s="560"/>
      <c r="AD128" s="560"/>
      <c r="AE128" s="560"/>
      <c r="AF128" s="560"/>
      <c r="AG128" s="560"/>
      <c r="AH128" s="560"/>
      <c r="AI128" s="560"/>
      <c r="AJ128" s="560"/>
      <c r="AK128" s="560"/>
      <c r="AL128" s="560"/>
      <c r="AM128" s="560"/>
      <c r="AT128"/>
      <c r="AU128"/>
      <c r="AV128"/>
      <c r="AW128"/>
      <c r="AX128"/>
    </row>
    <row r="129" spans="4:50" ht="24" customHeight="1" x14ac:dyDescent="0.25"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0"/>
      <c r="P129" s="560"/>
      <c r="Q129" s="560"/>
      <c r="R129" s="560"/>
      <c r="S129" s="560"/>
      <c r="T129" s="560"/>
      <c r="U129" s="560"/>
      <c r="V129" s="560"/>
      <c r="W129" s="560"/>
      <c r="X129" s="560"/>
      <c r="Y129" s="560"/>
      <c r="Z129" s="560"/>
      <c r="AA129" s="560"/>
      <c r="AB129" s="560"/>
      <c r="AC129" s="560"/>
      <c r="AD129" s="560"/>
      <c r="AE129" s="560"/>
      <c r="AF129" s="560"/>
      <c r="AG129" s="560"/>
      <c r="AH129" s="560"/>
      <c r="AI129" s="560"/>
      <c r="AJ129" s="560"/>
      <c r="AK129" s="560"/>
      <c r="AL129" s="560"/>
      <c r="AM129" s="560"/>
      <c r="AT129"/>
      <c r="AU129"/>
      <c r="AV129"/>
      <c r="AW129"/>
      <c r="AX129"/>
    </row>
    <row r="130" spans="4:50" ht="24" customHeight="1" x14ac:dyDescent="0.25"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0"/>
      <c r="P130" s="560"/>
      <c r="Q130" s="560"/>
      <c r="R130" s="560"/>
      <c r="S130" s="560"/>
      <c r="T130" s="560"/>
      <c r="U130" s="560"/>
      <c r="V130" s="560"/>
      <c r="W130" s="560"/>
      <c r="X130" s="560"/>
      <c r="Y130" s="560"/>
      <c r="Z130" s="560"/>
      <c r="AA130" s="560"/>
      <c r="AB130" s="560"/>
      <c r="AC130" s="560"/>
      <c r="AD130" s="560"/>
      <c r="AE130" s="560"/>
      <c r="AF130" s="560"/>
      <c r="AG130" s="560"/>
      <c r="AH130" s="560"/>
      <c r="AI130" s="560"/>
      <c r="AJ130" s="560"/>
      <c r="AK130" s="560"/>
      <c r="AL130" s="560"/>
      <c r="AM130" s="560"/>
    </row>
    <row r="131" spans="4:50" ht="24" customHeight="1" x14ac:dyDescent="0.25"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60"/>
      <c r="AB131" s="560"/>
      <c r="AC131" s="560"/>
      <c r="AD131" s="560"/>
      <c r="AE131" s="560"/>
      <c r="AF131" s="560"/>
      <c r="AG131" s="560"/>
      <c r="AH131" s="560"/>
      <c r="AI131" s="560"/>
      <c r="AJ131" s="560"/>
      <c r="AK131" s="560"/>
      <c r="AL131" s="560"/>
      <c r="AM131" s="560"/>
    </row>
    <row r="132" spans="4:50" ht="24" customHeight="1" x14ac:dyDescent="0.25">
      <c r="D132" s="560"/>
      <c r="E132" s="560"/>
      <c r="F132" s="560"/>
      <c r="G132" s="560"/>
      <c r="H132" s="560"/>
      <c r="I132" s="560"/>
      <c r="J132" s="560"/>
      <c r="K132" s="560"/>
      <c r="L132" s="560"/>
      <c r="M132" s="560"/>
      <c r="N132" s="560"/>
      <c r="O132" s="560"/>
      <c r="P132" s="560"/>
      <c r="Q132" s="560"/>
      <c r="R132" s="560"/>
      <c r="S132" s="560"/>
      <c r="T132" s="560"/>
      <c r="U132" s="560"/>
      <c r="V132" s="560"/>
      <c r="W132" s="560"/>
      <c r="X132" s="560"/>
      <c r="Y132" s="560"/>
      <c r="Z132" s="560"/>
      <c r="AA132" s="560"/>
      <c r="AB132" s="560"/>
      <c r="AC132" s="560"/>
      <c r="AD132" s="560"/>
      <c r="AE132" s="560"/>
      <c r="AF132" s="560"/>
      <c r="AG132" s="560"/>
      <c r="AH132" s="560"/>
      <c r="AI132" s="560"/>
      <c r="AJ132" s="560"/>
      <c r="AK132" s="560"/>
      <c r="AL132" s="560"/>
      <c r="AM132" s="560"/>
    </row>
    <row r="133" spans="4:50" ht="24" customHeight="1" x14ac:dyDescent="0.25">
      <c r="D133" s="560"/>
      <c r="E133" s="560"/>
      <c r="F133" s="560"/>
      <c r="G133" s="560"/>
      <c r="H133" s="560"/>
      <c r="I133" s="560"/>
      <c r="J133" s="560"/>
      <c r="K133" s="560"/>
      <c r="L133" s="560"/>
      <c r="M133" s="560"/>
      <c r="N133" s="560"/>
      <c r="O133" s="560"/>
      <c r="P133" s="560"/>
      <c r="Q133" s="560"/>
      <c r="R133" s="560"/>
      <c r="S133" s="560"/>
      <c r="T133" s="560"/>
      <c r="U133" s="560"/>
      <c r="V133" s="560"/>
      <c r="W133" s="560"/>
      <c r="X133" s="560"/>
      <c r="Y133" s="560"/>
      <c r="Z133" s="560"/>
      <c r="AA133" s="560"/>
      <c r="AB133" s="560"/>
      <c r="AC133" s="560"/>
      <c r="AD133" s="560"/>
      <c r="AE133" s="560"/>
      <c r="AF133" s="560"/>
      <c r="AG133" s="560"/>
      <c r="AH133" s="560"/>
      <c r="AI133" s="560"/>
      <c r="AJ133" s="560"/>
      <c r="AK133" s="560"/>
      <c r="AL133" s="560"/>
      <c r="AM133" s="560"/>
    </row>
    <row r="134" spans="4:50" ht="24" customHeight="1" x14ac:dyDescent="0.25"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0"/>
      <c r="P134" s="560"/>
      <c r="Q134" s="560"/>
      <c r="R134" s="560"/>
      <c r="S134" s="560"/>
      <c r="T134" s="560"/>
      <c r="U134" s="560"/>
      <c r="V134" s="560"/>
      <c r="W134" s="560"/>
      <c r="X134" s="560"/>
      <c r="Y134" s="560"/>
      <c r="Z134" s="560"/>
      <c r="AA134" s="560"/>
      <c r="AB134" s="560"/>
      <c r="AC134" s="560"/>
      <c r="AD134" s="560"/>
      <c r="AE134" s="560"/>
      <c r="AF134" s="560"/>
      <c r="AG134" s="560"/>
      <c r="AH134" s="560"/>
      <c r="AI134" s="560"/>
      <c r="AJ134" s="560"/>
      <c r="AK134" s="560"/>
      <c r="AL134" s="560"/>
      <c r="AM134" s="560"/>
    </row>
    <row r="135" spans="4:50" ht="24" customHeight="1" x14ac:dyDescent="0.25"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0"/>
      <c r="P135" s="560"/>
      <c r="Q135" s="560"/>
      <c r="R135" s="560"/>
      <c r="S135" s="560"/>
      <c r="T135" s="560"/>
      <c r="U135" s="560"/>
      <c r="V135" s="560"/>
      <c r="W135" s="560"/>
      <c r="X135" s="560"/>
      <c r="Y135" s="560"/>
      <c r="Z135" s="560"/>
      <c r="AA135" s="560"/>
      <c r="AB135" s="560"/>
      <c r="AC135" s="560"/>
      <c r="AD135" s="560"/>
      <c r="AE135" s="560"/>
      <c r="AF135" s="560"/>
      <c r="AG135" s="560"/>
      <c r="AH135" s="560"/>
      <c r="AI135" s="560"/>
      <c r="AJ135" s="560"/>
      <c r="AK135" s="560"/>
      <c r="AL135" s="560"/>
      <c r="AM135" s="560"/>
    </row>
    <row r="136" spans="4:50" ht="24" customHeight="1" x14ac:dyDescent="0.25"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60"/>
      <c r="AB136" s="560"/>
      <c r="AC136" s="560"/>
      <c r="AD136" s="560"/>
      <c r="AE136" s="560"/>
      <c r="AF136" s="560"/>
      <c r="AG136" s="560"/>
      <c r="AH136" s="560"/>
      <c r="AI136" s="560"/>
      <c r="AJ136" s="560"/>
      <c r="AK136" s="560"/>
      <c r="AL136" s="560"/>
      <c r="AM136" s="560"/>
    </row>
    <row r="137" spans="4:50" ht="24" customHeight="1" x14ac:dyDescent="0.25">
      <c r="D137" s="560"/>
      <c r="E137" s="560"/>
      <c r="F137" s="560"/>
      <c r="G137" s="560"/>
      <c r="H137" s="560"/>
      <c r="I137" s="560"/>
      <c r="J137" s="560"/>
      <c r="K137" s="560"/>
      <c r="L137" s="560"/>
      <c r="M137" s="560"/>
      <c r="N137" s="560"/>
      <c r="O137" s="560"/>
      <c r="P137" s="560"/>
      <c r="Q137" s="560"/>
      <c r="R137" s="560"/>
      <c r="S137" s="560"/>
      <c r="T137" s="560"/>
      <c r="U137" s="560"/>
      <c r="V137" s="560"/>
      <c r="W137" s="560"/>
      <c r="X137" s="560"/>
      <c r="Y137" s="560"/>
      <c r="Z137" s="560"/>
      <c r="AA137" s="560"/>
      <c r="AB137" s="560"/>
      <c r="AC137" s="560"/>
      <c r="AD137" s="560"/>
      <c r="AE137" s="560"/>
      <c r="AF137" s="560"/>
      <c r="AG137" s="560"/>
      <c r="AH137" s="560"/>
      <c r="AI137" s="560"/>
      <c r="AJ137" s="560"/>
      <c r="AK137" s="560"/>
      <c r="AL137" s="560"/>
      <c r="AM137" s="560"/>
    </row>
    <row r="138" spans="4:50" ht="24" customHeight="1" x14ac:dyDescent="0.25">
      <c r="D138" s="560"/>
      <c r="E138" s="560"/>
      <c r="F138" s="560"/>
      <c r="G138" s="560"/>
      <c r="H138" s="560"/>
      <c r="I138" s="560"/>
      <c r="J138" s="560"/>
      <c r="K138" s="560"/>
      <c r="L138" s="560"/>
      <c r="M138" s="560"/>
      <c r="N138" s="560"/>
      <c r="O138" s="560"/>
      <c r="P138" s="560"/>
      <c r="Q138" s="560"/>
      <c r="R138" s="560"/>
      <c r="S138" s="560"/>
      <c r="T138" s="560"/>
      <c r="U138" s="560"/>
      <c r="V138" s="560"/>
      <c r="W138" s="560"/>
      <c r="X138" s="560"/>
      <c r="Y138" s="560"/>
      <c r="Z138" s="560"/>
      <c r="AA138" s="560"/>
      <c r="AB138" s="560"/>
      <c r="AC138" s="560"/>
      <c r="AD138" s="560"/>
      <c r="AE138" s="560"/>
      <c r="AF138" s="560"/>
      <c r="AG138" s="560"/>
      <c r="AH138" s="560"/>
      <c r="AI138" s="560"/>
      <c r="AJ138" s="560"/>
      <c r="AK138" s="560"/>
      <c r="AL138" s="560"/>
      <c r="AM138" s="560"/>
    </row>
    <row r="139" spans="4:50" x14ac:dyDescent="0.25"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0"/>
      <c r="P139" s="560"/>
      <c r="Q139" s="560"/>
      <c r="R139" s="560"/>
      <c r="S139" s="560"/>
      <c r="T139" s="560"/>
      <c r="U139" s="560"/>
      <c r="V139" s="560"/>
      <c r="W139" s="560"/>
      <c r="X139" s="560"/>
      <c r="Y139" s="560"/>
      <c r="Z139" s="560"/>
      <c r="AA139" s="560"/>
      <c r="AB139" s="560"/>
      <c r="AC139" s="560"/>
      <c r="AD139" s="560"/>
      <c r="AE139" s="560"/>
      <c r="AF139" s="560"/>
      <c r="AG139" s="560"/>
      <c r="AH139" s="560"/>
      <c r="AI139" s="560"/>
      <c r="AJ139" s="560"/>
      <c r="AK139" s="560"/>
      <c r="AL139" s="560"/>
      <c r="AM139" s="560"/>
    </row>
    <row r="140" spans="4:50" x14ac:dyDescent="0.25"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0"/>
      <c r="P140" s="560"/>
      <c r="Q140" s="560"/>
      <c r="R140" s="560"/>
      <c r="S140" s="560"/>
      <c r="T140" s="560"/>
      <c r="U140" s="560"/>
      <c r="V140" s="560"/>
      <c r="W140" s="560"/>
      <c r="X140" s="560"/>
      <c r="Y140" s="560"/>
      <c r="Z140" s="560"/>
      <c r="AA140" s="560"/>
      <c r="AB140" s="560"/>
      <c r="AC140" s="560"/>
      <c r="AD140" s="560"/>
      <c r="AE140" s="560"/>
      <c r="AF140" s="560"/>
      <c r="AG140" s="560"/>
      <c r="AH140" s="560"/>
      <c r="AI140" s="560"/>
      <c r="AJ140" s="560"/>
      <c r="AK140" s="560"/>
      <c r="AL140" s="560"/>
      <c r="AM140" s="560"/>
    </row>
    <row r="141" spans="4:50" x14ac:dyDescent="0.25"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60"/>
      <c r="AB141" s="560"/>
      <c r="AC141" s="560"/>
      <c r="AD141" s="560"/>
      <c r="AE141" s="560"/>
      <c r="AF141" s="560"/>
      <c r="AG141" s="560"/>
      <c r="AH141" s="560"/>
      <c r="AI141" s="560"/>
      <c r="AJ141" s="560"/>
      <c r="AK141" s="560"/>
      <c r="AL141" s="560"/>
      <c r="AM141" s="560"/>
    </row>
    <row r="142" spans="4:50" x14ac:dyDescent="0.25"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60"/>
      <c r="AB142" s="560"/>
      <c r="AC142" s="560"/>
      <c r="AD142" s="560"/>
      <c r="AE142" s="560"/>
      <c r="AF142" s="560"/>
      <c r="AG142" s="560"/>
      <c r="AH142" s="560"/>
      <c r="AI142" s="560"/>
      <c r="AJ142" s="560"/>
      <c r="AK142" s="560"/>
      <c r="AL142" s="560"/>
      <c r="AM142" s="560"/>
    </row>
    <row r="143" spans="4:50" x14ac:dyDescent="0.25">
      <c r="D143" s="560"/>
      <c r="E143" s="560"/>
      <c r="F143" s="560"/>
      <c r="G143" s="560"/>
      <c r="H143" s="560"/>
      <c r="I143" s="560"/>
      <c r="J143" s="560"/>
      <c r="K143" s="560"/>
      <c r="L143" s="560"/>
      <c r="M143" s="560"/>
      <c r="N143" s="560"/>
      <c r="O143" s="560"/>
      <c r="P143" s="560"/>
      <c r="Q143" s="560"/>
      <c r="R143" s="560"/>
      <c r="S143" s="560"/>
      <c r="T143" s="560"/>
      <c r="U143" s="560"/>
      <c r="V143" s="560"/>
      <c r="W143" s="560"/>
      <c r="X143" s="560"/>
      <c r="Y143" s="560"/>
      <c r="Z143" s="560"/>
      <c r="AA143" s="560"/>
      <c r="AB143" s="560"/>
      <c r="AC143" s="560"/>
      <c r="AD143" s="560"/>
      <c r="AE143" s="560"/>
      <c r="AF143" s="560"/>
      <c r="AG143" s="560"/>
      <c r="AH143" s="560"/>
      <c r="AI143" s="560"/>
      <c r="AJ143" s="560"/>
      <c r="AK143" s="560"/>
      <c r="AL143" s="560"/>
      <c r="AM143" s="560"/>
    </row>
    <row r="144" spans="4:50" x14ac:dyDescent="0.25">
      <c r="D144" s="560"/>
      <c r="E144" s="560"/>
      <c r="F144" s="560"/>
      <c r="G144" s="560"/>
      <c r="H144" s="560"/>
      <c r="I144" s="560"/>
      <c r="J144" s="560"/>
      <c r="K144" s="560"/>
      <c r="L144" s="560"/>
      <c r="M144" s="560"/>
      <c r="N144" s="560"/>
      <c r="O144" s="560"/>
      <c r="P144" s="560"/>
      <c r="Q144" s="560"/>
      <c r="R144" s="560"/>
      <c r="S144" s="560"/>
      <c r="T144" s="560"/>
      <c r="U144" s="560"/>
      <c r="V144" s="560"/>
      <c r="W144" s="560"/>
      <c r="X144" s="560"/>
      <c r="Y144" s="560"/>
      <c r="Z144" s="560"/>
      <c r="AA144" s="560"/>
      <c r="AB144" s="560"/>
      <c r="AC144" s="560"/>
      <c r="AD144" s="560"/>
      <c r="AE144" s="560"/>
      <c r="AF144" s="560"/>
      <c r="AG144" s="560"/>
      <c r="AH144" s="560"/>
      <c r="AI144" s="560"/>
      <c r="AJ144" s="560"/>
      <c r="AK144" s="560"/>
      <c r="AL144" s="560"/>
      <c r="AM144" s="560"/>
    </row>
    <row r="145" spans="4:39" x14ac:dyDescent="0.25">
      <c r="D145" s="560"/>
      <c r="E145" s="560"/>
      <c r="F145" s="560"/>
      <c r="G145" s="560"/>
      <c r="H145" s="560"/>
    </row>
    <row r="146" spans="4:39" x14ac:dyDescent="0.25"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0"/>
      <c r="P146" s="560"/>
      <c r="Q146" s="560"/>
      <c r="R146" s="560"/>
      <c r="S146" s="560"/>
      <c r="T146" s="560"/>
      <c r="U146" s="560"/>
      <c r="V146" s="560"/>
      <c r="W146" s="560"/>
      <c r="X146" s="560"/>
      <c r="Y146" s="560"/>
      <c r="Z146" s="560"/>
      <c r="AA146" s="560"/>
      <c r="AB146" s="560"/>
      <c r="AC146" s="560"/>
      <c r="AD146" s="560"/>
      <c r="AE146" s="560"/>
      <c r="AF146" s="560"/>
      <c r="AG146" s="560"/>
      <c r="AH146" s="560"/>
      <c r="AI146" s="560"/>
      <c r="AJ146" s="560"/>
      <c r="AK146" s="560"/>
      <c r="AL146" s="560"/>
      <c r="AM146" s="560"/>
    </row>
    <row r="147" spans="4:39" x14ac:dyDescent="0.25"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60"/>
      <c r="AB147" s="560"/>
      <c r="AC147" s="560"/>
      <c r="AD147" s="560"/>
      <c r="AE147" s="560"/>
      <c r="AF147" s="560"/>
      <c r="AG147" s="560"/>
      <c r="AH147" s="560"/>
      <c r="AI147" s="560"/>
      <c r="AJ147" s="560"/>
      <c r="AK147" s="560"/>
      <c r="AL147" s="560"/>
      <c r="AM147" s="560"/>
    </row>
  </sheetData>
  <mergeCells count="2">
    <mergeCell ref="E3:H3"/>
    <mergeCell ref="A7:A24"/>
  </mergeCells>
  <conditionalFormatting sqref="H7">
    <cfRule type="cellIs" dxfId="8" priority="9" operator="notEqual">
      <formula>1</formula>
    </cfRule>
  </conditionalFormatting>
  <conditionalFormatting sqref="H9">
    <cfRule type="cellIs" dxfId="7" priority="8" operator="notEqual">
      <formula>1</formula>
    </cfRule>
  </conditionalFormatting>
  <conditionalFormatting sqref="H12">
    <cfRule type="cellIs" dxfId="6" priority="7" operator="notEqual">
      <formula>1</formula>
    </cfRule>
  </conditionalFormatting>
  <conditionalFormatting sqref="H14">
    <cfRule type="cellIs" dxfId="5" priority="6" operator="notEqual">
      <formula>1</formula>
    </cfRule>
  </conditionalFormatting>
  <conditionalFormatting sqref="H16">
    <cfRule type="cellIs" dxfId="4" priority="5" operator="notEqual">
      <formula>1</formula>
    </cfRule>
  </conditionalFormatting>
  <conditionalFormatting sqref="H18">
    <cfRule type="cellIs" dxfId="3" priority="4" operator="notEqual">
      <formula>1</formula>
    </cfRule>
  </conditionalFormatting>
  <conditionalFormatting sqref="H20">
    <cfRule type="cellIs" dxfId="2" priority="3" operator="notEqual">
      <formula>1</formula>
    </cfRule>
  </conditionalFormatting>
  <conditionalFormatting sqref="H22">
    <cfRule type="cellIs" dxfId="1" priority="2" operator="notEqual">
      <formula>1</formula>
    </cfRule>
  </conditionalFormatting>
  <conditionalFormatting sqref="H25">
    <cfRule type="cellIs" dxfId="0" priority="1" operator="notEqual">
      <formula>1</formula>
    </cfRule>
  </conditionalFormatting>
  <printOptions horizontalCentered="1"/>
  <pageMargins left="0.23622047244094499" right="0.23622047244094499" top="0.74803149606299202" bottom="0.74803149606299202" header="0.31496062992126" footer="0.31496062992126"/>
  <pageSetup paperSize="8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zoomScale="85" zoomScaleNormal="85" workbookViewId="0">
      <pane ySplit="3" topLeftCell="A40" activePane="bottomLeft" state="frozen"/>
      <selection pane="bottomLeft" activeCell="B74" sqref="B74"/>
    </sheetView>
  </sheetViews>
  <sheetFormatPr defaultRowHeight="15" x14ac:dyDescent="0.25"/>
  <cols>
    <col min="1" max="1" width="9.7109375" style="19" customWidth="1"/>
    <col min="2" max="2" width="27.7109375" style="19" customWidth="1"/>
    <col min="3" max="3" width="3.7109375" style="19" customWidth="1"/>
    <col min="4" max="7" width="9.7109375" style="19" customWidth="1"/>
    <col min="8" max="8" width="27.7109375" style="19" customWidth="1"/>
    <col min="9" max="16384" width="9.140625" style="19"/>
  </cols>
  <sheetData>
    <row r="1" spans="1:20" ht="24" customHeight="1" x14ac:dyDescent="0.35">
      <c r="A1" s="1" t="s">
        <v>0</v>
      </c>
      <c r="B1" s="2"/>
      <c r="C1" s="2"/>
      <c r="D1" s="3"/>
      <c r="E1" s="4"/>
      <c r="F1" s="5" t="s">
        <v>73</v>
      </c>
      <c r="H1" s="4"/>
    </row>
    <row r="2" spans="1:20" ht="24" customHeight="1" x14ac:dyDescent="0.25">
      <c r="A2" s="7"/>
      <c r="B2" s="9" t="str">
        <f>'Departure Lounge 2027'!C2</f>
        <v>Previous version: ver.6, 12-Mar-15</v>
      </c>
      <c r="C2" s="9"/>
      <c r="E2" s="41" t="s">
        <v>1</v>
      </c>
      <c r="F2" s="11" t="str">
        <f>'Departure Lounge 2027'!M2</f>
        <v>PERTH: New International Pier (STEP) - Project Definition Update</v>
      </c>
      <c r="H2" s="11"/>
      <c r="I2" s="8"/>
    </row>
    <row r="3" spans="1:20" ht="24" customHeight="1" thickBot="1" x14ac:dyDescent="0.3">
      <c r="A3" s="12" t="s">
        <v>2</v>
      </c>
      <c r="B3" s="1015">
        <f>'Departure Lounge 2027'!C3</f>
        <v>42075</v>
      </c>
      <c r="C3" s="1015"/>
      <c r="D3" s="1015"/>
      <c r="E3" s="358"/>
      <c r="F3" s="57" t="str">
        <f>CONCATENATE("Ver. ",'Departure Lounge 2027'!E3)</f>
        <v>Ver. 7</v>
      </c>
      <c r="G3" s="1013"/>
      <c r="H3" s="1013"/>
      <c r="I3" s="1013"/>
      <c r="J3" s="1013"/>
      <c r="K3" s="86"/>
      <c r="L3" s="86"/>
      <c r="M3" s="86"/>
      <c r="N3" s="86"/>
      <c r="O3" s="86"/>
      <c r="P3" s="86"/>
      <c r="Q3"/>
      <c r="R3"/>
      <c r="S3"/>
      <c r="T3"/>
    </row>
    <row r="4" spans="1:20" ht="18" customHeight="1" thickBot="1" x14ac:dyDescent="0.3">
      <c r="K4"/>
      <c r="L4"/>
      <c r="M4"/>
      <c r="N4"/>
      <c r="O4"/>
      <c r="P4"/>
      <c r="Q4"/>
      <c r="R4"/>
      <c r="S4"/>
      <c r="T4"/>
    </row>
    <row r="5" spans="1:20" ht="18" customHeight="1" x14ac:dyDescent="0.25">
      <c r="A5" s="309" t="s">
        <v>1122</v>
      </c>
      <c r="B5" s="310"/>
      <c r="C5" s="311"/>
      <c r="F5" s="349" t="s">
        <v>967</v>
      </c>
      <c r="G5" s="350" t="s">
        <v>969</v>
      </c>
      <c r="H5" s="350" t="s">
        <v>101</v>
      </c>
      <c r="I5" s="351"/>
      <c r="J5" s="351"/>
      <c r="K5" s="351"/>
      <c r="L5" s="351"/>
      <c r="M5" s="352"/>
    </row>
    <row r="6" spans="1:20" ht="18" customHeight="1" x14ac:dyDescent="0.25">
      <c r="A6" s="312" t="s">
        <v>31</v>
      </c>
      <c r="B6" s="118" t="s">
        <v>33</v>
      </c>
      <c r="C6" s="313"/>
      <c r="F6" s="341">
        <v>1</v>
      </c>
      <c r="G6" s="441" t="s">
        <v>1007</v>
      </c>
      <c r="H6" s="339" t="s">
        <v>1022</v>
      </c>
      <c r="I6" s="335"/>
      <c r="J6" s="335"/>
      <c r="K6" s="335"/>
      <c r="L6" s="335"/>
      <c r="M6" s="336"/>
    </row>
    <row r="7" spans="1:20" ht="18" customHeight="1" x14ac:dyDescent="0.25">
      <c r="A7" s="314" t="s">
        <v>140</v>
      </c>
      <c r="B7" s="315" t="s">
        <v>141</v>
      </c>
      <c r="C7" s="316"/>
      <c r="F7" s="342">
        <v>2</v>
      </c>
      <c r="G7" s="442" t="s">
        <v>1026</v>
      </c>
      <c r="H7" s="340" t="s">
        <v>1027</v>
      </c>
      <c r="I7" s="337"/>
      <c r="J7" s="337"/>
      <c r="K7" s="337"/>
      <c r="L7" s="337"/>
      <c r="M7" s="338"/>
    </row>
    <row r="8" spans="1:20" ht="18" customHeight="1" x14ac:dyDescent="0.25">
      <c r="A8" s="314" t="s">
        <v>17</v>
      </c>
      <c r="B8" s="315" t="s">
        <v>39</v>
      </c>
      <c r="C8" s="316"/>
      <c r="F8" s="342">
        <v>3</v>
      </c>
      <c r="G8" s="442" t="s">
        <v>1052</v>
      </c>
      <c r="H8" s="340" t="s">
        <v>1053</v>
      </c>
      <c r="I8" s="337"/>
      <c r="J8" s="337"/>
      <c r="K8" s="337"/>
      <c r="L8" s="337"/>
      <c r="M8" s="338"/>
    </row>
    <row r="9" spans="1:20" ht="18" customHeight="1" x14ac:dyDescent="0.25">
      <c r="A9" s="314" t="s">
        <v>99</v>
      </c>
      <c r="B9" s="315" t="s">
        <v>100</v>
      </c>
      <c r="C9" s="316"/>
      <c r="F9" s="342">
        <v>4</v>
      </c>
      <c r="G9" s="442" t="s">
        <v>1079</v>
      </c>
      <c r="H9" s="340" t="s">
        <v>1069</v>
      </c>
      <c r="I9" s="337"/>
      <c r="J9" s="337"/>
      <c r="K9" s="337"/>
      <c r="L9" s="337"/>
      <c r="M9" s="338"/>
    </row>
    <row r="10" spans="1:20" ht="18" customHeight="1" x14ac:dyDescent="0.25">
      <c r="A10" s="314" t="s">
        <v>137</v>
      </c>
      <c r="B10" s="315" t="s">
        <v>138</v>
      </c>
      <c r="C10" s="316"/>
      <c r="F10" s="342">
        <v>5</v>
      </c>
      <c r="G10" s="442" t="s">
        <v>1095</v>
      </c>
      <c r="H10" s="340" t="s">
        <v>1096</v>
      </c>
      <c r="I10" s="337"/>
      <c r="J10" s="337"/>
      <c r="K10" s="337"/>
      <c r="L10" s="337"/>
      <c r="M10" s="338"/>
    </row>
    <row r="11" spans="1:20" ht="18" customHeight="1" x14ac:dyDescent="0.25">
      <c r="A11" s="314" t="s">
        <v>135</v>
      </c>
      <c r="B11" s="315" t="s">
        <v>136</v>
      </c>
      <c r="C11" s="316"/>
      <c r="F11" s="342">
        <v>6</v>
      </c>
      <c r="G11" s="442" t="s">
        <v>1095</v>
      </c>
      <c r="H11" s="340" t="s">
        <v>1102</v>
      </c>
      <c r="I11" s="337"/>
      <c r="J11" s="337"/>
      <c r="K11" s="337"/>
      <c r="L11" s="337"/>
      <c r="M11" s="338"/>
    </row>
    <row r="12" spans="1:20" ht="18" customHeight="1" x14ac:dyDescent="0.25">
      <c r="A12" s="314" t="s">
        <v>1070</v>
      </c>
      <c r="B12" s="315" t="s">
        <v>1071</v>
      </c>
      <c r="C12" s="316"/>
      <c r="F12" s="342">
        <v>7</v>
      </c>
      <c r="G12" s="432">
        <v>42176</v>
      </c>
      <c r="H12" s="1020" t="s">
        <v>1104</v>
      </c>
      <c r="I12" s="1020"/>
      <c r="J12" s="1020"/>
      <c r="K12" s="1020"/>
      <c r="L12" s="1020"/>
      <c r="M12" s="338"/>
    </row>
    <row r="13" spans="1:20" ht="18" customHeight="1" x14ac:dyDescent="0.25">
      <c r="A13" s="314" t="s">
        <v>22</v>
      </c>
      <c r="B13" s="315" t="s">
        <v>44</v>
      </c>
      <c r="C13" s="316"/>
      <c r="F13" s="342">
        <v>8</v>
      </c>
      <c r="G13" s="432">
        <v>42486</v>
      </c>
      <c r="H13" s="337" t="s">
        <v>1124</v>
      </c>
      <c r="I13" s="337"/>
      <c r="J13" s="337"/>
      <c r="K13" s="337"/>
      <c r="L13" s="337"/>
      <c r="M13" s="338"/>
    </row>
    <row r="14" spans="1:20" ht="18" customHeight="1" x14ac:dyDescent="0.25">
      <c r="A14" s="314" t="s">
        <v>122</v>
      </c>
      <c r="B14" s="315" t="s">
        <v>123</v>
      </c>
      <c r="C14" s="316"/>
      <c r="F14" s="342"/>
      <c r="G14" s="432"/>
      <c r="H14" s="337"/>
      <c r="I14" s="337"/>
      <c r="J14" s="337"/>
      <c r="K14" s="337"/>
      <c r="L14" s="337"/>
      <c r="M14" s="338"/>
    </row>
    <row r="15" spans="1:20" ht="18" customHeight="1" x14ac:dyDescent="0.25">
      <c r="A15" s="314" t="s">
        <v>142</v>
      </c>
      <c r="B15" s="315" t="s">
        <v>965</v>
      </c>
      <c r="C15" s="316"/>
      <c r="F15" s="342"/>
      <c r="G15" s="432"/>
      <c r="H15" s="337"/>
      <c r="I15" s="337"/>
      <c r="J15" s="337"/>
      <c r="K15" s="337"/>
      <c r="L15" s="337"/>
      <c r="M15" s="338"/>
    </row>
    <row r="16" spans="1:20" ht="18" customHeight="1" x14ac:dyDescent="0.25">
      <c r="A16" s="314" t="s">
        <v>23</v>
      </c>
      <c r="B16" s="315" t="s">
        <v>45</v>
      </c>
      <c r="C16" s="316"/>
      <c r="F16" s="342"/>
      <c r="G16" s="432"/>
      <c r="H16" s="337"/>
      <c r="I16" s="337"/>
      <c r="J16" s="337"/>
      <c r="K16" s="337"/>
      <c r="L16" s="337"/>
      <c r="M16" s="338"/>
    </row>
    <row r="17" spans="1:14" ht="18" customHeight="1" x14ac:dyDescent="0.25">
      <c r="A17" s="314" t="s">
        <v>13</v>
      </c>
      <c r="B17" s="315" t="s">
        <v>35</v>
      </c>
      <c r="C17" s="316"/>
      <c r="F17" s="342"/>
      <c r="G17" s="432"/>
      <c r="H17" s="337"/>
      <c r="I17" s="337"/>
      <c r="J17" s="337"/>
      <c r="K17" s="337"/>
      <c r="L17" s="337"/>
      <c r="M17" s="338"/>
    </row>
    <row r="18" spans="1:14" ht="18" customHeight="1" x14ac:dyDescent="0.25">
      <c r="A18" s="314" t="s">
        <v>143</v>
      </c>
      <c r="B18" s="315" t="s">
        <v>144</v>
      </c>
      <c r="C18" s="316"/>
      <c r="F18" s="342"/>
      <c r="G18" s="432"/>
      <c r="H18" s="337"/>
      <c r="I18" s="337"/>
      <c r="J18" s="337"/>
      <c r="K18" s="337"/>
      <c r="L18" s="337"/>
      <c r="M18" s="338"/>
    </row>
    <row r="19" spans="1:14" ht="18" customHeight="1" thickBot="1" x14ac:dyDescent="0.3">
      <c r="A19" s="314" t="s">
        <v>124</v>
      </c>
      <c r="B19" s="315" t="s">
        <v>125</v>
      </c>
      <c r="C19" s="316"/>
      <c r="F19" s="343"/>
      <c r="G19" s="344"/>
      <c r="H19" s="345"/>
      <c r="I19" s="345"/>
      <c r="J19" s="345"/>
      <c r="K19" s="345"/>
      <c r="L19" s="345"/>
      <c r="M19" s="346"/>
    </row>
    <row r="20" spans="1:14" ht="18" customHeight="1" thickBot="1" x14ac:dyDescent="0.3">
      <c r="A20" s="314" t="s">
        <v>126</v>
      </c>
      <c r="B20" s="315" t="s">
        <v>127</v>
      </c>
      <c r="C20" s="316"/>
    </row>
    <row r="21" spans="1:14" ht="18" customHeight="1" x14ac:dyDescent="0.25">
      <c r="A21" s="314" t="s">
        <v>76</v>
      </c>
      <c r="B21" s="315" t="s">
        <v>77</v>
      </c>
      <c r="C21" s="316"/>
      <c r="G21" s="309" t="s">
        <v>1121</v>
      </c>
      <c r="H21" s="310"/>
      <c r="I21" s="311"/>
      <c r="K21" s="1027" t="s">
        <v>1101</v>
      </c>
      <c r="L21" s="1028"/>
      <c r="M21" s="1028"/>
      <c r="N21" s="1029"/>
    </row>
    <row r="22" spans="1:14" ht="18" customHeight="1" x14ac:dyDescent="0.25">
      <c r="A22" s="314" t="s">
        <v>18</v>
      </c>
      <c r="B22" s="315" t="s">
        <v>40</v>
      </c>
      <c r="C22" s="316"/>
      <c r="G22" s="312" t="s">
        <v>31</v>
      </c>
      <c r="H22" s="118" t="s">
        <v>32</v>
      </c>
      <c r="I22" s="313"/>
      <c r="K22" s="1030"/>
      <c r="L22" s="1031"/>
      <c r="M22" s="1031"/>
      <c r="N22" s="1032"/>
    </row>
    <row r="23" spans="1:14" ht="18" customHeight="1" x14ac:dyDescent="0.25">
      <c r="A23" s="314" t="s">
        <v>21</v>
      </c>
      <c r="B23" s="315" t="s">
        <v>43</v>
      </c>
      <c r="C23" s="316"/>
      <c r="G23" s="319" t="s">
        <v>1106</v>
      </c>
      <c r="H23" s="320" t="s">
        <v>1118</v>
      </c>
      <c r="I23" s="321"/>
      <c r="K23" s="1025" t="s">
        <v>1056</v>
      </c>
      <c r="L23" s="1021" t="s">
        <v>1054</v>
      </c>
      <c r="M23" s="1021" t="s">
        <v>1057</v>
      </c>
      <c r="N23" s="1023" t="s">
        <v>1055</v>
      </c>
    </row>
    <row r="24" spans="1:14" ht="18" customHeight="1" x14ac:dyDescent="0.25">
      <c r="A24" s="314" t="s">
        <v>66</v>
      </c>
      <c r="B24" s="315" t="s">
        <v>60</v>
      </c>
      <c r="C24" s="316"/>
      <c r="G24" s="319" t="s">
        <v>1107</v>
      </c>
      <c r="H24" s="320" t="s">
        <v>1126</v>
      </c>
      <c r="I24" s="321"/>
      <c r="K24" s="1026"/>
      <c r="L24" s="1022"/>
      <c r="M24" s="1022"/>
      <c r="N24" s="1024"/>
    </row>
    <row r="25" spans="1:14" ht="18" customHeight="1" x14ac:dyDescent="0.25">
      <c r="A25" s="314" t="s">
        <v>130</v>
      </c>
      <c r="B25" s="315" t="s">
        <v>131</v>
      </c>
      <c r="C25" s="316"/>
      <c r="G25" s="319" t="s">
        <v>1108</v>
      </c>
      <c r="H25" s="320" t="s">
        <v>1125</v>
      </c>
      <c r="I25" s="321"/>
      <c r="K25" s="677">
        <v>154</v>
      </c>
      <c r="L25" s="678" t="s">
        <v>5</v>
      </c>
      <c r="M25" s="678" t="s">
        <v>5</v>
      </c>
      <c r="N25" s="679" t="s">
        <v>5</v>
      </c>
    </row>
    <row r="26" spans="1:14" ht="18" customHeight="1" x14ac:dyDescent="0.25">
      <c r="A26" s="314" t="s">
        <v>139</v>
      </c>
      <c r="B26" s="315" t="s">
        <v>964</v>
      </c>
      <c r="C26" s="316"/>
      <c r="G26" s="319" t="s">
        <v>1109</v>
      </c>
      <c r="H26" s="320" t="s">
        <v>1127</v>
      </c>
      <c r="I26" s="321"/>
      <c r="K26" s="342">
        <v>155</v>
      </c>
      <c r="L26" s="680" t="s">
        <v>5</v>
      </c>
      <c r="M26" s="680" t="s">
        <v>5</v>
      </c>
      <c r="N26" s="681" t="s">
        <v>5</v>
      </c>
    </row>
    <row r="27" spans="1:14" ht="18" customHeight="1" x14ac:dyDescent="0.25">
      <c r="A27" s="314" t="s">
        <v>142</v>
      </c>
      <c r="B27" s="315" t="s">
        <v>1015</v>
      </c>
      <c r="C27" s="316"/>
      <c r="G27" s="319" t="s">
        <v>1110</v>
      </c>
      <c r="H27" s="320" t="s">
        <v>1128</v>
      </c>
      <c r="I27" s="321"/>
      <c r="K27" s="342">
        <v>156</v>
      </c>
      <c r="L27" s="680" t="s">
        <v>5</v>
      </c>
      <c r="M27" s="680" t="s">
        <v>5</v>
      </c>
      <c r="N27" s="681" t="s">
        <v>5</v>
      </c>
    </row>
    <row r="28" spans="1:14" ht="18" customHeight="1" x14ac:dyDescent="0.25">
      <c r="A28" s="314" t="s">
        <v>145</v>
      </c>
      <c r="B28" s="315" t="s">
        <v>146</v>
      </c>
      <c r="C28" s="316"/>
      <c r="G28" s="319" t="s">
        <v>1111</v>
      </c>
      <c r="H28" s="320" t="s">
        <v>1129</v>
      </c>
      <c r="I28" s="321"/>
      <c r="K28" s="342">
        <v>157</v>
      </c>
      <c r="L28" s="680" t="s">
        <v>6</v>
      </c>
      <c r="M28" s="680" t="s">
        <v>6</v>
      </c>
      <c r="N28" s="681" t="s">
        <v>6</v>
      </c>
    </row>
    <row r="29" spans="1:14" ht="18" customHeight="1" x14ac:dyDescent="0.25">
      <c r="A29" s="314" t="s">
        <v>61</v>
      </c>
      <c r="B29" s="315" t="s">
        <v>62</v>
      </c>
      <c r="C29" s="316"/>
      <c r="G29" s="319" t="s">
        <v>102</v>
      </c>
      <c r="H29" s="320" t="s">
        <v>103</v>
      </c>
      <c r="I29" s="321"/>
      <c r="K29" s="342">
        <v>158</v>
      </c>
      <c r="L29" s="680" t="s">
        <v>6</v>
      </c>
      <c r="M29" s="680" t="s">
        <v>6</v>
      </c>
      <c r="N29" s="681" t="s">
        <v>6</v>
      </c>
    </row>
    <row r="30" spans="1:14" ht="18" customHeight="1" x14ac:dyDescent="0.25">
      <c r="A30" s="314" t="s">
        <v>128</v>
      </c>
      <c r="B30" s="315" t="s">
        <v>129</v>
      </c>
      <c r="C30" s="316"/>
      <c r="G30" s="319" t="s">
        <v>1112</v>
      </c>
      <c r="H30" s="320" t="s">
        <v>1130</v>
      </c>
      <c r="I30" s="321"/>
      <c r="K30" s="342">
        <v>159</v>
      </c>
      <c r="L30" s="680" t="s">
        <v>6</v>
      </c>
      <c r="M30" s="680" t="s">
        <v>6</v>
      </c>
      <c r="N30" s="681" t="s">
        <v>7</v>
      </c>
    </row>
    <row r="31" spans="1:14" ht="18" customHeight="1" x14ac:dyDescent="0.25">
      <c r="A31" s="314" t="s">
        <v>15</v>
      </c>
      <c r="B31" s="315" t="s">
        <v>37</v>
      </c>
      <c r="C31" s="316"/>
      <c r="G31" s="319" t="s">
        <v>1113</v>
      </c>
      <c r="H31" s="320" t="s">
        <v>1119</v>
      </c>
      <c r="I31" s="321"/>
      <c r="K31" s="342">
        <v>160</v>
      </c>
      <c r="L31" s="684" t="s">
        <v>6</v>
      </c>
      <c r="M31" s="684"/>
      <c r="N31" s="681" t="s">
        <v>7</v>
      </c>
    </row>
    <row r="32" spans="1:14" ht="18" customHeight="1" x14ac:dyDescent="0.25">
      <c r="A32" s="314" t="s">
        <v>1017</v>
      </c>
      <c r="B32" s="315" t="s">
        <v>1018</v>
      </c>
      <c r="C32" s="316"/>
      <c r="G32" s="319" t="s">
        <v>1114</v>
      </c>
      <c r="H32" s="320" t="s">
        <v>1131</v>
      </c>
      <c r="I32" s="321"/>
      <c r="K32" s="342">
        <v>161</v>
      </c>
      <c r="L32" s="684"/>
      <c r="M32" s="684"/>
      <c r="N32" s="681" t="s">
        <v>8</v>
      </c>
    </row>
    <row r="33" spans="1:14" ht="18" customHeight="1" x14ac:dyDescent="0.25">
      <c r="A33" s="314" t="s">
        <v>133</v>
      </c>
      <c r="B33" s="315" t="s">
        <v>134</v>
      </c>
      <c r="C33" s="316"/>
      <c r="G33" s="319" t="s">
        <v>1115</v>
      </c>
      <c r="H33" s="320" t="s">
        <v>1132</v>
      </c>
      <c r="I33" s="321"/>
      <c r="K33" s="342">
        <v>162</v>
      </c>
      <c r="L33" s="684"/>
      <c r="M33" s="680" t="s">
        <v>8</v>
      </c>
      <c r="N33" s="681" t="s">
        <v>8</v>
      </c>
    </row>
    <row r="34" spans="1:14" ht="18" customHeight="1" x14ac:dyDescent="0.25">
      <c r="A34" s="314" t="s">
        <v>80</v>
      </c>
      <c r="B34" s="315" t="s">
        <v>81</v>
      </c>
      <c r="C34" s="316"/>
      <c r="G34" s="319" t="s">
        <v>1116</v>
      </c>
      <c r="H34" s="320" t="s">
        <v>1120</v>
      </c>
      <c r="I34" s="321"/>
      <c r="K34" s="342">
        <v>163</v>
      </c>
      <c r="L34" s="684"/>
      <c r="M34" s="680" t="s">
        <v>8</v>
      </c>
      <c r="N34" s="681" t="s">
        <v>8</v>
      </c>
    </row>
    <row r="35" spans="1:14" ht="18" customHeight="1" x14ac:dyDescent="0.25">
      <c r="A35" s="314" t="s">
        <v>1014</v>
      </c>
      <c r="B35" s="315" t="s">
        <v>1072</v>
      </c>
      <c r="C35" s="316"/>
      <c r="G35" s="322" t="s">
        <v>1117</v>
      </c>
      <c r="H35" s="307" t="s">
        <v>1133</v>
      </c>
      <c r="I35" s="323"/>
      <c r="K35" s="342">
        <v>164</v>
      </c>
      <c r="L35" s="684" t="s">
        <v>9</v>
      </c>
      <c r="M35" s="680" t="s">
        <v>9</v>
      </c>
      <c r="N35" s="681" t="s">
        <v>9</v>
      </c>
    </row>
    <row r="36" spans="1:14" ht="18" customHeight="1" x14ac:dyDescent="0.25">
      <c r="A36" s="314" t="s">
        <v>12</v>
      </c>
      <c r="B36" s="315" t="s">
        <v>34</v>
      </c>
      <c r="C36" s="316"/>
      <c r="F36"/>
      <c r="G36"/>
      <c r="H36"/>
      <c r="I36"/>
      <c r="J36"/>
      <c r="K36" s="342">
        <v>165</v>
      </c>
      <c r="L36" s="680" t="s">
        <v>9</v>
      </c>
      <c r="M36" s="680" t="s">
        <v>9</v>
      </c>
      <c r="N36" s="681" t="s">
        <v>9</v>
      </c>
    </row>
    <row r="37" spans="1:14" ht="18" customHeight="1" x14ac:dyDescent="0.25">
      <c r="A37" s="314" t="s">
        <v>58</v>
      </c>
      <c r="B37" s="315" t="s">
        <v>59</v>
      </c>
      <c r="C37" s="316"/>
      <c r="F37"/>
      <c r="G37"/>
      <c r="H37"/>
      <c r="I37"/>
      <c r="J37"/>
      <c r="K37" s="342">
        <v>166</v>
      </c>
      <c r="L37" s="680" t="s">
        <v>10</v>
      </c>
      <c r="M37" s="680" t="s">
        <v>10</v>
      </c>
      <c r="N37" s="681" t="s">
        <v>10</v>
      </c>
    </row>
    <row r="38" spans="1:14" ht="18" customHeight="1" thickBot="1" x14ac:dyDescent="0.3">
      <c r="A38" s="314" t="s">
        <v>14</v>
      </c>
      <c r="B38" s="315" t="s">
        <v>36</v>
      </c>
      <c r="C38" s="316"/>
      <c r="F38"/>
      <c r="G38"/>
      <c r="H38"/>
      <c r="I38"/>
      <c r="J38"/>
      <c r="K38" s="343">
        <v>167</v>
      </c>
      <c r="L38" s="682" t="s">
        <v>10</v>
      </c>
      <c r="M38" s="682" t="s">
        <v>10</v>
      </c>
      <c r="N38" s="683" t="s">
        <v>10</v>
      </c>
    </row>
    <row r="39" spans="1:14" ht="18" customHeight="1" x14ac:dyDescent="0.25">
      <c r="A39" s="314" t="s">
        <v>78</v>
      </c>
      <c r="B39" s="315" t="s">
        <v>79</v>
      </c>
      <c r="C39" s="316"/>
      <c r="F39"/>
      <c r="G39"/>
      <c r="H39"/>
      <c r="I39"/>
      <c r="J39"/>
    </row>
    <row r="40" spans="1:14" ht="18" customHeight="1" x14ac:dyDescent="0.25">
      <c r="A40" s="314" t="s">
        <v>1075</v>
      </c>
      <c r="B40" s="315" t="s">
        <v>1076</v>
      </c>
      <c r="C40" s="316"/>
      <c r="F40"/>
      <c r="G40"/>
      <c r="H40"/>
      <c r="I40"/>
      <c r="J40"/>
    </row>
    <row r="41" spans="1:14" ht="18" customHeight="1" x14ac:dyDescent="0.25">
      <c r="A41" s="314" t="s">
        <v>132</v>
      </c>
      <c r="B41" s="315" t="s">
        <v>105</v>
      </c>
      <c r="C41" s="316"/>
      <c r="F41"/>
      <c r="G41"/>
      <c r="H41"/>
      <c r="I41"/>
      <c r="J41"/>
    </row>
    <row r="42" spans="1:14" ht="18" customHeight="1" x14ac:dyDescent="0.25">
      <c r="A42" s="314" t="s">
        <v>19</v>
      </c>
      <c r="B42" s="315" t="s">
        <v>41</v>
      </c>
      <c r="C42" s="316"/>
      <c r="F42"/>
      <c r="G42"/>
      <c r="H42"/>
      <c r="I42"/>
      <c r="J42"/>
    </row>
    <row r="43" spans="1:14" ht="18" customHeight="1" x14ac:dyDescent="0.25">
      <c r="A43" s="314" t="s">
        <v>30</v>
      </c>
      <c r="B43" s="315" t="s">
        <v>49</v>
      </c>
      <c r="C43" s="316"/>
      <c r="F43"/>
      <c r="G43"/>
      <c r="H43"/>
      <c r="I43"/>
      <c r="J43"/>
    </row>
    <row r="44" spans="1:14" ht="18" customHeight="1" x14ac:dyDescent="0.25">
      <c r="A44" s="314" t="s">
        <v>16</v>
      </c>
      <c r="B44" s="315" t="s">
        <v>38</v>
      </c>
      <c r="C44" s="316"/>
      <c r="F44"/>
      <c r="G44"/>
      <c r="H44"/>
      <c r="I44"/>
      <c r="J44"/>
    </row>
    <row r="45" spans="1:14" ht="18" customHeight="1" x14ac:dyDescent="0.25">
      <c r="A45" s="314" t="s">
        <v>20</v>
      </c>
      <c r="B45" s="315" t="s">
        <v>42</v>
      </c>
      <c r="C45" s="316"/>
      <c r="F45"/>
      <c r="G45"/>
      <c r="H45"/>
      <c r="I45"/>
      <c r="J45"/>
    </row>
    <row r="46" spans="1:14" ht="18" customHeight="1" x14ac:dyDescent="0.25">
      <c r="A46" s="314" t="s">
        <v>74</v>
      </c>
      <c r="B46" s="315" t="s">
        <v>75</v>
      </c>
      <c r="C46" s="316"/>
      <c r="F46"/>
      <c r="G46"/>
      <c r="H46"/>
      <c r="I46"/>
      <c r="J46"/>
    </row>
    <row r="47" spans="1:14" ht="18" customHeight="1" x14ac:dyDescent="0.25">
      <c r="A47" s="317" t="s">
        <v>82</v>
      </c>
      <c r="B47" s="308" t="s">
        <v>83</v>
      </c>
      <c r="C47" s="318"/>
      <c r="F47"/>
      <c r="G47"/>
      <c r="H47"/>
      <c r="I47"/>
      <c r="J47"/>
    </row>
    <row r="48" spans="1:14" ht="18" customHeight="1" x14ac:dyDescent="0.25">
      <c r="A48" s="42"/>
      <c r="F48"/>
      <c r="G48"/>
      <c r="H48"/>
      <c r="I48"/>
      <c r="J48"/>
    </row>
    <row r="49" spans="1:10" ht="18" customHeight="1" x14ac:dyDescent="0.25">
      <c r="A49" s="42"/>
      <c r="F49"/>
      <c r="G49"/>
      <c r="H49"/>
      <c r="I49"/>
      <c r="J49"/>
    </row>
    <row r="50" spans="1:10" ht="18" customHeight="1" x14ac:dyDescent="0.25">
      <c r="A50" s="42"/>
    </row>
    <row r="51" spans="1:10" ht="18" customHeight="1" x14ac:dyDescent="0.25">
      <c r="A51" s="42"/>
    </row>
    <row r="52" spans="1:10" ht="18" customHeight="1" x14ac:dyDescent="0.25">
      <c r="A52" s="42"/>
    </row>
    <row r="53" spans="1:10" ht="30" customHeight="1" x14ac:dyDescent="0.25">
      <c r="A53" s="309" t="s">
        <v>1123</v>
      </c>
      <c r="B53" s="310"/>
      <c r="C53" s="1016" t="s">
        <v>942</v>
      </c>
      <c r="D53" s="324" t="s">
        <v>940</v>
      </c>
      <c r="E53" s="324" t="s">
        <v>941</v>
      </c>
      <c r="F53" s="1018" t="s">
        <v>962</v>
      </c>
      <c r="G53" s="1018" t="s">
        <v>963</v>
      </c>
      <c r="H53" s="310"/>
      <c r="I53" s="311"/>
    </row>
    <row r="54" spans="1:10" ht="18" customHeight="1" x14ac:dyDescent="0.25">
      <c r="A54" s="312" t="s">
        <v>31</v>
      </c>
      <c r="B54" s="118" t="s">
        <v>46</v>
      </c>
      <c r="C54" s="1017"/>
      <c r="D54" s="117" t="s">
        <v>28</v>
      </c>
      <c r="E54" s="117" t="s">
        <v>28</v>
      </c>
      <c r="F54" s="1019"/>
      <c r="G54" s="1019"/>
      <c r="H54" s="117" t="s">
        <v>153</v>
      </c>
      <c r="I54" s="331"/>
    </row>
    <row r="55" spans="1:10" ht="18" customHeight="1" x14ac:dyDescent="0.25">
      <c r="A55" s="325">
        <v>319</v>
      </c>
      <c r="B55" s="326" t="str">
        <f t="shared" ref="B55:B68" si="0">VLOOKUP(A55,All_Aircraft,3,FALSE)</f>
        <v>Airbus A319</v>
      </c>
      <c r="C55" s="327" t="str">
        <f t="shared" ref="C55:C68" si="1">VLOOKUP(A55,All_Aircraft,5,FALSE)</f>
        <v>C</v>
      </c>
      <c r="D55" s="327">
        <f t="shared" ref="D55:D63" si="2">VLOOKUP(A55,All_Aircraft,6,FALSE)</f>
        <v>116</v>
      </c>
      <c r="E55" s="328"/>
      <c r="F55" s="353"/>
      <c r="G55" s="353"/>
      <c r="H55" s="362" t="s">
        <v>1134</v>
      </c>
      <c r="I55" s="354"/>
    </row>
    <row r="56" spans="1:10" ht="18" customHeight="1" x14ac:dyDescent="0.25">
      <c r="A56" s="325">
        <v>320</v>
      </c>
      <c r="B56" s="326" t="str">
        <f t="shared" ref="B56" si="3">VLOOKUP(A56,All_Aircraft,3,FALSE)</f>
        <v>Airbus A320-100/200</v>
      </c>
      <c r="C56" s="327" t="str">
        <f t="shared" ref="C56" si="4">VLOOKUP(A56,All_Aircraft,5,FALSE)</f>
        <v>C</v>
      </c>
      <c r="D56" s="327">
        <f t="shared" ref="D56" si="5">VLOOKUP(A56,All_Aircraft,6,FALSE)</f>
        <v>140</v>
      </c>
      <c r="E56" s="328">
        <v>180</v>
      </c>
      <c r="F56" s="353"/>
      <c r="G56" s="353" t="s">
        <v>970</v>
      </c>
      <c r="H56" s="362"/>
      <c r="I56" s="354"/>
    </row>
    <row r="57" spans="1:10" ht="18" customHeight="1" x14ac:dyDescent="0.25">
      <c r="A57" s="325">
        <v>321</v>
      </c>
      <c r="B57" s="326" t="str">
        <f t="shared" si="0"/>
        <v>Airbus A321-100/200</v>
      </c>
      <c r="C57" s="327" t="str">
        <f t="shared" si="1"/>
        <v>C</v>
      </c>
      <c r="D57" s="327">
        <f t="shared" si="2"/>
        <v>149</v>
      </c>
      <c r="E57" s="328">
        <v>180</v>
      </c>
      <c r="F57" s="353"/>
      <c r="G57" s="353"/>
      <c r="H57" s="362" t="s">
        <v>1135</v>
      </c>
      <c r="I57" s="354"/>
    </row>
    <row r="58" spans="1:10" ht="18" customHeight="1" x14ac:dyDescent="0.25">
      <c r="A58" s="329">
        <v>332</v>
      </c>
      <c r="B58" s="326" t="str">
        <f t="shared" si="0"/>
        <v>Airbus A330-200</v>
      </c>
      <c r="C58" s="327" t="str">
        <f t="shared" si="1"/>
        <v>E</v>
      </c>
      <c r="D58" s="328">
        <v>245</v>
      </c>
      <c r="E58" s="328">
        <v>300</v>
      </c>
      <c r="F58" s="353" t="s">
        <v>113</v>
      </c>
      <c r="G58" s="353"/>
      <c r="H58" s="362" t="s">
        <v>974</v>
      </c>
      <c r="I58" s="354"/>
    </row>
    <row r="59" spans="1:10" ht="18" customHeight="1" x14ac:dyDescent="0.25">
      <c r="A59" s="329">
        <v>333</v>
      </c>
      <c r="B59" s="326" t="str">
        <f t="shared" si="0"/>
        <v>Airbus A330-300</v>
      </c>
      <c r="C59" s="327" t="str">
        <f t="shared" si="1"/>
        <v>E</v>
      </c>
      <c r="D59" s="328">
        <v>285</v>
      </c>
      <c r="E59" s="328">
        <v>377</v>
      </c>
      <c r="F59" s="353" t="s">
        <v>104</v>
      </c>
      <c r="G59" s="353" t="s">
        <v>110</v>
      </c>
      <c r="H59" s="362" t="s">
        <v>971</v>
      </c>
      <c r="I59" s="354"/>
    </row>
    <row r="60" spans="1:10" ht="18" customHeight="1" x14ac:dyDescent="0.25">
      <c r="A60" s="329">
        <v>351</v>
      </c>
      <c r="B60" s="326" t="str">
        <f t="shared" si="0"/>
        <v>Airbus A350-1000</v>
      </c>
      <c r="C60" s="327">
        <f t="shared" si="1"/>
        <v>0</v>
      </c>
      <c r="D60" s="328">
        <v>317</v>
      </c>
      <c r="E60" s="328">
        <v>400</v>
      </c>
      <c r="F60" s="353" t="s">
        <v>119</v>
      </c>
      <c r="G60" s="353"/>
      <c r="H60" s="362" t="s">
        <v>1135</v>
      </c>
      <c r="I60" s="354"/>
    </row>
    <row r="61" spans="1:10" ht="18" customHeight="1" x14ac:dyDescent="0.25">
      <c r="A61" s="329">
        <v>380</v>
      </c>
      <c r="B61" s="326" t="str">
        <f t="shared" si="0"/>
        <v>Airbus A380 pax</v>
      </c>
      <c r="C61" s="327" t="str">
        <f t="shared" si="1"/>
        <v>F</v>
      </c>
      <c r="D61" s="328">
        <v>489</v>
      </c>
      <c r="E61" s="328"/>
      <c r="F61" s="353" t="s">
        <v>102</v>
      </c>
      <c r="G61" s="353"/>
      <c r="H61" s="362" t="s">
        <v>1012</v>
      </c>
      <c r="I61" s="354"/>
    </row>
    <row r="62" spans="1:10" ht="18" customHeight="1" x14ac:dyDescent="0.25">
      <c r="A62" s="329">
        <v>737</v>
      </c>
      <c r="B62" s="326" t="str">
        <f t="shared" ref="B62" si="6">VLOOKUP(A62,All_Aircraft,3,FALSE)</f>
        <v>Boeing 737 all pax models</v>
      </c>
      <c r="C62" s="327" t="str">
        <f t="shared" ref="C62" si="7">VLOOKUP(A62,All_Aircraft,5,FALSE)</f>
        <v>C</v>
      </c>
      <c r="D62" s="327">
        <f t="shared" ref="D62" si="8">VLOOKUP(A62,All_Aircraft,6,FALSE)</f>
        <v>165</v>
      </c>
      <c r="E62" s="328">
        <v>176</v>
      </c>
      <c r="F62" s="353"/>
      <c r="G62" s="353" t="s">
        <v>11</v>
      </c>
      <c r="H62" s="362" t="s">
        <v>1135</v>
      </c>
      <c r="I62" s="354"/>
    </row>
    <row r="63" spans="1:10" ht="18" customHeight="1" x14ac:dyDescent="0.25">
      <c r="A63" s="329">
        <v>738</v>
      </c>
      <c r="B63" s="326" t="str">
        <f t="shared" si="0"/>
        <v>Boeing 737-800 pax</v>
      </c>
      <c r="C63" s="327" t="str">
        <f t="shared" si="1"/>
        <v>C</v>
      </c>
      <c r="D63" s="327">
        <f t="shared" si="2"/>
        <v>168</v>
      </c>
      <c r="E63" s="328">
        <v>176</v>
      </c>
      <c r="F63" s="353"/>
      <c r="G63" s="353" t="s">
        <v>11</v>
      </c>
      <c r="H63" s="362" t="s">
        <v>972</v>
      </c>
      <c r="I63" s="354"/>
    </row>
    <row r="64" spans="1:10" ht="18" customHeight="1" x14ac:dyDescent="0.25">
      <c r="A64" s="329">
        <v>739</v>
      </c>
      <c r="B64" s="326" t="str">
        <f t="shared" si="0"/>
        <v>Boeing 737-900 pax</v>
      </c>
      <c r="C64" s="327" t="str">
        <f t="shared" si="1"/>
        <v>C</v>
      </c>
      <c r="D64" s="328">
        <v>180</v>
      </c>
      <c r="E64" s="328">
        <v>204</v>
      </c>
      <c r="F64" s="353"/>
      <c r="G64" s="353"/>
      <c r="H64" s="362" t="s">
        <v>1100</v>
      </c>
      <c r="I64" s="354"/>
    </row>
    <row r="65" spans="1:9" ht="18" customHeight="1" x14ac:dyDescent="0.25">
      <c r="A65" s="329">
        <v>772</v>
      </c>
      <c r="B65" s="326" t="str">
        <f t="shared" si="0"/>
        <v>Boeing 777-200 pax</v>
      </c>
      <c r="C65" s="327" t="str">
        <f t="shared" si="1"/>
        <v>E</v>
      </c>
      <c r="D65" s="328">
        <v>266</v>
      </c>
      <c r="E65" s="328">
        <v>305</v>
      </c>
      <c r="F65" s="353" t="s">
        <v>104</v>
      </c>
      <c r="G65" s="353"/>
      <c r="H65" s="362" t="s">
        <v>973</v>
      </c>
      <c r="I65" s="354"/>
    </row>
    <row r="66" spans="1:9" ht="18" customHeight="1" x14ac:dyDescent="0.25">
      <c r="A66" s="329">
        <v>773</v>
      </c>
      <c r="B66" s="326" t="str">
        <f t="shared" si="0"/>
        <v>Boeing 777-300 pax</v>
      </c>
      <c r="C66" s="327" t="str">
        <f t="shared" si="1"/>
        <v>E</v>
      </c>
      <c r="D66" s="328">
        <v>266</v>
      </c>
      <c r="E66" s="328">
        <v>305</v>
      </c>
      <c r="F66" s="353" t="s">
        <v>102</v>
      </c>
      <c r="G66" s="353"/>
      <c r="H66" s="363" t="s">
        <v>1135</v>
      </c>
      <c r="I66" s="354"/>
    </row>
    <row r="67" spans="1:9" ht="18" customHeight="1" x14ac:dyDescent="0.25">
      <c r="A67" s="329">
        <v>788</v>
      </c>
      <c r="B67" s="326" t="str">
        <f t="shared" si="0"/>
        <v>Boeing 787-800 pax</v>
      </c>
      <c r="C67" s="327" t="str">
        <f t="shared" si="1"/>
        <v>E</v>
      </c>
      <c r="D67" s="328">
        <v>264</v>
      </c>
      <c r="E67" s="328">
        <v>335</v>
      </c>
      <c r="F67" s="353" t="s">
        <v>114</v>
      </c>
      <c r="G67" s="353"/>
      <c r="H67" s="363" t="s">
        <v>1019</v>
      </c>
      <c r="I67" s="354"/>
    </row>
    <row r="68" spans="1:9" ht="18" customHeight="1" x14ac:dyDescent="0.25">
      <c r="A68" s="330" t="s">
        <v>621</v>
      </c>
      <c r="B68" s="216" t="str">
        <f t="shared" si="0"/>
        <v>De Havilland Canada DHC-8-400 Dash 8Q</v>
      </c>
      <c r="C68" s="217">
        <f t="shared" si="1"/>
        <v>0</v>
      </c>
      <c r="D68" s="218">
        <v>302</v>
      </c>
      <c r="E68" s="218">
        <v>350</v>
      </c>
      <c r="F68" s="355"/>
      <c r="G68" s="355" t="s">
        <v>117</v>
      </c>
      <c r="H68" s="364" t="s">
        <v>1135</v>
      </c>
      <c r="I68" s="356"/>
    </row>
  </sheetData>
  <sortState ref="G25:H46">
    <sortCondition ref="G7:G28"/>
  </sortState>
  <mergeCells count="11">
    <mergeCell ref="N23:N24"/>
    <mergeCell ref="K23:K24"/>
    <mergeCell ref="M23:M24"/>
    <mergeCell ref="K21:N22"/>
    <mergeCell ref="B3:D3"/>
    <mergeCell ref="C53:C54"/>
    <mergeCell ref="F53:F54"/>
    <mergeCell ref="G53:G54"/>
    <mergeCell ref="G3:J3"/>
    <mergeCell ref="H12:L12"/>
    <mergeCell ref="L23:L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tabSelected="1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G1" sqref="G1"/>
    </sheetView>
  </sheetViews>
  <sheetFormatPr defaultRowHeight="15" x14ac:dyDescent="0.25"/>
  <cols>
    <col min="1" max="1" width="10.7109375" style="4" customWidth="1"/>
    <col min="2" max="2" width="9.7109375" style="4" customWidth="1"/>
    <col min="3" max="3" width="60.7109375" style="205" customWidth="1"/>
    <col min="4" max="4" width="6.7109375" style="4" customWidth="1"/>
    <col min="5" max="5" width="9.140625" style="4"/>
    <col min="6" max="6" width="12.7109375" style="4" customWidth="1"/>
    <col min="7" max="7" width="30.7109375" style="305" customWidth="1"/>
    <col min="8" max="16384" width="9.140625" style="6"/>
  </cols>
  <sheetData>
    <row r="1" spans="1:7" ht="24" customHeight="1" x14ac:dyDescent="0.3">
      <c r="A1" s="5" t="s">
        <v>960</v>
      </c>
      <c r="E1" s="1033" t="s">
        <v>147</v>
      </c>
      <c r="F1" s="206"/>
      <c r="G1" s="306" t="s">
        <v>961</v>
      </c>
    </row>
    <row r="2" spans="1:7" ht="36" customHeight="1" x14ac:dyDescent="0.25">
      <c r="A2" s="207" t="s">
        <v>148</v>
      </c>
      <c r="B2" s="207" t="s">
        <v>149</v>
      </c>
      <c r="C2" s="208" t="s">
        <v>150</v>
      </c>
      <c r="D2" s="207" t="s">
        <v>151</v>
      </c>
      <c r="E2" s="1034"/>
      <c r="F2" s="209" t="s">
        <v>152</v>
      </c>
      <c r="G2" s="209" t="s">
        <v>153</v>
      </c>
    </row>
    <row r="3" spans="1:7" x14ac:dyDescent="0.25">
      <c r="A3" s="211">
        <v>100</v>
      </c>
      <c r="B3" s="212" t="s">
        <v>154</v>
      </c>
      <c r="C3" s="213" t="s">
        <v>47</v>
      </c>
      <c r="D3" s="212" t="s">
        <v>155</v>
      </c>
      <c r="E3" s="214" t="s">
        <v>7</v>
      </c>
      <c r="F3" s="214">
        <v>97</v>
      </c>
      <c r="G3" s="303"/>
    </row>
    <row r="4" spans="1:7" x14ac:dyDescent="0.25">
      <c r="A4" s="211">
        <v>141</v>
      </c>
      <c r="B4" s="212" t="s">
        <v>156</v>
      </c>
      <c r="C4" s="213" t="s">
        <v>157</v>
      </c>
      <c r="D4" s="212" t="s">
        <v>155</v>
      </c>
      <c r="E4" s="214" t="s">
        <v>7</v>
      </c>
      <c r="F4" s="214">
        <v>82</v>
      </c>
      <c r="G4" s="303"/>
    </row>
    <row r="5" spans="1:7" x14ac:dyDescent="0.25">
      <c r="A5" s="211">
        <v>142</v>
      </c>
      <c r="B5" s="212" t="s">
        <v>158</v>
      </c>
      <c r="C5" s="213" t="s">
        <v>159</v>
      </c>
      <c r="D5" s="212" t="s">
        <v>155</v>
      </c>
      <c r="E5" s="214" t="s">
        <v>7</v>
      </c>
      <c r="F5" s="214">
        <v>100</v>
      </c>
      <c r="G5" s="303"/>
    </row>
    <row r="6" spans="1:7" x14ac:dyDescent="0.25">
      <c r="A6" s="211">
        <v>143</v>
      </c>
      <c r="B6" s="212" t="s">
        <v>160</v>
      </c>
      <c r="C6" s="213" t="s">
        <v>161</v>
      </c>
      <c r="D6" s="212" t="s">
        <v>155</v>
      </c>
      <c r="E6" s="214" t="s">
        <v>7</v>
      </c>
      <c r="F6" s="214">
        <v>112</v>
      </c>
      <c r="G6" s="303"/>
    </row>
    <row r="7" spans="1:7" x14ac:dyDescent="0.25">
      <c r="A7" s="211">
        <v>146</v>
      </c>
      <c r="B7" s="212"/>
      <c r="C7" s="213" t="s">
        <v>162</v>
      </c>
      <c r="D7" s="212" t="s">
        <v>155</v>
      </c>
      <c r="E7" s="214" t="s">
        <v>7</v>
      </c>
      <c r="F7" s="214">
        <v>100</v>
      </c>
      <c r="G7" s="303"/>
    </row>
    <row r="8" spans="1:7" x14ac:dyDescent="0.25">
      <c r="A8" s="211" t="s">
        <v>163</v>
      </c>
      <c r="B8" s="212"/>
      <c r="C8" s="213" t="s">
        <v>164</v>
      </c>
      <c r="D8" s="212" t="s">
        <v>155</v>
      </c>
      <c r="E8" s="214" t="s">
        <v>7</v>
      </c>
      <c r="F8" s="214">
        <v>0</v>
      </c>
      <c r="G8" s="303"/>
    </row>
    <row r="9" spans="1:7" x14ac:dyDescent="0.25">
      <c r="A9" s="211" t="s">
        <v>165</v>
      </c>
      <c r="B9" s="212" t="s">
        <v>156</v>
      </c>
      <c r="C9" s="213" t="s">
        <v>166</v>
      </c>
      <c r="D9" s="212" t="s">
        <v>155</v>
      </c>
      <c r="E9" s="214" t="s">
        <v>7</v>
      </c>
      <c r="F9" s="214">
        <v>0</v>
      </c>
      <c r="G9" s="303"/>
    </row>
    <row r="10" spans="1:7" x14ac:dyDescent="0.25">
      <c r="A10" s="211" t="s">
        <v>167</v>
      </c>
      <c r="B10" s="212" t="s">
        <v>158</v>
      </c>
      <c r="C10" s="213" t="s">
        <v>168</v>
      </c>
      <c r="D10" s="212" t="s">
        <v>155</v>
      </c>
      <c r="E10" s="214" t="s">
        <v>7</v>
      </c>
      <c r="F10" s="214">
        <v>0</v>
      </c>
      <c r="G10" s="303"/>
    </row>
    <row r="11" spans="1:7" x14ac:dyDescent="0.25">
      <c r="A11" s="211" t="s">
        <v>169</v>
      </c>
      <c r="B11" s="212" t="s">
        <v>160</v>
      </c>
      <c r="C11" s="213" t="s">
        <v>168</v>
      </c>
      <c r="D11" s="212" t="s">
        <v>155</v>
      </c>
      <c r="E11" s="214" t="s">
        <v>7</v>
      </c>
      <c r="F11" s="214">
        <v>0</v>
      </c>
      <c r="G11" s="303"/>
    </row>
    <row r="12" spans="1:7" x14ac:dyDescent="0.25">
      <c r="A12" s="211">
        <v>310</v>
      </c>
      <c r="B12" s="212" t="s">
        <v>170</v>
      </c>
      <c r="C12" s="213" t="s">
        <v>171</v>
      </c>
      <c r="D12" s="212" t="s">
        <v>172</v>
      </c>
      <c r="E12" s="214" t="s">
        <v>8</v>
      </c>
      <c r="F12" s="214">
        <v>243</v>
      </c>
      <c r="G12" s="303"/>
    </row>
    <row r="13" spans="1:7" x14ac:dyDescent="0.25">
      <c r="A13" s="211">
        <v>312</v>
      </c>
      <c r="B13" s="212" t="s">
        <v>170</v>
      </c>
      <c r="C13" s="213" t="s">
        <v>173</v>
      </c>
      <c r="D13" s="212" t="s">
        <v>172</v>
      </c>
      <c r="E13" s="214" t="s">
        <v>8</v>
      </c>
      <c r="F13" s="214">
        <v>243</v>
      </c>
      <c r="G13" s="303"/>
    </row>
    <row r="14" spans="1:7" x14ac:dyDescent="0.25">
      <c r="A14" s="211">
        <v>313</v>
      </c>
      <c r="B14" s="212" t="s">
        <v>170</v>
      </c>
      <c r="C14" s="213" t="s">
        <v>174</v>
      </c>
      <c r="D14" s="212" t="s">
        <v>172</v>
      </c>
      <c r="E14" s="214" t="s">
        <v>8</v>
      </c>
      <c r="F14" s="214">
        <v>243</v>
      </c>
      <c r="G14" s="303"/>
    </row>
    <row r="15" spans="1:7" x14ac:dyDescent="0.25">
      <c r="A15" s="211">
        <v>318</v>
      </c>
      <c r="B15" s="212" t="s">
        <v>175</v>
      </c>
      <c r="C15" s="213" t="s">
        <v>176</v>
      </c>
      <c r="D15" s="212" t="s">
        <v>155</v>
      </c>
      <c r="E15" s="214" t="s">
        <v>7</v>
      </c>
      <c r="F15" s="214">
        <v>124</v>
      </c>
      <c r="G15" s="303"/>
    </row>
    <row r="16" spans="1:7" x14ac:dyDescent="0.25">
      <c r="A16" s="211">
        <v>319</v>
      </c>
      <c r="B16" s="212" t="s">
        <v>177</v>
      </c>
      <c r="C16" s="213" t="s">
        <v>178</v>
      </c>
      <c r="D16" s="212" t="s">
        <v>155</v>
      </c>
      <c r="E16" s="214" t="s">
        <v>7</v>
      </c>
      <c r="F16" s="214">
        <v>116</v>
      </c>
      <c r="G16" s="303"/>
    </row>
    <row r="17" spans="1:7" x14ac:dyDescent="0.25">
      <c r="A17" s="211" t="s">
        <v>179</v>
      </c>
      <c r="B17" s="212" t="s">
        <v>170</v>
      </c>
      <c r="C17" s="213" t="s">
        <v>180</v>
      </c>
      <c r="D17" s="212" t="s">
        <v>155</v>
      </c>
      <c r="E17" s="214" t="s">
        <v>8</v>
      </c>
      <c r="F17" s="214">
        <v>0</v>
      </c>
      <c r="G17" s="303"/>
    </row>
    <row r="18" spans="1:7" x14ac:dyDescent="0.25">
      <c r="A18" s="211" t="s">
        <v>181</v>
      </c>
      <c r="B18" s="212" t="s">
        <v>170</v>
      </c>
      <c r="C18" s="213" t="s">
        <v>182</v>
      </c>
      <c r="D18" s="212" t="s">
        <v>155</v>
      </c>
      <c r="E18" s="214" t="s">
        <v>8</v>
      </c>
      <c r="F18" s="214">
        <v>0</v>
      </c>
      <c r="G18" s="303"/>
    </row>
    <row r="19" spans="1:7" x14ac:dyDescent="0.25">
      <c r="A19" s="211" t="s">
        <v>183</v>
      </c>
      <c r="B19" s="212" t="s">
        <v>170</v>
      </c>
      <c r="C19" s="213" t="s">
        <v>184</v>
      </c>
      <c r="D19" s="212" t="s">
        <v>155</v>
      </c>
      <c r="E19" s="214" t="s">
        <v>8</v>
      </c>
      <c r="F19" s="214">
        <v>0</v>
      </c>
      <c r="G19" s="303"/>
    </row>
    <row r="20" spans="1:7" x14ac:dyDescent="0.25">
      <c r="A20" s="211">
        <v>320</v>
      </c>
      <c r="B20" s="212" t="s">
        <v>185</v>
      </c>
      <c r="C20" s="213" t="s">
        <v>186</v>
      </c>
      <c r="D20" s="212" t="s">
        <v>155</v>
      </c>
      <c r="E20" s="214" t="s">
        <v>7</v>
      </c>
      <c r="F20" s="214">
        <v>140</v>
      </c>
      <c r="G20" s="303"/>
    </row>
    <row r="21" spans="1:7" x14ac:dyDescent="0.25">
      <c r="A21" s="211">
        <v>321</v>
      </c>
      <c r="B21" s="212" t="s">
        <v>187</v>
      </c>
      <c r="C21" s="213" t="s">
        <v>188</v>
      </c>
      <c r="D21" s="212" t="s">
        <v>155</v>
      </c>
      <c r="E21" s="214" t="s">
        <v>7</v>
      </c>
      <c r="F21" s="214">
        <v>149</v>
      </c>
      <c r="G21" s="303"/>
    </row>
    <row r="22" spans="1:7" x14ac:dyDescent="0.25">
      <c r="A22" s="211" t="s">
        <v>189</v>
      </c>
      <c r="B22" s="212" t="s">
        <v>190</v>
      </c>
      <c r="C22" s="213" t="s">
        <v>191</v>
      </c>
      <c r="D22" s="212" t="s">
        <v>155</v>
      </c>
      <c r="E22" s="214" t="s">
        <v>7</v>
      </c>
      <c r="F22" s="214">
        <v>164</v>
      </c>
      <c r="G22" s="303"/>
    </row>
    <row r="23" spans="1:7" x14ac:dyDescent="0.25">
      <c r="A23" s="211">
        <v>330</v>
      </c>
      <c r="B23" s="212" t="s">
        <v>192</v>
      </c>
      <c r="C23" s="213" t="s">
        <v>193</v>
      </c>
      <c r="D23" s="212" t="s">
        <v>172</v>
      </c>
      <c r="E23" s="214" t="s">
        <v>9</v>
      </c>
      <c r="F23" s="214">
        <v>0</v>
      </c>
      <c r="G23" s="303"/>
    </row>
    <row r="24" spans="1:7" x14ac:dyDescent="0.25">
      <c r="A24" s="211">
        <v>332</v>
      </c>
      <c r="B24" s="212" t="s">
        <v>194</v>
      </c>
      <c r="C24" s="213" t="s">
        <v>195</v>
      </c>
      <c r="D24" s="212" t="s">
        <v>172</v>
      </c>
      <c r="E24" s="214" t="s">
        <v>9</v>
      </c>
      <c r="F24" s="214">
        <v>250</v>
      </c>
      <c r="G24" s="303"/>
    </row>
    <row r="25" spans="1:7" x14ac:dyDescent="0.25">
      <c r="A25" s="211">
        <v>333</v>
      </c>
      <c r="B25" s="212" t="s">
        <v>196</v>
      </c>
      <c r="C25" s="213" t="s">
        <v>197</v>
      </c>
      <c r="D25" s="212" t="s">
        <v>172</v>
      </c>
      <c r="E25" s="214" t="s">
        <v>9</v>
      </c>
      <c r="F25" s="214">
        <v>300</v>
      </c>
      <c r="G25" s="303" t="s">
        <v>198</v>
      </c>
    </row>
    <row r="26" spans="1:7" x14ac:dyDescent="0.25">
      <c r="A26" s="211">
        <v>340</v>
      </c>
      <c r="B26" s="212" t="s">
        <v>199</v>
      </c>
      <c r="C26" s="213" t="s">
        <v>200</v>
      </c>
      <c r="D26" s="212" t="s">
        <v>172</v>
      </c>
      <c r="E26" s="214" t="s">
        <v>9</v>
      </c>
      <c r="F26" s="214">
        <v>0</v>
      </c>
      <c r="G26" s="303"/>
    </row>
    <row r="27" spans="1:7" x14ac:dyDescent="0.25">
      <c r="A27" s="211">
        <v>342</v>
      </c>
      <c r="B27" s="212" t="s">
        <v>201</v>
      </c>
      <c r="C27" s="213" t="s">
        <v>202</v>
      </c>
      <c r="D27" s="212" t="s">
        <v>172</v>
      </c>
      <c r="E27" s="214" t="s">
        <v>9</v>
      </c>
      <c r="F27" s="214">
        <v>303</v>
      </c>
      <c r="G27" s="303"/>
    </row>
    <row r="28" spans="1:7" x14ac:dyDescent="0.25">
      <c r="A28" s="211">
        <v>343</v>
      </c>
      <c r="B28" s="212" t="s">
        <v>203</v>
      </c>
      <c r="C28" s="213" t="s">
        <v>204</v>
      </c>
      <c r="D28" s="212" t="s">
        <v>172</v>
      </c>
      <c r="E28" s="214" t="s">
        <v>9</v>
      </c>
      <c r="F28" s="214">
        <v>221</v>
      </c>
      <c r="G28" s="303" t="s">
        <v>198</v>
      </c>
    </row>
    <row r="29" spans="1:7" x14ac:dyDescent="0.25">
      <c r="A29" s="211">
        <v>345</v>
      </c>
      <c r="B29" s="212" t="s">
        <v>205</v>
      </c>
      <c r="C29" s="213" t="s">
        <v>206</v>
      </c>
      <c r="D29" s="212" t="s">
        <v>172</v>
      </c>
      <c r="E29" s="214" t="s">
        <v>9</v>
      </c>
      <c r="F29" s="214">
        <v>225</v>
      </c>
      <c r="G29" s="303"/>
    </row>
    <row r="30" spans="1:7" x14ac:dyDescent="0.25">
      <c r="A30" s="211">
        <v>346</v>
      </c>
      <c r="B30" s="212" t="s">
        <v>207</v>
      </c>
      <c r="C30" s="213" t="s">
        <v>208</v>
      </c>
      <c r="D30" s="212" t="s">
        <v>172</v>
      </c>
      <c r="E30" s="214" t="s">
        <v>9</v>
      </c>
      <c r="F30" s="214">
        <v>380</v>
      </c>
      <c r="G30" s="303"/>
    </row>
    <row r="31" spans="1:7" s="210" customFormat="1" x14ac:dyDescent="0.25">
      <c r="A31" s="215">
        <f>350</f>
        <v>350</v>
      </c>
      <c r="B31" s="212" t="s">
        <v>951</v>
      </c>
      <c r="C31" s="213" t="s">
        <v>954</v>
      </c>
      <c r="D31" s="212" t="s">
        <v>172</v>
      </c>
      <c r="E31" s="214" t="s">
        <v>9</v>
      </c>
      <c r="F31" s="214">
        <v>0</v>
      </c>
      <c r="G31" s="303"/>
    </row>
    <row r="32" spans="1:7" s="979" customFormat="1" x14ac:dyDescent="0.25">
      <c r="A32" s="215">
        <v>351</v>
      </c>
      <c r="B32" s="212" t="s">
        <v>1137</v>
      </c>
      <c r="C32" s="213" t="s">
        <v>1138</v>
      </c>
      <c r="D32" s="212"/>
      <c r="E32" s="214"/>
      <c r="F32" s="214"/>
      <c r="G32" s="303" t="s">
        <v>1136</v>
      </c>
    </row>
    <row r="33" spans="1:7" s="210" customFormat="1" x14ac:dyDescent="0.25">
      <c r="A33" s="215">
        <f>359</f>
        <v>359</v>
      </c>
      <c r="B33" s="212" t="s">
        <v>952</v>
      </c>
      <c r="C33" s="213" t="s">
        <v>953</v>
      </c>
      <c r="D33" s="212" t="s">
        <v>172</v>
      </c>
      <c r="E33" s="214" t="s">
        <v>9</v>
      </c>
      <c r="F33" s="214">
        <v>315</v>
      </c>
      <c r="G33" s="303" t="s">
        <v>959</v>
      </c>
    </row>
    <row r="34" spans="1:7" x14ac:dyDescent="0.25">
      <c r="A34" s="211">
        <v>380</v>
      </c>
      <c r="B34" s="212" t="s">
        <v>955</v>
      </c>
      <c r="C34" s="213" t="s">
        <v>209</v>
      </c>
      <c r="D34" s="212" t="s">
        <v>172</v>
      </c>
      <c r="E34" s="214" t="s">
        <v>10</v>
      </c>
      <c r="F34" s="214">
        <v>450</v>
      </c>
      <c r="G34" s="303"/>
    </row>
    <row r="35" spans="1:7" x14ac:dyDescent="0.25">
      <c r="A35" s="211" t="s">
        <v>210</v>
      </c>
      <c r="B35" s="212" t="s">
        <v>956</v>
      </c>
      <c r="C35" s="213" t="s">
        <v>211</v>
      </c>
      <c r="D35" s="212" t="s">
        <v>172</v>
      </c>
      <c r="E35" s="214" t="s">
        <v>10</v>
      </c>
      <c r="F35" s="214">
        <v>0</v>
      </c>
      <c r="G35" s="303"/>
    </row>
    <row r="36" spans="1:7" x14ac:dyDescent="0.25">
      <c r="A36" s="211">
        <v>703</v>
      </c>
      <c r="B36" s="212" t="s">
        <v>212</v>
      </c>
      <c r="C36" s="213" t="s">
        <v>213</v>
      </c>
      <c r="D36" s="212" t="s">
        <v>172</v>
      </c>
      <c r="E36" s="214" t="s">
        <v>8</v>
      </c>
      <c r="F36" s="214">
        <v>147</v>
      </c>
      <c r="G36" s="303"/>
    </row>
    <row r="37" spans="1:7" x14ac:dyDescent="0.25">
      <c r="A37" s="211">
        <v>707</v>
      </c>
      <c r="B37" s="212" t="s">
        <v>190</v>
      </c>
      <c r="C37" s="213" t="s">
        <v>214</v>
      </c>
      <c r="D37" s="212" t="s">
        <v>172</v>
      </c>
      <c r="E37" s="214" t="s">
        <v>8</v>
      </c>
      <c r="F37" s="214">
        <v>140</v>
      </c>
      <c r="G37" s="303"/>
    </row>
    <row r="38" spans="1:7" x14ac:dyDescent="0.25">
      <c r="A38" s="211" t="s">
        <v>215</v>
      </c>
      <c r="B38" s="212" t="s">
        <v>212</v>
      </c>
      <c r="C38" s="213" t="s">
        <v>216</v>
      </c>
      <c r="D38" s="212" t="s">
        <v>172</v>
      </c>
      <c r="E38" s="214" t="s">
        <v>8</v>
      </c>
      <c r="F38" s="214">
        <v>0</v>
      </c>
      <c r="G38" s="303"/>
    </row>
    <row r="39" spans="1:7" x14ac:dyDescent="0.25">
      <c r="A39" s="211" t="s">
        <v>217</v>
      </c>
      <c r="B39" s="212" t="s">
        <v>212</v>
      </c>
      <c r="C39" s="213" t="s">
        <v>218</v>
      </c>
      <c r="D39" s="212" t="s">
        <v>172</v>
      </c>
      <c r="E39" s="214" t="s">
        <v>8</v>
      </c>
      <c r="F39" s="214">
        <v>50</v>
      </c>
      <c r="G39" s="303"/>
    </row>
    <row r="40" spans="1:7" x14ac:dyDescent="0.25">
      <c r="A40" s="211">
        <v>717</v>
      </c>
      <c r="B40" s="212" t="s">
        <v>219</v>
      </c>
      <c r="C40" s="213" t="s">
        <v>220</v>
      </c>
      <c r="D40" s="212" t="s">
        <v>155</v>
      </c>
      <c r="E40" s="214" t="s">
        <v>7</v>
      </c>
      <c r="F40" s="214">
        <v>115</v>
      </c>
      <c r="G40" s="303"/>
    </row>
    <row r="41" spans="1:7" x14ac:dyDescent="0.25">
      <c r="A41" s="211">
        <v>721</v>
      </c>
      <c r="B41" s="212" t="s">
        <v>221</v>
      </c>
      <c r="C41" s="213" t="s">
        <v>222</v>
      </c>
      <c r="D41" s="212" t="s">
        <v>155</v>
      </c>
      <c r="E41" s="214" t="s">
        <v>7</v>
      </c>
      <c r="F41" s="214">
        <v>150</v>
      </c>
      <c r="G41" s="303"/>
    </row>
    <row r="42" spans="1:7" x14ac:dyDescent="0.25">
      <c r="A42" s="211">
        <v>722</v>
      </c>
      <c r="B42" s="212" t="s">
        <v>223</v>
      </c>
      <c r="C42" s="213" t="s">
        <v>224</v>
      </c>
      <c r="D42" s="212" t="s">
        <v>155</v>
      </c>
      <c r="E42" s="214" t="s">
        <v>7</v>
      </c>
      <c r="F42" s="214">
        <v>150</v>
      </c>
      <c r="G42" s="303"/>
    </row>
    <row r="43" spans="1:7" x14ac:dyDescent="0.25">
      <c r="A43" s="211">
        <v>727</v>
      </c>
      <c r="B43" s="212" t="s">
        <v>190</v>
      </c>
      <c r="C43" s="213" t="s">
        <v>225</v>
      </c>
      <c r="D43" s="212" t="s">
        <v>155</v>
      </c>
      <c r="E43" s="214" t="s">
        <v>7</v>
      </c>
      <c r="F43" s="214">
        <v>150</v>
      </c>
      <c r="G43" s="303"/>
    </row>
    <row r="44" spans="1:7" x14ac:dyDescent="0.25">
      <c r="A44" s="211" t="s">
        <v>226</v>
      </c>
      <c r="B44" s="212" t="s">
        <v>221</v>
      </c>
      <c r="C44" s="213" t="s">
        <v>227</v>
      </c>
      <c r="D44" s="212" t="s">
        <v>155</v>
      </c>
      <c r="E44" s="214" t="s">
        <v>7</v>
      </c>
      <c r="F44" s="214">
        <v>75</v>
      </c>
      <c r="G44" s="303"/>
    </row>
    <row r="45" spans="1:7" x14ac:dyDescent="0.25">
      <c r="A45" s="211" t="s">
        <v>228</v>
      </c>
      <c r="B45" s="212" t="s">
        <v>223</v>
      </c>
      <c r="C45" s="213" t="s">
        <v>229</v>
      </c>
      <c r="D45" s="212" t="s">
        <v>155</v>
      </c>
      <c r="E45" s="214" t="s">
        <v>7</v>
      </c>
      <c r="F45" s="214">
        <v>75</v>
      </c>
      <c r="G45" s="303"/>
    </row>
    <row r="46" spans="1:7" x14ac:dyDescent="0.25">
      <c r="A46" s="211" t="s">
        <v>230</v>
      </c>
      <c r="B46" s="212" t="s">
        <v>190</v>
      </c>
      <c r="C46" s="213" t="s">
        <v>231</v>
      </c>
      <c r="D46" s="212" t="s">
        <v>155</v>
      </c>
      <c r="E46" s="214" t="s">
        <v>7</v>
      </c>
      <c r="F46" s="214">
        <v>0</v>
      </c>
      <c r="G46" s="303"/>
    </row>
    <row r="47" spans="1:7" x14ac:dyDescent="0.25">
      <c r="A47" s="211" t="s">
        <v>232</v>
      </c>
      <c r="B47" s="212" t="s">
        <v>190</v>
      </c>
      <c r="C47" s="213" t="s">
        <v>233</v>
      </c>
      <c r="D47" s="212" t="s">
        <v>155</v>
      </c>
      <c r="E47" s="214" t="s">
        <v>7</v>
      </c>
      <c r="F47" s="214">
        <v>75</v>
      </c>
      <c r="G47" s="303"/>
    </row>
    <row r="48" spans="1:7" x14ac:dyDescent="0.25">
      <c r="A48" s="211" t="s">
        <v>234</v>
      </c>
      <c r="B48" s="212" t="s">
        <v>223</v>
      </c>
      <c r="C48" s="213" t="s">
        <v>235</v>
      </c>
      <c r="D48" s="212" t="s">
        <v>155</v>
      </c>
      <c r="E48" s="214" t="s">
        <v>7</v>
      </c>
      <c r="F48" s="214">
        <v>150</v>
      </c>
      <c r="G48" s="303"/>
    </row>
    <row r="49" spans="1:7" x14ac:dyDescent="0.25">
      <c r="A49" s="211" t="s">
        <v>236</v>
      </c>
      <c r="B49" s="212" t="s">
        <v>221</v>
      </c>
      <c r="C49" s="213" t="s">
        <v>237</v>
      </c>
      <c r="D49" s="212" t="s">
        <v>155</v>
      </c>
      <c r="E49" s="214" t="s">
        <v>7</v>
      </c>
      <c r="F49" s="214">
        <v>0</v>
      </c>
      <c r="G49" s="303"/>
    </row>
    <row r="50" spans="1:7" x14ac:dyDescent="0.25">
      <c r="A50" s="211" t="s">
        <v>238</v>
      </c>
      <c r="B50" s="212" t="s">
        <v>223</v>
      </c>
      <c r="C50" s="213" t="s">
        <v>239</v>
      </c>
      <c r="D50" s="212" t="s">
        <v>155</v>
      </c>
      <c r="E50" s="214" t="s">
        <v>7</v>
      </c>
      <c r="F50" s="214">
        <v>0</v>
      </c>
      <c r="G50" s="303"/>
    </row>
    <row r="51" spans="1:7" x14ac:dyDescent="0.25">
      <c r="A51" s="211">
        <v>731</v>
      </c>
      <c r="B51" s="212" t="s">
        <v>240</v>
      </c>
      <c r="C51" s="213" t="s">
        <v>241</v>
      </c>
      <c r="D51" s="212" t="s">
        <v>155</v>
      </c>
      <c r="E51" s="214" t="s">
        <v>7</v>
      </c>
      <c r="F51" s="214">
        <v>134</v>
      </c>
      <c r="G51" s="303"/>
    </row>
    <row r="52" spans="1:7" x14ac:dyDescent="0.25">
      <c r="A52" s="211">
        <v>732</v>
      </c>
      <c r="B52" s="212" t="s">
        <v>242</v>
      </c>
      <c r="C52" s="213" t="s">
        <v>243</v>
      </c>
      <c r="D52" s="212" t="s">
        <v>155</v>
      </c>
      <c r="E52" s="214" t="s">
        <v>7</v>
      </c>
      <c r="F52" s="214">
        <v>134</v>
      </c>
      <c r="G52" s="303"/>
    </row>
    <row r="53" spans="1:7" x14ac:dyDescent="0.25">
      <c r="A53" s="211">
        <v>733</v>
      </c>
      <c r="B53" s="212" t="s">
        <v>244</v>
      </c>
      <c r="C53" s="213" t="s">
        <v>245</v>
      </c>
      <c r="D53" s="212" t="s">
        <v>155</v>
      </c>
      <c r="E53" s="214" t="s">
        <v>7</v>
      </c>
      <c r="F53" s="214">
        <v>128</v>
      </c>
      <c r="G53" s="303"/>
    </row>
    <row r="54" spans="1:7" x14ac:dyDescent="0.25">
      <c r="A54" s="211">
        <v>734</v>
      </c>
      <c r="B54" s="212" t="s">
        <v>246</v>
      </c>
      <c r="C54" s="213" t="s">
        <v>247</v>
      </c>
      <c r="D54" s="212" t="s">
        <v>155</v>
      </c>
      <c r="E54" s="214" t="s">
        <v>7</v>
      </c>
      <c r="F54" s="214">
        <v>159</v>
      </c>
      <c r="G54" s="303"/>
    </row>
    <row r="55" spans="1:7" x14ac:dyDescent="0.25">
      <c r="A55" s="211">
        <v>735</v>
      </c>
      <c r="B55" s="212" t="s">
        <v>248</v>
      </c>
      <c r="C55" s="213" t="s">
        <v>249</v>
      </c>
      <c r="D55" s="212" t="s">
        <v>155</v>
      </c>
      <c r="E55" s="214" t="s">
        <v>7</v>
      </c>
      <c r="F55" s="214">
        <v>100</v>
      </c>
      <c r="G55" s="303"/>
    </row>
    <row r="56" spans="1:7" x14ac:dyDescent="0.25">
      <c r="A56" s="211">
        <v>736</v>
      </c>
      <c r="B56" s="212" t="s">
        <v>250</v>
      </c>
      <c r="C56" s="213" t="s">
        <v>251</v>
      </c>
      <c r="D56" s="212" t="s">
        <v>155</v>
      </c>
      <c r="E56" s="214" t="s">
        <v>7</v>
      </c>
      <c r="F56" s="214">
        <v>130</v>
      </c>
      <c r="G56" s="303"/>
    </row>
    <row r="57" spans="1:7" x14ac:dyDescent="0.25">
      <c r="A57" s="211">
        <v>737</v>
      </c>
      <c r="B57" s="212" t="s">
        <v>190</v>
      </c>
      <c r="C57" s="213" t="s">
        <v>252</v>
      </c>
      <c r="D57" s="212" t="s">
        <v>155</v>
      </c>
      <c r="E57" s="214" t="s">
        <v>7</v>
      </c>
      <c r="F57" s="214">
        <v>165</v>
      </c>
      <c r="G57" s="303"/>
    </row>
    <row r="58" spans="1:7" x14ac:dyDescent="0.25">
      <c r="A58" s="211">
        <v>738</v>
      </c>
      <c r="B58" s="212" t="s">
        <v>253</v>
      </c>
      <c r="C58" s="213" t="s">
        <v>254</v>
      </c>
      <c r="D58" s="212" t="s">
        <v>155</v>
      </c>
      <c r="E58" s="214" t="s">
        <v>7</v>
      </c>
      <c r="F58" s="214">
        <v>168</v>
      </c>
      <c r="G58" s="303"/>
    </row>
    <row r="59" spans="1:7" x14ac:dyDescent="0.25">
      <c r="A59" s="211">
        <v>739</v>
      </c>
      <c r="B59" s="212" t="s">
        <v>255</v>
      </c>
      <c r="C59" s="213" t="s">
        <v>256</v>
      </c>
      <c r="D59" s="212" t="s">
        <v>155</v>
      </c>
      <c r="E59" s="214" t="s">
        <v>7</v>
      </c>
      <c r="F59" s="214">
        <v>204</v>
      </c>
      <c r="G59" s="303"/>
    </row>
    <row r="60" spans="1:7" x14ac:dyDescent="0.25">
      <c r="A60" s="211" t="s">
        <v>257</v>
      </c>
      <c r="B60" s="212" t="s">
        <v>190</v>
      </c>
      <c r="C60" s="213" t="s">
        <v>258</v>
      </c>
      <c r="D60" s="212" t="s">
        <v>155</v>
      </c>
      <c r="E60" s="214" t="s">
        <v>7</v>
      </c>
      <c r="F60" s="214">
        <v>0</v>
      </c>
      <c r="G60" s="303"/>
    </row>
    <row r="61" spans="1:7" x14ac:dyDescent="0.25">
      <c r="A61" s="211" t="s">
        <v>259</v>
      </c>
      <c r="B61" s="212" t="s">
        <v>260</v>
      </c>
      <c r="C61" s="213" t="s">
        <v>261</v>
      </c>
      <c r="D61" s="212" t="s">
        <v>155</v>
      </c>
      <c r="E61" s="214" t="s">
        <v>7</v>
      </c>
      <c r="F61" s="214">
        <v>128</v>
      </c>
      <c r="G61" s="303"/>
    </row>
    <row r="62" spans="1:7" x14ac:dyDescent="0.25">
      <c r="A62" s="211" t="s">
        <v>262</v>
      </c>
      <c r="B62" s="212" t="s">
        <v>253</v>
      </c>
      <c r="C62" s="213" t="s">
        <v>263</v>
      </c>
      <c r="D62" s="212" t="s">
        <v>155</v>
      </c>
      <c r="E62" s="214" t="s">
        <v>7</v>
      </c>
      <c r="F62" s="214">
        <v>168</v>
      </c>
      <c r="G62" s="303"/>
    </row>
    <row r="63" spans="1:7" x14ac:dyDescent="0.25">
      <c r="A63" s="211" t="s">
        <v>264</v>
      </c>
      <c r="B63" s="212" t="s">
        <v>242</v>
      </c>
      <c r="C63" s="213" t="s">
        <v>265</v>
      </c>
      <c r="D63" s="212" t="s">
        <v>155</v>
      </c>
      <c r="E63" s="214" t="s">
        <v>7</v>
      </c>
      <c r="F63" s="214">
        <v>75</v>
      </c>
      <c r="G63" s="303"/>
    </row>
    <row r="64" spans="1:7" x14ac:dyDescent="0.25">
      <c r="A64" s="211" t="s">
        <v>266</v>
      </c>
      <c r="B64" s="212" t="s">
        <v>260</v>
      </c>
      <c r="C64" s="213" t="s">
        <v>267</v>
      </c>
      <c r="D64" s="212" t="s">
        <v>155</v>
      </c>
      <c r="E64" s="214" t="s">
        <v>7</v>
      </c>
      <c r="F64" s="214">
        <v>148</v>
      </c>
      <c r="G64" s="303"/>
    </row>
    <row r="65" spans="1:7" x14ac:dyDescent="0.25">
      <c r="A65" s="211" t="s">
        <v>268</v>
      </c>
      <c r="B65" s="212" t="s">
        <v>242</v>
      </c>
      <c r="C65" s="213" t="s">
        <v>269</v>
      </c>
      <c r="D65" s="212" t="s">
        <v>155</v>
      </c>
      <c r="E65" s="214" t="s">
        <v>7</v>
      </c>
      <c r="F65" s="214">
        <v>0</v>
      </c>
      <c r="G65" s="303"/>
    </row>
    <row r="66" spans="1:7" x14ac:dyDescent="0.25">
      <c r="A66" s="211" t="s">
        <v>270</v>
      </c>
      <c r="B66" s="212" t="s">
        <v>244</v>
      </c>
      <c r="C66" s="213" t="s">
        <v>271</v>
      </c>
      <c r="D66" s="212" t="s">
        <v>155</v>
      </c>
      <c r="E66" s="214" t="s">
        <v>7</v>
      </c>
      <c r="F66" s="214">
        <v>0</v>
      </c>
      <c r="G66" s="303"/>
    </row>
    <row r="67" spans="1:7" x14ac:dyDescent="0.25">
      <c r="A67" s="211">
        <v>741</v>
      </c>
      <c r="B67" s="212" t="s">
        <v>272</v>
      </c>
      <c r="C67" s="213" t="s">
        <v>273</v>
      </c>
      <c r="D67" s="212" t="s">
        <v>172</v>
      </c>
      <c r="E67" s="214" t="s">
        <v>9</v>
      </c>
      <c r="F67" s="214">
        <v>400</v>
      </c>
      <c r="G67" s="303"/>
    </row>
    <row r="68" spans="1:7" x14ac:dyDescent="0.25">
      <c r="A68" s="211">
        <v>742</v>
      </c>
      <c r="B68" s="212" t="s">
        <v>274</v>
      </c>
      <c r="C68" s="213" t="s">
        <v>275</v>
      </c>
      <c r="D68" s="212" t="s">
        <v>172</v>
      </c>
      <c r="E68" s="214" t="s">
        <v>9</v>
      </c>
      <c r="F68" s="214">
        <v>400</v>
      </c>
      <c r="G68" s="303"/>
    </row>
    <row r="69" spans="1:7" x14ac:dyDescent="0.25">
      <c r="A69" s="211">
        <v>743</v>
      </c>
      <c r="B69" s="212" t="s">
        <v>276</v>
      </c>
      <c r="C69" s="213" t="s">
        <v>277</v>
      </c>
      <c r="D69" s="212" t="s">
        <v>172</v>
      </c>
      <c r="E69" s="214" t="s">
        <v>9</v>
      </c>
      <c r="F69" s="214">
        <v>400</v>
      </c>
      <c r="G69" s="303"/>
    </row>
    <row r="70" spans="1:7" x14ac:dyDescent="0.25">
      <c r="A70" s="211">
        <v>744</v>
      </c>
      <c r="B70" s="212" t="s">
        <v>278</v>
      </c>
      <c r="C70" s="213" t="s">
        <v>279</v>
      </c>
      <c r="D70" s="212" t="s">
        <v>172</v>
      </c>
      <c r="E70" s="214" t="s">
        <v>9</v>
      </c>
      <c r="F70" s="214">
        <v>420</v>
      </c>
      <c r="G70" s="303"/>
    </row>
    <row r="71" spans="1:7" x14ac:dyDescent="0.25">
      <c r="A71" s="211">
        <v>747</v>
      </c>
      <c r="B71" s="212" t="s">
        <v>190</v>
      </c>
      <c r="C71" s="213" t="s">
        <v>280</v>
      </c>
      <c r="D71" s="212" t="s">
        <v>172</v>
      </c>
      <c r="E71" s="214" t="s">
        <v>9</v>
      </c>
      <c r="F71" s="214">
        <v>420</v>
      </c>
      <c r="G71" s="303"/>
    </row>
    <row r="72" spans="1:7" x14ac:dyDescent="0.25">
      <c r="A72" s="211" t="s">
        <v>281</v>
      </c>
      <c r="B72" s="212" t="s">
        <v>274</v>
      </c>
      <c r="C72" s="213" t="s">
        <v>282</v>
      </c>
      <c r="D72" s="212" t="s">
        <v>172</v>
      </c>
      <c r="E72" s="214" t="s">
        <v>9</v>
      </c>
      <c r="F72" s="214">
        <v>200</v>
      </c>
      <c r="G72" s="303"/>
    </row>
    <row r="73" spans="1:7" x14ac:dyDescent="0.25">
      <c r="A73" s="211" t="s">
        <v>283</v>
      </c>
      <c r="B73" s="212" t="s">
        <v>276</v>
      </c>
      <c r="C73" s="213" t="s">
        <v>284</v>
      </c>
      <c r="D73" s="212" t="s">
        <v>172</v>
      </c>
      <c r="E73" s="214" t="s">
        <v>9</v>
      </c>
      <c r="F73" s="214">
        <v>200</v>
      </c>
      <c r="G73" s="303"/>
    </row>
    <row r="74" spans="1:7" x14ac:dyDescent="0.25">
      <c r="A74" s="211" t="s">
        <v>285</v>
      </c>
      <c r="B74" s="212" t="s">
        <v>278</v>
      </c>
      <c r="C74" s="213" t="s">
        <v>286</v>
      </c>
      <c r="D74" s="212" t="s">
        <v>172</v>
      </c>
      <c r="E74" s="214" t="s">
        <v>9</v>
      </c>
      <c r="F74" s="214">
        <v>410</v>
      </c>
      <c r="G74" s="303"/>
    </row>
    <row r="75" spans="1:7" x14ac:dyDescent="0.25">
      <c r="A75" s="211" t="s">
        <v>287</v>
      </c>
      <c r="B75" s="212" t="s">
        <v>190</v>
      </c>
      <c r="C75" s="213" t="s">
        <v>288</v>
      </c>
      <c r="D75" s="212" t="s">
        <v>172</v>
      </c>
      <c r="E75" s="214" t="s">
        <v>9</v>
      </c>
      <c r="F75" s="214">
        <v>0</v>
      </c>
      <c r="G75" s="303"/>
    </row>
    <row r="76" spans="1:7" x14ac:dyDescent="0.25">
      <c r="A76" s="211" t="s">
        <v>289</v>
      </c>
      <c r="B76" s="212" t="s">
        <v>278</v>
      </c>
      <c r="C76" s="213" t="s">
        <v>290</v>
      </c>
      <c r="D76" s="212" t="s">
        <v>172</v>
      </c>
      <c r="E76" s="214" t="s">
        <v>9</v>
      </c>
      <c r="F76" s="214">
        <v>500</v>
      </c>
      <c r="G76" s="303"/>
    </row>
    <row r="77" spans="1:7" x14ac:dyDescent="0.25">
      <c r="A77" s="211" t="s">
        <v>291</v>
      </c>
      <c r="B77" s="212" t="s">
        <v>292</v>
      </c>
      <c r="C77" s="213" t="s">
        <v>293</v>
      </c>
      <c r="D77" s="212" t="s">
        <v>172</v>
      </c>
      <c r="E77" s="214" t="s">
        <v>9</v>
      </c>
      <c r="F77" s="214">
        <v>400</v>
      </c>
      <c r="G77" s="303"/>
    </row>
    <row r="78" spans="1:7" x14ac:dyDescent="0.25">
      <c r="A78" s="211" t="s">
        <v>294</v>
      </c>
      <c r="B78" s="212" t="s">
        <v>190</v>
      </c>
      <c r="C78" s="213" t="s">
        <v>295</v>
      </c>
      <c r="D78" s="212" t="s">
        <v>172</v>
      </c>
      <c r="E78" s="214" t="s">
        <v>9</v>
      </c>
      <c r="F78" s="214">
        <v>200</v>
      </c>
      <c r="G78" s="303"/>
    </row>
    <row r="79" spans="1:7" x14ac:dyDescent="0.25">
      <c r="A79" s="211" t="s">
        <v>296</v>
      </c>
      <c r="B79" s="212" t="s">
        <v>297</v>
      </c>
      <c r="C79" s="213" t="s">
        <v>298</v>
      </c>
      <c r="D79" s="212" t="s">
        <v>172</v>
      </c>
      <c r="E79" s="214" t="s">
        <v>9</v>
      </c>
      <c r="F79" s="214">
        <v>400</v>
      </c>
      <c r="G79" s="303"/>
    </row>
    <row r="80" spans="1:7" x14ac:dyDescent="0.25">
      <c r="A80" s="211" t="s">
        <v>299</v>
      </c>
      <c r="B80" s="212" t="s">
        <v>272</v>
      </c>
      <c r="C80" s="213" t="s">
        <v>300</v>
      </c>
      <c r="D80" s="212" t="s">
        <v>172</v>
      </c>
      <c r="E80" s="214" t="s">
        <v>9</v>
      </c>
      <c r="F80" s="214">
        <v>0</v>
      </c>
      <c r="G80" s="303"/>
    </row>
    <row r="81" spans="1:7" x14ac:dyDescent="0.25">
      <c r="A81" s="211" t="s">
        <v>301</v>
      </c>
      <c r="B81" s="212" t="s">
        <v>276</v>
      </c>
      <c r="C81" s="213" t="s">
        <v>302</v>
      </c>
      <c r="D81" s="212" t="s">
        <v>172</v>
      </c>
      <c r="E81" s="214" t="s">
        <v>9</v>
      </c>
      <c r="F81" s="214">
        <v>0</v>
      </c>
      <c r="G81" s="303"/>
    </row>
    <row r="82" spans="1:7" x14ac:dyDescent="0.25">
      <c r="A82" s="211" t="s">
        <v>303</v>
      </c>
      <c r="B82" s="212" t="s">
        <v>297</v>
      </c>
      <c r="C82" s="213" t="s">
        <v>304</v>
      </c>
      <c r="D82" s="212" t="s">
        <v>172</v>
      </c>
      <c r="E82" s="214" t="s">
        <v>9</v>
      </c>
      <c r="F82" s="214">
        <v>0</v>
      </c>
      <c r="G82" s="303"/>
    </row>
    <row r="83" spans="1:7" x14ac:dyDescent="0.25">
      <c r="A83" s="211" t="s">
        <v>305</v>
      </c>
      <c r="B83" s="212" t="s">
        <v>274</v>
      </c>
      <c r="C83" s="213" t="s">
        <v>306</v>
      </c>
      <c r="D83" s="212" t="s">
        <v>172</v>
      </c>
      <c r="E83" s="214" t="s">
        <v>9</v>
      </c>
      <c r="F83" s="214">
        <v>0</v>
      </c>
      <c r="G83" s="303"/>
    </row>
    <row r="84" spans="1:7" x14ac:dyDescent="0.25">
      <c r="A84" s="211" t="s">
        <v>307</v>
      </c>
      <c r="B84" s="212" t="s">
        <v>278</v>
      </c>
      <c r="C84" s="213" t="s">
        <v>308</v>
      </c>
      <c r="D84" s="212" t="s">
        <v>172</v>
      </c>
      <c r="E84" s="214" t="s">
        <v>9</v>
      </c>
      <c r="F84" s="214">
        <v>0</v>
      </c>
      <c r="G84" s="303"/>
    </row>
    <row r="85" spans="1:7" x14ac:dyDescent="0.25">
      <c r="A85" s="211">
        <v>752</v>
      </c>
      <c r="B85" s="212" t="s">
        <v>309</v>
      </c>
      <c r="C85" s="213" t="s">
        <v>310</v>
      </c>
      <c r="D85" s="212" t="s">
        <v>172</v>
      </c>
      <c r="E85" s="214" t="s">
        <v>8</v>
      </c>
      <c r="F85" s="214">
        <v>220</v>
      </c>
      <c r="G85" s="303"/>
    </row>
    <row r="86" spans="1:7" x14ac:dyDescent="0.25">
      <c r="A86" s="211">
        <v>753</v>
      </c>
      <c r="B86" s="212" t="s">
        <v>311</v>
      </c>
      <c r="C86" s="213" t="s">
        <v>312</v>
      </c>
      <c r="D86" s="212" t="s">
        <v>172</v>
      </c>
      <c r="E86" s="214" t="s">
        <v>8</v>
      </c>
      <c r="F86" s="214">
        <v>287</v>
      </c>
      <c r="G86" s="303"/>
    </row>
    <row r="87" spans="1:7" x14ac:dyDescent="0.25">
      <c r="A87" s="211">
        <v>757</v>
      </c>
      <c r="B87" s="212" t="s">
        <v>190</v>
      </c>
      <c r="C87" s="213" t="s">
        <v>313</v>
      </c>
      <c r="D87" s="212" t="s">
        <v>172</v>
      </c>
      <c r="E87" s="214" t="s">
        <v>8</v>
      </c>
      <c r="F87" s="214">
        <v>178</v>
      </c>
      <c r="G87" s="303"/>
    </row>
    <row r="88" spans="1:7" x14ac:dyDescent="0.25">
      <c r="A88" s="211" t="s">
        <v>314</v>
      </c>
      <c r="B88" s="212" t="s">
        <v>309</v>
      </c>
      <c r="C88" s="213" t="s">
        <v>315</v>
      </c>
      <c r="D88" s="212" t="s">
        <v>172</v>
      </c>
      <c r="E88" s="214" t="s">
        <v>8</v>
      </c>
      <c r="F88" s="214">
        <v>0</v>
      </c>
      <c r="G88" s="303"/>
    </row>
    <row r="89" spans="1:7" x14ac:dyDescent="0.25">
      <c r="A89" s="211" t="s">
        <v>316</v>
      </c>
      <c r="B89" s="212" t="s">
        <v>309</v>
      </c>
      <c r="C89" s="213" t="s">
        <v>317</v>
      </c>
      <c r="D89" s="212" t="s">
        <v>172</v>
      </c>
      <c r="E89" s="214" t="s">
        <v>8</v>
      </c>
      <c r="F89" s="214">
        <v>110</v>
      </c>
      <c r="G89" s="303"/>
    </row>
    <row r="90" spans="1:7" x14ac:dyDescent="0.25">
      <c r="A90" s="211">
        <v>762</v>
      </c>
      <c r="B90" s="212" t="s">
        <v>318</v>
      </c>
      <c r="C90" s="213" t="s">
        <v>319</v>
      </c>
      <c r="D90" s="212" t="s">
        <v>172</v>
      </c>
      <c r="E90" s="214" t="s">
        <v>8</v>
      </c>
      <c r="F90" s="214">
        <v>210</v>
      </c>
      <c r="G90" s="303"/>
    </row>
    <row r="91" spans="1:7" x14ac:dyDescent="0.25">
      <c r="A91" s="211">
        <v>763</v>
      </c>
      <c r="B91" s="212" t="s">
        <v>320</v>
      </c>
      <c r="C91" s="213" t="s">
        <v>321</v>
      </c>
      <c r="D91" s="212" t="s">
        <v>172</v>
      </c>
      <c r="E91" s="214" t="s">
        <v>8</v>
      </c>
      <c r="F91" s="214">
        <v>229</v>
      </c>
      <c r="G91" s="303"/>
    </row>
    <row r="92" spans="1:7" x14ac:dyDescent="0.25">
      <c r="A92" s="211">
        <v>764</v>
      </c>
      <c r="B92" s="212" t="s">
        <v>322</v>
      </c>
      <c r="C92" s="213" t="s">
        <v>323</v>
      </c>
      <c r="D92" s="212" t="s">
        <v>172</v>
      </c>
      <c r="E92" s="214" t="s">
        <v>8</v>
      </c>
      <c r="F92" s="214">
        <v>260</v>
      </c>
      <c r="G92" s="303"/>
    </row>
    <row r="93" spans="1:7" x14ac:dyDescent="0.25">
      <c r="A93" s="211">
        <v>767</v>
      </c>
      <c r="B93" s="212" t="s">
        <v>190</v>
      </c>
      <c r="C93" s="213" t="s">
        <v>324</v>
      </c>
      <c r="D93" s="212" t="s">
        <v>172</v>
      </c>
      <c r="E93" s="214" t="s">
        <v>8</v>
      </c>
      <c r="F93" s="214">
        <v>229</v>
      </c>
      <c r="G93" s="303"/>
    </row>
    <row r="94" spans="1:7" x14ac:dyDescent="0.25">
      <c r="A94" s="211" t="s">
        <v>325</v>
      </c>
      <c r="B94" s="212" t="s">
        <v>190</v>
      </c>
      <c r="C94" s="213" t="s">
        <v>326</v>
      </c>
      <c r="D94" s="212" t="s">
        <v>172</v>
      </c>
      <c r="E94" s="214" t="s">
        <v>8</v>
      </c>
      <c r="F94" s="214">
        <v>0</v>
      </c>
      <c r="G94" s="303"/>
    </row>
    <row r="95" spans="1:7" x14ac:dyDescent="0.25">
      <c r="A95" s="211" t="s">
        <v>327</v>
      </c>
      <c r="B95" s="212" t="s">
        <v>318</v>
      </c>
      <c r="C95" s="213" t="s">
        <v>328</v>
      </c>
      <c r="D95" s="212" t="s">
        <v>172</v>
      </c>
      <c r="E95" s="214" t="s">
        <v>8</v>
      </c>
      <c r="F95" s="214">
        <v>0</v>
      </c>
      <c r="G95" s="303"/>
    </row>
    <row r="96" spans="1:7" x14ac:dyDescent="0.25">
      <c r="A96" s="211" t="s">
        <v>329</v>
      </c>
      <c r="B96" s="212" t="s">
        <v>320</v>
      </c>
      <c r="C96" s="213" t="s">
        <v>330</v>
      </c>
      <c r="D96" s="212" t="s">
        <v>172</v>
      </c>
      <c r="E96" s="214" t="s">
        <v>8</v>
      </c>
      <c r="F96" s="214">
        <v>0</v>
      </c>
      <c r="G96" s="303"/>
    </row>
    <row r="97" spans="1:7" x14ac:dyDescent="0.25">
      <c r="A97" s="211">
        <v>772</v>
      </c>
      <c r="B97" s="212" t="s">
        <v>331</v>
      </c>
      <c r="C97" s="213" t="s">
        <v>332</v>
      </c>
      <c r="D97" s="212" t="s">
        <v>172</v>
      </c>
      <c r="E97" s="214" t="s">
        <v>9</v>
      </c>
      <c r="F97" s="214">
        <v>275</v>
      </c>
      <c r="G97" s="303"/>
    </row>
    <row r="98" spans="1:7" x14ac:dyDescent="0.25">
      <c r="A98" s="211">
        <v>773</v>
      </c>
      <c r="B98" s="212" t="s">
        <v>333</v>
      </c>
      <c r="C98" s="213" t="s">
        <v>334</v>
      </c>
      <c r="D98" s="212" t="s">
        <v>172</v>
      </c>
      <c r="E98" s="214" t="s">
        <v>9</v>
      </c>
      <c r="F98" s="214">
        <v>368</v>
      </c>
      <c r="G98" s="303"/>
    </row>
    <row r="99" spans="1:7" x14ac:dyDescent="0.25">
      <c r="A99" s="211">
        <v>777</v>
      </c>
      <c r="B99" s="212" t="s">
        <v>190</v>
      </c>
      <c r="C99" s="213" t="s">
        <v>335</v>
      </c>
      <c r="D99" s="212" t="s">
        <v>172</v>
      </c>
      <c r="E99" s="214" t="s">
        <v>9</v>
      </c>
      <c r="F99" s="214">
        <v>330</v>
      </c>
      <c r="G99" s="303"/>
    </row>
    <row r="100" spans="1:7" x14ac:dyDescent="0.25">
      <c r="A100" s="211" t="s">
        <v>928</v>
      </c>
      <c r="B100" s="212" t="s">
        <v>930</v>
      </c>
      <c r="C100" s="213" t="s">
        <v>938</v>
      </c>
      <c r="D100" s="212" t="s">
        <v>172</v>
      </c>
      <c r="E100" s="214" t="s">
        <v>9</v>
      </c>
      <c r="F100" s="214">
        <v>275</v>
      </c>
      <c r="G100" s="303"/>
    </row>
    <row r="101" spans="1:7" x14ac:dyDescent="0.25">
      <c r="A101" s="211" t="s">
        <v>936</v>
      </c>
      <c r="B101" s="212" t="s">
        <v>937</v>
      </c>
      <c r="C101" s="213" t="s">
        <v>931</v>
      </c>
      <c r="D101" s="212" t="s">
        <v>172</v>
      </c>
      <c r="E101" s="214" t="s">
        <v>9</v>
      </c>
      <c r="F101" s="214">
        <v>368</v>
      </c>
      <c r="G101" s="303"/>
    </row>
    <row r="102" spans="1:7" s="210" customFormat="1" x14ac:dyDescent="0.25">
      <c r="A102" s="215">
        <f>783</f>
        <v>783</v>
      </c>
      <c r="B102" s="212" t="s">
        <v>957</v>
      </c>
      <c r="C102" s="213" t="s">
        <v>958</v>
      </c>
      <c r="D102" s="212" t="s">
        <v>172</v>
      </c>
      <c r="E102" s="214" t="s">
        <v>9</v>
      </c>
      <c r="F102" s="214">
        <v>0</v>
      </c>
      <c r="G102" s="303"/>
    </row>
    <row r="103" spans="1:7" x14ac:dyDescent="0.25">
      <c r="A103" s="215">
        <f>788</f>
        <v>788</v>
      </c>
      <c r="B103" s="212" t="s">
        <v>932</v>
      </c>
      <c r="C103" s="213" t="s">
        <v>933</v>
      </c>
      <c r="D103" s="212" t="s">
        <v>172</v>
      </c>
      <c r="E103" s="214" t="s">
        <v>9</v>
      </c>
      <c r="F103" s="214">
        <v>250</v>
      </c>
      <c r="G103" s="303"/>
    </row>
    <row r="104" spans="1:7" x14ac:dyDescent="0.25">
      <c r="A104" s="215">
        <f>789</f>
        <v>789</v>
      </c>
      <c r="B104" s="212" t="s">
        <v>934</v>
      </c>
      <c r="C104" s="213" t="s">
        <v>935</v>
      </c>
      <c r="D104" s="212" t="s">
        <v>172</v>
      </c>
      <c r="E104" s="214" t="s">
        <v>9</v>
      </c>
      <c r="F104" s="214">
        <v>300</v>
      </c>
      <c r="G104" s="303"/>
    </row>
    <row r="105" spans="1:7" x14ac:dyDescent="0.25">
      <c r="A105" s="211" t="s">
        <v>336</v>
      </c>
      <c r="B105" s="212" t="s">
        <v>337</v>
      </c>
      <c r="C105" s="213" t="s">
        <v>338</v>
      </c>
      <c r="D105" s="212" t="s">
        <v>65</v>
      </c>
      <c r="E105" s="214"/>
      <c r="F105" s="214"/>
      <c r="G105" s="303"/>
    </row>
    <row r="106" spans="1:7" x14ac:dyDescent="0.25">
      <c r="A106" s="211" t="s">
        <v>339</v>
      </c>
      <c r="B106" s="212" t="s">
        <v>340</v>
      </c>
      <c r="C106" s="213" t="s">
        <v>341</v>
      </c>
      <c r="D106" s="212" t="s">
        <v>65</v>
      </c>
      <c r="E106" s="214"/>
      <c r="F106" s="214"/>
      <c r="G106" s="303"/>
    </row>
    <row r="107" spans="1:7" x14ac:dyDescent="0.25">
      <c r="A107" s="211" t="s">
        <v>342</v>
      </c>
      <c r="B107" s="212" t="s">
        <v>343</v>
      </c>
      <c r="C107" s="213" t="s">
        <v>344</v>
      </c>
      <c r="D107" s="212" t="s">
        <v>65</v>
      </c>
      <c r="E107" s="214"/>
      <c r="F107" s="214"/>
      <c r="G107" s="303"/>
    </row>
    <row r="108" spans="1:7" x14ac:dyDescent="0.25">
      <c r="A108" s="211" t="s">
        <v>345</v>
      </c>
      <c r="B108" s="212" t="s">
        <v>346</v>
      </c>
      <c r="C108" s="213" t="s">
        <v>347</v>
      </c>
      <c r="D108" s="212" t="s">
        <v>65</v>
      </c>
      <c r="E108" s="214"/>
      <c r="F108" s="214"/>
      <c r="G108" s="303"/>
    </row>
    <row r="109" spans="1:7" x14ac:dyDescent="0.25">
      <c r="A109" s="211" t="s">
        <v>348</v>
      </c>
      <c r="B109" s="212" t="s">
        <v>349</v>
      </c>
      <c r="C109" s="213" t="s">
        <v>350</v>
      </c>
      <c r="D109" s="212" t="s">
        <v>155</v>
      </c>
      <c r="E109" s="214"/>
      <c r="F109" s="214"/>
      <c r="G109" s="303"/>
    </row>
    <row r="110" spans="1:7" x14ac:dyDescent="0.25">
      <c r="A110" s="211" t="s">
        <v>351</v>
      </c>
      <c r="B110" s="212" t="s">
        <v>352</v>
      </c>
      <c r="C110" s="213" t="s">
        <v>353</v>
      </c>
      <c r="D110" s="212" t="s">
        <v>172</v>
      </c>
      <c r="E110" s="214"/>
      <c r="F110" s="214"/>
      <c r="G110" s="303"/>
    </row>
    <row r="111" spans="1:7" x14ac:dyDescent="0.25">
      <c r="A111" s="211" t="s">
        <v>354</v>
      </c>
      <c r="B111" s="212" t="s">
        <v>355</v>
      </c>
      <c r="C111" s="213" t="s">
        <v>356</v>
      </c>
      <c r="D111" s="212" t="s">
        <v>172</v>
      </c>
      <c r="E111" s="214" t="s">
        <v>8</v>
      </c>
      <c r="F111" s="214"/>
      <c r="G111" s="303"/>
    </row>
    <row r="112" spans="1:7" x14ac:dyDescent="0.25">
      <c r="A112" s="211" t="s">
        <v>357</v>
      </c>
      <c r="B112" s="212" t="s">
        <v>355</v>
      </c>
      <c r="C112" s="213" t="s">
        <v>358</v>
      </c>
      <c r="D112" s="212" t="s">
        <v>172</v>
      </c>
      <c r="E112" s="214" t="s">
        <v>8</v>
      </c>
      <c r="F112" s="214"/>
      <c r="G112" s="303"/>
    </row>
    <row r="113" spans="1:7" x14ac:dyDescent="0.25">
      <c r="A113" s="211" t="s">
        <v>359</v>
      </c>
      <c r="B113" s="212" t="s">
        <v>360</v>
      </c>
      <c r="C113" s="213" t="s">
        <v>361</v>
      </c>
      <c r="D113" s="212" t="s">
        <v>172</v>
      </c>
      <c r="E113" s="214" t="s">
        <v>8</v>
      </c>
      <c r="F113" s="214"/>
      <c r="G113" s="303"/>
    </row>
    <row r="114" spans="1:7" x14ac:dyDescent="0.25">
      <c r="A114" s="211" t="s">
        <v>362</v>
      </c>
      <c r="B114" s="212" t="s">
        <v>363</v>
      </c>
      <c r="C114" s="213" t="s">
        <v>364</v>
      </c>
      <c r="D114" s="212" t="s">
        <v>172</v>
      </c>
      <c r="E114" s="214" t="s">
        <v>8</v>
      </c>
      <c r="F114" s="214"/>
      <c r="G114" s="303"/>
    </row>
    <row r="115" spans="1:7" x14ac:dyDescent="0.25">
      <c r="A115" s="211" t="s">
        <v>365</v>
      </c>
      <c r="B115" s="212" t="s">
        <v>355</v>
      </c>
      <c r="C115" s="213" t="s">
        <v>366</v>
      </c>
      <c r="D115" s="212" t="s">
        <v>172</v>
      </c>
      <c r="E115" s="214" t="s">
        <v>8</v>
      </c>
      <c r="F115" s="214"/>
      <c r="G115" s="303"/>
    </row>
    <row r="116" spans="1:7" x14ac:dyDescent="0.25">
      <c r="A116" s="211" t="s">
        <v>367</v>
      </c>
      <c r="B116" s="212" t="s">
        <v>355</v>
      </c>
      <c r="C116" s="213" t="s">
        <v>368</v>
      </c>
      <c r="D116" s="212" t="s">
        <v>172</v>
      </c>
      <c r="E116" s="214" t="s">
        <v>8</v>
      </c>
      <c r="F116" s="214"/>
      <c r="G116" s="303"/>
    </row>
    <row r="117" spans="1:7" x14ac:dyDescent="0.25">
      <c r="A117" s="211" t="s">
        <v>369</v>
      </c>
      <c r="B117" s="212" t="s">
        <v>360</v>
      </c>
      <c r="C117" s="213" t="s">
        <v>370</v>
      </c>
      <c r="D117" s="212" t="s">
        <v>172</v>
      </c>
      <c r="E117" s="214" t="s">
        <v>8</v>
      </c>
      <c r="F117" s="214"/>
      <c r="G117" s="303"/>
    </row>
    <row r="118" spans="1:7" x14ac:dyDescent="0.25">
      <c r="A118" s="211" t="s">
        <v>371</v>
      </c>
      <c r="B118" s="212" t="s">
        <v>190</v>
      </c>
      <c r="C118" s="213" t="s">
        <v>372</v>
      </c>
      <c r="D118" s="212" t="s">
        <v>65</v>
      </c>
      <c r="E118" s="214"/>
      <c r="F118" s="214"/>
      <c r="G118" s="303"/>
    </row>
    <row r="119" spans="1:7" x14ac:dyDescent="0.25">
      <c r="A119" s="211" t="s">
        <v>373</v>
      </c>
      <c r="B119" s="212" t="s">
        <v>374</v>
      </c>
      <c r="C119" s="213" t="s">
        <v>375</v>
      </c>
      <c r="D119" s="212" t="s">
        <v>65</v>
      </c>
      <c r="E119" s="214"/>
      <c r="F119" s="214"/>
      <c r="G119" s="303"/>
    </row>
    <row r="120" spans="1:7" x14ac:dyDescent="0.25">
      <c r="A120" s="211" t="s">
        <v>376</v>
      </c>
      <c r="B120" s="212" t="s">
        <v>377</v>
      </c>
      <c r="C120" s="213" t="s">
        <v>378</v>
      </c>
      <c r="D120" s="212" t="s">
        <v>65</v>
      </c>
      <c r="E120" s="214"/>
      <c r="F120" s="214"/>
      <c r="G120" s="303"/>
    </row>
    <row r="121" spans="1:7" x14ac:dyDescent="0.25">
      <c r="A121" s="211" t="s">
        <v>379</v>
      </c>
      <c r="B121" s="212" t="s">
        <v>380</v>
      </c>
      <c r="C121" s="213" t="s">
        <v>381</v>
      </c>
      <c r="D121" s="212" t="s">
        <v>155</v>
      </c>
      <c r="E121" s="214"/>
      <c r="F121" s="214"/>
      <c r="G121" s="303"/>
    </row>
    <row r="122" spans="1:7" x14ac:dyDescent="0.25">
      <c r="A122" s="211" t="s">
        <v>382</v>
      </c>
      <c r="B122" s="212" t="s">
        <v>383</v>
      </c>
      <c r="C122" s="213" t="s">
        <v>384</v>
      </c>
      <c r="D122" s="212" t="s">
        <v>155</v>
      </c>
      <c r="E122" s="214"/>
      <c r="F122" s="214"/>
      <c r="G122" s="303"/>
    </row>
    <row r="123" spans="1:7" x14ac:dyDescent="0.25">
      <c r="A123" s="211" t="s">
        <v>385</v>
      </c>
      <c r="B123" s="212" t="s">
        <v>190</v>
      </c>
      <c r="C123" s="213" t="s">
        <v>386</v>
      </c>
      <c r="D123" s="212" t="s">
        <v>155</v>
      </c>
      <c r="E123" s="214"/>
      <c r="F123" s="214"/>
      <c r="G123" s="303"/>
    </row>
    <row r="124" spans="1:7" x14ac:dyDescent="0.25">
      <c r="A124" s="211" t="s">
        <v>387</v>
      </c>
      <c r="B124" s="212" t="s">
        <v>388</v>
      </c>
      <c r="C124" s="213" t="s">
        <v>389</v>
      </c>
      <c r="D124" s="212" t="s">
        <v>155</v>
      </c>
      <c r="E124" s="214"/>
      <c r="F124" s="214"/>
      <c r="G124" s="303"/>
    </row>
    <row r="125" spans="1:7" x14ac:dyDescent="0.25">
      <c r="A125" s="211" t="s">
        <v>390</v>
      </c>
      <c r="B125" s="212" t="s">
        <v>391</v>
      </c>
      <c r="C125" s="213" t="s">
        <v>392</v>
      </c>
      <c r="D125" s="212" t="s">
        <v>155</v>
      </c>
      <c r="E125" s="214"/>
      <c r="F125" s="214"/>
      <c r="G125" s="303"/>
    </row>
    <row r="126" spans="1:7" x14ac:dyDescent="0.25">
      <c r="A126" s="211" t="s">
        <v>393</v>
      </c>
      <c r="B126" s="212" t="s">
        <v>190</v>
      </c>
      <c r="C126" s="213" t="s">
        <v>394</v>
      </c>
      <c r="D126" s="212" t="s">
        <v>190</v>
      </c>
      <c r="E126" s="214"/>
      <c r="F126" s="214"/>
      <c r="G126" s="303" t="s">
        <v>395</v>
      </c>
    </row>
    <row r="127" spans="1:7" x14ac:dyDescent="0.25">
      <c r="A127" s="211" t="s">
        <v>396</v>
      </c>
      <c r="B127" s="212" t="s">
        <v>397</v>
      </c>
      <c r="C127" s="213" t="s">
        <v>398</v>
      </c>
      <c r="D127" s="212" t="s">
        <v>155</v>
      </c>
      <c r="E127" s="214"/>
      <c r="F127" s="214"/>
      <c r="G127" s="303"/>
    </row>
    <row r="128" spans="1:7" x14ac:dyDescent="0.25">
      <c r="A128" s="211" t="s">
        <v>399</v>
      </c>
      <c r="B128" s="212" t="s">
        <v>400</v>
      </c>
      <c r="C128" s="213" t="s">
        <v>401</v>
      </c>
      <c r="D128" s="212" t="s">
        <v>155</v>
      </c>
      <c r="E128" s="214"/>
      <c r="F128" s="214"/>
      <c r="G128" s="303"/>
    </row>
    <row r="129" spans="1:7" x14ac:dyDescent="0.25">
      <c r="A129" s="211" t="s">
        <v>402</v>
      </c>
      <c r="B129" s="212" t="s">
        <v>403</v>
      </c>
      <c r="C129" s="213" t="s">
        <v>404</v>
      </c>
      <c r="D129" s="212" t="s">
        <v>155</v>
      </c>
      <c r="E129" s="214"/>
      <c r="F129" s="214"/>
      <c r="G129" s="303"/>
    </row>
    <row r="130" spans="1:7" x14ac:dyDescent="0.25">
      <c r="A130" s="211" t="s">
        <v>405</v>
      </c>
      <c r="B130" s="212" t="s">
        <v>190</v>
      </c>
      <c r="C130" s="213" t="s">
        <v>406</v>
      </c>
      <c r="D130" s="212" t="s">
        <v>155</v>
      </c>
      <c r="E130" s="214"/>
      <c r="F130" s="214"/>
      <c r="G130" s="303"/>
    </row>
    <row r="131" spans="1:7" x14ac:dyDescent="0.25">
      <c r="A131" s="211" t="s">
        <v>407</v>
      </c>
      <c r="B131" s="212" t="s">
        <v>190</v>
      </c>
      <c r="C131" s="213" t="s">
        <v>408</v>
      </c>
      <c r="D131" s="212" t="s">
        <v>155</v>
      </c>
      <c r="E131" s="214"/>
      <c r="F131" s="214"/>
      <c r="G131" s="303"/>
    </row>
    <row r="132" spans="1:7" x14ac:dyDescent="0.25">
      <c r="A132" s="211" t="s">
        <v>409</v>
      </c>
      <c r="B132" s="212" t="s">
        <v>410</v>
      </c>
      <c r="C132" s="213" t="s">
        <v>411</v>
      </c>
      <c r="D132" s="212" t="s">
        <v>155</v>
      </c>
      <c r="E132" s="214" t="s">
        <v>7</v>
      </c>
      <c r="F132" s="214">
        <v>42</v>
      </c>
      <c r="G132" s="303"/>
    </row>
    <row r="133" spans="1:7" x14ac:dyDescent="0.25">
      <c r="A133" s="211" t="s">
        <v>412</v>
      </c>
      <c r="B133" s="212" t="s">
        <v>413</v>
      </c>
      <c r="C133" s="213" t="s">
        <v>414</v>
      </c>
      <c r="D133" s="212" t="s">
        <v>155</v>
      </c>
      <c r="E133" s="214" t="s">
        <v>7</v>
      </c>
      <c r="F133" s="214">
        <v>42</v>
      </c>
      <c r="G133" s="303"/>
    </row>
    <row r="134" spans="1:7" x14ac:dyDescent="0.25">
      <c r="A134" s="211" t="s">
        <v>415</v>
      </c>
      <c r="B134" s="212" t="s">
        <v>416</v>
      </c>
      <c r="C134" s="213" t="s">
        <v>417</v>
      </c>
      <c r="D134" s="212" t="s">
        <v>155</v>
      </c>
      <c r="E134" s="214" t="s">
        <v>7</v>
      </c>
      <c r="F134" s="214">
        <v>68</v>
      </c>
      <c r="G134" s="303"/>
    </row>
    <row r="135" spans="1:7" x14ac:dyDescent="0.25">
      <c r="A135" s="211" t="s">
        <v>418</v>
      </c>
      <c r="B135" s="212" t="s">
        <v>418</v>
      </c>
      <c r="C135" s="213" t="s">
        <v>419</v>
      </c>
      <c r="D135" s="212" t="s">
        <v>155</v>
      </c>
      <c r="E135" s="214"/>
      <c r="F135" s="214"/>
      <c r="G135" s="303"/>
    </row>
    <row r="136" spans="1:7" x14ac:dyDescent="0.25">
      <c r="A136" s="211" t="s">
        <v>420</v>
      </c>
      <c r="B136" s="212" t="s">
        <v>190</v>
      </c>
      <c r="C136" s="213" t="s">
        <v>421</v>
      </c>
      <c r="D136" s="212" t="s">
        <v>155</v>
      </c>
      <c r="E136" s="214" t="s">
        <v>7</v>
      </c>
      <c r="F136" s="214">
        <v>69</v>
      </c>
      <c r="G136" s="303"/>
    </row>
    <row r="137" spans="1:7" x14ac:dyDescent="0.25">
      <c r="A137" s="211" t="s">
        <v>422</v>
      </c>
      <c r="B137" s="212" t="s">
        <v>423</v>
      </c>
      <c r="C137" s="213" t="s">
        <v>424</v>
      </c>
      <c r="D137" s="212" t="s">
        <v>155</v>
      </c>
      <c r="E137" s="214"/>
      <c r="F137" s="214"/>
      <c r="G137" s="303"/>
    </row>
    <row r="138" spans="1:7" x14ac:dyDescent="0.25">
      <c r="A138" s="211" t="s">
        <v>425</v>
      </c>
      <c r="B138" s="212" t="s">
        <v>426</v>
      </c>
      <c r="C138" s="213" t="s">
        <v>427</v>
      </c>
      <c r="D138" s="212" t="s">
        <v>155</v>
      </c>
      <c r="E138" s="214"/>
      <c r="F138" s="214"/>
      <c r="G138" s="303"/>
    </row>
    <row r="139" spans="1:7" x14ac:dyDescent="0.25">
      <c r="A139" s="211" t="s">
        <v>428</v>
      </c>
      <c r="B139" s="212" t="s">
        <v>429</v>
      </c>
      <c r="C139" s="213" t="s">
        <v>430</v>
      </c>
      <c r="D139" s="212" t="s">
        <v>155</v>
      </c>
      <c r="E139" s="214"/>
      <c r="F139" s="214"/>
      <c r="G139" s="303"/>
    </row>
    <row r="140" spans="1:7" x14ac:dyDescent="0.25">
      <c r="A140" s="211" t="s">
        <v>431</v>
      </c>
      <c r="B140" s="212" t="s">
        <v>429</v>
      </c>
      <c r="C140" s="213" t="s">
        <v>432</v>
      </c>
      <c r="D140" s="212" t="s">
        <v>155</v>
      </c>
      <c r="E140" s="214"/>
      <c r="F140" s="214"/>
      <c r="G140" s="303"/>
    </row>
    <row r="141" spans="1:7" x14ac:dyDescent="0.25">
      <c r="A141" s="211" t="s">
        <v>433</v>
      </c>
      <c r="B141" s="212" t="s">
        <v>429</v>
      </c>
      <c r="C141" s="213" t="s">
        <v>434</v>
      </c>
      <c r="D141" s="212" t="s">
        <v>155</v>
      </c>
      <c r="E141" s="214"/>
      <c r="F141" s="214"/>
      <c r="G141" s="303"/>
    </row>
    <row r="142" spans="1:7" x14ac:dyDescent="0.25">
      <c r="A142" s="211" t="s">
        <v>435</v>
      </c>
      <c r="B142" s="212" t="s">
        <v>429</v>
      </c>
      <c r="C142" s="213" t="s">
        <v>436</v>
      </c>
      <c r="D142" s="212" t="s">
        <v>155</v>
      </c>
      <c r="E142" s="214"/>
      <c r="F142" s="214"/>
      <c r="G142" s="303"/>
    </row>
    <row r="143" spans="1:7" x14ac:dyDescent="0.25">
      <c r="A143" s="211" t="s">
        <v>437</v>
      </c>
      <c r="B143" s="212" t="s">
        <v>429</v>
      </c>
      <c r="C143" s="213" t="s">
        <v>438</v>
      </c>
      <c r="D143" s="212" t="s">
        <v>155</v>
      </c>
      <c r="E143" s="214"/>
      <c r="F143" s="214"/>
      <c r="G143" s="303"/>
    </row>
    <row r="144" spans="1:7" x14ac:dyDescent="0.25">
      <c r="A144" s="211" t="s">
        <v>439</v>
      </c>
      <c r="B144" s="212" t="s">
        <v>440</v>
      </c>
      <c r="C144" s="213" t="s">
        <v>441</v>
      </c>
      <c r="D144" s="212" t="s">
        <v>155</v>
      </c>
      <c r="E144" s="214"/>
      <c r="F144" s="214"/>
      <c r="G144" s="303"/>
    </row>
    <row r="145" spans="1:7" x14ac:dyDescent="0.25">
      <c r="A145" s="211" t="s">
        <v>442</v>
      </c>
      <c r="B145" s="212" t="s">
        <v>443</v>
      </c>
      <c r="C145" s="213" t="s">
        <v>444</v>
      </c>
      <c r="D145" s="212" t="s">
        <v>155</v>
      </c>
      <c r="E145" s="214"/>
      <c r="F145" s="214"/>
      <c r="G145" s="303"/>
    </row>
    <row r="146" spans="1:7" x14ac:dyDescent="0.25">
      <c r="A146" s="211" t="s">
        <v>445</v>
      </c>
      <c r="B146" s="212" t="s">
        <v>190</v>
      </c>
      <c r="C146" s="213" t="s">
        <v>446</v>
      </c>
      <c r="D146" s="212" t="s">
        <v>65</v>
      </c>
      <c r="E146" s="214"/>
      <c r="F146" s="214"/>
      <c r="G146" s="303"/>
    </row>
    <row r="147" spans="1:7" x14ac:dyDescent="0.25">
      <c r="A147" s="211" t="s">
        <v>447</v>
      </c>
      <c r="B147" s="212" t="s">
        <v>190</v>
      </c>
      <c r="C147" s="213" t="s">
        <v>448</v>
      </c>
      <c r="D147" s="212" t="s">
        <v>65</v>
      </c>
      <c r="E147" s="214"/>
      <c r="F147" s="214"/>
      <c r="G147" s="303"/>
    </row>
    <row r="148" spans="1:7" x14ac:dyDescent="0.25">
      <c r="A148" s="211" t="s">
        <v>449</v>
      </c>
      <c r="B148" s="212" t="s">
        <v>443</v>
      </c>
      <c r="C148" s="213" t="s">
        <v>450</v>
      </c>
      <c r="D148" s="212" t="s">
        <v>155</v>
      </c>
      <c r="E148" s="214"/>
      <c r="F148" s="214"/>
      <c r="G148" s="303"/>
    </row>
    <row r="149" spans="1:7" x14ac:dyDescent="0.25">
      <c r="A149" s="211" t="s">
        <v>451</v>
      </c>
      <c r="B149" s="212" t="s">
        <v>190</v>
      </c>
      <c r="C149" s="213" t="s">
        <v>452</v>
      </c>
      <c r="D149" s="212" t="s">
        <v>65</v>
      </c>
      <c r="E149" s="214"/>
      <c r="F149" s="214"/>
      <c r="G149" s="303"/>
    </row>
    <row r="150" spans="1:7" x14ac:dyDescent="0.25">
      <c r="A150" s="211" t="s">
        <v>453</v>
      </c>
      <c r="B150" s="212" t="s">
        <v>443</v>
      </c>
      <c r="C150" s="213" t="s">
        <v>454</v>
      </c>
      <c r="D150" s="212" t="s">
        <v>155</v>
      </c>
      <c r="E150" s="214"/>
      <c r="F150" s="214"/>
      <c r="G150" s="303"/>
    </row>
    <row r="151" spans="1:7" x14ac:dyDescent="0.25">
      <c r="A151" s="211" t="s">
        <v>455</v>
      </c>
      <c r="B151" s="212" t="s">
        <v>190</v>
      </c>
      <c r="C151" s="213" t="s">
        <v>456</v>
      </c>
      <c r="D151" s="212" t="s">
        <v>65</v>
      </c>
      <c r="E151" s="214"/>
      <c r="F151" s="214"/>
      <c r="G151" s="303"/>
    </row>
    <row r="152" spans="1:7" x14ac:dyDescent="0.25">
      <c r="A152" s="211" t="s">
        <v>457</v>
      </c>
      <c r="B152" s="212" t="s">
        <v>190</v>
      </c>
      <c r="C152" s="213" t="s">
        <v>458</v>
      </c>
      <c r="D152" s="212" t="s">
        <v>190</v>
      </c>
      <c r="E152" s="214"/>
      <c r="F152" s="214"/>
      <c r="G152" s="303" t="s">
        <v>395</v>
      </c>
    </row>
    <row r="153" spans="1:7" x14ac:dyDescent="0.25">
      <c r="A153" s="211" t="s">
        <v>459</v>
      </c>
      <c r="B153" s="212" t="s">
        <v>460</v>
      </c>
      <c r="C153" s="213" t="s">
        <v>461</v>
      </c>
      <c r="D153" s="212" t="s">
        <v>65</v>
      </c>
      <c r="E153" s="214" t="s">
        <v>5</v>
      </c>
      <c r="F153" s="214">
        <v>9</v>
      </c>
      <c r="G153" s="303"/>
    </row>
    <row r="154" spans="1:7" x14ac:dyDescent="0.25">
      <c r="A154" s="211" t="s">
        <v>462</v>
      </c>
      <c r="B154" s="212" t="s">
        <v>463</v>
      </c>
      <c r="C154" s="213" t="s">
        <v>464</v>
      </c>
      <c r="D154" s="212" t="s">
        <v>65</v>
      </c>
      <c r="E154" s="214" t="s">
        <v>6</v>
      </c>
      <c r="F154" s="214">
        <v>16</v>
      </c>
      <c r="G154" s="303"/>
    </row>
    <row r="155" spans="1:7" x14ac:dyDescent="0.25">
      <c r="A155" s="211" t="s">
        <v>465</v>
      </c>
      <c r="B155" s="212" t="s">
        <v>190</v>
      </c>
      <c r="C155" s="213" t="s">
        <v>466</v>
      </c>
      <c r="D155" s="212" t="s">
        <v>190</v>
      </c>
      <c r="E155" s="214"/>
      <c r="F155" s="214"/>
      <c r="G155" s="303" t="s">
        <v>467</v>
      </c>
    </row>
    <row r="156" spans="1:7" x14ac:dyDescent="0.25">
      <c r="A156" s="211" t="s">
        <v>468</v>
      </c>
      <c r="B156" s="212" t="s">
        <v>469</v>
      </c>
      <c r="C156" s="213" t="s">
        <v>470</v>
      </c>
      <c r="D156" s="212" t="s">
        <v>155</v>
      </c>
      <c r="E156" s="214"/>
      <c r="F156" s="214"/>
      <c r="G156" s="303"/>
    </row>
    <row r="157" spans="1:7" x14ac:dyDescent="0.25">
      <c r="A157" s="211" t="s">
        <v>471</v>
      </c>
      <c r="B157" s="212" t="s">
        <v>472</v>
      </c>
      <c r="C157" s="213" t="s">
        <v>473</v>
      </c>
      <c r="D157" s="212" t="s">
        <v>155</v>
      </c>
      <c r="E157" s="214"/>
      <c r="F157" s="214"/>
      <c r="G157" s="303"/>
    </row>
    <row r="158" spans="1:7" x14ac:dyDescent="0.25">
      <c r="A158" s="211" t="s">
        <v>474</v>
      </c>
      <c r="B158" s="212" t="s">
        <v>475</v>
      </c>
      <c r="C158" s="213" t="s">
        <v>476</v>
      </c>
      <c r="D158" s="212" t="s">
        <v>65</v>
      </c>
      <c r="E158" s="214"/>
      <c r="F158" s="214"/>
      <c r="G158" s="303"/>
    </row>
    <row r="159" spans="1:7" x14ac:dyDescent="0.25">
      <c r="A159" s="211" t="s">
        <v>477</v>
      </c>
      <c r="B159" s="212" t="s">
        <v>478</v>
      </c>
      <c r="C159" s="213" t="s">
        <v>479</v>
      </c>
      <c r="D159" s="212" t="s">
        <v>155</v>
      </c>
      <c r="E159" s="214"/>
      <c r="F159" s="214"/>
      <c r="G159" s="303"/>
    </row>
    <row r="160" spans="1:7" x14ac:dyDescent="0.25">
      <c r="A160" s="211" t="s">
        <v>480</v>
      </c>
      <c r="B160" s="212" t="s">
        <v>190</v>
      </c>
      <c r="C160" s="213" t="s">
        <v>481</v>
      </c>
      <c r="D160" s="212" t="s">
        <v>65</v>
      </c>
      <c r="E160" s="214"/>
      <c r="F160" s="214"/>
      <c r="G160" s="303"/>
    </row>
    <row r="161" spans="1:7" x14ac:dyDescent="0.25">
      <c r="A161" s="211" t="s">
        <v>482</v>
      </c>
      <c r="B161" s="212" t="s">
        <v>190</v>
      </c>
      <c r="C161" s="213" t="s">
        <v>483</v>
      </c>
      <c r="D161" s="212" t="s">
        <v>65</v>
      </c>
      <c r="E161" s="214"/>
      <c r="F161" s="214"/>
      <c r="G161" s="303"/>
    </row>
    <row r="162" spans="1:7" x14ac:dyDescent="0.25">
      <c r="A162" s="211" t="s">
        <v>484</v>
      </c>
      <c r="B162" s="212" t="s">
        <v>190</v>
      </c>
      <c r="C162" s="213" t="s">
        <v>485</v>
      </c>
      <c r="D162" s="212" t="s">
        <v>65</v>
      </c>
      <c r="E162" s="214"/>
      <c r="F162" s="214"/>
      <c r="G162" s="303"/>
    </row>
    <row r="163" spans="1:7" x14ac:dyDescent="0.25">
      <c r="A163" s="211" t="s">
        <v>486</v>
      </c>
      <c r="B163" s="212" t="s">
        <v>190</v>
      </c>
      <c r="C163" s="213" t="s">
        <v>487</v>
      </c>
      <c r="D163" s="212" t="s">
        <v>65</v>
      </c>
      <c r="E163" s="214"/>
      <c r="F163" s="214"/>
      <c r="G163" s="303"/>
    </row>
    <row r="164" spans="1:7" x14ac:dyDescent="0.25">
      <c r="A164" s="211" t="s">
        <v>488</v>
      </c>
      <c r="B164" s="212" t="s">
        <v>190</v>
      </c>
      <c r="C164" s="213" t="s">
        <v>489</v>
      </c>
      <c r="D164" s="212" t="s">
        <v>65</v>
      </c>
      <c r="E164" s="214"/>
      <c r="F164" s="214"/>
      <c r="G164" s="303"/>
    </row>
    <row r="165" spans="1:7" x14ac:dyDescent="0.25">
      <c r="A165" s="211" t="s">
        <v>490</v>
      </c>
      <c r="B165" s="212" t="s">
        <v>190</v>
      </c>
      <c r="C165" s="213" t="s">
        <v>491</v>
      </c>
      <c r="D165" s="212" t="s">
        <v>65</v>
      </c>
      <c r="E165" s="214"/>
      <c r="F165" s="214"/>
      <c r="G165" s="303"/>
    </row>
    <row r="166" spans="1:7" x14ac:dyDescent="0.25">
      <c r="A166" s="211" t="s">
        <v>492</v>
      </c>
      <c r="B166" s="212" t="s">
        <v>493</v>
      </c>
      <c r="C166" s="213" t="s">
        <v>494</v>
      </c>
      <c r="D166" s="212" t="s">
        <v>155</v>
      </c>
      <c r="E166" s="214"/>
      <c r="F166" s="214">
        <v>50</v>
      </c>
      <c r="G166" s="303"/>
    </row>
    <row r="167" spans="1:7" x14ac:dyDescent="0.25">
      <c r="A167" s="211" t="s">
        <v>495</v>
      </c>
      <c r="B167" s="212" t="s">
        <v>496</v>
      </c>
      <c r="C167" s="213" t="s">
        <v>497</v>
      </c>
      <c r="D167" s="212" t="s">
        <v>155</v>
      </c>
      <c r="E167" s="214"/>
      <c r="F167" s="214">
        <v>50</v>
      </c>
      <c r="G167" s="303"/>
    </row>
    <row r="168" spans="1:7" x14ac:dyDescent="0.25">
      <c r="A168" s="211" t="s">
        <v>498</v>
      </c>
      <c r="B168" s="212" t="s">
        <v>499</v>
      </c>
      <c r="C168" s="213" t="s">
        <v>500</v>
      </c>
      <c r="D168" s="212" t="s">
        <v>155</v>
      </c>
      <c r="E168" s="214"/>
      <c r="F168" s="214"/>
      <c r="G168" s="303"/>
    </row>
    <row r="169" spans="1:7" x14ac:dyDescent="0.25">
      <c r="A169" s="211" t="s">
        <v>501</v>
      </c>
      <c r="B169" s="212" t="s">
        <v>502</v>
      </c>
      <c r="C169" s="213" t="s">
        <v>503</v>
      </c>
      <c r="D169" s="212" t="s">
        <v>155</v>
      </c>
      <c r="E169" s="214"/>
      <c r="F169" s="214"/>
      <c r="G169" s="303"/>
    </row>
    <row r="170" spans="1:7" x14ac:dyDescent="0.25">
      <c r="A170" s="211" t="s">
        <v>504</v>
      </c>
      <c r="B170" s="212" t="s">
        <v>190</v>
      </c>
      <c r="C170" s="213" t="s">
        <v>505</v>
      </c>
      <c r="D170" s="212" t="s">
        <v>155</v>
      </c>
      <c r="E170" s="214"/>
      <c r="F170" s="214"/>
      <c r="G170" s="303"/>
    </row>
    <row r="171" spans="1:7" x14ac:dyDescent="0.25">
      <c r="A171" s="211" t="s">
        <v>506</v>
      </c>
      <c r="B171" s="212" t="s">
        <v>507</v>
      </c>
      <c r="C171" s="213" t="s">
        <v>508</v>
      </c>
      <c r="D171" s="212" t="s">
        <v>155</v>
      </c>
      <c r="E171" s="214"/>
      <c r="F171" s="214"/>
      <c r="G171" s="303"/>
    </row>
    <row r="172" spans="1:7" x14ac:dyDescent="0.25">
      <c r="A172" s="211" t="s">
        <v>509</v>
      </c>
      <c r="B172" s="212" t="s">
        <v>510</v>
      </c>
      <c r="C172" s="213" t="s">
        <v>511</v>
      </c>
      <c r="D172" s="212" t="s">
        <v>155</v>
      </c>
      <c r="E172" s="214"/>
      <c r="F172" s="214"/>
      <c r="G172" s="303"/>
    </row>
    <row r="173" spans="1:7" x14ac:dyDescent="0.25">
      <c r="A173" s="211" t="s">
        <v>512</v>
      </c>
      <c r="B173" s="212" t="s">
        <v>513</v>
      </c>
      <c r="C173" s="213" t="s">
        <v>514</v>
      </c>
      <c r="D173" s="212" t="s">
        <v>155</v>
      </c>
      <c r="E173" s="214"/>
      <c r="F173" s="214"/>
      <c r="G173" s="303"/>
    </row>
    <row r="174" spans="1:7" x14ac:dyDescent="0.25">
      <c r="A174" s="211" t="s">
        <v>515</v>
      </c>
      <c r="B174" s="212" t="s">
        <v>516</v>
      </c>
      <c r="C174" s="213" t="s">
        <v>517</v>
      </c>
      <c r="D174" s="212" t="s">
        <v>155</v>
      </c>
      <c r="E174" s="214"/>
      <c r="F174" s="214"/>
      <c r="G174" s="303"/>
    </row>
    <row r="175" spans="1:7" x14ac:dyDescent="0.25">
      <c r="A175" s="211" t="s">
        <v>518</v>
      </c>
      <c r="B175" s="212" t="s">
        <v>519</v>
      </c>
      <c r="C175" s="213" t="s">
        <v>520</v>
      </c>
      <c r="D175" s="212" t="s">
        <v>155</v>
      </c>
      <c r="E175" s="214"/>
      <c r="F175" s="214"/>
      <c r="G175" s="303"/>
    </row>
    <row r="176" spans="1:7" x14ac:dyDescent="0.25">
      <c r="A176" s="211" t="s">
        <v>521</v>
      </c>
      <c r="B176" s="212" t="s">
        <v>190</v>
      </c>
      <c r="C176" s="213" t="s">
        <v>522</v>
      </c>
      <c r="D176" s="212" t="s">
        <v>155</v>
      </c>
      <c r="E176" s="214"/>
      <c r="F176" s="214"/>
      <c r="G176" s="303"/>
    </row>
    <row r="177" spans="1:7" x14ac:dyDescent="0.25">
      <c r="A177" s="211" t="s">
        <v>523</v>
      </c>
      <c r="B177" s="212" t="s">
        <v>190</v>
      </c>
      <c r="C177" s="213" t="s">
        <v>524</v>
      </c>
      <c r="D177" s="212" t="s">
        <v>155</v>
      </c>
      <c r="E177" s="214"/>
      <c r="F177" s="214"/>
      <c r="G177" s="303"/>
    </row>
    <row r="178" spans="1:7" x14ac:dyDescent="0.25">
      <c r="A178" s="211" t="s">
        <v>525</v>
      </c>
      <c r="B178" s="212" t="s">
        <v>516</v>
      </c>
      <c r="C178" s="213" t="s">
        <v>526</v>
      </c>
      <c r="D178" s="212" t="s">
        <v>155</v>
      </c>
      <c r="E178" s="214"/>
      <c r="F178" s="214"/>
      <c r="G178" s="303"/>
    </row>
    <row r="179" spans="1:7" x14ac:dyDescent="0.25">
      <c r="A179" s="211" t="s">
        <v>527</v>
      </c>
      <c r="B179" s="212" t="s">
        <v>516</v>
      </c>
      <c r="C179" s="213" t="s">
        <v>528</v>
      </c>
      <c r="D179" s="212" t="s">
        <v>155</v>
      </c>
      <c r="E179" s="214"/>
      <c r="F179" s="214"/>
      <c r="G179" s="303"/>
    </row>
    <row r="180" spans="1:7" x14ac:dyDescent="0.25">
      <c r="A180" s="211" t="s">
        <v>529</v>
      </c>
      <c r="B180" s="212" t="s">
        <v>519</v>
      </c>
      <c r="C180" s="213" t="s">
        <v>530</v>
      </c>
      <c r="D180" s="212" t="s">
        <v>155</v>
      </c>
      <c r="E180" s="214"/>
      <c r="F180" s="214"/>
      <c r="G180" s="303"/>
    </row>
    <row r="181" spans="1:7" x14ac:dyDescent="0.25">
      <c r="A181" s="211" t="s">
        <v>531</v>
      </c>
      <c r="B181" s="212" t="s">
        <v>532</v>
      </c>
      <c r="C181" s="213" t="s">
        <v>533</v>
      </c>
      <c r="D181" s="212" t="s">
        <v>155</v>
      </c>
      <c r="E181" s="214"/>
      <c r="F181" s="214"/>
      <c r="G181" s="303"/>
    </row>
    <row r="182" spans="1:7" x14ac:dyDescent="0.25">
      <c r="A182" s="211" t="s">
        <v>534</v>
      </c>
      <c r="B182" s="212" t="s">
        <v>535</v>
      </c>
      <c r="C182" s="213" t="s">
        <v>536</v>
      </c>
      <c r="D182" s="212" t="s">
        <v>172</v>
      </c>
      <c r="E182" s="214"/>
      <c r="F182" s="214"/>
      <c r="G182" s="303"/>
    </row>
    <row r="183" spans="1:7" x14ac:dyDescent="0.25">
      <c r="A183" s="211" t="s">
        <v>537</v>
      </c>
      <c r="B183" s="212" t="s">
        <v>535</v>
      </c>
      <c r="C183" s="213" t="s">
        <v>538</v>
      </c>
      <c r="D183" s="212" t="s">
        <v>172</v>
      </c>
      <c r="E183" s="214"/>
      <c r="F183" s="214"/>
      <c r="G183" s="303"/>
    </row>
    <row r="184" spans="1:7" x14ac:dyDescent="0.25">
      <c r="A184" s="211" t="s">
        <v>539</v>
      </c>
      <c r="B184" s="212" t="s">
        <v>535</v>
      </c>
      <c r="C184" s="213" t="s">
        <v>540</v>
      </c>
      <c r="D184" s="212" t="s">
        <v>172</v>
      </c>
      <c r="E184" s="214"/>
      <c r="F184" s="214"/>
      <c r="G184" s="303"/>
    </row>
    <row r="185" spans="1:7" x14ac:dyDescent="0.25">
      <c r="A185" s="211" t="s">
        <v>541</v>
      </c>
      <c r="B185" s="212" t="s">
        <v>535</v>
      </c>
      <c r="C185" s="213" t="s">
        <v>542</v>
      </c>
      <c r="D185" s="212" t="s">
        <v>172</v>
      </c>
      <c r="E185" s="214"/>
      <c r="F185" s="214"/>
      <c r="G185" s="303"/>
    </row>
    <row r="186" spans="1:7" x14ac:dyDescent="0.25">
      <c r="A186" s="211" t="s">
        <v>543</v>
      </c>
      <c r="B186" s="212" t="s">
        <v>535</v>
      </c>
      <c r="C186" s="213" t="s">
        <v>544</v>
      </c>
      <c r="D186" s="212" t="s">
        <v>172</v>
      </c>
      <c r="E186" s="214"/>
      <c r="F186" s="214"/>
      <c r="G186" s="303"/>
    </row>
    <row r="187" spans="1:7" x14ac:dyDescent="0.25">
      <c r="A187" s="211" t="s">
        <v>545</v>
      </c>
      <c r="B187" s="212" t="s">
        <v>535</v>
      </c>
      <c r="C187" s="213" t="s">
        <v>546</v>
      </c>
      <c r="D187" s="212" t="s">
        <v>172</v>
      </c>
      <c r="E187" s="214"/>
      <c r="F187" s="214"/>
      <c r="G187" s="303"/>
    </row>
    <row r="188" spans="1:7" x14ac:dyDescent="0.25">
      <c r="A188" s="211" t="s">
        <v>547</v>
      </c>
      <c r="B188" s="212" t="s">
        <v>535</v>
      </c>
      <c r="C188" s="213" t="s">
        <v>548</v>
      </c>
      <c r="D188" s="212" t="s">
        <v>172</v>
      </c>
      <c r="E188" s="214"/>
      <c r="F188" s="214"/>
      <c r="G188" s="303"/>
    </row>
    <row r="189" spans="1:7" x14ac:dyDescent="0.25">
      <c r="A189" s="211" t="s">
        <v>549</v>
      </c>
      <c r="B189" s="212" t="s">
        <v>550</v>
      </c>
      <c r="C189" s="213" t="s">
        <v>551</v>
      </c>
      <c r="D189" s="212" t="s">
        <v>65</v>
      </c>
      <c r="E189" s="214"/>
      <c r="F189" s="214"/>
      <c r="G189" s="303"/>
    </row>
    <row r="190" spans="1:7" x14ac:dyDescent="0.25">
      <c r="A190" s="211" t="s">
        <v>552</v>
      </c>
      <c r="B190" s="212" t="s">
        <v>553</v>
      </c>
      <c r="C190" s="213" t="s">
        <v>554</v>
      </c>
      <c r="D190" s="212" t="s">
        <v>155</v>
      </c>
      <c r="E190" s="214"/>
      <c r="F190" s="214"/>
      <c r="G190" s="303"/>
    </row>
    <row r="191" spans="1:7" x14ac:dyDescent="0.25">
      <c r="A191" s="211" t="s">
        <v>555</v>
      </c>
      <c r="B191" s="212" t="s">
        <v>556</v>
      </c>
      <c r="C191" s="213" t="s">
        <v>557</v>
      </c>
      <c r="D191" s="212" t="s">
        <v>155</v>
      </c>
      <c r="E191" s="214"/>
      <c r="F191" s="214"/>
      <c r="G191" s="303"/>
    </row>
    <row r="192" spans="1:7" x14ac:dyDescent="0.25">
      <c r="A192" s="211" t="s">
        <v>558</v>
      </c>
      <c r="B192" s="212" t="s">
        <v>559</v>
      </c>
      <c r="C192" s="213" t="s">
        <v>560</v>
      </c>
      <c r="D192" s="212" t="s">
        <v>155</v>
      </c>
      <c r="E192" s="214"/>
      <c r="F192" s="214"/>
      <c r="G192" s="303"/>
    </row>
    <row r="193" spans="1:7" x14ac:dyDescent="0.25">
      <c r="A193" s="211" t="s">
        <v>561</v>
      </c>
      <c r="B193" s="212" t="s">
        <v>190</v>
      </c>
      <c r="C193" s="213" t="s">
        <v>562</v>
      </c>
      <c r="D193" s="212" t="s">
        <v>172</v>
      </c>
      <c r="E193" s="214"/>
      <c r="F193" s="214"/>
      <c r="G193" s="303"/>
    </row>
    <row r="194" spans="1:7" x14ac:dyDescent="0.25">
      <c r="A194" s="211" t="s">
        <v>563</v>
      </c>
      <c r="B194" s="212" t="s">
        <v>564</v>
      </c>
      <c r="C194" s="213" t="s">
        <v>565</v>
      </c>
      <c r="D194" s="212" t="s">
        <v>172</v>
      </c>
      <c r="E194" s="214"/>
      <c r="F194" s="214"/>
      <c r="G194" s="303"/>
    </row>
    <row r="195" spans="1:7" x14ac:dyDescent="0.25">
      <c r="A195" s="211" t="s">
        <v>566</v>
      </c>
      <c r="B195" s="212" t="s">
        <v>190</v>
      </c>
      <c r="C195" s="213" t="s">
        <v>567</v>
      </c>
      <c r="D195" s="212" t="s">
        <v>172</v>
      </c>
      <c r="E195" s="214"/>
      <c r="F195" s="214"/>
      <c r="G195" s="303"/>
    </row>
    <row r="196" spans="1:7" x14ac:dyDescent="0.25">
      <c r="A196" s="211" t="s">
        <v>568</v>
      </c>
      <c r="B196" s="212" t="s">
        <v>569</v>
      </c>
      <c r="C196" s="213" t="s">
        <v>570</v>
      </c>
      <c r="D196" s="212" t="s">
        <v>172</v>
      </c>
      <c r="E196" s="214"/>
      <c r="F196" s="214"/>
      <c r="G196" s="303"/>
    </row>
    <row r="197" spans="1:7" x14ac:dyDescent="0.25">
      <c r="A197" s="211" t="s">
        <v>571</v>
      </c>
      <c r="B197" s="212" t="s">
        <v>572</v>
      </c>
      <c r="C197" s="213" t="s">
        <v>573</v>
      </c>
      <c r="D197" s="212" t="s">
        <v>172</v>
      </c>
      <c r="E197" s="214"/>
      <c r="F197" s="214"/>
      <c r="G197" s="303"/>
    </row>
    <row r="198" spans="1:7" x14ac:dyDescent="0.25">
      <c r="A198" s="211" t="s">
        <v>574</v>
      </c>
      <c r="B198" s="212" t="s">
        <v>190</v>
      </c>
      <c r="C198" s="213" t="s">
        <v>575</v>
      </c>
      <c r="D198" s="212" t="s">
        <v>172</v>
      </c>
      <c r="E198" s="214"/>
      <c r="F198" s="214"/>
      <c r="G198" s="303"/>
    </row>
    <row r="199" spans="1:7" x14ac:dyDescent="0.25">
      <c r="A199" s="211" t="s">
        <v>576</v>
      </c>
      <c r="B199" s="212" t="s">
        <v>569</v>
      </c>
      <c r="C199" s="213" t="s">
        <v>577</v>
      </c>
      <c r="D199" s="212" t="s">
        <v>172</v>
      </c>
      <c r="E199" s="214"/>
      <c r="F199" s="214"/>
      <c r="G199" s="303"/>
    </row>
    <row r="200" spans="1:7" x14ac:dyDescent="0.25">
      <c r="A200" s="211" t="s">
        <v>578</v>
      </c>
      <c r="B200" s="212" t="s">
        <v>579</v>
      </c>
      <c r="C200" s="213" t="s">
        <v>580</v>
      </c>
      <c r="D200" s="212" t="s">
        <v>155</v>
      </c>
      <c r="E200" s="214"/>
      <c r="F200" s="214"/>
      <c r="G200" s="303"/>
    </row>
    <row r="201" spans="1:7" x14ac:dyDescent="0.25">
      <c r="A201" s="211" t="s">
        <v>581</v>
      </c>
      <c r="B201" s="212" t="s">
        <v>582</v>
      </c>
      <c r="C201" s="213" t="s">
        <v>583</v>
      </c>
      <c r="D201" s="212" t="s">
        <v>155</v>
      </c>
      <c r="E201" s="214"/>
      <c r="F201" s="214"/>
      <c r="G201" s="303"/>
    </row>
    <row r="202" spans="1:7" x14ac:dyDescent="0.25">
      <c r="A202" s="211" t="s">
        <v>584</v>
      </c>
      <c r="B202" s="212" t="s">
        <v>585</v>
      </c>
      <c r="C202" s="213" t="s">
        <v>586</v>
      </c>
      <c r="D202" s="212" t="s">
        <v>155</v>
      </c>
      <c r="E202" s="214"/>
      <c r="F202" s="214"/>
      <c r="G202" s="303"/>
    </row>
    <row r="203" spans="1:7" x14ac:dyDescent="0.25">
      <c r="A203" s="211" t="s">
        <v>587</v>
      </c>
      <c r="B203" s="212" t="s">
        <v>588</v>
      </c>
      <c r="C203" s="213" t="s">
        <v>589</v>
      </c>
      <c r="D203" s="212" t="s">
        <v>155</v>
      </c>
      <c r="E203" s="214"/>
      <c r="F203" s="214"/>
      <c r="G203" s="303"/>
    </row>
    <row r="204" spans="1:7" x14ac:dyDescent="0.25">
      <c r="A204" s="211" t="s">
        <v>590</v>
      </c>
      <c r="B204" s="212" t="s">
        <v>591</v>
      </c>
      <c r="C204" s="213" t="s">
        <v>592</v>
      </c>
      <c r="D204" s="212" t="s">
        <v>155</v>
      </c>
      <c r="E204" s="214"/>
      <c r="F204" s="214"/>
      <c r="G204" s="303"/>
    </row>
    <row r="205" spans="1:7" x14ac:dyDescent="0.25">
      <c r="A205" s="211" t="s">
        <v>593</v>
      </c>
      <c r="B205" s="212" t="s">
        <v>585</v>
      </c>
      <c r="C205" s="213" t="s">
        <v>594</v>
      </c>
      <c r="D205" s="212" t="s">
        <v>155</v>
      </c>
      <c r="E205" s="214"/>
      <c r="F205" s="214"/>
      <c r="G205" s="303"/>
    </row>
    <row r="206" spans="1:7" x14ac:dyDescent="0.25">
      <c r="A206" s="211" t="s">
        <v>595</v>
      </c>
      <c r="B206" s="212" t="s">
        <v>588</v>
      </c>
      <c r="C206" s="213" t="s">
        <v>596</v>
      </c>
      <c r="D206" s="212" t="s">
        <v>155</v>
      </c>
      <c r="E206" s="214"/>
      <c r="F206" s="214"/>
      <c r="G206" s="303"/>
    </row>
    <row r="207" spans="1:7" x14ac:dyDescent="0.25">
      <c r="A207" s="211" t="s">
        <v>595</v>
      </c>
      <c r="B207" s="212" t="s">
        <v>190</v>
      </c>
      <c r="C207" s="213" t="s">
        <v>597</v>
      </c>
      <c r="D207" s="212" t="s">
        <v>155</v>
      </c>
      <c r="E207" s="214"/>
      <c r="F207" s="214"/>
      <c r="G207" s="303"/>
    </row>
    <row r="208" spans="1:7" x14ac:dyDescent="0.25">
      <c r="A208" s="211" t="s">
        <v>598</v>
      </c>
      <c r="B208" s="212" t="s">
        <v>579</v>
      </c>
      <c r="C208" s="213" t="s">
        <v>599</v>
      </c>
      <c r="D208" s="212" t="s">
        <v>155</v>
      </c>
      <c r="E208" s="214"/>
      <c r="F208" s="214"/>
      <c r="G208" s="303"/>
    </row>
    <row r="209" spans="1:7" x14ac:dyDescent="0.25">
      <c r="A209" s="211" t="s">
        <v>556</v>
      </c>
      <c r="B209" s="212" t="s">
        <v>556</v>
      </c>
      <c r="C209" s="213" t="s">
        <v>600</v>
      </c>
      <c r="D209" s="212" t="s">
        <v>155</v>
      </c>
      <c r="E209" s="214"/>
      <c r="F209" s="214"/>
      <c r="G209" s="303"/>
    </row>
    <row r="210" spans="1:7" x14ac:dyDescent="0.25">
      <c r="A210" s="211" t="s">
        <v>559</v>
      </c>
      <c r="B210" s="212" t="s">
        <v>559</v>
      </c>
      <c r="C210" s="213" t="s">
        <v>601</v>
      </c>
      <c r="D210" s="212" t="s">
        <v>155</v>
      </c>
      <c r="E210" s="214"/>
      <c r="F210" s="214"/>
      <c r="G210" s="303"/>
    </row>
    <row r="211" spans="1:7" x14ac:dyDescent="0.25">
      <c r="A211" s="211" t="s">
        <v>602</v>
      </c>
      <c r="B211" s="212" t="s">
        <v>190</v>
      </c>
      <c r="C211" s="213" t="s">
        <v>603</v>
      </c>
      <c r="D211" s="212" t="s">
        <v>172</v>
      </c>
      <c r="E211" s="214"/>
      <c r="F211" s="214"/>
      <c r="G211" s="303"/>
    </row>
    <row r="212" spans="1:7" x14ac:dyDescent="0.25">
      <c r="A212" s="211" t="s">
        <v>604</v>
      </c>
      <c r="B212" s="212" t="s">
        <v>604</v>
      </c>
      <c r="C212" s="213" t="s">
        <v>605</v>
      </c>
      <c r="D212" s="212" t="s">
        <v>155</v>
      </c>
      <c r="E212" s="214"/>
      <c r="F212" s="214"/>
      <c r="G212" s="303"/>
    </row>
    <row r="213" spans="1:7" x14ac:dyDescent="0.25">
      <c r="A213" s="211" t="s">
        <v>606</v>
      </c>
      <c r="B213" s="212" t="s">
        <v>190</v>
      </c>
      <c r="C213" s="213" t="s">
        <v>607</v>
      </c>
      <c r="D213" s="212" t="s">
        <v>155</v>
      </c>
      <c r="E213" s="214"/>
      <c r="F213" s="214"/>
      <c r="G213" s="303"/>
    </row>
    <row r="214" spans="1:7" x14ac:dyDescent="0.25">
      <c r="A214" s="211" t="s">
        <v>608</v>
      </c>
      <c r="B214" s="212" t="s">
        <v>190</v>
      </c>
      <c r="C214" s="213" t="s">
        <v>609</v>
      </c>
      <c r="D214" s="212" t="s">
        <v>155</v>
      </c>
      <c r="E214" s="214"/>
      <c r="F214" s="214"/>
      <c r="G214" s="303"/>
    </row>
    <row r="215" spans="1:7" x14ac:dyDescent="0.25">
      <c r="A215" s="211" t="s">
        <v>610</v>
      </c>
      <c r="B215" s="212" t="s">
        <v>190</v>
      </c>
      <c r="C215" s="213" t="s">
        <v>611</v>
      </c>
      <c r="D215" s="212" t="s">
        <v>155</v>
      </c>
      <c r="E215" s="214"/>
      <c r="F215" s="214"/>
      <c r="G215" s="303"/>
    </row>
    <row r="216" spans="1:7" x14ac:dyDescent="0.25">
      <c r="A216" s="211" t="s">
        <v>612</v>
      </c>
      <c r="B216" s="212" t="s">
        <v>613</v>
      </c>
      <c r="C216" s="213" t="s">
        <v>614</v>
      </c>
      <c r="D216" s="212" t="s">
        <v>155</v>
      </c>
      <c r="E216" s="214"/>
      <c r="F216" s="214"/>
      <c r="G216" s="303"/>
    </row>
    <row r="217" spans="1:7" x14ac:dyDescent="0.25">
      <c r="A217" s="211" t="s">
        <v>615</v>
      </c>
      <c r="B217" s="212" t="s">
        <v>616</v>
      </c>
      <c r="C217" s="213" t="s">
        <v>617</v>
      </c>
      <c r="D217" s="212" t="s">
        <v>155</v>
      </c>
      <c r="E217" s="214"/>
      <c r="F217" s="214"/>
      <c r="G217" s="303"/>
    </row>
    <row r="218" spans="1:7" x14ac:dyDescent="0.25">
      <c r="A218" s="211" t="s">
        <v>618</v>
      </c>
      <c r="B218" s="212" t="s">
        <v>619</v>
      </c>
      <c r="C218" s="213" t="s">
        <v>620</v>
      </c>
      <c r="D218" s="212" t="s">
        <v>155</v>
      </c>
      <c r="E218" s="214"/>
      <c r="F218" s="214"/>
      <c r="G218" s="303"/>
    </row>
    <row r="219" spans="1:7" x14ac:dyDescent="0.25">
      <c r="A219" s="211" t="s">
        <v>621</v>
      </c>
      <c r="B219" s="212" t="s">
        <v>622</v>
      </c>
      <c r="C219" s="213" t="s">
        <v>623</v>
      </c>
      <c r="D219" s="212" t="s">
        <v>155</v>
      </c>
      <c r="E219" s="214"/>
      <c r="F219" s="214"/>
      <c r="G219" s="303"/>
    </row>
    <row r="220" spans="1:7" x14ac:dyDescent="0.25">
      <c r="A220" s="211" t="s">
        <v>624</v>
      </c>
      <c r="B220" s="212" t="s">
        <v>625</v>
      </c>
      <c r="C220" s="213" t="s">
        <v>626</v>
      </c>
      <c r="D220" s="212" t="s">
        <v>155</v>
      </c>
      <c r="E220" s="214"/>
      <c r="F220" s="214"/>
      <c r="G220" s="303"/>
    </row>
    <row r="221" spans="1:7" x14ac:dyDescent="0.25">
      <c r="A221" s="211" t="s">
        <v>627</v>
      </c>
      <c r="B221" s="212" t="s">
        <v>190</v>
      </c>
      <c r="C221" s="213" t="s">
        <v>628</v>
      </c>
      <c r="D221" s="212" t="s">
        <v>155</v>
      </c>
      <c r="E221" s="214"/>
      <c r="F221" s="214"/>
      <c r="G221" s="303"/>
    </row>
    <row r="222" spans="1:7" x14ac:dyDescent="0.25">
      <c r="A222" s="211" t="s">
        <v>629</v>
      </c>
      <c r="B222" s="212" t="s">
        <v>190</v>
      </c>
      <c r="C222" s="213" t="s">
        <v>630</v>
      </c>
      <c r="D222" s="212" t="s">
        <v>65</v>
      </c>
      <c r="E222" s="214"/>
      <c r="F222" s="214"/>
      <c r="G222" s="303"/>
    </row>
    <row r="223" spans="1:7" x14ac:dyDescent="0.25">
      <c r="A223" s="211" t="s">
        <v>631</v>
      </c>
      <c r="B223" s="212" t="s">
        <v>632</v>
      </c>
      <c r="C223" s="213" t="s">
        <v>633</v>
      </c>
      <c r="D223" s="212" t="s">
        <v>155</v>
      </c>
      <c r="E223" s="214"/>
      <c r="F223" s="214"/>
      <c r="G223" s="303"/>
    </row>
    <row r="224" spans="1:7" x14ac:dyDescent="0.25">
      <c r="A224" s="211" t="s">
        <v>634</v>
      </c>
      <c r="B224" s="212" t="s">
        <v>635</v>
      </c>
      <c r="C224" s="213" t="s">
        <v>636</v>
      </c>
      <c r="D224" s="212" t="s">
        <v>65</v>
      </c>
      <c r="E224" s="214"/>
      <c r="F224" s="214"/>
      <c r="G224" s="303"/>
    </row>
    <row r="225" spans="1:7" x14ac:dyDescent="0.25">
      <c r="A225" s="211" t="s">
        <v>637</v>
      </c>
      <c r="B225" s="212" t="s">
        <v>638</v>
      </c>
      <c r="C225" s="213" t="s">
        <v>639</v>
      </c>
      <c r="D225" s="212" t="s">
        <v>65</v>
      </c>
      <c r="E225" s="214"/>
      <c r="F225" s="214"/>
      <c r="G225" s="303"/>
    </row>
    <row r="226" spans="1:7" x14ac:dyDescent="0.25">
      <c r="A226" s="211" t="s">
        <v>640</v>
      </c>
      <c r="B226" s="212" t="s">
        <v>641</v>
      </c>
      <c r="C226" s="213" t="s">
        <v>642</v>
      </c>
      <c r="D226" s="212" t="s">
        <v>65</v>
      </c>
      <c r="E226" s="214"/>
      <c r="F226" s="214"/>
      <c r="G226" s="303"/>
    </row>
    <row r="227" spans="1:7" x14ac:dyDescent="0.25">
      <c r="A227" s="211" t="s">
        <v>643</v>
      </c>
      <c r="B227" s="212" t="s">
        <v>641</v>
      </c>
      <c r="C227" s="213" t="s">
        <v>644</v>
      </c>
      <c r="D227" s="212" t="s">
        <v>65</v>
      </c>
      <c r="E227" s="214"/>
      <c r="F227" s="214"/>
      <c r="G227" s="303"/>
    </row>
    <row r="228" spans="1:7" x14ac:dyDescent="0.25">
      <c r="A228" s="211" t="s">
        <v>645</v>
      </c>
      <c r="B228" s="212" t="s">
        <v>646</v>
      </c>
      <c r="C228" s="213" t="s">
        <v>647</v>
      </c>
      <c r="D228" s="212" t="s">
        <v>65</v>
      </c>
      <c r="E228" s="214"/>
      <c r="F228" s="214"/>
      <c r="G228" s="303"/>
    </row>
    <row r="229" spans="1:7" x14ac:dyDescent="0.25">
      <c r="A229" s="211" t="s">
        <v>648</v>
      </c>
      <c r="B229" s="212" t="s">
        <v>649</v>
      </c>
      <c r="C229" s="213" t="s">
        <v>650</v>
      </c>
      <c r="D229" s="212" t="s">
        <v>65</v>
      </c>
      <c r="E229" s="214"/>
      <c r="F229" s="214"/>
      <c r="G229" s="303"/>
    </row>
    <row r="230" spans="1:7" x14ac:dyDescent="0.25">
      <c r="A230" s="211" t="s">
        <v>651</v>
      </c>
      <c r="B230" s="212" t="s">
        <v>641</v>
      </c>
      <c r="C230" s="213" t="s">
        <v>652</v>
      </c>
      <c r="D230" s="212" t="s">
        <v>65</v>
      </c>
      <c r="E230" s="214"/>
      <c r="F230" s="214"/>
      <c r="G230" s="303"/>
    </row>
    <row r="231" spans="1:7" x14ac:dyDescent="0.25">
      <c r="A231" s="211" t="s">
        <v>653</v>
      </c>
      <c r="B231" s="212" t="s">
        <v>654</v>
      </c>
      <c r="C231" s="213" t="s">
        <v>655</v>
      </c>
      <c r="D231" s="212" t="s">
        <v>65</v>
      </c>
      <c r="E231" s="214" t="s">
        <v>6</v>
      </c>
      <c r="F231" s="214">
        <v>19</v>
      </c>
      <c r="G231" s="303"/>
    </row>
    <row r="232" spans="1:7" x14ac:dyDescent="0.25">
      <c r="A232" s="211" t="s">
        <v>656</v>
      </c>
      <c r="B232" s="212" t="s">
        <v>657</v>
      </c>
      <c r="C232" s="213" t="s">
        <v>658</v>
      </c>
      <c r="D232" s="212" t="s">
        <v>155</v>
      </c>
      <c r="E232" s="214" t="s">
        <v>7</v>
      </c>
      <c r="F232" s="214">
        <v>70</v>
      </c>
      <c r="G232" s="303"/>
    </row>
    <row r="233" spans="1:7" x14ac:dyDescent="0.25">
      <c r="A233" s="211" t="s">
        <v>659</v>
      </c>
      <c r="B233" s="212" t="s">
        <v>660</v>
      </c>
      <c r="C233" s="213" t="s">
        <v>661</v>
      </c>
      <c r="D233" s="212" t="s">
        <v>155</v>
      </c>
      <c r="E233" s="214" t="s">
        <v>7</v>
      </c>
      <c r="F233" s="214">
        <v>90</v>
      </c>
      <c r="G233" s="303"/>
    </row>
    <row r="234" spans="1:7" x14ac:dyDescent="0.25">
      <c r="A234" s="211" t="s">
        <v>662</v>
      </c>
      <c r="B234" s="212" t="s">
        <v>663</v>
      </c>
      <c r="C234" s="213" t="s">
        <v>664</v>
      </c>
      <c r="D234" s="212" t="s">
        <v>65</v>
      </c>
      <c r="E234" s="214"/>
      <c r="F234" s="214"/>
      <c r="G234" s="303"/>
    </row>
    <row r="235" spans="1:7" x14ac:dyDescent="0.25">
      <c r="A235" s="211" t="s">
        <v>665</v>
      </c>
      <c r="B235" s="212" t="s">
        <v>666</v>
      </c>
      <c r="C235" s="213" t="s">
        <v>667</v>
      </c>
      <c r="D235" s="212" t="s">
        <v>155</v>
      </c>
      <c r="E235" s="214"/>
      <c r="F235" s="214"/>
      <c r="G235" s="303"/>
    </row>
    <row r="236" spans="1:7" x14ac:dyDescent="0.25">
      <c r="A236" s="211" t="s">
        <v>668</v>
      </c>
      <c r="B236" s="212"/>
      <c r="C236" s="213" t="s">
        <v>669</v>
      </c>
      <c r="D236" s="212" t="s">
        <v>155</v>
      </c>
      <c r="E236" s="214"/>
      <c r="F236" s="214"/>
      <c r="G236" s="303"/>
    </row>
    <row r="237" spans="1:7" x14ac:dyDescent="0.25">
      <c r="A237" s="211" t="s">
        <v>670</v>
      </c>
      <c r="B237" s="212" t="s">
        <v>671</v>
      </c>
      <c r="C237" s="213" t="s">
        <v>672</v>
      </c>
      <c r="D237" s="212" t="s">
        <v>155</v>
      </c>
      <c r="E237" s="214"/>
      <c r="F237" s="214"/>
      <c r="G237" s="303"/>
    </row>
    <row r="238" spans="1:7" x14ac:dyDescent="0.25">
      <c r="A238" s="211" t="s">
        <v>673</v>
      </c>
      <c r="B238" s="212" t="s">
        <v>674</v>
      </c>
      <c r="C238" s="213" t="s">
        <v>675</v>
      </c>
      <c r="D238" s="212" t="s">
        <v>155</v>
      </c>
      <c r="E238" s="214"/>
      <c r="F238" s="214"/>
      <c r="G238" s="303"/>
    </row>
    <row r="239" spans="1:7" x14ac:dyDescent="0.25">
      <c r="A239" s="211" t="s">
        <v>676</v>
      </c>
      <c r="B239" s="212"/>
      <c r="C239" s="213" t="s">
        <v>677</v>
      </c>
      <c r="D239" s="212" t="s">
        <v>155</v>
      </c>
      <c r="E239" s="214"/>
      <c r="F239" s="214"/>
      <c r="G239" s="303"/>
    </row>
    <row r="240" spans="1:7" x14ac:dyDescent="0.25">
      <c r="A240" s="211" t="s">
        <v>678</v>
      </c>
      <c r="B240" s="212" t="s">
        <v>190</v>
      </c>
      <c r="C240" s="213" t="s">
        <v>679</v>
      </c>
      <c r="D240" s="212" t="s">
        <v>155</v>
      </c>
      <c r="E240" s="214"/>
      <c r="F240" s="214"/>
      <c r="G240" s="303"/>
    </row>
    <row r="241" spans="1:7" x14ac:dyDescent="0.25">
      <c r="A241" s="211" t="s">
        <v>680</v>
      </c>
      <c r="B241" s="212" t="s">
        <v>681</v>
      </c>
      <c r="C241" s="213" t="s">
        <v>682</v>
      </c>
      <c r="D241" s="212" t="s">
        <v>155</v>
      </c>
      <c r="E241" s="214"/>
      <c r="F241" s="214"/>
      <c r="G241" s="303"/>
    </row>
    <row r="242" spans="1:7" x14ac:dyDescent="0.25">
      <c r="A242" s="211" t="s">
        <v>683</v>
      </c>
      <c r="B242" s="212" t="s">
        <v>681</v>
      </c>
      <c r="C242" s="213" t="s">
        <v>684</v>
      </c>
      <c r="D242" s="212" t="s">
        <v>155</v>
      </c>
      <c r="E242" s="214"/>
      <c r="F242" s="214"/>
      <c r="G242" s="303"/>
    </row>
    <row r="243" spans="1:7" x14ac:dyDescent="0.25">
      <c r="A243" s="211" t="s">
        <v>685</v>
      </c>
      <c r="B243" s="212" t="s">
        <v>681</v>
      </c>
      <c r="C243" s="213" t="s">
        <v>686</v>
      </c>
      <c r="D243" s="212" t="s">
        <v>155</v>
      </c>
      <c r="E243" s="214"/>
      <c r="F243" s="214"/>
      <c r="G243" s="303"/>
    </row>
    <row r="244" spans="1:7" x14ac:dyDescent="0.25">
      <c r="A244" s="211" t="s">
        <v>687</v>
      </c>
      <c r="B244" s="212" t="s">
        <v>681</v>
      </c>
      <c r="C244" s="213" t="s">
        <v>688</v>
      </c>
      <c r="D244" s="212" t="s">
        <v>155</v>
      </c>
      <c r="E244" s="214"/>
      <c r="F244" s="214"/>
      <c r="G244" s="303"/>
    </row>
    <row r="245" spans="1:7" x14ac:dyDescent="0.25">
      <c r="A245" s="211" t="s">
        <v>689</v>
      </c>
      <c r="B245" s="212" t="s">
        <v>689</v>
      </c>
      <c r="C245" s="213" t="s">
        <v>690</v>
      </c>
      <c r="D245" s="212" t="s">
        <v>155</v>
      </c>
      <c r="E245" s="214"/>
      <c r="F245" s="214"/>
      <c r="G245" s="303"/>
    </row>
    <row r="246" spans="1:7" x14ac:dyDescent="0.25">
      <c r="A246" s="211" t="s">
        <v>681</v>
      </c>
      <c r="B246" s="212" t="s">
        <v>681</v>
      </c>
      <c r="C246" s="213" t="s">
        <v>691</v>
      </c>
      <c r="D246" s="212" t="s">
        <v>155</v>
      </c>
      <c r="E246" s="214"/>
      <c r="F246" s="214"/>
      <c r="G246" s="303"/>
    </row>
    <row r="247" spans="1:7" x14ac:dyDescent="0.25">
      <c r="A247" s="211" t="s">
        <v>24</v>
      </c>
      <c r="B247" s="212" t="s">
        <v>24</v>
      </c>
      <c r="C247" s="213" t="s">
        <v>48</v>
      </c>
      <c r="D247" s="212" t="s">
        <v>155</v>
      </c>
      <c r="E247" s="214"/>
      <c r="F247" s="214">
        <v>46</v>
      </c>
      <c r="G247" s="303"/>
    </row>
    <row r="248" spans="1:7" x14ac:dyDescent="0.25">
      <c r="A248" s="211" t="s">
        <v>71</v>
      </c>
      <c r="B248" s="212" t="s">
        <v>71</v>
      </c>
      <c r="C248" s="213" t="s">
        <v>72</v>
      </c>
      <c r="D248" s="212" t="s">
        <v>155</v>
      </c>
      <c r="E248" s="214"/>
      <c r="F248" s="214">
        <v>79</v>
      </c>
      <c r="G248" s="303"/>
    </row>
    <row r="249" spans="1:7" x14ac:dyDescent="0.25">
      <c r="A249" s="211" t="s">
        <v>692</v>
      </c>
      <c r="B249" s="212" t="s">
        <v>190</v>
      </c>
      <c r="C249" s="213" t="s">
        <v>693</v>
      </c>
      <c r="D249" s="212" t="s">
        <v>155</v>
      </c>
      <c r="E249" s="214"/>
      <c r="F249" s="214"/>
      <c r="G249" s="303"/>
    </row>
    <row r="250" spans="1:7" x14ac:dyDescent="0.25">
      <c r="A250" s="211" t="s">
        <v>694</v>
      </c>
      <c r="B250" s="212" t="s">
        <v>689</v>
      </c>
      <c r="C250" s="213" t="s">
        <v>695</v>
      </c>
      <c r="D250" s="212" t="s">
        <v>155</v>
      </c>
      <c r="E250" s="214"/>
      <c r="F250" s="214"/>
      <c r="G250" s="303"/>
    </row>
    <row r="251" spans="1:7" x14ac:dyDescent="0.25">
      <c r="A251" s="211" t="s">
        <v>696</v>
      </c>
      <c r="B251" s="212" t="s">
        <v>697</v>
      </c>
      <c r="C251" s="213" t="s">
        <v>698</v>
      </c>
      <c r="D251" s="212" t="s">
        <v>155</v>
      </c>
      <c r="E251" s="214"/>
      <c r="F251" s="214"/>
      <c r="G251" s="303"/>
    </row>
    <row r="252" spans="1:7" x14ac:dyDescent="0.25">
      <c r="A252" s="211" t="s">
        <v>699</v>
      </c>
      <c r="B252" s="212" t="s">
        <v>700</v>
      </c>
      <c r="C252" s="213" t="s">
        <v>701</v>
      </c>
      <c r="D252" s="212" t="s">
        <v>65</v>
      </c>
      <c r="E252" s="214"/>
      <c r="F252" s="214"/>
      <c r="G252" s="303"/>
    </row>
    <row r="253" spans="1:7" x14ac:dyDescent="0.25">
      <c r="A253" s="211" t="s">
        <v>702</v>
      </c>
      <c r="B253" s="212" t="s">
        <v>190</v>
      </c>
      <c r="C253" s="213" t="s">
        <v>703</v>
      </c>
      <c r="D253" s="212" t="s">
        <v>155</v>
      </c>
      <c r="E253" s="214"/>
      <c r="F253" s="214"/>
      <c r="G253" s="303"/>
    </row>
    <row r="254" spans="1:7" x14ac:dyDescent="0.25">
      <c r="A254" s="211" t="s">
        <v>704</v>
      </c>
      <c r="B254" s="212" t="s">
        <v>705</v>
      </c>
      <c r="C254" s="213" t="s">
        <v>706</v>
      </c>
      <c r="D254" s="212" t="s">
        <v>65</v>
      </c>
      <c r="E254" s="214"/>
      <c r="F254" s="214"/>
      <c r="G254" s="303"/>
    </row>
    <row r="255" spans="1:7" x14ac:dyDescent="0.25">
      <c r="A255" s="211" t="s">
        <v>707</v>
      </c>
      <c r="B255" s="212" t="s">
        <v>708</v>
      </c>
      <c r="C255" s="213" t="s">
        <v>709</v>
      </c>
      <c r="D255" s="212" t="s">
        <v>155</v>
      </c>
      <c r="E255" s="214"/>
      <c r="F255" s="214"/>
      <c r="G255" s="303"/>
    </row>
    <row r="256" spans="1:7" x14ac:dyDescent="0.25">
      <c r="A256" s="211" t="s">
        <v>710</v>
      </c>
      <c r="B256" s="212" t="s">
        <v>190</v>
      </c>
      <c r="C256" s="213" t="s">
        <v>711</v>
      </c>
      <c r="D256" s="212" t="s">
        <v>155</v>
      </c>
      <c r="E256" s="214"/>
      <c r="F256" s="214"/>
      <c r="G256" s="303"/>
    </row>
    <row r="257" spans="1:7" x14ac:dyDescent="0.25">
      <c r="A257" s="211" t="s">
        <v>712</v>
      </c>
      <c r="B257" s="212" t="s">
        <v>713</v>
      </c>
      <c r="C257" s="213" t="s">
        <v>714</v>
      </c>
      <c r="D257" s="212" t="s">
        <v>65</v>
      </c>
      <c r="E257" s="214"/>
      <c r="F257" s="214"/>
      <c r="G257" s="303"/>
    </row>
    <row r="258" spans="1:7" x14ac:dyDescent="0.25">
      <c r="A258" s="211" t="s">
        <v>715</v>
      </c>
      <c r="B258" s="212" t="s">
        <v>190</v>
      </c>
      <c r="C258" s="213" t="s">
        <v>716</v>
      </c>
      <c r="D258" s="212" t="s">
        <v>190</v>
      </c>
      <c r="E258" s="214"/>
      <c r="F258" s="214"/>
      <c r="G258" s="303" t="s">
        <v>716</v>
      </c>
    </row>
    <row r="259" spans="1:7" x14ac:dyDescent="0.25">
      <c r="A259" s="211" t="s">
        <v>717</v>
      </c>
      <c r="B259" s="212" t="s">
        <v>718</v>
      </c>
      <c r="C259" s="213" t="s">
        <v>719</v>
      </c>
      <c r="D259" s="212" t="s">
        <v>155</v>
      </c>
      <c r="E259" s="214"/>
      <c r="F259" s="214"/>
      <c r="G259" s="303"/>
    </row>
    <row r="260" spans="1:7" x14ac:dyDescent="0.25">
      <c r="A260" s="211" t="s">
        <v>720</v>
      </c>
      <c r="B260" s="212" t="s">
        <v>721</v>
      </c>
      <c r="C260" s="213" t="s">
        <v>722</v>
      </c>
      <c r="D260" s="212" t="s">
        <v>155</v>
      </c>
      <c r="E260" s="214"/>
      <c r="F260" s="214"/>
      <c r="G260" s="303"/>
    </row>
    <row r="261" spans="1:7" x14ac:dyDescent="0.25">
      <c r="A261" s="211" t="s">
        <v>723</v>
      </c>
      <c r="B261" s="212" t="s">
        <v>724</v>
      </c>
      <c r="C261" s="213" t="s">
        <v>725</v>
      </c>
      <c r="D261" s="212" t="s">
        <v>172</v>
      </c>
      <c r="E261" s="214"/>
      <c r="F261" s="214"/>
      <c r="G261" s="303"/>
    </row>
    <row r="262" spans="1:7" x14ac:dyDescent="0.25">
      <c r="A262" s="211" t="s">
        <v>726</v>
      </c>
      <c r="B262" s="212" t="s">
        <v>724</v>
      </c>
      <c r="C262" s="213" t="s">
        <v>727</v>
      </c>
      <c r="D262" s="212" t="s">
        <v>172</v>
      </c>
      <c r="E262" s="214"/>
      <c r="F262" s="214"/>
      <c r="G262" s="303"/>
    </row>
    <row r="263" spans="1:7" x14ac:dyDescent="0.25">
      <c r="A263" s="211" t="s">
        <v>728</v>
      </c>
      <c r="B263" s="212" t="s">
        <v>724</v>
      </c>
      <c r="C263" s="213" t="s">
        <v>729</v>
      </c>
      <c r="D263" s="212" t="s">
        <v>172</v>
      </c>
      <c r="E263" s="214"/>
      <c r="F263" s="214"/>
      <c r="G263" s="303"/>
    </row>
    <row r="264" spans="1:7" x14ac:dyDescent="0.25">
      <c r="A264" s="211" t="s">
        <v>730</v>
      </c>
      <c r="B264" s="212" t="s">
        <v>724</v>
      </c>
      <c r="C264" s="213" t="s">
        <v>731</v>
      </c>
      <c r="D264" s="212" t="s">
        <v>172</v>
      </c>
      <c r="E264" s="214"/>
      <c r="F264" s="214"/>
      <c r="G264" s="303"/>
    </row>
    <row r="265" spans="1:7" x14ac:dyDescent="0.25">
      <c r="A265" s="211" t="s">
        <v>732</v>
      </c>
      <c r="B265" s="212" t="s">
        <v>724</v>
      </c>
      <c r="C265" s="213" t="s">
        <v>733</v>
      </c>
      <c r="D265" s="212" t="s">
        <v>172</v>
      </c>
      <c r="E265" s="214"/>
      <c r="F265" s="214"/>
      <c r="G265" s="303"/>
    </row>
    <row r="266" spans="1:7" x14ac:dyDescent="0.25">
      <c r="A266" s="211" t="s">
        <v>734</v>
      </c>
      <c r="B266" s="212" t="s">
        <v>735</v>
      </c>
      <c r="C266" s="213" t="s">
        <v>736</v>
      </c>
      <c r="D266" s="212" t="s">
        <v>172</v>
      </c>
      <c r="E266" s="214"/>
      <c r="F266" s="214"/>
      <c r="G266" s="303"/>
    </row>
    <row r="267" spans="1:7" x14ac:dyDescent="0.25">
      <c r="A267" s="211" t="s">
        <v>737</v>
      </c>
      <c r="B267" s="212" t="s">
        <v>738</v>
      </c>
      <c r="C267" s="213" t="s">
        <v>739</v>
      </c>
      <c r="D267" s="212" t="s">
        <v>172</v>
      </c>
      <c r="E267" s="214" t="s">
        <v>8</v>
      </c>
      <c r="F267" s="214">
        <v>0</v>
      </c>
      <c r="G267" s="304" t="s">
        <v>740</v>
      </c>
    </row>
    <row r="268" spans="1:7" x14ac:dyDescent="0.25">
      <c r="A268" s="211" t="s">
        <v>741</v>
      </c>
      <c r="B268" s="212" t="s">
        <v>742</v>
      </c>
      <c r="C268" s="213" t="s">
        <v>743</v>
      </c>
      <c r="D268" s="212" t="s">
        <v>155</v>
      </c>
      <c r="E268" s="214"/>
      <c r="F268" s="214"/>
      <c r="G268" s="303"/>
    </row>
    <row r="269" spans="1:7" x14ac:dyDescent="0.25">
      <c r="A269" s="211" t="s">
        <v>744</v>
      </c>
      <c r="B269" s="212" t="s">
        <v>724</v>
      </c>
      <c r="C269" s="213" t="s">
        <v>745</v>
      </c>
      <c r="D269" s="212" t="s">
        <v>172</v>
      </c>
      <c r="E269" s="214"/>
      <c r="F269" s="214"/>
      <c r="G269" s="303"/>
    </row>
    <row r="270" spans="1:7" x14ac:dyDescent="0.25">
      <c r="A270" s="211" t="s">
        <v>746</v>
      </c>
      <c r="B270" s="212" t="s">
        <v>747</v>
      </c>
      <c r="C270" s="213" t="s">
        <v>748</v>
      </c>
      <c r="D270" s="212" t="s">
        <v>172</v>
      </c>
      <c r="E270" s="214"/>
      <c r="F270" s="214"/>
      <c r="G270" s="303"/>
    </row>
    <row r="271" spans="1:7" x14ac:dyDescent="0.25">
      <c r="A271" s="211" t="s">
        <v>749</v>
      </c>
      <c r="B271" s="212" t="s">
        <v>750</v>
      </c>
      <c r="C271" s="213" t="s">
        <v>751</v>
      </c>
      <c r="D271" s="212" t="s">
        <v>65</v>
      </c>
      <c r="E271" s="214"/>
      <c r="F271" s="214"/>
      <c r="G271" s="303"/>
    </row>
    <row r="272" spans="1:7" x14ac:dyDescent="0.25">
      <c r="A272" s="211" t="s">
        <v>752</v>
      </c>
      <c r="B272" s="212" t="s">
        <v>753</v>
      </c>
      <c r="C272" s="213" t="s">
        <v>754</v>
      </c>
      <c r="D272" s="212" t="s">
        <v>65</v>
      </c>
      <c r="E272" s="214"/>
      <c r="F272" s="214"/>
      <c r="G272" s="303"/>
    </row>
    <row r="273" spans="1:7" x14ac:dyDescent="0.25">
      <c r="A273" s="211" t="s">
        <v>755</v>
      </c>
      <c r="B273" s="212" t="s">
        <v>756</v>
      </c>
      <c r="C273" s="213" t="s">
        <v>757</v>
      </c>
      <c r="D273" s="212" t="s">
        <v>155</v>
      </c>
      <c r="E273" s="214"/>
      <c r="F273" s="214"/>
      <c r="G273" s="303"/>
    </row>
    <row r="274" spans="1:7" x14ac:dyDescent="0.25">
      <c r="A274" s="211" t="s">
        <v>758</v>
      </c>
      <c r="B274" s="212" t="s">
        <v>190</v>
      </c>
      <c r="C274" s="213" t="s">
        <v>759</v>
      </c>
      <c r="D274" s="212" t="s">
        <v>760</v>
      </c>
      <c r="E274" s="214"/>
      <c r="F274" s="214"/>
      <c r="G274" s="303"/>
    </row>
    <row r="275" spans="1:7" x14ac:dyDescent="0.25">
      <c r="A275" s="211" t="s">
        <v>761</v>
      </c>
      <c r="B275" s="212" t="s">
        <v>762</v>
      </c>
      <c r="C275" s="213" t="s">
        <v>763</v>
      </c>
      <c r="D275" s="212" t="s">
        <v>155</v>
      </c>
      <c r="E275" s="214"/>
      <c r="F275" s="214"/>
      <c r="G275" s="303"/>
    </row>
    <row r="276" spans="1:7" x14ac:dyDescent="0.25">
      <c r="A276" s="211" t="s">
        <v>764</v>
      </c>
      <c r="B276" s="212" t="s">
        <v>765</v>
      </c>
      <c r="C276" s="213" t="s">
        <v>766</v>
      </c>
      <c r="D276" s="212" t="s">
        <v>172</v>
      </c>
      <c r="E276" s="214"/>
      <c r="F276" s="214"/>
      <c r="G276" s="303"/>
    </row>
    <row r="277" spans="1:7" x14ac:dyDescent="0.25">
      <c r="A277" s="211" t="s">
        <v>767</v>
      </c>
      <c r="B277" s="212" t="s">
        <v>765</v>
      </c>
      <c r="C277" s="213" t="s">
        <v>768</v>
      </c>
      <c r="D277" s="212" t="s">
        <v>172</v>
      </c>
      <c r="E277" s="214"/>
      <c r="F277" s="214"/>
      <c r="G277" s="303"/>
    </row>
    <row r="278" spans="1:7" x14ac:dyDescent="0.25">
      <c r="A278" s="211" t="s">
        <v>769</v>
      </c>
      <c r="B278" s="212" t="s">
        <v>765</v>
      </c>
      <c r="C278" s="213" t="s">
        <v>770</v>
      </c>
      <c r="D278" s="212" t="s">
        <v>172</v>
      </c>
      <c r="E278" s="214"/>
      <c r="F278" s="214"/>
      <c r="G278" s="303"/>
    </row>
    <row r="279" spans="1:7" x14ac:dyDescent="0.25">
      <c r="A279" s="211" t="s">
        <v>771</v>
      </c>
      <c r="B279" s="212" t="s">
        <v>765</v>
      </c>
      <c r="C279" s="213" t="s">
        <v>772</v>
      </c>
      <c r="D279" s="212" t="s">
        <v>172</v>
      </c>
      <c r="E279" s="214"/>
      <c r="F279" s="214"/>
      <c r="G279" s="303"/>
    </row>
    <row r="280" spans="1:7" x14ac:dyDescent="0.25">
      <c r="A280" s="211" t="s">
        <v>773</v>
      </c>
      <c r="B280" s="212" t="s">
        <v>774</v>
      </c>
      <c r="C280" s="213" t="s">
        <v>775</v>
      </c>
      <c r="D280" s="212" t="s">
        <v>155</v>
      </c>
      <c r="E280" s="214"/>
      <c r="F280" s="214"/>
      <c r="G280" s="303"/>
    </row>
    <row r="281" spans="1:7" x14ac:dyDescent="0.25">
      <c r="A281" s="211" t="s">
        <v>776</v>
      </c>
      <c r="B281" s="212" t="s">
        <v>777</v>
      </c>
      <c r="C281" s="213" t="s">
        <v>778</v>
      </c>
      <c r="D281" s="212" t="s">
        <v>65</v>
      </c>
      <c r="E281" s="214"/>
      <c r="F281" s="214"/>
      <c r="G281" s="303"/>
    </row>
    <row r="282" spans="1:7" x14ac:dyDescent="0.25">
      <c r="A282" s="211" t="s">
        <v>779</v>
      </c>
      <c r="B282" s="212" t="s">
        <v>190</v>
      </c>
      <c r="C282" s="213" t="s">
        <v>780</v>
      </c>
      <c r="D282" s="212" t="s">
        <v>190</v>
      </c>
      <c r="E282" s="214"/>
      <c r="F282" s="214"/>
      <c r="G282" s="303" t="s">
        <v>781</v>
      </c>
    </row>
    <row r="283" spans="1:7" x14ac:dyDescent="0.25">
      <c r="A283" s="211" t="s">
        <v>782</v>
      </c>
      <c r="B283" s="212" t="s">
        <v>190</v>
      </c>
      <c r="C283" s="213" t="s">
        <v>783</v>
      </c>
      <c r="D283" s="212" t="s">
        <v>190</v>
      </c>
      <c r="E283" s="214"/>
      <c r="F283" s="214"/>
      <c r="G283" s="303" t="s">
        <v>783</v>
      </c>
    </row>
    <row r="284" spans="1:7" x14ac:dyDescent="0.25">
      <c r="A284" s="211" t="s">
        <v>784</v>
      </c>
      <c r="B284" s="212" t="s">
        <v>785</v>
      </c>
      <c r="C284" s="213" t="s">
        <v>786</v>
      </c>
      <c r="D284" s="212" t="s">
        <v>155</v>
      </c>
      <c r="E284" s="214"/>
      <c r="F284" s="214"/>
      <c r="G284" s="303"/>
    </row>
    <row r="285" spans="1:7" x14ac:dyDescent="0.25">
      <c r="A285" s="211" t="s">
        <v>787</v>
      </c>
      <c r="B285" s="212" t="s">
        <v>785</v>
      </c>
      <c r="C285" s="213" t="s">
        <v>788</v>
      </c>
      <c r="D285" s="212" t="s">
        <v>155</v>
      </c>
      <c r="E285" s="214"/>
      <c r="F285" s="214"/>
      <c r="G285" s="303"/>
    </row>
    <row r="286" spans="1:7" x14ac:dyDescent="0.25">
      <c r="A286" s="211" t="s">
        <v>789</v>
      </c>
      <c r="B286" s="212" t="s">
        <v>790</v>
      </c>
      <c r="C286" s="213" t="s">
        <v>791</v>
      </c>
      <c r="D286" s="212" t="s">
        <v>155</v>
      </c>
      <c r="E286" s="214"/>
      <c r="F286" s="214"/>
      <c r="G286" s="303"/>
    </row>
    <row r="287" spans="1:7" x14ac:dyDescent="0.25">
      <c r="A287" s="211" t="s">
        <v>792</v>
      </c>
      <c r="B287" s="212" t="s">
        <v>785</v>
      </c>
      <c r="C287" s="213" t="s">
        <v>793</v>
      </c>
      <c r="D287" s="212" t="s">
        <v>155</v>
      </c>
      <c r="E287" s="214"/>
      <c r="F287" s="214"/>
      <c r="G287" s="303"/>
    </row>
    <row r="288" spans="1:7" x14ac:dyDescent="0.25">
      <c r="A288" s="211" t="s">
        <v>794</v>
      </c>
      <c r="B288" s="212" t="s">
        <v>190</v>
      </c>
      <c r="C288" s="213" t="s">
        <v>795</v>
      </c>
      <c r="D288" s="212" t="s">
        <v>155</v>
      </c>
      <c r="E288" s="214"/>
      <c r="F288" s="214"/>
      <c r="G288" s="303"/>
    </row>
    <row r="289" spans="1:7" x14ac:dyDescent="0.25">
      <c r="A289" s="211" t="s">
        <v>796</v>
      </c>
      <c r="B289" s="212" t="s">
        <v>797</v>
      </c>
      <c r="C289" s="213" t="s">
        <v>798</v>
      </c>
      <c r="D289" s="212" t="s">
        <v>172</v>
      </c>
      <c r="E289" s="214"/>
      <c r="F289" s="214"/>
      <c r="G289" s="303"/>
    </row>
    <row r="290" spans="1:7" x14ac:dyDescent="0.25">
      <c r="A290" s="211" t="s">
        <v>799</v>
      </c>
      <c r="B290" s="212" t="s">
        <v>797</v>
      </c>
      <c r="C290" s="213" t="s">
        <v>800</v>
      </c>
      <c r="D290" s="212" t="s">
        <v>172</v>
      </c>
      <c r="E290" s="214"/>
      <c r="F290" s="214"/>
      <c r="G290" s="303"/>
    </row>
    <row r="291" spans="1:7" x14ac:dyDescent="0.25">
      <c r="A291" s="211" t="s">
        <v>801</v>
      </c>
      <c r="B291" s="212" t="s">
        <v>797</v>
      </c>
      <c r="C291" s="213" t="s">
        <v>802</v>
      </c>
      <c r="D291" s="212" t="s">
        <v>172</v>
      </c>
      <c r="E291" s="214"/>
      <c r="F291" s="214"/>
      <c r="G291" s="303"/>
    </row>
    <row r="292" spans="1:7" x14ac:dyDescent="0.25">
      <c r="A292" s="211" t="s">
        <v>803</v>
      </c>
      <c r="B292" s="212" t="s">
        <v>804</v>
      </c>
      <c r="C292" s="213" t="s">
        <v>805</v>
      </c>
      <c r="D292" s="212" t="s">
        <v>155</v>
      </c>
      <c r="E292" s="214"/>
      <c r="F292" s="214"/>
      <c r="G292" s="303"/>
    </row>
    <row r="293" spans="1:7" x14ac:dyDescent="0.25">
      <c r="A293" s="211" t="s">
        <v>806</v>
      </c>
      <c r="B293" s="212" t="s">
        <v>807</v>
      </c>
      <c r="C293" s="213" t="s">
        <v>808</v>
      </c>
      <c r="D293" s="212" t="s">
        <v>155</v>
      </c>
      <c r="E293" s="214"/>
      <c r="F293" s="214"/>
      <c r="G293" s="303"/>
    </row>
    <row r="294" spans="1:7" x14ac:dyDescent="0.25">
      <c r="A294" s="211" t="s">
        <v>809</v>
      </c>
      <c r="B294" s="212" t="s">
        <v>810</v>
      </c>
      <c r="C294" s="213" t="s">
        <v>811</v>
      </c>
      <c r="D294" s="212" t="s">
        <v>155</v>
      </c>
      <c r="E294" s="214"/>
      <c r="F294" s="214"/>
      <c r="G294" s="303"/>
    </row>
    <row r="295" spans="1:7" x14ac:dyDescent="0.25">
      <c r="A295" s="211" t="s">
        <v>812</v>
      </c>
      <c r="B295" s="212" t="s">
        <v>813</v>
      </c>
      <c r="C295" s="213" t="s">
        <v>814</v>
      </c>
      <c r="D295" s="212" t="s">
        <v>155</v>
      </c>
      <c r="E295" s="214"/>
      <c r="F295" s="214"/>
      <c r="G295" s="303"/>
    </row>
    <row r="296" spans="1:7" x14ac:dyDescent="0.25">
      <c r="A296" s="211" t="s">
        <v>815</v>
      </c>
      <c r="B296" s="212" t="s">
        <v>816</v>
      </c>
      <c r="C296" s="213" t="s">
        <v>817</v>
      </c>
      <c r="D296" s="212" t="s">
        <v>155</v>
      </c>
      <c r="E296" s="214"/>
      <c r="F296" s="214"/>
      <c r="G296" s="303"/>
    </row>
    <row r="297" spans="1:7" x14ac:dyDescent="0.25">
      <c r="A297" s="211" t="s">
        <v>818</v>
      </c>
      <c r="B297" s="212" t="s">
        <v>819</v>
      </c>
      <c r="C297" s="213" t="s">
        <v>820</v>
      </c>
      <c r="D297" s="212" t="s">
        <v>155</v>
      </c>
      <c r="E297" s="214"/>
      <c r="F297" s="214"/>
      <c r="G297" s="303"/>
    </row>
    <row r="298" spans="1:7" x14ac:dyDescent="0.25">
      <c r="A298" s="211" t="s">
        <v>821</v>
      </c>
      <c r="B298" s="212" t="s">
        <v>822</v>
      </c>
      <c r="C298" s="213" t="s">
        <v>823</v>
      </c>
      <c r="D298" s="212" t="s">
        <v>155</v>
      </c>
      <c r="E298" s="214"/>
      <c r="F298" s="214"/>
      <c r="G298" s="303"/>
    </row>
    <row r="299" spans="1:7" x14ac:dyDescent="0.25">
      <c r="A299" s="211" t="s">
        <v>824</v>
      </c>
      <c r="B299" s="212" t="s">
        <v>825</v>
      </c>
      <c r="C299" s="213" t="s">
        <v>826</v>
      </c>
      <c r="D299" s="212" t="s">
        <v>190</v>
      </c>
      <c r="E299" s="214"/>
      <c r="F299" s="214"/>
      <c r="G299" s="303" t="s">
        <v>395</v>
      </c>
    </row>
    <row r="300" spans="1:7" x14ac:dyDescent="0.25">
      <c r="A300" s="211" t="s">
        <v>827</v>
      </c>
      <c r="B300" s="212" t="s">
        <v>828</v>
      </c>
      <c r="C300" s="213" t="s">
        <v>829</v>
      </c>
      <c r="D300" s="212" t="s">
        <v>190</v>
      </c>
      <c r="E300" s="214"/>
      <c r="F300" s="214"/>
      <c r="G300" s="303" t="s">
        <v>395</v>
      </c>
    </row>
    <row r="301" spans="1:7" x14ac:dyDescent="0.25">
      <c r="A301" s="211" t="s">
        <v>830</v>
      </c>
      <c r="B301" s="212" t="s">
        <v>831</v>
      </c>
      <c r="C301" s="213" t="s">
        <v>832</v>
      </c>
      <c r="D301" s="212" t="s">
        <v>190</v>
      </c>
      <c r="E301" s="214"/>
      <c r="F301" s="214"/>
      <c r="G301" s="303" t="s">
        <v>395</v>
      </c>
    </row>
    <row r="302" spans="1:7" x14ac:dyDescent="0.25">
      <c r="A302" s="211" t="s">
        <v>833</v>
      </c>
      <c r="B302" s="212" t="s">
        <v>833</v>
      </c>
      <c r="C302" s="213" t="s">
        <v>834</v>
      </c>
      <c r="D302" s="212" t="s">
        <v>65</v>
      </c>
      <c r="E302" s="214"/>
      <c r="F302" s="214"/>
      <c r="G302" s="303"/>
    </row>
    <row r="303" spans="1:7" x14ac:dyDescent="0.25">
      <c r="A303" s="211" t="s">
        <v>835</v>
      </c>
      <c r="B303" s="212" t="s">
        <v>836</v>
      </c>
      <c r="C303" s="213" t="s">
        <v>837</v>
      </c>
      <c r="D303" s="212" t="s">
        <v>155</v>
      </c>
      <c r="E303" s="214"/>
      <c r="F303" s="214"/>
      <c r="G303" s="303"/>
    </row>
    <row r="304" spans="1:7" x14ac:dyDescent="0.25">
      <c r="A304" s="211" t="s">
        <v>838</v>
      </c>
      <c r="B304" s="212" t="s">
        <v>839</v>
      </c>
      <c r="C304" s="213" t="s">
        <v>840</v>
      </c>
      <c r="D304" s="212" t="s">
        <v>65</v>
      </c>
      <c r="E304" s="214"/>
      <c r="F304" s="214"/>
      <c r="G304" s="303"/>
    </row>
    <row r="305" spans="1:7" x14ac:dyDescent="0.25">
      <c r="A305" s="211" t="s">
        <v>841</v>
      </c>
      <c r="B305" s="212" t="s">
        <v>190</v>
      </c>
      <c r="C305" s="213" t="s">
        <v>842</v>
      </c>
      <c r="D305" s="212" t="s">
        <v>190</v>
      </c>
      <c r="E305" s="214"/>
      <c r="F305" s="214"/>
      <c r="G305" s="303" t="s">
        <v>395</v>
      </c>
    </row>
    <row r="306" spans="1:7" x14ac:dyDescent="0.25">
      <c r="A306" s="211" t="s">
        <v>843</v>
      </c>
      <c r="B306" s="212" t="s">
        <v>844</v>
      </c>
      <c r="C306" s="213" t="s">
        <v>845</v>
      </c>
      <c r="D306" s="212" t="s">
        <v>190</v>
      </c>
      <c r="E306" s="214"/>
      <c r="F306" s="214"/>
      <c r="G306" s="303" t="s">
        <v>395</v>
      </c>
    </row>
    <row r="307" spans="1:7" x14ac:dyDescent="0.25">
      <c r="A307" s="211" t="s">
        <v>846</v>
      </c>
      <c r="B307" s="212" t="s">
        <v>190</v>
      </c>
      <c r="C307" s="213" t="s">
        <v>847</v>
      </c>
      <c r="D307" s="212" t="s">
        <v>65</v>
      </c>
      <c r="E307" s="214"/>
      <c r="F307" s="214"/>
      <c r="G307" s="303"/>
    </row>
    <row r="308" spans="1:7" x14ac:dyDescent="0.25">
      <c r="A308" s="211" t="s">
        <v>848</v>
      </c>
      <c r="B308" s="212" t="s">
        <v>190</v>
      </c>
      <c r="C308" s="213" t="s">
        <v>849</v>
      </c>
      <c r="D308" s="212" t="s">
        <v>65</v>
      </c>
      <c r="E308" s="214"/>
      <c r="F308" s="214"/>
      <c r="G308" s="303"/>
    </row>
    <row r="309" spans="1:7" x14ac:dyDescent="0.25">
      <c r="A309" s="211" t="s">
        <v>850</v>
      </c>
      <c r="B309" s="212" t="s">
        <v>190</v>
      </c>
      <c r="C309" s="213" t="s">
        <v>851</v>
      </c>
      <c r="D309" s="212" t="s">
        <v>65</v>
      </c>
      <c r="E309" s="214"/>
      <c r="F309" s="214"/>
      <c r="G309" s="303"/>
    </row>
    <row r="310" spans="1:7" x14ac:dyDescent="0.25">
      <c r="A310" s="211" t="s">
        <v>852</v>
      </c>
      <c r="B310" s="212" t="s">
        <v>190</v>
      </c>
      <c r="C310" s="213" t="s">
        <v>853</v>
      </c>
      <c r="D310" s="212" t="s">
        <v>65</v>
      </c>
      <c r="E310" s="214"/>
      <c r="F310" s="214"/>
      <c r="G310" s="303"/>
    </row>
    <row r="311" spans="1:7" x14ac:dyDescent="0.25">
      <c r="A311" s="211" t="s">
        <v>854</v>
      </c>
      <c r="B311" s="212" t="s">
        <v>855</v>
      </c>
      <c r="C311" s="213" t="s">
        <v>856</v>
      </c>
      <c r="D311" s="212" t="s">
        <v>65</v>
      </c>
      <c r="E311" s="214"/>
      <c r="F311" s="214"/>
      <c r="G311" s="303"/>
    </row>
    <row r="312" spans="1:7" x14ac:dyDescent="0.25">
      <c r="A312" s="211" t="s">
        <v>857</v>
      </c>
      <c r="B312" s="212" t="s">
        <v>858</v>
      </c>
      <c r="C312" s="213" t="s">
        <v>859</v>
      </c>
      <c r="D312" s="212" t="s">
        <v>65</v>
      </c>
      <c r="E312" s="214"/>
      <c r="F312" s="214"/>
      <c r="G312" s="303"/>
    </row>
    <row r="313" spans="1:7" x14ac:dyDescent="0.25">
      <c r="A313" s="211" t="s">
        <v>860</v>
      </c>
      <c r="B313" s="212" t="s">
        <v>861</v>
      </c>
      <c r="C313" s="213" t="s">
        <v>862</v>
      </c>
      <c r="D313" s="212" t="s">
        <v>65</v>
      </c>
      <c r="E313" s="214"/>
      <c r="F313" s="214"/>
      <c r="G313" s="303"/>
    </row>
    <row r="314" spans="1:7" x14ac:dyDescent="0.25">
      <c r="A314" s="211" t="s">
        <v>863</v>
      </c>
      <c r="B314" s="212" t="s">
        <v>190</v>
      </c>
      <c r="C314" s="213" t="s">
        <v>864</v>
      </c>
      <c r="D314" s="212" t="s">
        <v>190</v>
      </c>
      <c r="E314" s="214"/>
      <c r="F314" s="214"/>
      <c r="G314" s="303" t="s">
        <v>865</v>
      </c>
    </row>
    <row r="315" spans="1:7" x14ac:dyDescent="0.25">
      <c r="A315" s="211" t="s">
        <v>866</v>
      </c>
      <c r="B315" s="212" t="s">
        <v>867</v>
      </c>
      <c r="C315" s="213" t="s">
        <v>868</v>
      </c>
      <c r="D315" s="212" t="s">
        <v>155</v>
      </c>
      <c r="E315" s="214"/>
      <c r="F315" s="214"/>
      <c r="G315" s="303"/>
    </row>
    <row r="316" spans="1:7" x14ac:dyDescent="0.25">
      <c r="A316" s="211" t="s">
        <v>869</v>
      </c>
      <c r="B316" s="212" t="s">
        <v>870</v>
      </c>
      <c r="C316" s="213" t="s">
        <v>871</v>
      </c>
      <c r="D316" s="212" t="s">
        <v>190</v>
      </c>
      <c r="E316" s="214"/>
      <c r="F316" s="214"/>
      <c r="G316" s="303" t="s">
        <v>395</v>
      </c>
    </row>
    <row r="317" spans="1:7" x14ac:dyDescent="0.25">
      <c r="A317" s="211" t="s">
        <v>872</v>
      </c>
      <c r="B317" s="212" t="s">
        <v>872</v>
      </c>
      <c r="C317" s="213" t="s">
        <v>873</v>
      </c>
      <c r="D317" s="212" t="s">
        <v>190</v>
      </c>
      <c r="E317" s="214"/>
      <c r="F317" s="214"/>
      <c r="G317" s="303" t="s">
        <v>395</v>
      </c>
    </row>
    <row r="318" spans="1:7" x14ac:dyDescent="0.25">
      <c r="A318" s="211" t="s">
        <v>874</v>
      </c>
      <c r="B318" s="212" t="s">
        <v>874</v>
      </c>
      <c r="C318" s="213" t="s">
        <v>875</v>
      </c>
      <c r="D318" s="212" t="s">
        <v>190</v>
      </c>
      <c r="E318" s="214"/>
      <c r="F318" s="214"/>
      <c r="G318" s="303" t="s">
        <v>395</v>
      </c>
    </row>
    <row r="319" spans="1:7" x14ac:dyDescent="0.25">
      <c r="A319" s="211" t="s">
        <v>876</v>
      </c>
      <c r="B319" s="212" t="s">
        <v>877</v>
      </c>
      <c r="C319" s="213" t="s">
        <v>878</v>
      </c>
      <c r="D319" s="212" t="s">
        <v>155</v>
      </c>
      <c r="E319" s="214"/>
      <c r="F319" s="214"/>
      <c r="G319" s="303"/>
    </row>
    <row r="320" spans="1:7" x14ac:dyDescent="0.25">
      <c r="A320" s="211" t="s">
        <v>879</v>
      </c>
      <c r="B320" s="212" t="s">
        <v>880</v>
      </c>
      <c r="C320" s="213" t="s">
        <v>881</v>
      </c>
      <c r="D320" s="212" t="s">
        <v>155</v>
      </c>
      <c r="E320" s="214"/>
      <c r="F320" s="214"/>
      <c r="G320" s="303"/>
    </row>
    <row r="321" spans="1:7" x14ac:dyDescent="0.25">
      <c r="A321" s="211" t="s">
        <v>882</v>
      </c>
      <c r="B321" s="212" t="s">
        <v>883</v>
      </c>
      <c r="C321" s="213" t="s">
        <v>884</v>
      </c>
      <c r="D321" s="212" t="s">
        <v>155</v>
      </c>
      <c r="E321" s="214"/>
      <c r="F321" s="214"/>
      <c r="G321" s="303"/>
    </row>
    <row r="322" spans="1:7" x14ac:dyDescent="0.25">
      <c r="A322" s="211" t="s">
        <v>885</v>
      </c>
      <c r="B322" s="212" t="s">
        <v>886</v>
      </c>
      <c r="C322" s="213" t="s">
        <v>887</v>
      </c>
      <c r="D322" s="212" t="s">
        <v>155</v>
      </c>
      <c r="E322" s="214"/>
      <c r="F322" s="214"/>
      <c r="G322" s="303"/>
    </row>
    <row r="323" spans="1:7" x14ac:dyDescent="0.25">
      <c r="A323" s="211" t="s">
        <v>888</v>
      </c>
      <c r="B323" s="212" t="s">
        <v>889</v>
      </c>
      <c r="C323" s="213" t="s">
        <v>890</v>
      </c>
      <c r="D323" s="212" t="s">
        <v>65</v>
      </c>
      <c r="E323" s="214"/>
      <c r="F323" s="214"/>
      <c r="G323" s="303"/>
    </row>
    <row r="324" spans="1:7" x14ac:dyDescent="0.25">
      <c r="A324" s="211" t="s">
        <v>891</v>
      </c>
      <c r="B324" s="212" t="s">
        <v>892</v>
      </c>
      <c r="C324" s="213" t="s">
        <v>893</v>
      </c>
      <c r="D324" s="212" t="s">
        <v>172</v>
      </c>
      <c r="E324" s="214"/>
      <c r="F324" s="214"/>
      <c r="G324" s="303"/>
    </row>
    <row r="325" spans="1:7" x14ac:dyDescent="0.25">
      <c r="A325" s="211" t="s">
        <v>894</v>
      </c>
      <c r="B325" s="212" t="s">
        <v>190</v>
      </c>
      <c r="C325" s="213" t="s">
        <v>895</v>
      </c>
      <c r="D325" s="212" t="s">
        <v>65</v>
      </c>
      <c r="E325" s="214"/>
      <c r="F325" s="214"/>
      <c r="G325" s="303"/>
    </row>
    <row r="326" spans="1:7" x14ac:dyDescent="0.25">
      <c r="A326" s="211" t="s">
        <v>896</v>
      </c>
      <c r="B326" s="212" t="s">
        <v>897</v>
      </c>
      <c r="C326" s="213" t="s">
        <v>898</v>
      </c>
      <c r="D326" s="212" t="s">
        <v>155</v>
      </c>
      <c r="E326" s="214"/>
      <c r="F326" s="214"/>
      <c r="G326" s="303"/>
    </row>
    <row r="327" spans="1:7" x14ac:dyDescent="0.25">
      <c r="A327" s="211" t="s">
        <v>899</v>
      </c>
      <c r="B327" s="212" t="s">
        <v>190</v>
      </c>
      <c r="C327" s="213" t="s">
        <v>900</v>
      </c>
      <c r="D327" s="212" t="s">
        <v>190</v>
      </c>
      <c r="E327" s="214"/>
      <c r="F327" s="214"/>
      <c r="G327" s="303" t="s">
        <v>900</v>
      </c>
    </row>
    <row r="328" spans="1:7" x14ac:dyDescent="0.25">
      <c r="A328" s="211" t="s">
        <v>901</v>
      </c>
      <c r="B328" s="212" t="s">
        <v>902</v>
      </c>
      <c r="C328" s="213" t="s">
        <v>903</v>
      </c>
      <c r="D328" s="212" t="s">
        <v>155</v>
      </c>
      <c r="E328" s="214"/>
      <c r="F328" s="214"/>
      <c r="G328" s="303"/>
    </row>
    <row r="329" spans="1:7" x14ac:dyDescent="0.25">
      <c r="A329" s="211" t="s">
        <v>904</v>
      </c>
      <c r="B329" s="212" t="s">
        <v>905</v>
      </c>
      <c r="C329" s="213" t="s">
        <v>906</v>
      </c>
      <c r="D329" s="212" t="s">
        <v>155</v>
      </c>
      <c r="E329" s="214"/>
      <c r="F329" s="214"/>
      <c r="G329" s="303"/>
    </row>
    <row r="330" spans="1:7" x14ac:dyDescent="0.25">
      <c r="A330" s="211" t="s">
        <v>907</v>
      </c>
      <c r="B330" s="212" t="s">
        <v>908</v>
      </c>
      <c r="C330" s="213" t="s">
        <v>909</v>
      </c>
      <c r="D330" s="212" t="s">
        <v>155</v>
      </c>
      <c r="E330" s="214"/>
      <c r="F330" s="214"/>
      <c r="G330" s="303"/>
    </row>
    <row r="331" spans="1:7" x14ac:dyDescent="0.25">
      <c r="A331" s="211" t="s">
        <v>910</v>
      </c>
      <c r="B331" s="212" t="s">
        <v>911</v>
      </c>
      <c r="C331" s="213" t="s">
        <v>912</v>
      </c>
      <c r="D331" s="212" t="s">
        <v>155</v>
      </c>
      <c r="E331" s="214"/>
      <c r="F331" s="214"/>
      <c r="G331" s="303"/>
    </row>
    <row r="332" spans="1:7" x14ac:dyDescent="0.25">
      <c r="A332" s="211" t="s">
        <v>913</v>
      </c>
      <c r="B332" s="212" t="s">
        <v>914</v>
      </c>
      <c r="C332" s="213" t="s">
        <v>915</v>
      </c>
      <c r="D332" s="212" t="s">
        <v>155</v>
      </c>
      <c r="E332" s="214"/>
      <c r="F332" s="214">
        <v>104</v>
      </c>
      <c r="G332" s="303"/>
    </row>
    <row r="333" spans="1:7" x14ac:dyDescent="0.25">
      <c r="A333" s="211" t="s">
        <v>916</v>
      </c>
      <c r="B333" s="212" t="s">
        <v>917</v>
      </c>
      <c r="C333" s="213" t="s">
        <v>918</v>
      </c>
      <c r="D333" s="212" t="s">
        <v>155</v>
      </c>
      <c r="E333" s="214"/>
      <c r="F333" s="214"/>
      <c r="G333" s="303"/>
    </row>
    <row r="334" spans="1:7" x14ac:dyDescent="0.25">
      <c r="A334" s="211" t="s">
        <v>919</v>
      </c>
      <c r="B334" s="212" t="s">
        <v>920</v>
      </c>
      <c r="C334" s="213" t="s">
        <v>921</v>
      </c>
      <c r="D334" s="212" t="s">
        <v>155</v>
      </c>
      <c r="E334" s="214" t="s">
        <v>6</v>
      </c>
      <c r="F334" s="214">
        <v>17</v>
      </c>
      <c r="G334" s="303"/>
    </row>
    <row r="335" spans="1:7" x14ac:dyDescent="0.25">
      <c r="A335" s="211" t="s">
        <v>922</v>
      </c>
      <c r="B335" s="212" t="s">
        <v>383</v>
      </c>
      <c r="C335" s="213" t="s">
        <v>923</v>
      </c>
      <c r="D335" s="212" t="s">
        <v>155</v>
      </c>
      <c r="E335" s="214"/>
      <c r="F335" s="214"/>
      <c r="G335" s="303"/>
    </row>
    <row r="336" spans="1:7" x14ac:dyDescent="0.25">
      <c r="A336" s="211" t="s">
        <v>924</v>
      </c>
      <c r="B336" s="212" t="s">
        <v>925</v>
      </c>
      <c r="C336" s="213" t="s">
        <v>926</v>
      </c>
      <c r="D336" s="212" t="s">
        <v>155</v>
      </c>
      <c r="E336" s="214"/>
      <c r="F336" s="214"/>
      <c r="G336" s="303"/>
    </row>
    <row r="337" spans="1:4" x14ac:dyDescent="0.25">
      <c r="A337" s="1035"/>
      <c r="B337" s="1035"/>
      <c r="C337" s="1035"/>
      <c r="D337" s="1035"/>
    </row>
  </sheetData>
  <mergeCells count="2">
    <mergeCell ref="E1:E2"/>
    <mergeCell ref="A337:D3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6"/>
  <sheetViews>
    <sheetView zoomScale="70" zoomScaleNormal="70" workbookViewId="0">
      <selection activeCell="C8" sqref="C8"/>
    </sheetView>
  </sheetViews>
  <sheetFormatPr defaultRowHeight="15" x14ac:dyDescent="0.25"/>
  <cols>
    <col min="1" max="2" width="4.7109375" style="918" customWidth="1"/>
    <col min="3" max="3" width="40.7109375" style="918" customWidth="1"/>
    <col min="4" max="5" width="6.7109375" style="4" customWidth="1"/>
    <col min="6" max="7" width="4.7109375" style="4" customWidth="1"/>
    <col min="8" max="8" width="12.7109375" style="4" customWidth="1"/>
    <col min="9" max="10" width="6.7109375" style="4" customWidth="1"/>
    <col min="11" max="11" width="9.7109375" style="4" customWidth="1"/>
    <col min="12" max="31" width="6.7109375" style="4" customWidth="1"/>
    <col min="32" max="75" width="6.7109375" style="918" customWidth="1"/>
    <col min="76" max="76" width="30.7109375" style="918" customWidth="1"/>
    <col min="77" max="16384" width="9.140625" style="918"/>
  </cols>
  <sheetData>
    <row r="1" spans="1:76" ht="24" customHeight="1" x14ac:dyDescent="0.35">
      <c r="A1" s="1" t="s">
        <v>0</v>
      </c>
      <c r="B1" s="1"/>
      <c r="C1" s="3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</row>
    <row r="2" spans="1:76" s="8" customFormat="1" ht="24" customHeight="1" x14ac:dyDescent="0.25">
      <c r="C2" s="357" t="str">
        <f>CONCATENATE("Previous version: ",IF(E3=1,"n/a",CONCATENATE("ver.",E3-1,", ",VLOOKUP(E3-1,Revision,2,FALSE))))</f>
        <v>Previous version: ver.6, 12-Mar-15</v>
      </c>
      <c r="E2" s="992"/>
      <c r="F2" s="992"/>
      <c r="G2" s="992"/>
      <c r="H2" s="917"/>
      <c r="I2" s="11"/>
      <c r="J2" s="11"/>
      <c r="K2" s="41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</row>
    <row r="3" spans="1:76" s="8" customFormat="1" ht="24" customHeight="1" thickBot="1" x14ac:dyDescent="0.3">
      <c r="A3" s="156" t="s">
        <v>2</v>
      </c>
      <c r="B3" s="549"/>
      <c r="C3" s="706">
        <f>'Departure Lounge 2027'!C3</f>
        <v>42075</v>
      </c>
      <c r="D3" s="347" t="s">
        <v>968</v>
      </c>
      <c r="E3" s="707">
        <f>'Departure Lounge 2027'!E3</f>
        <v>7</v>
      </c>
      <c r="F3" s="988" t="str">
        <f>VLOOKUP(E3,Revision,3,FALSE)</f>
        <v>Workbook audited for release to PAPL</v>
      </c>
      <c r="G3" s="988"/>
      <c r="H3" s="988"/>
      <c r="I3" s="988"/>
      <c r="J3" s="988"/>
      <c r="K3" s="988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 s="8" customFormat="1" ht="24" customHeight="1" x14ac:dyDescent="0.25">
      <c r="A4" s="981" t="s">
        <v>1094</v>
      </c>
      <c r="B4" s="982"/>
      <c r="C4" s="982"/>
      <c r="D4" s="990">
        <v>3</v>
      </c>
      <c r="E4" s="950"/>
      <c r="F4" s="1037" t="s">
        <v>944</v>
      </c>
      <c r="G4" s="1037" t="s">
        <v>943</v>
      </c>
      <c r="H4" s="1037" t="s">
        <v>93</v>
      </c>
      <c r="I4" s="951"/>
      <c r="J4" s="285" t="s">
        <v>29</v>
      </c>
      <c r="K4" s="952">
        <v>0.9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s="8" customFormat="1" ht="24" customHeight="1" thickBot="1" x14ac:dyDescent="0.3">
      <c r="A5" s="983"/>
      <c r="B5" s="984"/>
      <c r="C5" s="984"/>
      <c r="D5" s="991"/>
      <c r="E5" s="953"/>
      <c r="F5" s="1038"/>
      <c r="G5" s="1038"/>
      <c r="H5" s="1038"/>
      <c r="I5" s="954" t="s">
        <v>1098</v>
      </c>
      <c r="J5" s="955"/>
      <c r="K5" s="956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 s="8" customFormat="1" ht="48" customHeight="1" x14ac:dyDescent="0.25">
      <c r="A6" s="1040" t="e">
        <f>CONCATENATE("Forecast 2027 BH = 1680, this schedule BH = ",MAX('Departure Lounge 2027'!M62:BX62))</f>
        <v>#N/A</v>
      </c>
      <c r="B6" s="1041"/>
      <c r="C6" s="1041"/>
      <c r="D6" s="957" t="s">
        <v>25</v>
      </c>
      <c r="E6" s="957" t="s">
        <v>26</v>
      </c>
      <c r="F6" s="1039"/>
      <c r="G6" s="1039"/>
      <c r="H6" s="1039"/>
      <c r="I6" s="958" t="s">
        <v>46</v>
      </c>
      <c r="J6" s="959" t="s">
        <v>67</v>
      </c>
      <c r="K6" s="960" t="s">
        <v>3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 s="8" customFormat="1" ht="30" customHeight="1" thickBot="1" x14ac:dyDescent="0.3">
      <c r="A7" s="563" t="s">
        <v>1106</v>
      </c>
      <c r="B7" s="564"/>
      <c r="C7" s="923" t="str">
        <f t="shared" ref="C7:C24" si="0">CONCATENATE(VLOOKUP(A7,Airlines,2,FALSE)," to ",VLOOKUP(E7,Destinations,2,FALSE),", ",VLOOKUP(I7,All_Aircraft,3,FALSE))</f>
        <v>American Airlines to Kuala Lumpur, Airbus A330-300</v>
      </c>
      <c r="D7" s="567">
        <v>126</v>
      </c>
      <c r="E7" s="567" t="s">
        <v>128</v>
      </c>
      <c r="F7" s="564" t="s">
        <v>64</v>
      </c>
      <c r="G7" s="564" t="str">
        <f t="shared" ref="G7:G24" si="1">VLOOKUP(I7,Aircraft,3,FALSE)</f>
        <v>E</v>
      </c>
      <c r="H7" s="570">
        <v>0.10416666666666667</v>
      </c>
      <c r="I7" s="564">
        <v>333</v>
      </c>
      <c r="J7" s="567">
        <f t="shared" ref="J7:J16" si="2">IF(F7="S",VLOOKUP(I7,Aircraft,4,FALSE),VLOOKUP(I7,Aircraft,5,FALSE))</f>
        <v>285</v>
      </c>
      <c r="K7" s="924">
        <f t="shared" ref="K7:K24" si="3">ROUND(J7*K$4,0)</f>
        <v>257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 s="8" customFormat="1" ht="30" customHeight="1" x14ac:dyDescent="0.25">
      <c r="A8" s="927" t="s">
        <v>109</v>
      </c>
      <c r="B8" s="928"/>
      <c r="C8" s="929" t="e">
        <f t="shared" si="0"/>
        <v>#N/A</v>
      </c>
      <c r="D8" s="930">
        <v>547</v>
      </c>
      <c r="E8" s="930" t="s">
        <v>124</v>
      </c>
      <c r="F8" s="928" t="s">
        <v>65</v>
      </c>
      <c r="G8" s="928" t="str">
        <f t="shared" si="1"/>
        <v>C</v>
      </c>
      <c r="H8" s="931">
        <v>0.2013888888888889</v>
      </c>
      <c r="I8" s="928">
        <v>320</v>
      </c>
      <c r="J8" s="930">
        <f t="shared" si="2"/>
        <v>180</v>
      </c>
      <c r="K8" s="932">
        <f t="shared" si="3"/>
        <v>162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 s="8" customFormat="1" ht="30" customHeight="1" x14ac:dyDescent="0.25">
      <c r="A9" s="614" t="s">
        <v>102</v>
      </c>
      <c r="B9" s="737" t="s">
        <v>1021</v>
      </c>
      <c r="C9" s="964" t="str">
        <f t="shared" si="0"/>
        <v>Emirates to Dubai, Airbus A380 pax</v>
      </c>
      <c r="D9" s="617">
        <v>425</v>
      </c>
      <c r="E9" s="617" t="s">
        <v>126</v>
      </c>
      <c r="F9" s="965" t="s">
        <v>64</v>
      </c>
      <c r="G9" s="966" t="str">
        <f t="shared" si="1"/>
        <v>F</v>
      </c>
      <c r="H9" s="620">
        <v>0.25347222222222221</v>
      </c>
      <c r="I9" s="965">
        <v>380</v>
      </c>
      <c r="J9" s="617">
        <f t="shared" si="2"/>
        <v>489</v>
      </c>
      <c r="K9" s="967">
        <f t="shared" si="3"/>
        <v>440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 s="8" customFormat="1" ht="30" customHeight="1" x14ac:dyDescent="0.25">
      <c r="A10" s="597" t="s">
        <v>1013</v>
      </c>
      <c r="B10" s="598" t="s">
        <v>1020</v>
      </c>
      <c r="C10" s="968" t="e">
        <f t="shared" si="0"/>
        <v>#N/A</v>
      </c>
      <c r="D10" s="601"/>
      <c r="E10" s="601" t="s">
        <v>1014</v>
      </c>
      <c r="F10" s="969" t="s">
        <v>64</v>
      </c>
      <c r="G10" s="970" t="str">
        <f t="shared" si="1"/>
        <v>E</v>
      </c>
      <c r="H10" s="604">
        <v>0.26041666666666669</v>
      </c>
      <c r="I10" s="969">
        <v>788</v>
      </c>
      <c r="J10" s="601">
        <f t="shared" si="2"/>
        <v>264</v>
      </c>
      <c r="K10" s="971">
        <f t="shared" si="3"/>
        <v>238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s="8" customFormat="1" ht="30" customHeight="1" x14ac:dyDescent="0.25">
      <c r="A11" s="597" t="s">
        <v>1073</v>
      </c>
      <c r="B11" s="598" t="s">
        <v>1020</v>
      </c>
      <c r="C11" s="968" t="e">
        <f t="shared" si="0"/>
        <v>#N/A</v>
      </c>
      <c r="D11" s="601"/>
      <c r="E11" s="601" t="s">
        <v>1070</v>
      </c>
      <c r="F11" s="972" t="s">
        <v>64</v>
      </c>
      <c r="G11" s="970" t="str">
        <f t="shared" si="1"/>
        <v>C</v>
      </c>
      <c r="H11" s="604">
        <v>0.27083333333333331</v>
      </c>
      <c r="I11" s="969">
        <v>738</v>
      </c>
      <c r="J11" s="601">
        <f t="shared" si="2"/>
        <v>168</v>
      </c>
      <c r="K11" s="971">
        <f t="shared" ref="K11" si="4">ROUND(J11*K$4,0)</f>
        <v>151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 s="8" customFormat="1" ht="30" customHeight="1" x14ac:dyDescent="0.25">
      <c r="A12" s="933" t="s">
        <v>110</v>
      </c>
      <c r="B12" s="928"/>
      <c r="C12" s="929" t="e">
        <f t="shared" si="0"/>
        <v>#N/A</v>
      </c>
      <c r="D12" s="930">
        <v>237</v>
      </c>
      <c r="E12" s="930" t="s">
        <v>128</v>
      </c>
      <c r="F12" s="928" t="s">
        <v>65</v>
      </c>
      <c r="G12" s="935" t="str">
        <f t="shared" si="1"/>
        <v>E</v>
      </c>
      <c r="H12" s="931">
        <v>0.27777777777777779</v>
      </c>
      <c r="I12" s="928">
        <v>333</v>
      </c>
      <c r="J12" s="930">
        <f t="shared" si="2"/>
        <v>377</v>
      </c>
      <c r="K12" s="936">
        <f t="shared" si="3"/>
        <v>339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 s="8" customFormat="1" ht="30" customHeight="1" x14ac:dyDescent="0.25">
      <c r="A13" s="933" t="s">
        <v>104</v>
      </c>
      <c r="B13" s="928"/>
      <c r="C13" s="929" t="e">
        <f t="shared" si="0"/>
        <v>#N/A</v>
      </c>
      <c r="D13" s="930">
        <v>224</v>
      </c>
      <c r="E13" s="930" t="s">
        <v>132</v>
      </c>
      <c r="F13" s="928" t="s">
        <v>64</v>
      </c>
      <c r="G13" s="935" t="str">
        <f t="shared" si="1"/>
        <v>E</v>
      </c>
      <c r="H13" s="931">
        <v>0.27777777777777779</v>
      </c>
      <c r="I13" s="928">
        <v>333</v>
      </c>
      <c r="J13" s="930">
        <f t="shared" si="2"/>
        <v>285</v>
      </c>
      <c r="K13" s="936">
        <f t="shared" si="3"/>
        <v>257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 s="8" customFormat="1" ht="30" customHeight="1" x14ac:dyDescent="0.25">
      <c r="A14" s="597" t="s">
        <v>117</v>
      </c>
      <c r="B14" s="598" t="s">
        <v>1020</v>
      </c>
      <c r="C14" s="968" t="e">
        <f t="shared" si="0"/>
        <v>#N/A</v>
      </c>
      <c r="D14" s="601"/>
      <c r="E14" s="601" t="s">
        <v>140</v>
      </c>
      <c r="F14" s="969" t="s">
        <v>64</v>
      </c>
      <c r="G14" s="970" t="e">
        <f t="shared" si="1"/>
        <v>#N/A</v>
      </c>
      <c r="H14" s="604">
        <v>0.28125</v>
      </c>
      <c r="I14" s="969">
        <v>789</v>
      </c>
      <c r="J14" s="601" t="e">
        <f t="shared" si="2"/>
        <v>#N/A</v>
      </c>
      <c r="K14" s="971" t="e">
        <f t="shared" si="3"/>
        <v>#N/A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 s="8" customFormat="1" ht="30" customHeight="1" x14ac:dyDescent="0.25">
      <c r="A15" s="614" t="s">
        <v>111</v>
      </c>
      <c r="B15" s="737" t="s">
        <v>1021</v>
      </c>
      <c r="C15" s="964" t="e">
        <f t="shared" si="0"/>
        <v>#N/A</v>
      </c>
      <c r="D15" s="617">
        <v>110</v>
      </c>
      <c r="E15" s="617" t="s">
        <v>124</v>
      </c>
      <c r="F15" s="965" t="s">
        <v>65</v>
      </c>
      <c r="G15" s="966" t="str">
        <f t="shared" si="1"/>
        <v>E</v>
      </c>
      <c r="H15" s="620">
        <v>0.30902777777777779</v>
      </c>
      <c r="I15" s="965">
        <v>788</v>
      </c>
      <c r="J15" s="617">
        <f t="shared" si="2"/>
        <v>335</v>
      </c>
      <c r="K15" s="967">
        <f t="shared" si="3"/>
        <v>302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 s="8" customFormat="1" ht="30" customHeight="1" x14ac:dyDescent="0.25">
      <c r="A16" s="597" t="s">
        <v>1074</v>
      </c>
      <c r="B16" s="598" t="s">
        <v>1020</v>
      </c>
      <c r="C16" s="968" t="e">
        <f t="shared" si="0"/>
        <v>#N/A</v>
      </c>
      <c r="D16" s="601"/>
      <c r="E16" s="601" t="s">
        <v>1075</v>
      </c>
      <c r="F16" s="972" t="s">
        <v>64</v>
      </c>
      <c r="G16" s="973" t="str">
        <f t="shared" si="1"/>
        <v>E</v>
      </c>
      <c r="H16" s="604">
        <v>0.31597222222222221</v>
      </c>
      <c r="I16" s="969">
        <v>333</v>
      </c>
      <c r="J16" s="601">
        <f t="shared" si="2"/>
        <v>285</v>
      </c>
      <c r="K16" s="971">
        <f t="shared" si="3"/>
        <v>257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s="8" customFormat="1" ht="30" customHeight="1" x14ac:dyDescent="0.25">
      <c r="A17" s="933" t="s">
        <v>106</v>
      </c>
      <c r="B17" s="928"/>
      <c r="C17" s="929" t="e">
        <f t="shared" si="0"/>
        <v>#N/A</v>
      </c>
      <c r="D17" s="930">
        <v>136</v>
      </c>
      <c r="E17" s="930" t="s">
        <v>130</v>
      </c>
      <c r="F17" s="928" t="s">
        <v>64</v>
      </c>
      <c r="G17" s="935" t="str">
        <f t="shared" si="1"/>
        <v>E</v>
      </c>
      <c r="H17" s="931">
        <v>0.31944444444444442</v>
      </c>
      <c r="I17" s="928">
        <v>333</v>
      </c>
      <c r="J17" s="937">
        <v>242</v>
      </c>
      <c r="K17" s="936">
        <f t="shared" si="3"/>
        <v>218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s="8" customFormat="1" ht="30" customHeight="1" x14ac:dyDescent="0.25">
      <c r="A18" s="933" t="s">
        <v>112</v>
      </c>
      <c r="B18" s="928"/>
      <c r="C18" s="929" t="e">
        <f t="shared" si="0"/>
        <v>#N/A</v>
      </c>
      <c r="D18" s="930">
        <v>727</v>
      </c>
      <c r="E18" s="930" t="s">
        <v>124</v>
      </c>
      <c r="F18" s="928" t="s">
        <v>64</v>
      </c>
      <c r="G18" s="935" t="str">
        <f t="shared" si="1"/>
        <v>E</v>
      </c>
      <c r="H18" s="931">
        <v>0.3263888888888889</v>
      </c>
      <c r="I18" s="928">
        <v>333</v>
      </c>
      <c r="J18" s="930">
        <f t="shared" ref="J18:J24" si="5">IF(F18="S",VLOOKUP(I18,Aircraft,4,FALSE),VLOOKUP(I18,Aircraft,5,FALSE))</f>
        <v>285</v>
      </c>
      <c r="K18" s="936">
        <f t="shared" si="3"/>
        <v>257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s="8" customFormat="1" ht="30" customHeight="1" x14ac:dyDescent="0.25">
      <c r="A19" s="597" t="s">
        <v>114</v>
      </c>
      <c r="B19" s="598" t="s">
        <v>1020</v>
      </c>
      <c r="C19" s="968" t="e">
        <f t="shared" si="0"/>
        <v>#N/A</v>
      </c>
      <c r="D19" s="601"/>
      <c r="E19" s="601" t="s">
        <v>139</v>
      </c>
      <c r="F19" s="969" t="s">
        <v>64</v>
      </c>
      <c r="G19" s="970" t="str">
        <f t="shared" si="1"/>
        <v>E</v>
      </c>
      <c r="H19" s="604">
        <v>0.34375</v>
      </c>
      <c r="I19" s="969">
        <v>788</v>
      </c>
      <c r="J19" s="601">
        <f t="shared" si="5"/>
        <v>264</v>
      </c>
      <c r="K19" s="971">
        <f t="shared" si="3"/>
        <v>238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s="8" customFormat="1" ht="30" customHeight="1" x14ac:dyDescent="0.25">
      <c r="A20" s="933" t="s">
        <v>107</v>
      </c>
      <c r="B20" s="934"/>
      <c r="C20" s="929" t="e">
        <f t="shared" si="0"/>
        <v>#N/A</v>
      </c>
      <c r="D20" s="930">
        <v>134</v>
      </c>
      <c r="E20" s="930" t="s">
        <v>132</v>
      </c>
      <c r="F20" s="928" t="s">
        <v>65</v>
      </c>
      <c r="G20" s="935" t="str">
        <f t="shared" si="1"/>
        <v>C</v>
      </c>
      <c r="H20" s="931">
        <v>0.35069444444444442</v>
      </c>
      <c r="I20" s="928">
        <v>320</v>
      </c>
      <c r="J20" s="930">
        <f t="shared" si="5"/>
        <v>180</v>
      </c>
      <c r="K20" s="936">
        <f t="shared" si="3"/>
        <v>162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s="8" customFormat="1" ht="30" customHeight="1" x14ac:dyDescent="0.25">
      <c r="A21" s="614" t="s">
        <v>113</v>
      </c>
      <c r="B21" s="737" t="s">
        <v>1021</v>
      </c>
      <c r="C21" s="964" t="e">
        <f t="shared" si="0"/>
        <v>#N/A</v>
      </c>
      <c r="D21" s="617">
        <v>320</v>
      </c>
      <c r="E21" s="617" t="s">
        <v>122</v>
      </c>
      <c r="F21" s="965" t="s">
        <v>64</v>
      </c>
      <c r="G21" s="966" t="str">
        <f t="shared" si="1"/>
        <v>E</v>
      </c>
      <c r="H21" s="620">
        <v>0.35416666666666669</v>
      </c>
      <c r="I21" s="965">
        <v>333</v>
      </c>
      <c r="J21" s="617">
        <f t="shared" si="5"/>
        <v>285</v>
      </c>
      <c r="K21" s="967">
        <f t="shared" si="3"/>
        <v>257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s="8" customFormat="1" ht="30" customHeight="1" x14ac:dyDescent="0.25">
      <c r="A22" s="933" t="s">
        <v>114</v>
      </c>
      <c r="B22" s="928"/>
      <c r="C22" s="929" t="e">
        <f t="shared" si="0"/>
        <v>#N/A</v>
      </c>
      <c r="D22" s="930">
        <v>484</v>
      </c>
      <c r="E22" s="930" t="s">
        <v>135</v>
      </c>
      <c r="F22" s="928" t="s">
        <v>64</v>
      </c>
      <c r="G22" s="935" t="str">
        <f t="shared" si="1"/>
        <v>E</v>
      </c>
      <c r="H22" s="931">
        <v>0.38194444444444442</v>
      </c>
      <c r="I22" s="928">
        <v>788</v>
      </c>
      <c r="J22" s="930">
        <f t="shared" si="5"/>
        <v>264</v>
      </c>
      <c r="K22" s="936">
        <f t="shared" si="3"/>
        <v>238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s="8" customFormat="1" ht="30" customHeight="1" thickBot="1" x14ac:dyDescent="0.3">
      <c r="A23" s="938" t="s">
        <v>109</v>
      </c>
      <c r="B23" s="939"/>
      <c r="C23" s="940" t="e">
        <f t="shared" si="0"/>
        <v>#N/A</v>
      </c>
      <c r="D23" s="941">
        <v>535</v>
      </c>
      <c r="E23" s="941" t="s">
        <v>124</v>
      </c>
      <c r="F23" s="939" t="s">
        <v>65</v>
      </c>
      <c r="G23" s="939" t="str">
        <f t="shared" si="1"/>
        <v>C</v>
      </c>
      <c r="H23" s="942">
        <v>0.44791666666666669</v>
      </c>
      <c r="I23" s="939">
        <v>320</v>
      </c>
      <c r="J23" s="941">
        <f t="shared" si="5"/>
        <v>180</v>
      </c>
      <c r="K23" s="924">
        <f t="shared" si="3"/>
        <v>162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s="8" customFormat="1" ht="30" customHeight="1" thickBot="1" x14ac:dyDescent="0.3">
      <c r="A24" s="919" t="s">
        <v>115</v>
      </c>
      <c r="B24" s="920"/>
      <c r="C24" s="925" t="e">
        <f t="shared" si="0"/>
        <v>#N/A</v>
      </c>
      <c r="D24" s="921">
        <v>3441</v>
      </c>
      <c r="E24" s="921" t="s">
        <v>133</v>
      </c>
      <c r="F24" s="920" t="s">
        <v>64</v>
      </c>
      <c r="G24" s="920" t="str">
        <f t="shared" si="1"/>
        <v>E</v>
      </c>
      <c r="H24" s="922">
        <v>0.54513888888888884</v>
      </c>
      <c r="I24" s="920">
        <v>332</v>
      </c>
      <c r="J24" s="921">
        <f t="shared" si="5"/>
        <v>245</v>
      </c>
      <c r="K24" s="926">
        <f t="shared" si="3"/>
        <v>221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s="8" customFormat="1" ht="30" customHeight="1" x14ac:dyDescent="0.25">
      <c r="A25" s="943"/>
      <c r="B25" s="943"/>
      <c r="C25" s="1036" t="s">
        <v>1008</v>
      </c>
      <c r="D25" s="1036"/>
      <c r="E25" s="1036"/>
      <c r="F25" s="943"/>
      <c r="G25" s="943"/>
      <c r="H25" s="943"/>
      <c r="I25" s="943"/>
      <c r="J25" s="943"/>
      <c r="K25" s="943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s="8" customFormat="1" ht="24" customHeight="1" thickBot="1" x14ac:dyDescent="0.3">
      <c r="A26"/>
      <c r="B26"/>
      <c r="C26" s="525"/>
      <c r="D26" s="525"/>
      <c r="E26" s="525"/>
      <c r="F26"/>
      <c r="G26"/>
      <c r="H26"/>
      <c r="I26"/>
      <c r="J26"/>
      <c r="K26"/>
      <c r="L26"/>
      <c r="M26"/>
      <c r="P26" s="84"/>
      <c r="Q26" s="84"/>
      <c r="R26" s="84"/>
      <c r="S26" s="84"/>
      <c r="T26" s="84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Z26" s="278"/>
      <c r="BA26" s="278"/>
      <c r="BB26" s="278"/>
      <c r="BC26" s="278"/>
      <c r="BD26" s="278"/>
      <c r="BE26" s="278"/>
      <c r="BF26" s="278"/>
      <c r="BG26" s="278"/>
      <c r="BH26" s="278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/>
      <c r="BV26"/>
      <c r="BW26"/>
      <c r="BX26"/>
    </row>
    <row r="27" spans="1:76" s="8" customFormat="1" ht="24" customHeight="1" x14ac:dyDescent="0.25">
      <c r="A27" s="981" t="s">
        <v>1097</v>
      </c>
      <c r="B27" s="982"/>
      <c r="C27" s="982"/>
      <c r="D27" s="990">
        <v>3</v>
      </c>
      <c r="E27" s="950"/>
      <c r="F27" s="1037" t="s">
        <v>944</v>
      </c>
      <c r="G27" s="1037" t="s">
        <v>943</v>
      </c>
      <c r="H27" s="1037" t="s">
        <v>93</v>
      </c>
      <c r="I27" s="951"/>
      <c r="J27" s="285" t="s">
        <v>29</v>
      </c>
      <c r="K27" s="952">
        <v>0.9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s="8" customFormat="1" ht="24" customHeight="1" thickBot="1" x14ac:dyDescent="0.3">
      <c r="A28" s="983"/>
      <c r="B28" s="984"/>
      <c r="C28" s="984"/>
      <c r="D28" s="991"/>
      <c r="E28" s="953"/>
      <c r="F28" s="1038"/>
      <c r="G28" s="1038"/>
      <c r="H28" s="1038"/>
      <c r="I28" s="954" t="s">
        <v>1098</v>
      </c>
      <c r="J28" s="955"/>
      <c r="K28" s="956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s="8" customFormat="1" ht="48" customHeight="1" x14ac:dyDescent="0.25">
      <c r="A29" s="1040"/>
      <c r="B29" s="1041"/>
      <c r="C29" s="1041"/>
      <c r="D29" s="957" t="s">
        <v>25</v>
      </c>
      <c r="E29" s="957" t="s">
        <v>26</v>
      </c>
      <c r="F29" s="1039"/>
      <c r="G29" s="1039"/>
      <c r="H29" s="1039"/>
      <c r="I29" s="958" t="s">
        <v>46</v>
      </c>
      <c r="J29" s="959" t="s">
        <v>67</v>
      </c>
      <c r="K29" s="960" t="s">
        <v>3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s="8" customFormat="1" ht="30" customHeight="1" thickBot="1" x14ac:dyDescent="0.3">
      <c r="A30" s="563" t="s">
        <v>108</v>
      </c>
      <c r="B30" s="564"/>
      <c r="C30" s="923" t="e">
        <f>CONCATENATE(VLOOKUP(A30,Airlines,2,FALSE)," to ",VLOOKUP(E30,Destinations,2,FALSE),", ",VLOOKUP(I30,All_Aircraft,3,FALSE))</f>
        <v>#N/A</v>
      </c>
      <c r="D30" s="567">
        <v>126</v>
      </c>
      <c r="E30" s="567" t="s">
        <v>128</v>
      </c>
      <c r="F30" s="564" t="s">
        <v>64</v>
      </c>
      <c r="G30" s="564" t="str">
        <f t="shared" ref="G30:G32" si="6">VLOOKUP(I30,Aircraft,3,FALSE)</f>
        <v>E</v>
      </c>
      <c r="H30" s="570">
        <v>0.10416666666666667</v>
      </c>
      <c r="I30" s="564">
        <v>333</v>
      </c>
      <c r="J30" s="567">
        <f>IF(F30="S",VLOOKUP(I30,Aircraft,4,FALSE),VLOOKUP(I30,Aircraft,5,FALSE))</f>
        <v>285</v>
      </c>
      <c r="K30" s="924">
        <f t="shared" ref="K30:K47" si="7">ROUND(J30*K$4,0)</f>
        <v>257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s="8" customFormat="1" ht="30" customHeight="1" x14ac:dyDescent="0.25">
      <c r="A31" s="927" t="s">
        <v>109</v>
      </c>
      <c r="B31" s="928"/>
      <c r="C31" s="929" t="e">
        <f>CONCATENATE(VLOOKUP(A31,Airlines,2,FALSE)," to ",VLOOKUP(E31,Destinations,2,FALSE),", ",VLOOKUP(I31,All_Aircraft,3,FALSE))</f>
        <v>#N/A</v>
      </c>
      <c r="D31" s="930">
        <v>547</v>
      </c>
      <c r="E31" s="930" t="s">
        <v>124</v>
      </c>
      <c r="F31" s="928" t="s">
        <v>65</v>
      </c>
      <c r="G31" s="928" t="str">
        <f t="shared" si="6"/>
        <v>C</v>
      </c>
      <c r="H31" s="931">
        <v>0.2013888888888889</v>
      </c>
      <c r="I31" s="928">
        <v>320</v>
      </c>
      <c r="J31" s="930">
        <f>IF(F31="S",VLOOKUP(I31,Aircraft,4,FALSE),VLOOKUP(I31,Aircraft,5,FALSE))</f>
        <v>180</v>
      </c>
      <c r="K31" s="932">
        <f t="shared" si="7"/>
        <v>162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s="8" customFormat="1" ht="30" customHeight="1" x14ac:dyDescent="0.25">
      <c r="A32" s="614" t="s">
        <v>102</v>
      </c>
      <c r="B32" s="737" t="s">
        <v>1021</v>
      </c>
      <c r="C32" s="964" t="str">
        <f>CONCATENATE(VLOOKUP(A32,Airlines,2,FALSE)," to ",VLOOKUP(E32,Destinations,2,FALSE),", ",VLOOKUP(I32,All_Aircraft,3,FALSE))</f>
        <v>Emirates to Dubai, Airbus A380 pax</v>
      </c>
      <c r="D32" s="617">
        <v>425</v>
      </c>
      <c r="E32" s="617" t="s">
        <v>126</v>
      </c>
      <c r="F32" s="965" t="s">
        <v>64</v>
      </c>
      <c r="G32" s="966" t="str">
        <f t="shared" si="6"/>
        <v>F</v>
      </c>
      <c r="H32" s="620">
        <v>0.25347222222222221</v>
      </c>
      <c r="I32" s="965">
        <v>380</v>
      </c>
      <c r="J32" s="617">
        <f>IF(F32="S",VLOOKUP(I32,Aircraft,4,FALSE),VLOOKUP(I32,Aircraft,5,FALSE))</f>
        <v>489</v>
      </c>
      <c r="K32" s="967">
        <f t="shared" si="7"/>
        <v>440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 s="8" customFormat="1" ht="30" customHeight="1" x14ac:dyDescent="0.25">
      <c r="A33" s="933"/>
      <c r="B33" s="961"/>
      <c r="C33" s="929"/>
      <c r="D33" s="930"/>
      <c r="E33" s="930"/>
      <c r="F33" s="928"/>
      <c r="G33" s="935"/>
      <c r="H33" s="931"/>
      <c r="I33" s="928"/>
      <c r="J33" s="930"/>
      <c r="K33" s="936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 s="8" customFormat="1" ht="30" customHeight="1" x14ac:dyDescent="0.25">
      <c r="A34" s="933"/>
      <c r="B34" s="961"/>
      <c r="C34" s="929"/>
      <c r="D34" s="930"/>
      <c r="E34" s="930"/>
      <c r="F34" s="551"/>
      <c r="G34" s="962"/>
      <c r="H34" s="931"/>
      <c r="I34" s="928"/>
      <c r="J34" s="930"/>
      <c r="K34" s="936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 s="8" customFormat="1" ht="30" customHeight="1" x14ac:dyDescent="0.25">
      <c r="A35" s="933" t="s">
        <v>110</v>
      </c>
      <c r="B35" s="928"/>
      <c r="C35" s="929" t="e">
        <f>CONCATENATE(VLOOKUP(A35,Airlines,2,FALSE)," to ",VLOOKUP(E35,Destinations,2,FALSE),", ",VLOOKUP(I35,All_Aircraft,3,FALSE))</f>
        <v>#N/A</v>
      </c>
      <c r="D35" s="930">
        <v>237</v>
      </c>
      <c r="E35" s="930" t="s">
        <v>128</v>
      </c>
      <c r="F35" s="928" t="s">
        <v>65</v>
      </c>
      <c r="G35" s="935" t="str">
        <f t="shared" ref="G35:G47" si="8">VLOOKUP(I35,Aircraft,3,FALSE)</f>
        <v>E</v>
      </c>
      <c r="H35" s="931">
        <v>0.27777777777777779</v>
      </c>
      <c r="I35" s="928">
        <v>333</v>
      </c>
      <c r="J35" s="930">
        <f>IF(F35="S",VLOOKUP(I35,Aircraft,4,FALSE),VLOOKUP(I35,Aircraft,5,FALSE))</f>
        <v>377</v>
      </c>
      <c r="K35" s="936">
        <f t="shared" si="7"/>
        <v>339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 s="8" customFormat="1" ht="30" customHeight="1" x14ac:dyDescent="0.25">
      <c r="A36" s="933" t="s">
        <v>104</v>
      </c>
      <c r="B36" s="928"/>
      <c r="C36" s="929" t="e">
        <f>CONCATENATE(VLOOKUP(A36,Airlines,2,FALSE)," to ",VLOOKUP(E36,Destinations,2,FALSE),", ",VLOOKUP(I36,All_Aircraft,3,FALSE))</f>
        <v>#N/A</v>
      </c>
      <c r="D36" s="930">
        <v>224</v>
      </c>
      <c r="E36" s="930" t="s">
        <v>132</v>
      </c>
      <c r="F36" s="928" t="s">
        <v>64</v>
      </c>
      <c r="G36" s="935" t="str">
        <f t="shared" si="8"/>
        <v>E</v>
      </c>
      <c r="H36" s="931">
        <v>0.27777777777777779</v>
      </c>
      <c r="I36" s="928">
        <v>333</v>
      </c>
      <c r="J36" s="930">
        <f>IF(F36="S",VLOOKUP(I36,Aircraft,4,FALSE),VLOOKUP(I36,Aircraft,5,FALSE))</f>
        <v>285</v>
      </c>
      <c r="K36" s="936">
        <f t="shared" si="7"/>
        <v>257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 s="8" customFormat="1" ht="30" customHeight="1" x14ac:dyDescent="0.25">
      <c r="A37" s="933"/>
      <c r="B37" s="961"/>
      <c r="C37" s="929"/>
      <c r="D37" s="930"/>
      <c r="E37" s="930"/>
      <c r="F37" s="928"/>
      <c r="G37" s="935"/>
      <c r="H37" s="931"/>
      <c r="I37" s="928"/>
      <c r="J37" s="930"/>
      <c r="K37" s="936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 s="8" customFormat="1" ht="30" customHeight="1" x14ac:dyDescent="0.25">
      <c r="A38" s="614" t="s">
        <v>111</v>
      </c>
      <c r="B38" s="737" t="s">
        <v>1021</v>
      </c>
      <c r="C38" s="964" t="e">
        <f>CONCATENATE(VLOOKUP(A38,Airlines,2,FALSE)," to ",VLOOKUP(E38,Destinations,2,FALSE),", ",VLOOKUP(I38,All_Aircraft,3,FALSE))</f>
        <v>#N/A</v>
      </c>
      <c r="D38" s="617">
        <v>110</v>
      </c>
      <c r="E38" s="617" t="s">
        <v>124</v>
      </c>
      <c r="F38" s="965" t="s">
        <v>65</v>
      </c>
      <c r="G38" s="966" t="str">
        <f t="shared" si="8"/>
        <v>E</v>
      </c>
      <c r="H38" s="620">
        <v>0.30902777777777779</v>
      </c>
      <c r="I38" s="965">
        <v>788</v>
      </c>
      <c r="J38" s="617">
        <f>IF(F38="S",VLOOKUP(I38,Aircraft,4,FALSE),VLOOKUP(I38,Aircraft,5,FALSE))</f>
        <v>335</v>
      </c>
      <c r="K38" s="967">
        <f t="shared" si="7"/>
        <v>302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 s="8" customFormat="1" ht="30" customHeight="1" x14ac:dyDescent="0.25">
      <c r="A39" s="933"/>
      <c r="B39" s="961"/>
      <c r="C39" s="929"/>
      <c r="D39" s="930"/>
      <c r="E39" s="930"/>
      <c r="F39" s="551"/>
      <c r="G39" s="962"/>
      <c r="H39" s="931"/>
      <c r="I39" s="928"/>
      <c r="J39" s="930"/>
      <c r="K39" s="936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s="8" customFormat="1" ht="30" customHeight="1" x14ac:dyDescent="0.25">
      <c r="A40" s="933" t="s">
        <v>106</v>
      </c>
      <c r="B40" s="928"/>
      <c r="C40" s="929" t="e">
        <f>CONCATENATE(VLOOKUP(A40,Airlines,2,FALSE)," to ",VLOOKUP(E40,Destinations,2,FALSE),", ",VLOOKUP(I40,All_Aircraft,3,FALSE))</f>
        <v>#N/A</v>
      </c>
      <c r="D40" s="930">
        <v>136</v>
      </c>
      <c r="E40" s="930" t="s">
        <v>130</v>
      </c>
      <c r="F40" s="928" t="s">
        <v>64</v>
      </c>
      <c r="G40" s="935" t="str">
        <f t="shared" si="8"/>
        <v>E</v>
      </c>
      <c r="H40" s="931">
        <v>0.31944444444444442</v>
      </c>
      <c r="I40" s="928">
        <v>333</v>
      </c>
      <c r="J40" s="937">
        <v>242</v>
      </c>
      <c r="K40" s="936">
        <f t="shared" si="7"/>
        <v>218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 s="8" customFormat="1" ht="30" customHeight="1" x14ac:dyDescent="0.25">
      <c r="A41" s="933" t="s">
        <v>112</v>
      </c>
      <c r="B41" s="928"/>
      <c r="C41" s="929" t="e">
        <f>CONCATENATE(VLOOKUP(A41,Airlines,2,FALSE)," to ",VLOOKUP(E41,Destinations,2,FALSE),", ",VLOOKUP(I41,All_Aircraft,3,FALSE))</f>
        <v>#N/A</v>
      </c>
      <c r="D41" s="930">
        <v>727</v>
      </c>
      <c r="E41" s="930" t="s">
        <v>124</v>
      </c>
      <c r="F41" s="928" t="s">
        <v>64</v>
      </c>
      <c r="G41" s="935" t="str">
        <f t="shared" si="8"/>
        <v>E</v>
      </c>
      <c r="H41" s="931">
        <v>0.3263888888888889</v>
      </c>
      <c r="I41" s="928">
        <v>333</v>
      </c>
      <c r="J41" s="930">
        <f>IF(F41="S",VLOOKUP(I41,Aircraft,4,FALSE),VLOOKUP(I41,Aircraft,5,FALSE))</f>
        <v>285</v>
      </c>
      <c r="K41" s="936">
        <f t="shared" si="7"/>
        <v>257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 s="8" customFormat="1" ht="30" customHeight="1" x14ac:dyDescent="0.25">
      <c r="A42" s="933"/>
      <c r="B42" s="961"/>
      <c r="C42" s="929"/>
      <c r="D42" s="930"/>
      <c r="E42" s="930"/>
      <c r="F42" s="928"/>
      <c r="G42" s="935"/>
      <c r="H42" s="931"/>
      <c r="I42" s="928"/>
      <c r="J42" s="930"/>
      <c r="K42" s="936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 s="8" customFormat="1" ht="30" customHeight="1" x14ac:dyDescent="0.25">
      <c r="A43" s="933" t="s">
        <v>107</v>
      </c>
      <c r="B43" s="934"/>
      <c r="C43" s="929" t="e">
        <f>CONCATENATE(VLOOKUP(A43,Airlines,2,FALSE)," to ",VLOOKUP(E43,Destinations,2,FALSE),", ",VLOOKUP(I43,All_Aircraft,3,FALSE))</f>
        <v>#N/A</v>
      </c>
      <c r="D43" s="930">
        <v>134</v>
      </c>
      <c r="E43" s="930" t="s">
        <v>132</v>
      </c>
      <c r="F43" s="928" t="s">
        <v>65</v>
      </c>
      <c r="G43" s="935" t="str">
        <f t="shared" si="8"/>
        <v>C</v>
      </c>
      <c r="H43" s="931">
        <v>0.35069444444444442</v>
      </c>
      <c r="I43" s="928">
        <v>320</v>
      </c>
      <c r="J43" s="930">
        <f>IF(F43="S",VLOOKUP(I43,Aircraft,4,FALSE),VLOOKUP(I43,Aircraft,5,FALSE))</f>
        <v>180</v>
      </c>
      <c r="K43" s="936">
        <f t="shared" si="7"/>
        <v>162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 s="8" customFormat="1" ht="30" customHeight="1" x14ac:dyDescent="0.25">
      <c r="A44" s="614" t="s">
        <v>113</v>
      </c>
      <c r="B44" s="737" t="s">
        <v>1021</v>
      </c>
      <c r="C44" s="964" t="e">
        <f>CONCATENATE(VLOOKUP(A44,Airlines,2,FALSE)," to ",VLOOKUP(E44,Destinations,2,FALSE),", ",VLOOKUP(I44,All_Aircraft,3,FALSE))</f>
        <v>#N/A</v>
      </c>
      <c r="D44" s="617">
        <v>320</v>
      </c>
      <c r="E44" s="617" t="s">
        <v>122</v>
      </c>
      <c r="F44" s="965" t="s">
        <v>64</v>
      </c>
      <c r="G44" s="966" t="str">
        <f t="shared" si="8"/>
        <v>E</v>
      </c>
      <c r="H44" s="620">
        <v>0.35416666666666669</v>
      </c>
      <c r="I44" s="965">
        <v>333</v>
      </c>
      <c r="J44" s="617">
        <f>IF(F44="S",VLOOKUP(I44,Aircraft,4,FALSE),VLOOKUP(I44,Aircraft,5,FALSE))</f>
        <v>285</v>
      </c>
      <c r="K44" s="967">
        <f t="shared" si="7"/>
        <v>257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 s="8" customFormat="1" ht="30" customHeight="1" x14ac:dyDescent="0.25">
      <c r="A45" s="933" t="s">
        <v>114</v>
      </c>
      <c r="B45" s="928"/>
      <c r="C45" s="929" t="e">
        <f>CONCATENATE(VLOOKUP(A45,Airlines,2,FALSE)," to ",VLOOKUP(E45,Destinations,2,FALSE),", ",VLOOKUP(I45,All_Aircraft,3,FALSE))</f>
        <v>#N/A</v>
      </c>
      <c r="D45" s="930">
        <v>484</v>
      </c>
      <c r="E45" s="930" t="s">
        <v>135</v>
      </c>
      <c r="F45" s="928" t="s">
        <v>64</v>
      </c>
      <c r="G45" s="935" t="str">
        <f t="shared" si="8"/>
        <v>E</v>
      </c>
      <c r="H45" s="931">
        <v>0.38194444444444442</v>
      </c>
      <c r="I45" s="928">
        <v>788</v>
      </c>
      <c r="J45" s="930">
        <f>IF(F45="S",VLOOKUP(I45,Aircraft,4,FALSE),VLOOKUP(I45,Aircraft,5,FALSE))</f>
        <v>264</v>
      </c>
      <c r="K45" s="936">
        <f t="shared" si="7"/>
        <v>238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 s="8" customFormat="1" ht="30" customHeight="1" thickBot="1" x14ac:dyDescent="0.3">
      <c r="A46" s="938" t="s">
        <v>109</v>
      </c>
      <c r="B46" s="939"/>
      <c r="C46" s="940" t="e">
        <f>CONCATENATE(VLOOKUP(A46,Airlines,2,FALSE)," to ",VLOOKUP(E46,Destinations,2,FALSE),", ",VLOOKUP(I46,All_Aircraft,3,FALSE))</f>
        <v>#N/A</v>
      </c>
      <c r="D46" s="941">
        <v>535</v>
      </c>
      <c r="E46" s="941" t="s">
        <v>124</v>
      </c>
      <c r="F46" s="939" t="s">
        <v>65</v>
      </c>
      <c r="G46" s="939" t="str">
        <f t="shared" si="8"/>
        <v>C</v>
      </c>
      <c r="H46" s="942">
        <v>0.44791666666666669</v>
      </c>
      <c r="I46" s="939">
        <v>320</v>
      </c>
      <c r="J46" s="941">
        <f>IF(F46="S",VLOOKUP(I46,Aircraft,4,FALSE),VLOOKUP(I46,Aircraft,5,FALSE))</f>
        <v>180</v>
      </c>
      <c r="K46" s="924">
        <f t="shared" si="7"/>
        <v>162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 s="8" customFormat="1" ht="30" customHeight="1" thickBot="1" x14ac:dyDescent="0.3">
      <c r="A47" s="919" t="s">
        <v>115</v>
      </c>
      <c r="B47" s="920"/>
      <c r="C47" s="925" t="e">
        <f>CONCATENATE(VLOOKUP(A47,Airlines,2,FALSE)," to ",VLOOKUP(E47,Destinations,2,FALSE),", ",VLOOKUP(I47,All_Aircraft,3,FALSE))</f>
        <v>#N/A</v>
      </c>
      <c r="D47" s="921">
        <v>3441</v>
      </c>
      <c r="E47" s="921" t="s">
        <v>133</v>
      </c>
      <c r="F47" s="920" t="s">
        <v>64</v>
      </c>
      <c r="G47" s="920" t="str">
        <f t="shared" si="8"/>
        <v>E</v>
      </c>
      <c r="H47" s="922">
        <v>0.54513888888888884</v>
      </c>
      <c r="I47" s="920">
        <v>332</v>
      </c>
      <c r="J47" s="921">
        <f>IF(F47="S",VLOOKUP(I47,Aircraft,4,FALSE),VLOOKUP(I47,Aircraft,5,FALSE))</f>
        <v>245</v>
      </c>
      <c r="K47" s="926">
        <f t="shared" si="7"/>
        <v>221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 s="8" customFormat="1" ht="30" customHeight="1" x14ac:dyDescent="0.25">
      <c r="A48" s="943"/>
      <c r="B48" s="943"/>
      <c r="C48" s="1036" t="s">
        <v>1008</v>
      </c>
      <c r="D48" s="1036"/>
      <c r="E48" s="1036"/>
      <c r="F48" s="943"/>
      <c r="G48" s="943"/>
      <c r="H48" s="943"/>
      <c r="I48" s="943"/>
      <c r="J48" s="943"/>
      <c r="K48" s="943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 s="8" customFormat="1" ht="24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s="8" customFormat="1" ht="24" customHeight="1" x14ac:dyDescent="0.25">
      <c r="A50" s="981" t="s">
        <v>1099</v>
      </c>
      <c r="B50" s="982"/>
      <c r="C50" s="982"/>
      <c r="D50" s="990">
        <v>3</v>
      </c>
      <c r="E50" s="950"/>
      <c r="F50" s="1037" t="s">
        <v>944</v>
      </c>
      <c r="G50" s="1037" t="s">
        <v>943</v>
      </c>
      <c r="H50" s="1037" t="s">
        <v>93</v>
      </c>
      <c r="I50" s="951"/>
      <c r="J50" s="285" t="s">
        <v>29</v>
      </c>
      <c r="K50" s="952">
        <v>0.9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s="8" customFormat="1" ht="24" customHeight="1" thickBot="1" x14ac:dyDescent="0.3">
      <c r="A51" s="983"/>
      <c r="B51" s="984"/>
      <c r="C51" s="984"/>
      <c r="D51" s="991"/>
      <c r="E51" s="953"/>
      <c r="F51" s="1038"/>
      <c r="G51" s="1038"/>
      <c r="H51" s="1038"/>
      <c r="I51" s="954" t="s">
        <v>1098</v>
      </c>
      <c r="J51" s="955"/>
      <c r="K51" s="956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s="8" customFormat="1" ht="48" customHeight="1" x14ac:dyDescent="0.25">
      <c r="A52" s="1040"/>
      <c r="B52" s="1041"/>
      <c r="C52" s="1041"/>
      <c r="D52" s="957" t="s">
        <v>25</v>
      </c>
      <c r="E52" s="957" t="s">
        <v>26</v>
      </c>
      <c r="F52" s="1039"/>
      <c r="G52" s="1039"/>
      <c r="H52" s="1039"/>
      <c r="I52" s="958" t="s">
        <v>46</v>
      </c>
      <c r="J52" s="959" t="s">
        <v>67</v>
      </c>
      <c r="K52" s="960" t="s">
        <v>3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 s="8" customFormat="1" ht="30" customHeight="1" thickBot="1" x14ac:dyDescent="0.3">
      <c r="A53" s="563" t="s">
        <v>108</v>
      </c>
      <c r="B53" s="564"/>
      <c r="C53" s="923" t="e">
        <f>CONCATENATE(VLOOKUP(A53,Airlines,2,FALSE)," to ",VLOOKUP(E53,Destinations,2,FALSE),", ",VLOOKUP(I53,All_Aircraft,3,FALSE))</f>
        <v>#N/A</v>
      </c>
      <c r="D53" s="567">
        <v>126</v>
      </c>
      <c r="E53" s="567" t="s">
        <v>128</v>
      </c>
      <c r="F53" s="564" t="s">
        <v>64</v>
      </c>
      <c r="G53" s="564" t="str">
        <f t="shared" ref="G53:G55" si="9">VLOOKUP(I53,Aircraft,3,FALSE)</f>
        <v>E</v>
      </c>
      <c r="H53" s="570">
        <v>0.10416666666666667</v>
      </c>
      <c r="I53" s="564">
        <v>333</v>
      </c>
      <c r="J53" s="567">
        <f>IF(F53="S",VLOOKUP(I53,Aircraft,4,FALSE),VLOOKUP(I53,Aircraft,5,FALSE))</f>
        <v>285</v>
      </c>
      <c r="K53" s="924">
        <f>ROUND(J53*K$4,0)</f>
        <v>257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s="8" customFormat="1" ht="30" customHeight="1" x14ac:dyDescent="0.25">
      <c r="A54" s="927" t="s">
        <v>109</v>
      </c>
      <c r="B54" s="928"/>
      <c r="C54" s="929" t="e">
        <f>CONCATENATE(VLOOKUP(A54,Airlines,2,FALSE)," to ",VLOOKUP(E54,Destinations,2,FALSE),", ",VLOOKUP(I54,All_Aircraft,3,FALSE))</f>
        <v>#N/A</v>
      </c>
      <c r="D54" s="930">
        <v>547</v>
      </c>
      <c r="E54" s="930" t="s">
        <v>124</v>
      </c>
      <c r="F54" s="928" t="s">
        <v>65</v>
      </c>
      <c r="G54" s="928" t="str">
        <f t="shared" si="9"/>
        <v>C</v>
      </c>
      <c r="H54" s="931">
        <v>0.2013888888888889</v>
      </c>
      <c r="I54" s="928">
        <v>320</v>
      </c>
      <c r="J54" s="930">
        <f>IF(F54="S",VLOOKUP(I54,Aircraft,4,FALSE),VLOOKUP(I54,Aircraft,5,FALSE))</f>
        <v>180</v>
      </c>
      <c r="K54" s="932">
        <f t="shared" ref="K53:K55" si="10">ROUND(J54*K$4,0)</f>
        <v>162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s="8" customFormat="1" ht="30" customHeight="1" x14ac:dyDescent="0.25">
      <c r="A55" s="933" t="s">
        <v>102</v>
      </c>
      <c r="B55" s="934"/>
      <c r="C55" s="929" t="str">
        <f>CONCATENATE(VLOOKUP(A55,Airlines,2,FALSE)," to ",VLOOKUP(E55,Destinations,2,FALSE),", ",VLOOKUP(I55,All_Aircraft,3,FALSE))</f>
        <v>Emirates to Dubai, Boeing 777-200LR pax</v>
      </c>
      <c r="D55" s="930">
        <v>425</v>
      </c>
      <c r="E55" s="930" t="s">
        <v>126</v>
      </c>
      <c r="F55" s="928" t="s">
        <v>64</v>
      </c>
      <c r="G55" s="935" t="e">
        <f t="shared" si="9"/>
        <v>#N/A</v>
      </c>
      <c r="H55" s="931">
        <v>0.25347222222222221</v>
      </c>
      <c r="I55" s="928" t="s">
        <v>928</v>
      </c>
      <c r="J55" s="930" t="e">
        <f>IF(F55="S",VLOOKUP(I55,Aircraft,4,FALSE),VLOOKUP(I55,Aircraft,5,FALSE))</f>
        <v>#N/A</v>
      </c>
      <c r="K55" s="936" t="e">
        <f t="shared" si="10"/>
        <v>#N/A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 s="8" customFormat="1" ht="30" customHeight="1" x14ac:dyDescent="0.25">
      <c r="A56" s="933"/>
      <c r="B56" s="961"/>
      <c r="C56" s="929"/>
      <c r="D56" s="930"/>
      <c r="E56" s="930"/>
      <c r="F56" s="928"/>
      <c r="G56" s="935"/>
      <c r="H56" s="931"/>
      <c r="I56" s="928"/>
      <c r="J56" s="930"/>
      <c r="K56" s="93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s="8" customFormat="1" ht="30" customHeight="1" x14ac:dyDescent="0.25">
      <c r="A57" s="933"/>
      <c r="B57" s="961"/>
      <c r="C57" s="929"/>
      <c r="D57" s="930"/>
      <c r="E57" s="930"/>
      <c r="F57" s="551"/>
      <c r="G57" s="962"/>
      <c r="H57" s="931"/>
      <c r="I57" s="928"/>
      <c r="J57" s="930"/>
      <c r="K57" s="936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s="8" customFormat="1" ht="30" customHeight="1" x14ac:dyDescent="0.25">
      <c r="A58" s="933" t="s">
        <v>110</v>
      </c>
      <c r="B58" s="928"/>
      <c r="C58" s="929" t="e">
        <f>CONCATENATE(VLOOKUP(A58,Airlines,2,FALSE)," to ",VLOOKUP(E58,Destinations,2,FALSE),", ",VLOOKUP(I58,All_Aircraft,3,FALSE))</f>
        <v>#N/A</v>
      </c>
      <c r="D58" s="930">
        <v>237</v>
      </c>
      <c r="E58" s="930" t="s">
        <v>128</v>
      </c>
      <c r="F58" s="928" t="s">
        <v>65</v>
      </c>
      <c r="G58" s="935" t="str">
        <f t="shared" ref="G58:G59" si="11">VLOOKUP(I58,Aircraft,3,FALSE)</f>
        <v>E</v>
      </c>
      <c r="H58" s="931">
        <v>0.27777777777777779</v>
      </c>
      <c r="I58" s="928">
        <v>333</v>
      </c>
      <c r="J58" s="930">
        <f>IF(F58="S",VLOOKUP(I58,Aircraft,4,FALSE),VLOOKUP(I58,Aircraft,5,FALSE))</f>
        <v>377</v>
      </c>
      <c r="K58" s="936">
        <f t="shared" ref="K58:K59" si="12">ROUND(J58*K$4,0)</f>
        <v>339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 s="8" customFormat="1" ht="30" customHeight="1" x14ac:dyDescent="0.25">
      <c r="A59" s="933" t="s">
        <v>104</v>
      </c>
      <c r="B59" s="928"/>
      <c r="C59" s="929" t="e">
        <f>CONCATENATE(VLOOKUP(A59,Airlines,2,FALSE)," to ",VLOOKUP(E59,Destinations,2,FALSE),", ",VLOOKUP(I59,All_Aircraft,3,FALSE))</f>
        <v>#N/A</v>
      </c>
      <c r="D59" s="930">
        <v>224</v>
      </c>
      <c r="E59" s="930" t="s">
        <v>132</v>
      </c>
      <c r="F59" s="928" t="s">
        <v>64</v>
      </c>
      <c r="G59" s="935" t="str">
        <f t="shared" si="11"/>
        <v>E</v>
      </c>
      <c r="H59" s="931">
        <v>0.27777777777777779</v>
      </c>
      <c r="I59" s="928">
        <v>333</v>
      </c>
      <c r="J59" s="930">
        <f>IF(F59="S",VLOOKUP(I59,Aircraft,4,FALSE),VLOOKUP(I59,Aircraft,5,FALSE))</f>
        <v>285</v>
      </c>
      <c r="K59" s="936">
        <f t="shared" si="12"/>
        <v>257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s="8" customFormat="1" ht="30" customHeight="1" x14ac:dyDescent="0.25">
      <c r="A60" s="933"/>
      <c r="B60" s="961"/>
      <c r="C60" s="929"/>
      <c r="D60" s="930"/>
      <c r="E60" s="930"/>
      <c r="F60" s="928"/>
      <c r="G60" s="935"/>
      <c r="H60" s="931"/>
      <c r="I60" s="928"/>
      <c r="J60" s="930"/>
      <c r="K60" s="936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s="8" customFormat="1" ht="30" customHeight="1" x14ac:dyDescent="0.25">
      <c r="A61" s="933" t="s">
        <v>111</v>
      </c>
      <c r="B61" s="934"/>
      <c r="C61" s="929" t="e">
        <f>CONCATENATE(VLOOKUP(A61,Airlines,2,FALSE)," to ",VLOOKUP(E61,Destinations,2,FALSE),", ",VLOOKUP(I61,All_Aircraft,3,FALSE))</f>
        <v>#N/A</v>
      </c>
      <c r="D61" s="930">
        <v>110</v>
      </c>
      <c r="E61" s="930" t="s">
        <v>124</v>
      </c>
      <c r="F61" s="928" t="s">
        <v>65</v>
      </c>
      <c r="G61" s="935" t="str">
        <f t="shared" ref="G61" si="13">VLOOKUP(I61,Aircraft,3,FALSE)</f>
        <v>C</v>
      </c>
      <c r="H61" s="931">
        <v>0.30902777777777779</v>
      </c>
      <c r="I61" s="928">
        <v>320</v>
      </c>
      <c r="J61" s="930">
        <f>IF(F61="S",VLOOKUP(I61,Aircraft,4,FALSE),VLOOKUP(I61,Aircraft,5,FALSE))</f>
        <v>180</v>
      </c>
      <c r="K61" s="936">
        <f t="shared" ref="K61" si="14">ROUND(J61*K$4,0)</f>
        <v>162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ht="30" customHeight="1" x14ac:dyDescent="0.25">
      <c r="A62" s="933"/>
      <c r="B62" s="961"/>
      <c r="C62" s="929"/>
      <c r="D62" s="930"/>
      <c r="E62" s="930"/>
      <c r="F62" s="551"/>
      <c r="G62" s="962"/>
      <c r="H62" s="931"/>
      <c r="I62" s="928"/>
      <c r="J62" s="930"/>
      <c r="K62" s="936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 ht="30" customHeight="1" x14ac:dyDescent="0.25">
      <c r="A63" s="933" t="s">
        <v>106</v>
      </c>
      <c r="B63" s="928"/>
      <c r="C63" s="929" t="e">
        <f>CONCATENATE(VLOOKUP(A63,Airlines,2,FALSE)," to ",VLOOKUP(E63,Destinations,2,FALSE),", ",VLOOKUP(I63,All_Aircraft,3,FALSE))</f>
        <v>#N/A</v>
      </c>
      <c r="D63" s="930">
        <v>136</v>
      </c>
      <c r="E63" s="930" t="s">
        <v>130</v>
      </c>
      <c r="F63" s="928" t="s">
        <v>64</v>
      </c>
      <c r="G63" s="935" t="str">
        <f t="shared" ref="G63:G64" si="15">VLOOKUP(I63,Aircraft,3,FALSE)</f>
        <v>E</v>
      </c>
      <c r="H63" s="931">
        <v>0.31944444444444442</v>
      </c>
      <c r="I63" s="928">
        <v>333</v>
      </c>
      <c r="J63" s="937">
        <v>242</v>
      </c>
      <c r="K63" s="936">
        <f t="shared" ref="K63:K64" si="16">ROUND(J63*K$4,0)</f>
        <v>218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ht="30" customHeight="1" x14ac:dyDescent="0.25">
      <c r="A64" s="933" t="s">
        <v>112</v>
      </c>
      <c r="B64" s="928"/>
      <c r="C64" s="929" t="e">
        <f>CONCATENATE(VLOOKUP(A64,Airlines,2,FALSE)," to ",VLOOKUP(E64,Destinations,2,FALSE),", ",VLOOKUP(I64,All_Aircraft,3,FALSE))</f>
        <v>#N/A</v>
      </c>
      <c r="D64" s="930">
        <v>727</v>
      </c>
      <c r="E64" s="930" t="s">
        <v>124</v>
      </c>
      <c r="F64" s="928" t="s">
        <v>64</v>
      </c>
      <c r="G64" s="935" t="str">
        <f t="shared" si="15"/>
        <v>E</v>
      </c>
      <c r="H64" s="931">
        <v>0.3263888888888889</v>
      </c>
      <c r="I64" s="928">
        <v>333</v>
      </c>
      <c r="J64" s="930">
        <f>IF(F64="S",VLOOKUP(I64,Aircraft,4,FALSE),VLOOKUP(I64,Aircraft,5,FALSE))</f>
        <v>285</v>
      </c>
      <c r="K64" s="936">
        <f t="shared" si="16"/>
        <v>257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ht="30" customHeight="1" x14ac:dyDescent="0.25">
      <c r="A65" s="933"/>
      <c r="B65" s="961"/>
      <c r="C65" s="929"/>
      <c r="D65" s="930"/>
      <c r="E65" s="930"/>
      <c r="F65" s="928"/>
      <c r="G65" s="935"/>
      <c r="H65" s="931"/>
      <c r="I65" s="928"/>
      <c r="J65" s="930"/>
      <c r="K65" s="936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ht="30" customHeight="1" x14ac:dyDescent="0.25">
      <c r="A66" s="933" t="s">
        <v>107</v>
      </c>
      <c r="B66" s="934"/>
      <c r="C66" s="929" t="e">
        <f>CONCATENATE(VLOOKUP(A66,Airlines,2,FALSE)," to ",VLOOKUP(E66,Destinations,2,FALSE),", ",VLOOKUP(I66,All_Aircraft,3,FALSE))</f>
        <v>#N/A</v>
      </c>
      <c r="D66" s="930">
        <v>134</v>
      </c>
      <c r="E66" s="930" t="s">
        <v>132</v>
      </c>
      <c r="F66" s="928" t="s">
        <v>65</v>
      </c>
      <c r="G66" s="935" t="str">
        <f t="shared" ref="G66:G70" si="17">VLOOKUP(I66,Aircraft,3,FALSE)</f>
        <v>C</v>
      </c>
      <c r="H66" s="931">
        <v>0.35069444444444442</v>
      </c>
      <c r="I66" s="928">
        <v>320</v>
      </c>
      <c r="J66" s="930">
        <f>IF(F66="S",VLOOKUP(I66,Aircraft,4,FALSE),VLOOKUP(I66,Aircraft,5,FALSE))</f>
        <v>180</v>
      </c>
      <c r="K66" s="936">
        <f t="shared" ref="K66:K70" si="18">ROUND(J66*K$4,0)</f>
        <v>162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 ht="30" customHeight="1" x14ac:dyDescent="0.25">
      <c r="A67" s="933" t="s">
        <v>113</v>
      </c>
      <c r="B67" s="934"/>
      <c r="C67" s="929" t="e">
        <f>CONCATENATE(VLOOKUP(A67,Airlines,2,FALSE)," to ",VLOOKUP(E67,Destinations,2,FALSE),", ",VLOOKUP(I67,All_Aircraft,3,FALSE))</f>
        <v>#N/A</v>
      </c>
      <c r="D67" s="930">
        <v>320</v>
      </c>
      <c r="E67" s="930" t="s">
        <v>122</v>
      </c>
      <c r="F67" s="928" t="s">
        <v>64</v>
      </c>
      <c r="G67" s="935" t="str">
        <f t="shared" si="17"/>
        <v>E</v>
      </c>
      <c r="H67" s="931">
        <v>0.35416666666666669</v>
      </c>
      <c r="I67" s="928">
        <v>332</v>
      </c>
      <c r="J67" s="930">
        <f>IF(F67="S",VLOOKUP(I67,Aircraft,4,FALSE),VLOOKUP(I67,Aircraft,5,FALSE))</f>
        <v>245</v>
      </c>
      <c r="K67" s="936">
        <f t="shared" si="18"/>
        <v>221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 ht="30" customHeight="1" x14ac:dyDescent="0.25">
      <c r="A68" s="933" t="s">
        <v>114</v>
      </c>
      <c r="B68" s="928"/>
      <c r="C68" s="929" t="e">
        <f>CONCATENATE(VLOOKUP(A68,Airlines,2,FALSE)," to ",VLOOKUP(E68,Destinations,2,FALSE),", ",VLOOKUP(I68,All_Aircraft,3,FALSE))</f>
        <v>#N/A</v>
      </c>
      <c r="D68" s="930">
        <v>484</v>
      </c>
      <c r="E68" s="930" t="s">
        <v>135</v>
      </c>
      <c r="F68" s="928" t="s">
        <v>64</v>
      </c>
      <c r="G68" s="935" t="str">
        <f t="shared" si="17"/>
        <v>E</v>
      </c>
      <c r="H68" s="931">
        <v>0.38194444444444442</v>
      </c>
      <c r="I68" s="928">
        <v>788</v>
      </c>
      <c r="J68" s="930">
        <f>IF(F68="S",VLOOKUP(I68,Aircraft,4,FALSE),VLOOKUP(I68,Aircraft,5,FALSE))</f>
        <v>264</v>
      </c>
      <c r="K68" s="936">
        <f t="shared" si="18"/>
        <v>238</v>
      </c>
      <c r="L68" s="918"/>
      <c r="M68" s="918"/>
      <c r="N68" s="918"/>
      <c r="O68" s="918"/>
      <c r="P68" s="918"/>
      <c r="Q68" s="918"/>
      <c r="R68" s="918"/>
      <c r="S68" s="918"/>
      <c r="T68" s="918"/>
      <c r="U68" s="918"/>
      <c r="V68" s="918"/>
      <c r="W68" s="918"/>
      <c r="X68" s="918"/>
      <c r="Y68" s="918"/>
      <c r="Z68" s="918"/>
      <c r="AA68" s="918"/>
      <c r="AB68" s="918"/>
      <c r="AC68" s="918"/>
      <c r="AD68" s="918"/>
      <c r="AE68" s="918"/>
    </row>
    <row r="69" spans="1:76" ht="30" customHeight="1" thickBot="1" x14ac:dyDescent="0.3">
      <c r="A69" s="938" t="s">
        <v>109</v>
      </c>
      <c r="B69" s="939"/>
      <c r="C69" s="940" t="e">
        <f>CONCATENATE(VLOOKUP(A69,Airlines,2,FALSE)," to ",VLOOKUP(E69,Destinations,2,FALSE),", ",VLOOKUP(I69,All_Aircraft,3,FALSE))</f>
        <v>#N/A</v>
      </c>
      <c r="D69" s="941">
        <v>535</v>
      </c>
      <c r="E69" s="941" t="s">
        <v>124</v>
      </c>
      <c r="F69" s="939" t="s">
        <v>65</v>
      </c>
      <c r="G69" s="939" t="str">
        <f t="shared" si="17"/>
        <v>C</v>
      </c>
      <c r="H69" s="942">
        <v>0.44791666666666669</v>
      </c>
      <c r="I69" s="939">
        <v>320</v>
      </c>
      <c r="J69" s="941">
        <f>IF(F69="S",VLOOKUP(I69,Aircraft,4,FALSE),VLOOKUP(I69,Aircraft,5,FALSE))</f>
        <v>180</v>
      </c>
      <c r="K69" s="924">
        <f t="shared" si="18"/>
        <v>162</v>
      </c>
      <c r="L69" s="918"/>
      <c r="M69" s="918"/>
      <c r="N69" s="918"/>
      <c r="O69" s="918"/>
      <c r="P69" s="918"/>
      <c r="Q69" s="918"/>
      <c r="R69" s="918"/>
      <c r="S69" s="918"/>
      <c r="T69" s="918"/>
      <c r="U69" s="918"/>
      <c r="V69" s="918"/>
      <c r="W69" s="918"/>
      <c r="X69" s="918"/>
      <c r="Y69" s="918"/>
      <c r="Z69" s="918"/>
      <c r="AA69" s="918"/>
      <c r="AB69" s="918"/>
      <c r="AC69" s="918"/>
      <c r="AD69" s="918"/>
      <c r="AE69" s="918"/>
    </row>
    <row r="70" spans="1:76" ht="30" customHeight="1" thickBot="1" x14ac:dyDescent="0.3">
      <c r="A70" s="919" t="s">
        <v>115</v>
      </c>
      <c r="B70" s="920"/>
      <c r="C70" s="925" t="e">
        <f>CONCATENATE(VLOOKUP(A70,Airlines,2,FALSE)," to ",VLOOKUP(E70,Destinations,2,FALSE),", ",VLOOKUP(I70,All_Aircraft,3,FALSE))</f>
        <v>#N/A</v>
      </c>
      <c r="D70" s="921">
        <v>3441</v>
      </c>
      <c r="E70" s="921" t="s">
        <v>133</v>
      </c>
      <c r="F70" s="920" t="s">
        <v>64</v>
      </c>
      <c r="G70" s="920" t="str">
        <f t="shared" si="17"/>
        <v>E</v>
      </c>
      <c r="H70" s="922">
        <v>0.54513888888888884</v>
      </c>
      <c r="I70" s="920">
        <v>332</v>
      </c>
      <c r="J70" s="921">
        <f>IF(F70="S",VLOOKUP(I70,Aircraft,4,FALSE),VLOOKUP(I70,Aircraft,5,FALSE))</f>
        <v>245</v>
      </c>
      <c r="K70" s="926">
        <f t="shared" si="18"/>
        <v>221</v>
      </c>
      <c r="L70" s="918"/>
      <c r="M70" s="918"/>
      <c r="N70" s="918"/>
      <c r="O70" s="918"/>
      <c r="P70" s="918"/>
      <c r="Q70" s="918"/>
      <c r="R70" s="918"/>
      <c r="S70" s="918"/>
      <c r="T70" s="918"/>
      <c r="U70" s="918"/>
      <c r="V70" s="918"/>
      <c r="W70" s="918"/>
      <c r="X70" s="918"/>
      <c r="Y70" s="918"/>
      <c r="Z70" s="918"/>
      <c r="AA70" s="918"/>
      <c r="AB70" s="918"/>
      <c r="AC70" s="918"/>
      <c r="AD70" s="918"/>
      <c r="AE70" s="918"/>
    </row>
    <row r="71" spans="1:76" ht="30" customHeight="1" x14ac:dyDescent="0.25">
      <c r="A71" s="963"/>
      <c r="B71" s="963"/>
      <c r="C71" s="1036" t="s">
        <v>1008</v>
      </c>
      <c r="D71" s="1036"/>
      <c r="E71" s="1036"/>
      <c r="F71" s="963"/>
      <c r="G71" s="963"/>
      <c r="H71" s="963"/>
      <c r="I71" s="963"/>
      <c r="J71" s="963"/>
      <c r="K71" s="963"/>
      <c r="L71" s="918"/>
      <c r="M71" s="918"/>
      <c r="N71" s="918"/>
      <c r="O71" s="918"/>
      <c r="P71" s="918"/>
      <c r="Q71" s="918"/>
      <c r="R71" s="918"/>
      <c r="S71" s="918"/>
      <c r="T71" s="918"/>
      <c r="U71" s="918"/>
      <c r="V71" s="918"/>
      <c r="W71" s="918"/>
      <c r="X71" s="918"/>
      <c r="Y71" s="918"/>
      <c r="Z71" s="918"/>
      <c r="AA71" s="918"/>
      <c r="AB71" s="918"/>
      <c r="AC71" s="918"/>
      <c r="AD71" s="918"/>
      <c r="AE71" s="918"/>
    </row>
    <row r="72" spans="1:76" ht="15.75" thickBot="1" x14ac:dyDescent="0.3">
      <c r="D72" s="918"/>
      <c r="E72" s="918"/>
      <c r="F72" s="918"/>
      <c r="G72" s="918"/>
      <c r="H72" s="918"/>
      <c r="I72" s="918"/>
      <c r="J72" s="918"/>
      <c r="K72" s="918"/>
      <c r="L72" s="918"/>
      <c r="M72" s="918"/>
      <c r="N72" s="918"/>
      <c r="O72" s="918"/>
      <c r="P72" s="918"/>
      <c r="Q72" s="918"/>
      <c r="R72" s="918"/>
      <c r="S72" s="918"/>
      <c r="T72" s="918"/>
      <c r="U72" s="918"/>
      <c r="V72" s="918"/>
      <c r="W72" s="918"/>
      <c r="X72" s="918"/>
      <c r="Y72" s="918"/>
      <c r="Z72" s="918"/>
      <c r="AA72" s="918"/>
      <c r="AB72" s="918"/>
      <c r="AC72" s="918"/>
      <c r="AD72" s="918"/>
      <c r="AE72" s="918"/>
    </row>
    <row r="73" spans="1:76" ht="24" customHeight="1" x14ac:dyDescent="0.25">
      <c r="A73" s="981" t="s">
        <v>1099</v>
      </c>
      <c r="B73" s="982"/>
      <c r="C73" s="982"/>
      <c r="D73" s="990">
        <v>3</v>
      </c>
      <c r="E73" s="950"/>
      <c r="F73" s="1037" t="s">
        <v>944</v>
      </c>
      <c r="G73" s="1037" t="s">
        <v>943</v>
      </c>
      <c r="H73" s="1037" t="s">
        <v>93</v>
      </c>
      <c r="I73" s="951"/>
      <c r="J73" s="285" t="s">
        <v>29</v>
      </c>
      <c r="K73" s="952">
        <v>0.9</v>
      </c>
      <c r="L73" s="918"/>
      <c r="M73" s="918"/>
      <c r="N73" s="918"/>
      <c r="O73" s="918"/>
      <c r="P73" s="918"/>
      <c r="Q73" s="918"/>
      <c r="R73" s="918"/>
      <c r="S73" s="918"/>
      <c r="T73" s="918"/>
      <c r="U73" s="918"/>
      <c r="V73" s="918"/>
      <c r="W73" s="918"/>
      <c r="X73" s="918"/>
      <c r="Y73" s="918"/>
      <c r="Z73" s="918"/>
      <c r="AA73" s="918"/>
      <c r="AB73" s="918"/>
      <c r="AC73" s="918"/>
      <c r="AD73" s="918"/>
      <c r="AE73" s="918"/>
    </row>
    <row r="74" spans="1:76" ht="24" customHeight="1" thickBot="1" x14ac:dyDescent="0.3">
      <c r="A74" s="983"/>
      <c r="B74" s="984"/>
      <c r="C74" s="984"/>
      <c r="D74" s="991"/>
      <c r="E74" s="953"/>
      <c r="F74" s="1038"/>
      <c r="G74" s="1038"/>
      <c r="H74" s="1038"/>
      <c r="I74" s="954" t="s">
        <v>1098</v>
      </c>
      <c r="J74" s="955"/>
      <c r="K74" s="956"/>
      <c r="L74" s="918"/>
      <c r="M74" s="918"/>
      <c r="N74" s="918"/>
      <c r="O74" s="918"/>
      <c r="P74" s="918"/>
      <c r="Q74" s="918"/>
      <c r="R74" s="918"/>
      <c r="S74" s="918"/>
      <c r="T74" s="918"/>
      <c r="U74" s="918"/>
      <c r="V74" s="918"/>
      <c r="W74" s="918"/>
      <c r="X74" s="918"/>
      <c r="Y74" s="918"/>
      <c r="Z74" s="918"/>
      <c r="AA74" s="918"/>
      <c r="AB74" s="918"/>
      <c r="AC74" s="918"/>
      <c r="AD74" s="918"/>
      <c r="AE74" s="918"/>
    </row>
    <row r="75" spans="1:76" ht="48" customHeight="1" x14ac:dyDescent="0.25">
      <c r="A75" s="1040"/>
      <c r="B75" s="1041"/>
      <c r="C75" s="1041"/>
      <c r="D75" s="957" t="s">
        <v>25</v>
      </c>
      <c r="E75" s="957" t="s">
        <v>26</v>
      </c>
      <c r="F75" s="1039"/>
      <c r="G75" s="1039"/>
      <c r="H75" s="1039"/>
      <c r="I75" s="958" t="s">
        <v>46</v>
      </c>
      <c r="J75" s="959" t="s">
        <v>67</v>
      </c>
      <c r="K75" s="960" t="s">
        <v>3</v>
      </c>
      <c r="L75" s="918"/>
      <c r="M75" s="918"/>
      <c r="N75" s="918"/>
      <c r="O75" s="918"/>
      <c r="P75" s="918"/>
      <c r="Q75" s="918"/>
      <c r="R75" s="918"/>
      <c r="S75" s="918"/>
      <c r="T75" s="918"/>
      <c r="U75" s="918"/>
      <c r="V75" s="918"/>
      <c r="W75" s="918"/>
      <c r="X75" s="918"/>
      <c r="Y75" s="918"/>
      <c r="Z75" s="918"/>
      <c r="AA75" s="918"/>
      <c r="AB75" s="918"/>
      <c r="AC75" s="918"/>
      <c r="AD75" s="918"/>
      <c r="AE75" s="918"/>
    </row>
    <row r="76" spans="1:76" ht="30" customHeight="1" thickBot="1" x14ac:dyDescent="0.3">
      <c r="A76" s="947" t="s">
        <v>108</v>
      </c>
      <c r="B76" s="567"/>
      <c r="C76" s="923" t="e">
        <f t="shared" ref="C76:C88" si="19">CONCATENATE(VLOOKUP(A76,Airlines,2,FALSE)," to ",VLOOKUP(E76,Destinations,2,FALSE),", ",VLOOKUP(I76,All_Aircraft,3,FALSE))</f>
        <v>#N/A</v>
      </c>
      <c r="D76" s="567">
        <v>126</v>
      </c>
      <c r="E76" s="567" t="s">
        <v>128</v>
      </c>
      <c r="F76" s="567" t="s">
        <v>64</v>
      </c>
      <c r="G76" s="567" t="str">
        <f t="shared" ref="G76:G78" si="20">VLOOKUP(I76,Aircraft,3,FALSE)</f>
        <v>E</v>
      </c>
      <c r="H76" s="948">
        <v>0.10416666666666667</v>
      </c>
      <c r="I76" s="567">
        <v>333</v>
      </c>
      <c r="J76" s="567">
        <f t="shared" ref="J76:J81" si="21">IF(F76="S",VLOOKUP(I76,Aircraft,4,FALSE),VLOOKUP(I76,Aircraft,5,FALSE))</f>
        <v>285</v>
      </c>
      <c r="K76" s="949">
        <f t="shared" ref="K76:K78" si="22">ROUND(J76*K$4,0)</f>
        <v>257</v>
      </c>
      <c r="L76" s="918"/>
      <c r="M76" s="918"/>
      <c r="N76" s="918"/>
      <c r="O76" s="918"/>
      <c r="P76" s="918"/>
      <c r="Q76" s="918"/>
      <c r="R76" s="918"/>
      <c r="S76" s="918"/>
      <c r="T76" s="918"/>
      <c r="U76" s="918"/>
      <c r="V76" s="918"/>
      <c r="W76" s="918"/>
      <c r="X76" s="918"/>
      <c r="Y76" s="918"/>
      <c r="Z76" s="918"/>
      <c r="AA76" s="918"/>
      <c r="AB76" s="918"/>
      <c r="AC76" s="918"/>
      <c r="AD76" s="918"/>
      <c r="AE76" s="918"/>
    </row>
    <row r="77" spans="1:76" ht="30" customHeight="1" x14ac:dyDescent="0.25">
      <c r="A77" s="927" t="s">
        <v>109</v>
      </c>
      <c r="B77" s="928"/>
      <c r="C77" s="929" t="e">
        <f t="shared" si="19"/>
        <v>#N/A</v>
      </c>
      <c r="D77" s="930">
        <v>547</v>
      </c>
      <c r="E77" s="930" t="s">
        <v>124</v>
      </c>
      <c r="F77" s="928" t="s">
        <v>65</v>
      </c>
      <c r="G77" s="928" t="str">
        <f t="shared" si="20"/>
        <v>C</v>
      </c>
      <c r="H77" s="931">
        <v>0.2013888888888889</v>
      </c>
      <c r="I77" s="928">
        <v>320</v>
      </c>
      <c r="J77" s="930">
        <f t="shared" si="21"/>
        <v>180</v>
      </c>
      <c r="K77" s="932">
        <f t="shared" si="22"/>
        <v>162</v>
      </c>
      <c r="L77" s="918"/>
      <c r="M77" s="918"/>
      <c r="N77" s="918"/>
      <c r="O77" s="918"/>
      <c r="P77" s="918"/>
      <c r="Q77" s="918"/>
      <c r="R77" s="918"/>
      <c r="S77" s="918"/>
      <c r="T77" s="918"/>
      <c r="U77" s="918"/>
      <c r="V77" s="918"/>
      <c r="W77" s="918"/>
      <c r="X77" s="918"/>
      <c r="Y77" s="918"/>
      <c r="Z77" s="918"/>
      <c r="AA77" s="918"/>
      <c r="AB77" s="918"/>
      <c r="AC77" s="918"/>
      <c r="AD77" s="918"/>
      <c r="AE77" s="918"/>
    </row>
    <row r="78" spans="1:76" ht="30" customHeight="1" x14ac:dyDescent="0.25">
      <c r="A78" s="933" t="s">
        <v>102</v>
      </c>
      <c r="B78" s="934"/>
      <c r="C78" s="929" t="str">
        <f t="shared" si="19"/>
        <v>Emirates to Dubai, Boeing 777-200LR pax</v>
      </c>
      <c r="D78" s="930">
        <v>425</v>
      </c>
      <c r="E78" s="930" t="s">
        <v>126</v>
      </c>
      <c r="F78" s="928" t="s">
        <v>64</v>
      </c>
      <c r="G78" s="935" t="e">
        <f t="shared" si="20"/>
        <v>#N/A</v>
      </c>
      <c r="H78" s="931">
        <v>0.25347222222222221</v>
      </c>
      <c r="I78" s="928" t="s">
        <v>928</v>
      </c>
      <c r="J78" s="930" t="e">
        <f t="shared" si="21"/>
        <v>#N/A</v>
      </c>
      <c r="K78" s="936" t="e">
        <f t="shared" si="22"/>
        <v>#N/A</v>
      </c>
      <c r="L78" s="918"/>
      <c r="M78" s="918"/>
      <c r="N78" s="918"/>
      <c r="O78" s="918"/>
      <c r="P78" s="918"/>
      <c r="Q78" s="918"/>
      <c r="R78" s="918"/>
      <c r="S78" s="918"/>
      <c r="T78" s="918"/>
      <c r="U78" s="918"/>
      <c r="V78" s="918"/>
      <c r="W78" s="918"/>
      <c r="X78" s="918"/>
      <c r="Y78" s="918"/>
      <c r="Z78" s="918"/>
      <c r="AA78" s="918"/>
      <c r="AB78" s="918"/>
      <c r="AC78" s="918"/>
      <c r="AD78" s="918"/>
      <c r="AE78" s="918"/>
    </row>
    <row r="79" spans="1:76" ht="30" customHeight="1" x14ac:dyDescent="0.25">
      <c r="A79" s="933" t="s">
        <v>110</v>
      </c>
      <c r="B79" s="928"/>
      <c r="C79" s="929" t="e">
        <f t="shared" si="19"/>
        <v>#N/A</v>
      </c>
      <c r="D79" s="930">
        <v>237</v>
      </c>
      <c r="E79" s="930" t="s">
        <v>128</v>
      </c>
      <c r="F79" s="928" t="s">
        <v>65</v>
      </c>
      <c r="G79" s="935" t="str">
        <f t="shared" ref="G79:G80" si="23">VLOOKUP(I79,Aircraft,3,FALSE)</f>
        <v>E</v>
      </c>
      <c r="H79" s="931">
        <v>0.27777777777777779</v>
      </c>
      <c r="I79" s="928">
        <v>333</v>
      </c>
      <c r="J79" s="930">
        <f t="shared" si="21"/>
        <v>377</v>
      </c>
      <c r="K79" s="936">
        <f t="shared" ref="K79:K80" si="24">ROUND(J79*K$4,0)</f>
        <v>339</v>
      </c>
      <c r="L79" s="918"/>
      <c r="M79" s="918"/>
      <c r="N79" s="918"/>
      <c r="O79" s="918"/>
      <c r="P79" s="918"/>
      <c r="Q79" s="918"/>
      <c r="R79" s="918"/>
      <c r="S79" s="918"/>
      <c r="T79" s="918"/>
      <c r="U79" s="918"/>
      <c r="V79" s="918"/>
      <c r="W79" s="918"/>
      <c r="X79" s="918"/>
      <c r="Y79" s="918"/>
      <c r="Z79" s="918"/>
      <c r="AA79" s="918"/>
      <c r="AB79" s="918"/>
      <c r="AC79" s="918"/>
      <c r="AD79" s="918"/>
      <c r="AE79" s="918"/>
    </row>
    <row r="80" spans="1:76" ht="30" customHeight="1" x14ac:dyDescent="0.25">
      <c r="A80" s="933" t="s">
        <v>104</v>
      </c>
      <c r="B80" s="928"/>
      <c r="C80" s="929" t="e">
        <f t="shared" si="19"/>
        <v>#N/A</v>
      </c>
      <c r="D80" s="930">
        <v>224</v>
      </c>
      <c r="E80" s="930" t="s">
        <v>132</v>
      </c>
      <c r="F80" s="928" t="s">
        <v>64</v>
      </c>
      <c r="G80" s="935" t="str">
        <f t="shared" si="23"/>
        <v>E</v>
      </c>
      <c r="H80" s="931">
        <v>0.27777777777777779</v>
      </c>
      <c r="I80" s="928">
        <v>333</v>
      </c>
      <c r="J80" s="930">
        <f t="shared" si="21"/>
        <v>285</v>
      </c>
      <c r="K80" s="936">
        <f t="shared" si="24"/>
        <v>257</v>
      </c>
      <c r="L80" s="918"/>
      <c r="M80" s="918"/>
      <c r="N80" s="918"/>
      <c r="O80" s="918"/>
      <c r="P80" s="918"/>
      <c r="Q80" s="918"/>
      <c r="R80" s="918"/>
      <c r="S80" s="918"/>
      <c r="T80" s="918"/>
      <c r="U80" s="918"/>
      <c r="V80" s="918"/>
      <c r="W80" s="918"/>
      <c r="X80" s="918"/>
      <c r="Y80" s="918"/>
      <c r="Z80" s="918"/>
      <c r="AA80" s="918"/>
      <c r="AB80" s="918"/>
      <c r="AC80" s="918"/>
      <c r="AD80" s="918"/>
      <c r="AE80" s="918"/>
    </row>
    <row r="81" spans="1:31" ht="30" customHeight="1" x14ac:dyDescent="0.25">
      <c r="A81" s="933" t="s">
        <v>111</v>
      </c>
      <c r="B81" s="934"/>
      <c r="C81" s="929" t="e">
        <f t="shared" si="19"/>
        <v>#N/A</v>
      </c>
      <c r="D81" s="930">
        <v>110</v>
      </c>
      <c r="E81" s="930" t="s">
        <v>124</v>
      </c>
      <c r="F81" s="928" t="s">
        <v>65</v>
      </c>
      <c r="G81" s="935" t="str">
        <f t="shared" ref="G81" si="25">VLOOKUP(I81,Aircraft,3,FALSE)</f>
        <v>C</v>
      </c>
      <c r="H81" s="931">
        <v>0.30902777777777779</v>
      </c>
      <c r="I81" s="928">
        <v>320</v>
      </c>
      <c r="J81" s="930">
        <f t="shared" si="21"/>
        <v>180</v>
      </c>
      <c r="K81" s="936">
        <f t="shared" ref="K81" si="26">ROUND(J81*K$4,0)</f>
        <v>162</v>
      </c>
      <c r="L81" s="918"/>
      <c r="M81" s="918"/>
      <c r="N81" s="918"/>
      <c r="O81" s="918"/>
      <c r="P81" s="918"/>
      <c r="Q81" s="918"/>
      <c r="R81" s="918"/>
      <c r="S81" s="918"/>
      <c r="T81" s="918"/>
      <c r="U81" s="918"/>
      <c r="V81" s="918"/>
      <c r="W81" s="918"/>
      <c r="X81" s="918"/>
      <c r="Y81" s="918"/>
      <c r="Z81" s="918"/>
      <c r="AA81" s="918"/>
      <c r="AB81" s="918"/>
      <c r="AC81" s="918"/>
      <c r="AD81" s="918"/>
      <c r="AE81" s="918"/>
    </row>
    <row r="82" spans="1:31" ht="30" customHeight="1" x14ac:dyDescent="0.25">
      <c r="A82" s="933" t="s">
        <v>106</v>
      </c>
      <c r="B82" s="928"/>
      <c r="C82" s="929" t="e">
        <f t="shared" si="19"/>
        <v>#N/A</v>
      </c>
      <c r="D82" s="930">
        <v>136</v>
      </c>
      <c r="E82" s="930" t="s">
        <v>130</v>
      </c>
      <c r="F82" s="928" t="s">
        <v>64</v>
      </c>
      <c r="G82" s="935" t="str">
        <f t="shared" ref="G82:G83" si="27">VLOOKUP(I82,Aircraft,3,FALSE)</f>
        <v>E</v>
      </c>
      <c r="H82" s="931">
        <v>0.31944444444444442</v>
      </c>
      <c r="I82" s="928">
        <v>333</v>
      </c>
      <c r="J82" s="937">
        <v>242</v>
      </c>
      <c r="K82" s="936">
        <f t="shared" ref="K82:K83" si="28">ROUND(J82*K$4,0)</f>
        <v>218</v>
      </c>
      <c r="L82" s="918"/>
      <c r="M82" s="918"/>
      <c r="N82" s="918"/>
      <c r="O82" s="918"/>
      <c r="P82" s="918"/>
      <c r="Q82" s="918"/>
      <c r="R82" s="918"/>
      <c r="S82" s="918"/>
      <c r="T82" s="918"/>
      <c r="U82" s="918"/>
      <c r="V82" s="918"/>
      <c r="W82" s="918"/>
      <c r="X82" s="918"/>
      <c r="Y82" s="918"/>
      <c r="Z82" s="918"/>
      <c r="AA82" s="918"/>
      <c r="AB82" s="918"/>
      <c r="AC82" s="918"/>
      <c r="AD82" s="918"/>
      <c r="AE82" s="918"/>
    </row>
    <row r="83" spans="1:31" ht="30" customHeight="1" x14ac:dyDescent="0.25">
      <c r="A83" s="933" t="s">
        <v>112</v>
      </c>
      <c r="B83" s="928"/>
      <c r="C83" s="929" t="e">
        <f t="shared" si="19"/>
        <v>#N/A</v>
      </c>
      <c r="D83" s="930">
        <v>727</v>
      </c>
      <c r="E83" s="930" t="s">
        <v>124</v>
      </c>
      <c r="F83" s="928" t="s">
        <v>64</v>
      </c>
      <c r="G83" s="935" t="str">
        <f t="shared" si="27"/>
        <v>E</v>
      </c>
      <c r="H83" s="931">
        <v>0.3263888888888889</v>
      </c>
      <c r="I83" s="928">
        <v>333</v>
      </c>
      <c r="J83" s="930">
        <f t="shared" ref="J83:J88" si="29">IF(F83="S",VLOOKUP(I83,Aircraft,4,FALSE),VLOOKUP(I83,Aircraft,5,FALSE))</f>
        <v>285</v>
      </c>
      <c r="K83" s="936">
        <f t="shared" si="28"/>
        <v>257</v>
      </c>
      <c r="L83" s="918"/>
      <c r="M83" s="918"/>
      <c r="N83" s="918"/>
      <c r="O83" s="918"/>
      <c r="P83" s="918"/>
      <c r="Q83" s="918"/>
      <c r="R83" s="918"/>
      <c r="S83" s="918"/>
      <c r="T83" s="918"/>
      <c r="U83" s="918"/>
      <c r="V83" s="918"/>
      <c r="W83" s="918"/>
      <c r="X83" s="918"/>
      <c r="Y83" s="918"/>
      <c r="Z83" s="918"/>
      <c r="AA83" s="918"/>
      <c r="AB83" s="918"/>
      <c r="AC83" s="918"/>
      <c r="AD83" s="918"/>
      <c r="AE83" s="918"/>
    </row>
    <row r="84" spans="1:31" ht="30" customHeight="1" x14ac:dyDescent="0.25">
      <c r="A84" s="933" t="s">
        <v>107</v>
      </c>
      <c r="B84" s="934"/>
      <c r="C84" s="929" t="e">
        <f t="shared" si="19"/>
        <v>#N/A</v>
      </c>
      <c r="D84" s="930">
        <v>134</v>
      </c>
      <c r="E84" s="930" t="s">
        <v>132</v>
      </c>
      <c r="F84" s="928" t="s">
        <v>65</v>
      </c>
      <c r="G84" s="935" t="str">
        <f t="shared" ref="G84:G88" si="30">VLOOKUP(I84,Aircraft,3,FALSE)</f>
        <v>C</v>
      </c>
      <c r="H84" s="931">
        <v>0.35069444444444442</v>
      </c>
      <c r="I84" s="928">
        <v>320</v>
      </c>
      <c r="J84" s="930">
        <f t="shared" si="29"/>
        <v>180</v>
      </c>
      <c r="K84" s="936">
        <f t="shared" ref="K84:K88" si="31">ROUND(J84*K$4,0)</f>
        <v>162</v>
      </c>
      <c r="L84" s="918"/>
      <c r="M84" s="918"/>
      <c r="N84" s="918"/>
      <c r="O84" s="918"/>
      <c r="P84" s="918"/>
      <c r="Q84" s="918"/>
      <c r="R84" s="918"/>
      <c r="S84" s="918"/>
      <c r="T84" s="918"/>
      <c r="U84" s="918"/>
      <c r="V84" s="918"/>
      <c r="W84" s="918"/>
      <c r="X84" s="918"/>
      <c r="Y84" s="918"/>
      <c r="Z84" s="918"/>
      <c r="AA84" s="918"/>
      <c r="AB84" s="918"/>
      <c r="AC84" s="918"/>
      <c r="AD84" s="918"/>
      <c r="AE84" s="918"/>
    </row>
    <row r="85" spans="1:31" ht="30" customHeight="1" x14ac:dyDescent="0.25">
      <c r="A85" s="933" t="s">
        <v>113</v>
      </c>
      <c r="B85" s="934"/>
      <c r="C85" s="929" t="e">
        <f t="shared" si="19"/>
        <v>#N/A</v>
      </c>
      <c r="D85" s="930">
        <v>320</v>
      </c>
      <c r="E85" s="930" t="s">
        <v>122</v>
      </c>
      <c r="F85" s="928" t="s">
        <v>64</v>
      </c>
      <c r="G85" s="935" t="str">
        <f t="shared" si="30"/>
        <v>E</v>
      </c>
      <c r="H85" s="931">
        <v>0.35416666666666669</v>
      </c>
      <c r="I85" s="928">
        <v>332</v>
      </c>
      <c r="J85" s="930">
        <f t="shared" si="29"/>
        <v>245</v>
      </c>
      <c r="K85" s="936">
        <f t="shared" si="31"/>
        <v>221</v>
      </c>
      <c r="L85" s="918"/>
      <c r="M85" s="918"/>
      <c r="N85" s="918"/>
      <c r="O85" s="918"/>
      <c r="P85" s="918"/>
      <c r="Q85" s="918"/>
      <c r="R85" s="918"/>
      <c r="S85" s="918"/>
      <c r="T85" s="918"/>
      <c r="U85" s="918"/>
      <c r="V85" s="918"/>
      <c r="W85" s="918"/>
      <c r="X85" s="918"/>
      <c r="Y85" s="918"/>
      <c r="Z85" s="918"/>
      <c r="AA85" s="918"/>
      <c r="AB85" s="918"/>
      <c r="AC85" s="918"/>
      <c r="AD85" s="918"/>
      <c r="AE85" s="918"/>
    </row>
    <row r="86" spans="1:31" ht="30" customHeight="1" x14ac:dyDescent="0.25">
      <c r="A86" s="933" t="s">
        <v>114</v>
      </c>
      <c r="B86" s="928"/>
      <c r="C86" s="929" t="e">
        <f t="shared" si="19"/>
        <v>#N/A</v>
      </c>
      <c r="D86" s="930">
        <v>484</v>
      </c>
      <c r="E86" s="930" t="s">
        <v>135</v>
      </c>
      <c r="F86" s="928" t="s">
        <v>64</v>
      </c>
      <c r="G86" s="935" t="str">
        <f t="shared" si="30"/>
        <v>E</v>
      </c>
      <c r="H86" s="931">
        <v>0.38194444444444442</v>
      </c>
      <c r="I86" s="928">
        <v>788</v>
      </c>
      <c r="J86" s="930">
        <f t="shared" si="29"/>
        <v>264</v>
      </c>
      <c r="K86" s="936">
        <f t="shared" si="31"/>
        <v>238</v>
      </c>
      <c r="L86" s="918"/>
      <c r="M86" s="918"/>
      <c r="N86" s="918"/>
      <c r="O86" s="918"/>
      <c r="P86" s="918"/>
      <c r="Q86" s="918"/>
      <c r="R86" s="918"/>
      <c r="S86" s="918"/>
      <c r="T86" s="918"/>
      <c r="U86" s="918"/>
      <c r="V86" s="918"/>
      <c r="W86" s="918"/>
      <c r="X86" s="918"/>
      <c r="Y86" s="918"/>
      <c r="Z86" s="918"/>
      <c r="AA86" s="918"/>
      <c r="AB86" s="918"/>
      <c r="AC86" s="918"/>
      <c r="AD86" s="918"/>
      <c r="AE86" s="918"/>
    </row>
    <row r="87" spans="1:31" ht="30" customHeight="1" thickBot="1" x14ac:dyDescent="0.3">
      <c r="A87" s="938" t="s">
        <v>109</v>
      </c>
      <c r="B87" s="939"/>
      <c r="C87" s="940" t="e">
        <f t="shared" si="19"/>
        <v>#N/A</v>
      </c>
      <c r="D87" s="941">
        <v>535</v>
      </c>
      <c r="E87" s="941" t="s">
        <v>124</v>
      </c>
      <c r="F87" s="939" t="s">
        <v>65</v>
      </c>
      <c r="G87" s="939" t="str">
        <f t="shared" si="30"/>
        <v>C</v>
      </c>
      <c r="H87" s="942">
        <v>0.44791666666666669</v>
      </c>
      <c r="I87" s="939">
        <v>320</v>
      </c>
      <c r="J87" s="941">
        <f t="shared" si="29"/>
        <v>180</v>
      </c>
      <c r="K87" s="924">
        <f t="shared" si="31"/>
        <v>162</v>
      </c>
      <c r="L87" s="918"/>
      <c r="M87" s="918"/>
      <c r="N87" s="918"/>
      <c r="O87" s="918"/>
      <c r="P87" s="918"/>
      <c r="Q87" s="918"/>
      <c r="R87" s="918"/>
      <c r="S87" s="918"/>
      <c r="T87" s="918"/>
      <c r="U87" s="918"/>
      <c r="V87" s="918"/>
      <c r="W87" s="918"/>
      <c r="X87" s="918"/>
      <c r="Y87" s="918"/>
      <c r="Z87" s="918"/>
      <c r="AA87" s="918"/>
      <c r="AB87" s="918"/>
      <c r="AC87" s="918"/>
      <c r="AD87" s="918"/>
      <c r="AE87" s="918"/>
    </row>
    <row r="88" spans="1:31" ht="30" customHeight="1" thickBot="1" x14ac:dyDescent="0.3">
      <c r="A88" s="944" t="s">
        <v>115</v>
      </c>
      <c r="B88" s="921"/>
      <c r="C88" s="925" t="e">
        <f t="shared" si="19"/>
        <v>#N/A</v>
      </c>
      <c r="D88" s="921">
        <v>3441</v>
      </c>
      <c r="E88" s="921" t="s">
        <v>133</v>
      </c>
      <c r="F88" s="921" t="s">
        <v>64</v>
      </c>
      <c r="G88" s="921" t="str">
        <f t="shared" si="30"/>
        <v>E</v>
      </c>
      <c r="H88" s="945">
        <v>0.54513888888888884</v>
      </c>
      <c r="I88" s="921">
        <v>332</v>
      </c>
      <c r="J88" s="921">
        <f t="shared" si="29"/>
        <v>245</v>
      </c>
      <c r="K88" s="946">
        <f t="shared" si="31"/>
        <v>221</v>
      </c>
      <c r="L88" s="918"/>
      <c r="M88" s="918"/>
      <c r="N88" s="918"/>
      <c r="O88" s="918"/>
      <c r="P88" s="918"/>
      <c r="Q88" s="918"/>
      <c r="R88" s="918"/>
      <c r="S88" s="918"/>
      <c r="T88" s="918"/>
      <c r="U88" s="918"/>
      <c r="V88" s="918"/>
      <c r="W88" s="918"/>
      <c r="X88" s="918"/>
      <c r="Y88" s="918"/>
      <c r="Z88" s="918"/>
      <c r="AA88" s="918"/>
      <c r="AB88" s="918"/>
      <c r="AC88" s="918"/>
      <c r="AD88" s="918"/>
      <c r="AE88" s="918"/>
    </row>
    <row r="89" spans="1:31" ht="30" customHeight="1" x14ac:dyDescent="0.25">
      <c r="A89" s="943"/>
      <c r="B89" s="943"/>
      <c r="C89" s="1036" t="s">
        <v>1008</v>
      </c>
      <c r="D89" s="1036"/>
      <c r="E89" s="1036"/>
      <c r="F89" s="943"/>
      <c r="G89" s="943"/>
      <c r="H89" s="943"/>
      <c r="I89" s="943"/>
      <c r="J89" s="943"/>
      <c r="K89" s="943"/>
      <c r="L89" s="918"/>
      <c r="M89" s="918"/>
      <c r="N89" s="918"/>
      <c r="O89" s="918"/>
      <c r="P89" s="918"/>
      <c r="Q89" s="918"/>
      <c r="R89" s="918"/>
      <c r="S89" s="918"/>
      <c r="T89" s="918"/>
      <c r="U89" s="918"/>
      <c r="V89" s="918"/>
      <c r="W89" s="918"/>
      <c r="X89" s="918"/>
      <c r="Y89" s="918"/>
      <c r="Z89" s="918"/>
      <c r="AA89" s="918"/>
      <c r="AB89" s="918"/>
      <c r="AC89" s="918"/>
      <c r="AD89" s="918"/>
      <c r="AE89" s="918"/>
    </row>
    <row r="90" spans="1:31" x14ac:dyDescent="0.25">
      <c r="D90" s="918"/>
      <c r="E90" s="918"/>
      <c r="F90" s="918"/>
      <c r="G90" s="918"/>
      <c r="H90" s="918"/>
      <c r="I90" s="918"/>
      <c r="J90" s="918"/>
      <c r="K90" s="918"/>
      <c r="L90" s="918"/>
      <c r="M90" s="918"/>
      <c r="N90" s="918"/>
      <c r="O90" s="918"/>
      <c r="P90" s="918"/>
      <c r="Q90" s="918"/>
      <c r="R90" s="918"/>
      <c r="S90" s="918"/>
      <c r="T90" s="918"/>
      <c r="U90" s="918"/>
      <c r="V90" s="918"/>
      <c r="W90" s="918"/>
      <c r="X90" s="918"/>
      <c r="Y90" s="918"/>
      <c r="Z90" s="918"/>
      <c r="AA90" s="918"/>
      <c r="AB90" s="918"/>
      <c r="AC90" s="918"/>
      <c r="AD90" s="918"/>
      <c r="AE90" s="918"/>
    </row>
    <row r="91" spans="1:31" x14ac:dyDescent="0.25">
      <c r="D91" s="918"/>
      <c r="E91" s="918"/>
      <c r="F91" s="918"/>
      <c r="G91" s="918"/>
      <c r="H91" s="918"/>
      <c r="I91" s="918"/>
      <c r="J91" s="918"/>
      <c r="K91" s="918"/>
      <c r="L91" s="918"/>
      <c r="M91" s="918"/>
      <c r="N91" s="918"/>
      <c r="O91" s="918"/>
      <c r="P91" s="918"/>
      <c r="Q91" s="918"/>
      <c r="R91" s="918"/>
      <c r="S91" s="918"/>
      <c r="T91" s="918"/>
      <c r="U91" s="918"/>
      <c r="V91" s="918"/>
      <c r="W91" s="918"/>
      <c r="X91" s="918"/>
      <c r="Y91" s="918"/>
      <c r="Z91" s="918"/>
      <c r="AA91" s="918"/>
      <c r="AB91" s="918"/>
      <c r="AC91" s="918"/>
      <c r="AD91" s="918"/>
      <c r="AE91" s="918"/>
    </row>
    <row r="92" spans="1:31" x14ac:dyDescent="0.25">
      <c r="D92" s="918"/>
      <c r="E92" s="918"/>
      <c r="F92" s="918"/>
      <c r="G92" s="918"/>
      <c r="H92" s="918"/>
      <c r="I92" s="918"/>
      <c r="J92" s="918"/>
      <c r="K92" s="918"/>
      <c r="L92" s="918"/>
      <c r="M92" s="918"/>
      <c r="N92" s="918"/>
      <c r="O92" s="918"/>
      <c r="P92" s="918"/>
      <c r="Q92" s="918"/>
      <c r="R92" s="918"/>
      <c r="S92" s="918"/>
      <c r="T92" s="918"/>
      <c r="U92" s="918"/>
      <c r="V92" s="918"/>
      <c r="W92" s="918"/>
      <c r="X92" s="918"/>
      <c r="Y92" s="918"/>
      <c r="Z92" s="918"/>
      <c r="AA92" s="918"/>
      <c r="AB92" s="918"/>
      <c r="AC92" s="918"/>
      <c r="AD92" s="918"/>
      <c r="AE92" s="918"/>
    </row>
    <row r="93" spans="1:31" x14ac:dyDescent="0.25">
      <c r="D93" s="918"/>
      <c r="E93" s="918"/>
      <c r="F93" s="918"/>
      <c r="G93" s="918"/>
      <c r="H93" s="918"/>
      <c r="I93" s="918"/>
      <c r="J93" s="918"/>
      <c r="K93" s="918"/>
      <c r="L93" s="918"/>
      <c r="M93" s="918"/>
      <c r="N93" s="918"/>
      <c r="O93" s="918"/>
      <c r="P93" s="918"/>
      <c r="Q93" s="918"/>
      <c r="R93" s="918"/>
      <c r="S93" s="918"/>
      <c r="T93" s="918"/>
      <c r="U93" s="918"/>
      <c r="V93" s="918"/>
      <c r="W93" s="918"/>
      <c r="X93" s="918"/>
      <c r="Y93" s="918"/>
      <c r="Z93" s="918"/>
      <c r="AA93" s="918"/>
      <c r="AB93" s="918"/>
      <c r="AC93" s="918"/>
      <c r="AD93" s="918"/>
      <c r="AE93" s="918"/>
    </row>
    <row r="94" spans="1:31" x14ac:dyDescent="0.25">
      <c r="D94" s="918"/>
      <c r="E94" s="918"/>
      <c r="F94" s="918"/>
      <c r="G94" s="918"/>
      <c r="H94" s="918"/>
      <c r="I94" s="918"/>
      <c r="J94" s="918"/>
      <c r="K94" s="918"/>
      <c r="L94" s="918"/>
      <c r="M94" s="918"/>
      <c r="N94" s="918"/>
      <c r="O94" s="918"/>
      <c r="P94" s="918"/>
      <c r="Q94" s="918"/>
      <c r="R94" s="918"/>
      <c r="S94" s="918"/>
      <c r="T94" s="918"/>
      <c r="U94" s="918"/>
      <c r="V94" s="918"/>
      <c r="W94" s="918"/>
      <c r="X94" s="918"/>
      <c r="Y94" s="918"/>
      <c r="Z94" s="918"/>
      <c r="AA94" s="918"/>
      <c r="AB94" s="918"/>
      <c r="AC94" s="918"/>
      <c r="AD94" s="918"/>
      <c r="AE94" s="918"/>
    </row>
    <row r="95" spans="1:31" x14ac:dyDescent="0.25">
      <c r="D95" s="918"/>
      <c r="E95" s="918"/>
      <c r="F95" s="918"/>
      <c r="G95" s="918"/>
      <c r="H95" s="918"/>
      <c r="I95" s="918"/>
      <c r="J95" s="918"/>
      <c r="K95" s="918"/>
      <c r="L95" s="918"/>
      <c r="M95" s="918"/>
      <c r="N95" s="918"/>
      <c r="O95" s="918"/>
      <c r="P95" s="918"/>
      <c r="Q95" s="918"/>
      <c r="R95" s="918"/>
      <c r="S95" s="918"/>
      <c r="T95" s="918"/>
      <c r="U95" s="918"/>
      <c r="V95" s="918"/>
      <c r="W95" s="918"/>
      <c r="X95" s="918"/>
      <c r="Y95" s="918"/>
      <c r="Z95" s="918"/>
      <c r="AA95" s="918"/>
      <c r="AB95" s="918"/>
      <c r="AC95" s="918"/>
      <c r="AD95" s="918"/>
      <c r="AE95" s="918"/>
    </row>
    <row r="96" spans="1:31" x14ac:dyDescent="0.25">
      <c r="D96" s="918"/>
      <c r="E96" s="918"/>
      <c r="F96" s="918"/>
      <c r="G96" s="918"/>
      <c r="H96" s="918"/>
      <c r="I96" s="918"/>
      <c r="J96" s="918"/>
      <c r="K96" s="918"/>
      <c r="L96" s="918"/>
      <c r="M96" s="918"/>
      <c r="N96" s="918"/>
      <c r="O96" s="918"/>
      <c r="P96" s="918"/>
      <c r="Q96" s="918"/>
      <c r="R96" s="918"/>
      <c r="S96" s="918"/>
      <c r="T96" s="918"/>
      <c r="U96" s="918"/>
      <c r="V96" s="918"/>
      <c r="W96" s="918"/>
      <c r="X96" s="918"/>
      <c r="Y96" s="918"/>
      <c r="Z96" s="918"/>
      <c r="AA96" s="918"/>
      <c r="AB96" s="918"/>
      <c r="AC96" s="918"/>
      <c r="AD96" s="918"/>
      <c r="AE96" s="918"/>
    </row>
    <row r="97" spans="4:31" x14ac:dyDescent="0.25">
      <c r="D97" s="918"/>
      <c r="E97" s="918"/>
      <c r="F97" s="918"/>
      <c r="G97" s="918"/>
      <c r="H97" s="918"/>
      <c r="I97" s="918"/>
      <c r="J97" s="918"/>
      <c r="K97" s="918"/>
      <c r="L97" s="918"/>
      <c r="M97" s="918"/>
      <c r="N97" s="918"/>
      <c r="O97" s="918"/>
      <c r="P97" s="918"/>
      <c r="Q97" s="918"/>
      <c r="R97" s="918"/>
      <c r="S97" s="918"/>
      <c r="T97" s="918"/>
      <c r="U97" s="918"/>
      <c r="V97" s="918"/>
      <c r="W97" s="918"/>
      <c r="X97" s="918"/>
      <c r="Y97" s="918"/>
      <c r="Z97" s="918"/>
      <c r="AA97" s="918"/>
      <c r="AB97" s="918"/>
      <c r="AC97" s="918"/>
      <c r="AD97" s="918"/>
      <c r="AE97" s="918"/>
    </row>
    <row r="98" spans="4:31" x14ac:dyDescent="0.25">
      <c r="D98" s="918"/>
      <c r="E98" s="918"/>
      <c r="F98" s="918"/>
      <c r="G98" s="918"/>
      <c r="H98" s="918"/>
      <c r="I98" s="918"/>
      <c r="J98" s="918"/>
      <c r="K98" s="918"/>
      <c r="L98" s="918"/>
      <c r="M98" s="918"/>
      <c r="N98" s="918"/>
      <c r="O98" s="918"/>
      <c r="P98" s="918"/>
      <c r="Q98" s="918"/>
      <c r="R98" s="918"/>
      <c r="S98" s="918"/>
      <c r="T98" s="918"/>
      <c r="U98" s="918"/>
      <c r="V98" s="918"/>
      <c r="W98" s="918"/>
      <c r="X98" s="918"/>
      <c r="Y98" s="918"/>
      <c r="Z98" s="918"/>
      <c r="AA98" s="918"/>
      <c r="AB98" s="918"/>
      <c r="AC98" s="918"/>
      <c r="AD98" s="918"/>
      <c r="AE98" s="918"/>
    </row>
    <row r="99" spans="4:31" x14ac:dyDescent="0.25">
      <c r="D99" s="918"/>
      <c r="E99" s="918"/>
      <c r="F99" s="918"/>
      <c r="G99" s="918"/>
      <c r="H99" s="918"/>
      <c r="I99" s="918"/>
      <c r="J99" s="918"/>
      <c r="K99" s="918"/>
      <c r="L99" s="918"/>
      <c r="M99" s="918"/>
      <c r="N99" s="918"/>
      <c r="O99" s="918"/>
      <c r="P99" s="918"/>
      <c r="Q99" s="918"/>
      <c r="R99" s="918"/>
      <c r="S99" s="918"/>
      <c r="T99" s="918"/>
      <c r="U99" s="918"/>
      <c r="V99" s="918"/>
      <c r="W99" s="918"/>
      <c r="X99" s="918"/>
      <c r="Y99" s="918"/>
      <c r="Z99" s="918"/>
      <c r="AA99" s="918"/>
      <c r="AB99" s="918"/>
      <c r="AC99" s="918"/>
      <c r="AD99" s="918"/>
      <c r="AE99" s="918"/>
    </row>
    <row r="100" spans="4:31" x14ac:dyDescent="0.25">
      <c r="D100" s="918"/>
      <c r="E100" s="918"/>
      <c r="F100" s="918"/>
      <c r="G100" s="918"/>
      <c r="H100" s="918"/>
      <c r="I100" s="918"/>
      <c r="J100" s="918"/>
      <c r="K100" s="918"/>
      <c r="L100" s="918"/>
      <c r="M100" s="918"/>
      <c r="N100" s="918"/>
      <c r="O100" s="918"/>
      <c r="P100" s="918"/>
      <c r="Q100" s="918"/>
      <c r="R100" s="918"/>
      <c r="S100" s="918"/>
      <c r="T100" s="918"/>
      <c r="U100" s="918"/>
      <c r="V100" s="918"/>
      <c r="W100" s="918"/>
      <c r="X100" s="918"/>
      <c r="Y100" s="918"/>
      <c r="Z100" s="918"/>
      <c r="AA100" s="918"/>
      <c r="AB100" s="918"/>
      <c r="AC100" s="918"/>
      <c r="AD100" s="918"/>
      <c r="AE100" s="918"/>
    </row>
    <row r="101" spans="4:31" x14ac:dyDescent="0.25">
      <c r="D101" s="918"/>
      <c r="E101" s="918"/>
      <c r="F101" s="918"/>
      <c r="G101" s="918"/>
      <c r="H101" s="918"/>
      <c r="I101" s="918"/>
      <c r="J101" s="918"/>
      <c r="K101" s="918"/>
      <c r="L101" s="918"/>
      <c r="M101" s="918"/>
      <c r="N101" s="918"/>
      <c r="O101" s="918"/>
      <c r="P101" s="918"/>
      <c r="Q101" s="918"/>
      <c r="R101" s="918"/>
      <c r="S101" s="918"/>
      <c r="T101" s="918"/>
      <c r="U101" s="918"/>
      <c r="V101" s="918"/>
      <c r="W101" s="918"/>
      <c r="X101" s="918"/>
      <c r="Y101" s="918"/>
      <c r="Z101" s="918"/>
      <c r="AA101" s="918"/>
      <c r="AB101" s="918"/>
      <c r="AC101" s="918"/>
      <c r="AD101" s="918"/>
      <c r="AE101" s="918"/>
    </row>
    <row r="102" spans="4:31" x14ac:dyDescent="0.25">
      <c r="D102" s="918"/>
      <c r="E102" s="918"/>
      <c r="F102" s="918"/>
      <c r="G102" s="918"/>
      <c r="H102" s="918"/>
      <c r="I102" s="918"/>
      <c r="J102" s="918"/>
      <c r="K102" s="918"/>
      <c r="L102" s="918"/>
      <c r="M102" s="918"/>
      <c r="N102" s="918"/>
      <c r="O102" s="918"/>
      <c r="P102" s="918"/>
      <c r="Q102" s="918"/>
      <c r="R102" s="918"/>
      <c r="S102" s="918"/>
      <c r="T102" s="918"/>
      <c r="U102" s="918"/>
      <c r="V102" s="918"/>
      <c r="W102" s="918"/>
      <c r="X102" s="918"/>
      <c r="Y102" s="918"/>
      <c r="Z102" s="918"/>
      <c r="AA102" s="918"/>
      <c r="AB102" s="918"/>
      <c r="AC102" s="918"/>
      <c r="AD102" s="918"/>
      <c r="AE102" s="918"/>
    </row>
    <row r="103" spans="4:31" x14ac:dyDescent="0.25">
      <c r="D103" s="918"/>
      <c r="E103" s="918"/>
      <c r="F103" s="918"/>
      <c r="G103" s="918"/>
      <c r="H103" s="918"/>
      <c r="I103" s="918"/>
      <c r="J103" s="918"/>
      <c r="K103" s="918"/>
      <c r="L103" s="918"/>
      <c r="M103" s="918"/>
      <c r="N103" s="918"/>
      <c r="O103" s="918"/>
      <c r="P103" s="918"/>
      <c r="Q103" s="918"/>
      <c r="R103" s="918"/>
      <c r="S103" s="918"/>
      <c r="T103" s="918"/>
      <c r="U103" s="918"/>
      <c r="V103" s="918"/>
      <c r="W103" s="918"/>
      <c r="X103" s="918"/>
      <c r="Y103" s="918"/>
      <c r="Z103" s="918"/>
      <c r="AA103" s="918"/>
      <c r="AB103" s="918"/>
      <c r="AC103" s="918"/>
      <c r="AD103" s="918"/>
      <c r="AE103" s="918"/>
    </row>
    <row r="104" spans="4:31" x14ac:dyDescent="0.25">
      <c r="D104" s="918"/>
      <c r="E104" s="918"/>
      <c r="F104" s="918"/>
      <c r="G104" s="918"/>
      <c r="H104" s="918"/>
      <c r="I104" s="918"/>
      <c r="J104" s="918"/>
      <c r="K104" s="918"/>
      <c r="L104" s="918"/>
      <c r="M104" s="918"/>
      <c r="N104" s="918"/>
      <c r="O104" s="918"/>
      <c r="P104" s="918"/>
      <c r="Q104" s="918"/>
      <c r="R104" s="918"/>
      <c r="S104" s="918"/>
      <c r="T104" s="918"/>
      <c r="U104" s="918"/>
      <c r="V104" s="918"/>
      <c r="W104" s="918"/>
      <c r="X104" s="918"/>
      <c r="Y104" s="918"/>
      <c r="Z104" s="918"/>
      <c r="AA104" s="918"/>
      <c r="AB104" s="918"/>
      <c r="AC104" s="918"/>
      <c r="AD104" s="918"/>
      <c r="AE104" s="918"/>
    </row>
    <row r="105" spans="4:31" x14ac:dyDescent="0.25">
      <c r="D105" s="918"/>
      <c r="E105" s="918"/>
      <c r="F105" s="918"/>
      <c r="G105" s="918"/>
      <c r="H105" s="918"/>
      <c r="I105" s="918"/>
      <c r="J105" s="918"/>
      <c r="K105" s="918"/>
      <c r="L105" s="918"/>
      <c r="M105" s="918"/>
      <c r="N105" s="918"/>
      <c r="O105" s="918"/>
      <c r="P105" s="918"/>
      <c r="Q105" s="918"/>
      <c r="R105" s="918"/>
      <c r="S105" s="918"/>
      <c r="T105" s="918"/>
      <c r="U105" s="918"/>
      <c r="V105" s="918"/>
      <c r="W105" s="918"/>
      <c r="X105" s="918"/>
      <c r="Y105" s="918"/>
      <c r="Z105" s="918"/>
      <c r="AA105" s="918"/>
      <c r="AB105" s="918"/>
      <c r="AC105" s="918"/>
      <c r="AD105" s="918"/>
      <c r="AE105" s="918"/>
    </row>
    <row r="106" spans="4:31" x14ac:dyDescent="0.25">
      <c r="D106" s="918"/>
      <c r="E106" s="918"/>
      <c r="F106" s="918"/>
      <c r="G106" s="918"/>
      <c r="H106" s="918"/>
      <c r="I106" s="918"/>
      <c r="J106" s="918"/>
      <c r="K106" s="918"/>
      <c r="L106" s="918"/>
      <c r="M106" s="918"/>
      <c r="N106" s="918"/>
      <c r="O106" s="918"/>
      <c r="P106" s="918"/>
      <c r="Q106" s="918"/>
      <c r="R106" s="918"/>
      <c r="S106" s="918"/>
      <c r="T106" s="918"/>
      <c r="U106" s="918"/>
      <c r="V106" s="918"/>
      <c r="W106" s="918"/>
      <c r="X106" s="918"/>
      <c r="Y106" s="918"/>
      <c r="Z106" s="918"/>
      <c r="AA106" s="918"/>
      <c r="AB106" s="918"/>
      <c r="AC106" s="918"/>
      <c r="AD106" s="918"/>
      <c r="AE106" s="918"/>
    </row>
  </sheetData>
  <mergeCells count="30">
    <mergeCell ref="H27:H29"/>
    <mergeCell ref="A29:C29"/>
    <mergeCell ref="E2:G2"/>
    <mergeCell ref="F3:K3"/>
    <mergeCell ref="A4:C5"/>
    <mergeCell ref="D4:D5"/>
    <mergeCell ref="F4:F6"/>
    <mergeCell ref="G4:G6"/>
    <mergeCell ref="H4:H6"/>
    <mergeCell ref="A6:C6"/>
    <mergeCell ref="C25:E25"/>
    <mergeCell ref="A27:C28"/>
    <mergeCell ref="D27:D28"/>
    <mergeCell ref="F27:F29"/>
    <mergeCell ref="G27:G29"/>
    <mergeCell ref="G73:G75"/>
    <mergeCell ref="H73:H75"/>
    <mergeCell ref="A75:C75"/>
    <mergeCell ref="C48:E48"/>
    <mergeCell ref="A50:C51"/>
    <mergeCell ref="D50:D51"/>
    <mergeCell ref="F50:F52"/>
    <mergeCell ref="G50:G52"/>
    <mergeCell ref="H50:H52"/>
    <mergeCell ref="A52:C52"/>
    <mergeCell ref="C89:E89"/>
    <mergeCell ref="C71:E71"/>
    <mergeCell ref="A73:C74"/>
    <mergeCell ref="D73:D74"/>
    <mergeCell ref="F73:F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Departure Lounge 2027</vt:lpstr>
      <vt:lpstr>Boarding Zones 2027</vt:lpstr>
      <vt:lpstr>Pax Profile A</vt:lpstr>
      <vt:lpstr>Pax Profile B</vt:lpstr>
      <vt:lpstr>Pax Profile C</vt:lpstr>
      <vt:lpstr>Pax Profile D</vt:lpstr>
      <vt:lpstr>Lookup Tables</vt:lpstr>
      <vt:lpstr>All Aircraft</vt:lpstr>
      <vt:lpstr>Sheet1</vt:lpstr>
      <vt:lpstr>Aircraft</vt:lpstr>
      <vt:lpstr>Airlines</vt:lpstr>
      <vt:lpstr>All_Aircraft</vt:lpstr>
      <vt:lpstr>Boarding</vt:lpstr>
      <vt:lpstr>Destinations</vt:lpstr>
      <vt:lpstr>'Pax Profile A'!Print_Area</vt:lpstr>
      <vt:lpstr>Revision</vt:lpstr>
    </vt:vector>
  </TitlesOfParts>
  <Company>Woods Bagot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Spencer</dc:creator>
  <cp:lastModifiedBy>Luis Jaggy</cp:lastModifiedBy>
  <cp:lastPrinted>2015-06-21T23:23:08Z</cp:lastPrinted>
  <dcterms:created xsi:type="dcterms:W3CDTF">2014-10-31T04:52:39Z</dcterms:created>
  <dcterms:modified xsi:type="dcterms:W3CDTF">2016-04-27T20:40:15Z</dcterms:modified>
</cp:coreProperties>
</file>