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ulting\Financial report PY\data\"/>
    </mc:Choice>
  </mc:AlternateContent>
  <xr:revisionPtr revIDLastSave="0" documentId="13_ncr:1_{386C6417-C6D7-4B63-A80C-C1DEA66FA8AC}" xr6:coauthVersionLast="47" xr6:coauthVersionMax="47" xr10:uidLastSave="{00000000-0000-0000-0000-000000000000}"/>
  <bookViews>
    <workbookView xWindow="-110" yWindow="-110" windowWidth="19420" windowHeight="12220" activeTab="1" xr2:uid="{515614C3-A07E-43E0-B575-269C9AE2112F}"/>
  </bookViews>
  <sheets>
    <sheet name="Cover" sheetId="18" r:id="rId1"/>
    <sheet name="Inputs" sheetId="19" r:id="rId2"/>
    <sheet name="Structured FS" sheetId="9" r:id="rId3"/>
    <sheet name="Chapter 1 - Profitability" sheetId="10" r:id="rId4"/>
    <sheet name="Chapter 2 - Working Capital" sheetId="11" r:id="rId5"/>
    <sheet name="Chapter 3 - Other Capital" sheetId="12" r:id="rId6"/>
    <sheet name="Chapter 4 - Funding" sheetId="13" r:id="rId7"/>
    <sheet name="Summary" sheetId="14" r:id="rId8"/>
    <sheet name="Power of One" sheetId="16" r:id="rId9"/>
    <sheet name="Business Value Indicator" sheetId="17" r:id="rId10"/>
    <sheet name="Sustainable Growth" sheetId="15" r:id="rId11"/>
  </sheets>
  <definedNames>
    <definedName name="_xlnm._FilterDatabase" localSheetId="9" hidden="1">'Business Value Indicator'!$C$13:$E$52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9" l="1"/>
  <c r="F50" i="9"/>
  <c r="E50" i="9"/>
  <c r="D50" i="9"/>
  <c r="C50" i="9"/>
  <c r="B46" i="9"/>
  <c r="B42" i="9"/>
  <c r="B44" i="9"/>
  <c r="B41" i="9"/>
  <c r="B39" i="9"/>
  <c r="B35" i="9" l="1"/>
  <c r="B31" i="9"/>
  <c r="B30" i="9"/>
  <c r="B29" i="9"/>
  <c r="B33" i="9"/>
  <c r="B25" i="9"/>
  <c r="B14" i="9"/>
  <c r="B16" i="9"/>
  <c r="B19" i="9"/>
  <c r="B20" i="9"/>
  <c r="B22" i="9"/>
  <c r="B24" i="9"/>
  <c r="D50" i="17" l="1"/>
  <c r="E50" i="17"/>
  <c r="C50" i="17"/>
  <c r="D44" i="17"/>
  <c r="E44" i="17"/>
  <c r="C44" i="17"/>
  <c r="C43" i="13"/>
  <c r="C5" i="13"/>
  <c r="E5" i="11"/>
  <c r="C5" i="10"/>
  <c r="D46" i="9"/>
  <c r="E46" i="9"/>
  <c r="F46" i="9"/>
  <c r="C46" i="9"/>
  <c r="D44" i="9"/>
  <c r="D48" i="9" s="1"/>
  <c r="E44" i="9"/>
  <c r="E48" i="9" s="1"/>
  <c r="F44" i="9"/>
  <c r="F48" i="9" s="1"/>
  <c r="C44" i="9"/>
  <c r="C48" i="9" s="1"/>
  <c r="D42" i="9"/>
  <c r="E42" i="9"/>
  <c r="F42" i="9"/>
  <c r="C42" i="9"/>
  <c r="D41" i="9"/>
  <c r="E41" i="9"/>
  <c r="F41" i="9"/>
  <c r="C41" i="9"/>
  <c r="D39" i="9"/>
  <c r="D52" i="9" s="1"/>
  <c r="E39" i="9"/>
  <c r="E52" i="9" s="1"/>
  <c r="F39" i="9"/>
  <c r="C39" i="9"/>
  <c r="C37" i="9" s="1"/>
  <c r="D35" i="9"/>
  <c r="E35" i="9"/>
  <c r="F35" i="9"/>
  <c r="C35" i="9"/>
  <c r="D33" i="9"/>
  <c r="E33" i="9"/>
  <c r="F33" i="9"/>
  <c r="F18" i="11" s="1"/>
  <c r="C33" i="9"/>
  <c r="C18" i="11" s="1"/>
  <c r="D31" i="9"/>
  <c r="E31" i="9"/>
  <c r="F31" i="9"/>
  <c r="C31" i="9"/>
  <c r="D30" i="9"/>
  <c r="D11" i="11" s="1"/>
  <c r="E30" i="9"/>
  <c r="E11" i="11" s="1"/>
  <c r="F30" i="9"/>
  <c r="C30" i="9"/>
  <c r="D29" i="9"/>
  <c r="E29" i="9"/>
  <c r="F29" i="9"/>
  <c r="C29" i="9"/>
  <c r="D19" i="9"/>
  <c r="E19" i="9"/>
  <c r="F19" i="9"/>
  <c r="C19" i="9"/>
  <c r="D20" i="9"/>
  <c r="E20" i="9"/>
  <c r="F20" i="9"/>
  <c r="C39" i="13" s="1"/>
  <c r="C20" i="9"/>
  <c r="D22" i="9"/>
  <c r="E22" i="9"/>
  <c r="F22" i="9"/>
  <c r="C40" i="13" s="1"/>
  <c r="C22" i="9"/>
  <c r="D24" i="9"/>
  <c r="E24" i="9"/>
  <c r="F24" i="9"/>
  <c r="E42" i="13" s="1"/>
  <c r="C24" i="9"/>
  <c r="D25" i="9"/>
  <c r="D17" i="10" s="1"/>
  <c r="E25" i="9"/>
  <c r="F25" i="9"/>
  <c r="F17" i="10" s="1"/>
  <c r="C17" i="10"/>
  <c r="D16" i="9"/>
  <c r="E16" i="9"/>
  <c r="F16" i="9"/>
  <c r="C16" i="9"/>
  <c r="D14" i="9"/>
  <c r="E14" i="9"/>
  <c r="F14" i="9"/>
  <c r="C14" i="9"/>
  <c r="D5" i="10"/>
  <c r="E5" i="13"/>
  <c r="F5" i="13"/>
  <c r="C5" i="11"/>
  <c r="D11" i="9"/>
  <c r="D4" i="11" s="1"/>
  <c r="E11" i="9"/>
  <c r="E4" i="12" s="1"/>
  <c r="F11" i="9"/>
  <c r="F4" i="12" s="1"/>
  <c r="C11" i="9"/>
  <c r="C4" i="11" s="1"/>
  <c r="C22" i="15" l="1"/>
  <c r="E31" i="13"/>
  <c r="F9" i="11"/>
  <c r="C9" i="11"/>
  <c r="E9" i="11"/>
  <c r="C41" i="13"/>
  <c r="C19" i="15"/>
  <c r="C11" i="11"/>
  <c r="F10" i="11"/>
  <c r="E10" i="11"/>
  <c r="B21" i="11"/>
  <c r="F11" i="11"/>
  <c r="G11" i="11" s="1"/>
  <c r="D10" i="11"/>
  <c r="C17" i="11"/>
  <c r="C10" i="11"/>
  <c r="D9" i="11"/>
  <c r="E43" i="9"/>
  <c r="E18" i="11"/>
  <c r="D23" i="14"/>
  <c r="C14" i="17"/>
  <c r="E39" i="13"/>
  <c r="C6" i="10"/>
  <c r="D23" i="13"/>
  <c r="E41" i="13"/>
  <c r="E23" i="13"/>
  <c r="C24" i="14"/>
  <c r="C36" i="9"/>
  <c r="F37" i="9"/>
  <c r="F36" i="9" s="1"/>
  <c r="D10" i="13"/>
  <c r="D11" i="13" s="1"/>
  <c r="E13" i="11"/>
  <c r="E14" i="11" s="1"/>
  <c r="C43" i="9"/>
  <c r="D14" i="17"/>
  <c r="C22" i="11"/>
  <c r="D22" i="11"/>
  <c r="C52" i="9"/>
  <c r="C12" i="13" s="1"/>
  <c r="D24" i="14"/>
  <c r="F4" i="11"/>
  <c r="C4" i="13"/>
  <c r="D4" i="13"/>
  <c r="D47" i="9"/>
  <c r="E4" i="13"/>
  <c r="E40" i="13"/>
  <c r="C6" i="11"/>
  <c r="F43" i="9"/>
  <c r="F4" i="13"/>
  <c r="E6" i="13"/>
  <c r="F47" i="9"/>
  <c r="C4" i="12"/>
  <c r="D18" i="11"/>
  <c r="C32" i="9"/>
  <c r="B18" i="12"/>
  <c r="F6" i="11"/>
  <c r="F6" i="15" s="1"/>
  <c r="E6" i="11"/>
  <c r="D6" i="11"/>
  <c r="D43" i="9"/>
  <c r="F6" i="13"/>
  <c r="E9" i="12"/>
  <c r="E11" i="12" s="1"/>
  <c r="C21" i="11"/>
  <c r="C47" i="9"/>
  <c r="F52" i="9"/>
  <c r="E45" i="13" s="1"/>
  <c r="E12" i="13"/>
  <c r="E32" i="9"/>
  <c r="D12" i="13"/>
  <c r="C4" i="10"/>
  <c r="B18" i="13"/>
  <c r="D32" i="9"/>
  <c r="E47" i="9"/>
  <c r="F4" i="10"/>
  <c r="C18" i="13"/>
  <c r="G18" i="11"/>
  <c r="D21" i="11"/>
  <c r="C10" i="13"/>
  <c r="B17" i="13"/>
  <c r="B22" i="11"/>
  <c r="E6" i="10"/>
  <c r="E4" i="11"/>
  <c r="B22" i="10"/>
  <c r="C5" i="12"/>
  <c r="C42" i="13"/>
  <c r="C27" i="17"/>
  <c r="C23" i="14"/>
  <c r="F5" i="10"/>
  <c r="E23" i="9"/>
  <c r="E37" i="9"/>
  <c r="E36" i="9" s="1"/>
  <c r="D37" i="9"/>
  <c r="D36" i="9" s="1"/>
  <c r="D6" i="10"/>
  <c r="D7" i="10" s="1"/>
  <c r="D5" i="12"/>
  <c r="F5" i="11"/>
  <c r="C13" i="11"/>
  <c r="C14" i="11" s="1"/>
  <c r="F10" i="13"/>
  <c r="C25" i="14"/>
  <c r="E5" i="12"/>
  <c r="C20" i="15"/>
  <c r="E10" i="16"/>
  <c r="F32" i="9"/>
  <c r="D5" i="11"/>
  <c r="F5" i="12"/>
  <c r="C21" i="15"/>
  <c r="F13" i="11"/>
  <c r="E27" i="17"/>
  <c r="D5" i="13"/>
  <c r="E10" i="13"/>
  <c r="E11" i="13" s="1"/>
  <c r="D27" i="17"/>
  <c r="D13" i="11"/>
  <c r="D14" i="11" s="1"/>
  <c r="D9" i="12"/>
  <c r="C6" i="13"/>
  <c r="C31" i="13"/>
  <c r="D25" i="14"/>
  <c r="B17" i="12"/>
  <c r="E43" i="13"/>
  <c r="D17" i="11"/>
  <c r="D4" i="10"/>
  <c r="D4" i="12"/>
  <c r="E14" i="17"/>
  <c r="C17" i="13"/>
  <c r="E5" i="10"/>
  <c r="E17" i="11"/>
  <c r="E17" i="10"/>
  <c r="E23" i="10" s="1"/>
  <c r="C23" i="9"/>
  <c r="D6" i="13"/>
  <c r="F17" i="11"/>
  <c r="E4" i="10"/>
  <c r="D14" i="16"/>
  <c r="F6" i="10"/>
  <c r="E22" i="10"/>
  <c r="C8" i="10"/>
  <c r="C15" i="9"/>
  <c r="F8" i="10"/>
  <c r="F15" i="11" s="1"/>
  <c r="E8" i="10"/>
  <c r="E15" i="11" s="1"/>
  <c r="E15" i="9"/>
  <c r="D8" i="10"/>
  <c r="D15" i="11" s="1"/>
  <c r="F15" i="9"/>
  <c r="F23" i="9"/>
  <c r="D15" i="9"/>
  <c r="D23" i="9"/>
  <c r="E44" i="13" l="1"/>
  <c r="C15" i="14"/>
  <c r="G9" i="11"/>
  <c r="C28" i="17"/>
  <c r="C8" i="15"/>
  <c r="C9" i="15" s="1"/>
  <c r="G15" i="11"/>
  <c r="C9" i="10"/>
  <c r="C15" i="11"/>
  <c r="C11" i="13"/>
  <c r="G10" i="11"/>
  <c r="G6" i="13"/>
  <c r="C16" i="11"/>
  <c r="E16" i="11"/>
  <c r="E6" i="12"/>
  <c r="E8" i="12" s="1"/>
  <c r="C9" i="12"/>
  <c r="E22" i="11"/>
  <c r="E21" i="11"/>
  <c r="D17" i="12"/>
  <c r="E7" i="10"/>
  <c r="B23" i="10"/>
  <c r="D18" i="12"/>
  <c r="D17" i="13"/>
  <c r="E17" i="13" s="1"/>
  <c r="F9" i="12"/>
  <c r="G9" i="12" s="1"/>
  <c r="G6" i="11"/>
  <c r="D15" i="14" s="1"/>
  <c r="F11" i="13"/>
  <c r="G11" i="13" s="1"/>
  <c r="F21" i="15"/>
  <c r="C6" i="12"/>
  <c r="C7" i="12" s="1"/>
  <c r="D18" i="13"/>
  <c r="E18" i="13" s="1"/>
  <c r="D9" i="10"/>
  <c r="F31" i="13"/>
  <c r="G10" i="13"/>
  <c r="D16" i="11"/>
  <c r="F7" i="10"/>
  <c r="F12" i="13"/>
  <c r="G12" i="13" s="1"/>
  <c r="E9" i="10"/>
  <c r="D6" i="12"/>
  <c r="D8" i="12" s="1"/>
  <c r="E10" i="12"/>
  <c r="D11" i="12"/>
  <c r="D10" i="12"/>
  <c r="F21" i="9"/>
  <c r="F18" i="9" s="1"/>
  <c r="F14" i="12"/>
  <c r="F15" i="10"/>
  <c r="D21" i="17"/>
  <c r="E21" i="17"/>
  <c r="C21" i="17"/>
  <c r="C21" i="9"/>
  <c r="C18" i="9" s="1"/>
  <c r="C14" i="12"/>
  <c r="C15" i="10"/>
  <c r="C16" i="10" s="1"/>
  <c r="C17" i="12"/>
  <c r="E17" i="12" s="1"/>
  <c r="F6" i="12"/>
  <c r="C18" i="12"/>
  <c r="C32" i="13"/>
  <c r="D28" i="17"/>
  <c r="D16" i="16"/>
  <c r="D15" i="16"/>
  <c r="E29" i="17"/>
  <c r="D29" i="17"/>
  <c r="C29" i="17"/>
  <c r="C30" i="17" s="1"/>
  <c r="E12" i="16"/>
  <c r="E32" i="13"/>
  <c r="E33" i="13" s="1"/>
  <c r="E28" i="17"/>
  <c r="D10" i="16"/>
  <c r="G6" i="10"/>
  <c r="D7" i="14" s="1"/>
  <c r="C7" i="14"/>
  <c r="D21" i="9"/>
  <c r="D18" i="9" s="1"/>
  <c r="D15" i="10"/>
  <c r="D16" i="10" s="1"/>
  <c r="D14" i="12"/>
  <c r="F16" i="11"/>
  <c r="G13" i="11"/>
  <c r="F14" i="11"/>
  <c r="G14" i="11" s="1"/>
  <c r="E11" i="16"/>
  <c r="G17" i="10"/>
  <c r="G17" i="11"/>
  <c r="E21" i="9"/>
  <c r="E18" i="9" s="1"/>
  <c r="E14" i="12"/>
  <c r="E15" i="10"/>
  <c r="E16" i="10" s="1"/>
  <c r="G8" i="10"/>
  <c r="C23" i="10"/>
  <c r="C22" i="10"/>
  <c r="F9" i="10"/>
  <c r="F7" i="11"/>
  <c r="F8" i="11"/>
  <c r="E7" i="11"/>
  <c r="E8" i="11"/>
  <c r="H7" i="11" s="1"/>
  <c r="C8" i="11"/>
  <c r="C7" i="11"/>
  <c r="D7" i="11"/>
  <c r="D8" i="11"/>
  <c r="E18" i="12" l="1"/>
  <c r="G16" i="11"/>
  <c r="H11" i="11"/>
  <c r="H8" i="11"/>
  <c r="H9" i="11" s="1"/>
  <c r="E7" i="12"/>
  <c r="C17" i="14"/>
  <c r="I7" i="11"/>
  <c r="I11" i="11"/>
  <c r="I8" i="11"/>
  <c r="I9" i="11" s="1"/>
  <c r="D7" i="12"/>
  <c r="C12" i="11"/>
  <c r="E30" i="17"/>
  <c r="G7" i="10"/>
  <c r="C8" i="12"/>
  <c r="C11" i="12"/>
  <c r="C10" i="12"/>
  <c r="F11" i="12"/>
  <c r="G11" i="12" s="1"/>
  <c r="F10" i="12"/>
  <c r="G10" i="12" s="1"/>
  <c r="E24" i="13"/>
  <c r="D24" i="13"/>
  <c r="G14" i="12"/>
  <c r="D30" i="17"/>
  <c r="D25" i="13"/>
  <c r="D26" i="13" s="1"/>
  <c r="E25" i="13"/>
  <c r="E26" i="13" s="1"/>
  <c r="C33" i="13"/>
  <c r="F32" i="13"/>
  <c r="D7" i="13"/>
  <c r="D13" i="12"/>
  <c r="D12" i="10"/>
  <c r="D13" i="13"/>
  <c r="D12" i="12"/>
  <c r="D8" i="13"/>
  <c r="D14" i="13" s="1"/>
  <c r="D17" i="9"/>
  <c r="E13" i="12"/>
  <c r="E8" i="13"/>
  <c r="E14" i="13" s="1"/>
  <c r="E12" i="10"/>
  <c r="E13" i="13"/>
  <c r="E12" i="12"/>
  <c r="E7" i="13"/>
  <c r="E17" i="9"/>
  <c r="G15" i="10"/>
  <c r="F16" i="10"/>
  <c r="D12" i="16"/>
  <c r="C23" i="17"/>
  <c r="D23" i="17"/>
  <c r="E23" i="17"/>
  <c r="G9" i="10"/>
  <c r="D8" i="14" s="1"/>
  <c r="C8" i="14"/>
  <c r="F13" i="12"/>
  <c r="F8" i="13"/>
  <c r="F12" i="10"/>
  <c r="F13" i="13"/>
  <c r="F12" i="12"/>
  <c r="F7" i="13"/>
  <c r="F17" i="9"/>
  <c r="F8" i="12"/>
  <c r="G8" i="12" s="1"/>
  <c r="G6" i="12"/>
  <c r="F7" i="12"/>
  <c r="G7" i="12" s="1"/>
  <c r="C13" i="12"/>
  <c r="C8" i="13"/>
  <c r="C14" i="13" s="1"/>
  <c r="C12" i="10"/>
  <c r="C13" i="13"/>
  <c r="C12" i="12"/>
  <c r="C17" i="9"/>
  <c r="C10" i="10" s="1"/>
  <c r="C11" i="10" s="1"/>
  <c r="F10" i="15"/>
  <c r="C12" i="15"/>
  <c r="E22" i="17"/>
  <c r="D22" i="17"/>
  <c r="C22" i="17"/>
  <c r="C16" i="14"/>
  <c r="D11" i="16"/>
  <c r="F8" i="15"/>
  <c r="G8" i="11"/>
  <c r="D17" i="14" s="1"/>
  <c r="G7" i="11"/>
  <c r="D16" i="14" s="1"/>
  <c r="D12" i="11"/>
  <c r="E12" i="11"/>
  <c r="F12" i="11"/>
  <c r="G12" i="11" s="1"/>
  <c r="C18" i="10" l="1"/>
  <c r="C14" i="10"/>
  <c r="C13" i="10"/>
  <c r="G13" i="12"/>
  <c r="G13" i="13"/>
  <c r="G7" i="13"/>
  <c r="G12" i="12"/>
  <c r="D10" i="10"/>
  <c r="D11" i="10" s="1"/>
  <c r="D9" i="13"/>
  <c r="D18" i="10"/>
  <c r="D13" i="10"/>
  <c r="D14" i="10"/>
  <c r="E18" i="10"/>
  <c r="E13" i="10"/>
  <c r="E14" i="10"/>
  <c r="E25" i="17"/>
  <c r="E32" i="17" s="1"/>
  <c r="E39" i="17" s="1"/>
  <c r="C10" i="14"/>
  <c r="G16" i="10"/>
  <c r="D10" i="14" s="1"/>
  <c r="D18" i="14"/>
  <c r="C18" i="14"/>
  <c r="F12" i="15"/>
  <c r="F10" i="10"/>
  <c r="D13" i="16"/>
  <c r="D17" i="16" s="1"/>
  <c r="E24" i="17"/>
  <c r="C24" i="17"/>
  <c r="C25" i="17" s="1"/>
  <c r="C32" i="17" s="1"/>
  <c r="C39" i="17" s="1"/>
  <c r="E35" i="13"/>
  <c r="E36" i="13" s="1"/>
  <c r="E46" i="13" s="1"/>
  <c r="D24" i="17"/>
  <c r="D25" i="17" s="1"/>
  <c r="D32" i="17" s="1"/>
  <c r="D39" i="17" s="1"/>
  <c r="C35" i="13"/>
  <c r="E13" i="16"/>
  <c r="E17" i="16" s="1"/>
  <c r="E21" i="16" s="1"/>
  <c r="C14" i="15"/>
  <c r="C16" i="15" s="1"/>
  <c r="C24" i="15" s="1"/>
  <c r="F24" i="15" s="1"/>
  <c r="F9" i="13"/>
  <c r="C36" i="13"/>
  <c r="C46" i="13" s="1"/>
  <c r="F33" i="13"/>
  <c r="E10" i="10"/>
  <c r="E11" i="10" s="1"/>
  <c r="E9" i="13"/>
  <c r="G8" i="13"/>
  <c r="F14" i="13"/>
  <c r="G14" i="13" s="1"/>
  <c r="E7" i="16"/>
  <c r="F14" i="10"/>
  <c r="D23" i="10"/>
  <c r="G12" i="10"/>
  <c r="F18" i="10"/>
  <c r="F13" i="10"/>
  <c r="C9" i="14" s="1"/>
  <c r="D22" i="10"/>
  <c r="C7" i="17" l="1"/>
  <c r="D26" i="15"/>
  <c r="G18" i="10"/>
  <c r="C26" i="14"/>
  <c r="G9" i="13"/>
  <c r="D7" i="16"/>
  <c r="D21" i="16" s="1"/>
  <c r="G13" i="10"/>
  <c r="D9" i="14" s="1"/>
  <c r="C9" i="17"/>
  <c r="G14" i="10"/>
  <c r="F36" i="13"/>
  <c r="F11" i="10"/>
  <c r="G11" i="10" s="1"/>
  <c r="G10" i="10"/>
  <c r="D13" i="17" l="1"/>
  <c r="D15" i="17" s="1"/>
  <c r="C13" i="17"/>
  <c r="C15" i="17" s="1"/>
  <c r="E13" i="17"/>
  <c r="E15" i="17" s="1"/>
  <c r="E34" i="17" l="1"/>
  <c r="E51" i="17" s="1"/>
  <c r="E52" i="17" s="1"/>
  <c r="E38" i="17"/>
  <c r="E40" i="17" s="1"/>
  <c r="E45" i="17"/>
  <c r="E46" i="17" s="1"/>
  <c r="C38" i="17"/>
  <c r="C40" i="17" s="1"/>
  <c r="C45" i="17"/>
  <c r="C46" i="17" s="1"/>
  <c r="C34" i="17"/>
  <c r="C51" i="17" s="1"/>
  <c r="C52" i="17" s="1"/>
  <c r="D38" i="17"/>
  <c r="D40" i="17" s="1"/>
  <c r="D45" i="17"/>
  <c r="D46" i="17" s="1"/>
  <c r="D34" i="17"/>
  <c r="D51" i="17" s="1"/>
  <c r="D52" i="17" s="1"/>
</calcChain>
</file>

<file path=xl/sharedStrings.xml><?xml version="1.0" encoding="utf-8"?>
<sst xmlns="http://schemas.openxmlformats.org/spreadsheetml/2006/main" count="361" uniqueCount="264">
  <si>
    <t>Cash Flow</t>
  </si>
  <si>
    <t>Balance Sheet</t>
  </si>
  <si>
    <t>Operating Profit</t>
  </si>
  <si>
    <t>Working Capital</t>
  </si>
  <si>
    <t>Inventory</t>
  </si>
  <si>
    <t>Accounts Receivable</t>
  </si>
  <si>
    <t>Accounts Payable</t>
  </si>
  <si>
    <t>Cash</t>
  </si>
  <si>
    <t>Fixed Assets</t>
  </si>
  <si>
    <t>Equity</t>
  </si>
  <si>
    <t>EBITDA</t>
  </si>
  <si>
    <t>Revenue</t>
  </si>
  <si>
    <t>Depreciation &amp; Amortisation</t>
  </si>
  <si>
    <t>Interest Paid</t>
  </si>
  <si>
    <t>Bank Loans - Current</t>
  </si>
  <si>
    <t>Bank Loans - Non Current</t>
  </si>
  <si>
    <t>Operating Profit %</t>
  </si>
  <si>
    <t>Net Profit %</t>
  </si>
  <si>
    <t>Gross Margin %</t>
  </si>
  <si>
    <t>Overheads</t>
  </si>
  <si>
    <t>Net Profit Before Tax</t>
  </si>
  <si>
    <t>Tax Paid</t>
  </si>
  <si>
    <t>Net Profit</t>
  </si>
  <si>
    <t>Retained Profit</t>
  </si>
  <si>
    <t>Other Current Assets</t>
  </si>
  <si>
    <t>Other Non Current Assets</t>
  </si>
  <si>
    <t>Non Current Assets</t>
  </si>
  <si>
    <t>Chapter 1 - Profitability</t>
  </si>
  <si>
    <t>Revenue Growth %</t>
  </si>
  <si>
    <t>Gross Margin</t>
  </si>
  <si>
    <t>Overheads %</t>
  </si>
  <si>
    <t>Interest Cover</t>
  </si>
  <si>
    <t>n/a</t>
  </si>
  <si>
    <t>Accounts Receivable Days</t>
  </si>
  <si>
    <t>Inventory Days</t>
  </si>
  <si>
    <t>Chapter 2 - Working Capital</t>
  </si>
  <si>
    <t>Accounts Payable Days</t>
  </si>
  <si>
    <t>Working Capital Days</t>
  </si>
  <si>
    <t>Working Capital per $100</t>
  </si>
  <si>
    <t>Working Capital Turnover</t>
  </si>
  <si>
    <t>Marginal Cash Flow</t>
  </si>
  <si>
    <t>Current Ratio</t>
  </si>
  <si>
    <t>Chapter 3 - Other Capital</t>
  </si>
  <si>
    <t>Other Capital</t>
  </si>
  <si>
    <t>Other Capital %</t>
  </si>
  <si>
    <t>Other Capital Turnover</t>
  </si>
  <si>
    <t>Net Operating Assets</t>
  </si>
  <si>
    <t>Net Operating Assets %</t>
  </si>
  <si>
    <t>Asset Turnover</t>
  </si>
  <si>
    <t>Return on Capital %</t>
  </si>
  <si>
    <t>Return on Total Assets %</t>
  </si>
  <si>
    <t>Return on Equity %</t>
  </si>
  <si>
    <t>Operating Cash Flow</t>
  </si>
  <si>
    <t>Operating Cash Profit</t>
  </si>
  <si>
    <t>Net Cash Flow</t>
  </si>
  <si>
    <t>Net Debt</t>
  </si>
  <si>
    <t>Debt to Equity</t>
  </si>
  <si>
    <t>Debt to Capital</t>
  </si>
  <si>
    <t>Debt Payback</t>
  </si>
  <si>
    <t>Chapter 4 - Funding</t>
  </si>
  <si>
    <t>Summary</t>
  </si>
  <si>
    <t>Your Profit Story</t>
  </si>
  <si>
    <t>Current Period</t>
  </si>
  <si>
    <t>Movement</t>
  </si>
  <si>
    <t>Your Balance Sheet Story</t>
  </si>
  <si>
    <t>Your Cash Flow Sheet Story</t>
  </si>
  <si>
    <t>Chapter 1</t>
  </si>
  <si>
    <t>Chapter 2</t>
  </si>
  <si>
    <t>Chapter 3</t>
  </si>
  <si>
    <t>Other Assets</t>
  </si>
  <si>
    <t>Other Liabilities</t>
  </si>
  <si>
    <t>Total Debt</t>
  </si>
  <si>
    <t>Total Funding</t>
  </si>
  <si>
    <t>Your Funding</t>
  </si>
  <si>
    <t>Profit</t>
  </si>
  <si>
    <t>Working Capital Invested</t>
  </si>
  <si>
    <t>Total</t>
  </si>
  <si>
    <t>"+ Cash Flow"</t>
  </si>
  <si>
    <t>"- Cash Flow"</t>
  </si>
  <si>
    <t>Profit vs Cash Flow</t>
  </si>
  <si>
    <t>Variance</t>
  </si>
  <si>
    <t>COGS</t>
  </si>
  <si>
    <t>Cash from Customers</t>
  </si>
  <si>
    <t>Cash to Suppliers</t>
  </si>
  <si>
    <t>Gross Cash Profit</t>
  </si>
  <si>
    <t>Other Cash Outflow</t>
  </si>
  <si>
    <t>Extraordinary Income</t>
  </si>
  <si>
    <t>Distributions/Dividends Paid</t>
  </si>
  <si>
    <t>Fixed Assets Acquired</t>
  </si>
  <si>
    <t>Overheads excl Depreciation</t>
  </si>
  <si>
    <t>Other Net Assets Increased</t>
  </si>
  <si>
    <t>Capital Introduced</t>
  </si>
  <si>
    <t>Power of One</t>
  </si>
  <si>
    <t>Your Power of One</t>
  </si>
  <si>
    <t>Your Power Of One Value Impact</t>
  </si>
  <si>
    <t>Your Current Business Value Indicator</t>
  </si>
  <si>
    <t>Profit Multiple</t>
  </si>
  <si>
    <t>Gross Business Value</t>
  </si>
  <si>
    <t>Your Current Business Value</t>
  </si>
  <si>
    <t>Profit Impact on Valuation</t>
  </si>
  <si>
    <t>Cash Impact on Valuation</t>
  </si>
  <si>
    <t>Your Power of One Impact</t>
  </si>
  <si>
    <t>Your Improved Business Value</t>
  </si>
  <si>
    <t>Your Improved Value Indicator</t>
  </si>
  <si>
    <t>Your Targeted Business Value</t>
  </si>
  <si>
    <t>Sustainable Growth</t>
  </si>
  <si>
    <t>Your Sustainable Growth</t>
  </si>
  <si>
    <t>If you increase your Revenue by</t>
  </si>
  <si>
    <t>Less COGS of</t>
  </si>
  <si>
    <t>Your Gross Margin will be</t>
  </si>
  <si>
    <t>Less Overheads of</t>
  </si>
  <si>
    <t>Your Operating Profit will be</t>
  </si>
  <si>
    <t>Less</t>
  </si>
  <si>
    <t xml:space="preserve">Extraordinary Income/Expenses </t>
  </si>
  <si>
    <t xml:space="preserve">Interest Paid </t>
  </si>
  <si>
    <t xml:space="preserve">Tax Paid </t>
  </si>
  <si>
    <t xml:space="preserve">Dividends Paid </t>
  </si>
  <si>
    <t>Your Retained Profit will be</t>
  </si>
  <si>
    <t>You will have a shortfall of</t>
  </si>
  <si>
    <t>Provided by Accounts Payable of</t>
  </si>
  <si>
    <t>You will require Working Capital of</t>
  </si>
  <si>
    <t>Your capacity to borrow will be</t>
  </si>
  <si>
    <t>Your Debt to Equity ratio is</t>
  </si>
  <si>
    <t>Parameters</t>
  </si>
  <si>
    <t>Targeted Business Value</t>
  </si>
  <si>
    <t>Weighted Average EBITDA</t>
  </si>
  <si>
    <t>Adjustment</t>
  </si>
  <si>
    <t>Adjusted EBITDA</t>
  </si>
  <si>
    <t>4 +/- 1</t>
  </si>
  <si>
    <t>"+1"</t>
  </si>
  <si>
    <t>"-1"</t>
  </si>
  <si>
    <t>Current Value Gap</t>
  </si>
  <si>
    <t>Improved Business Value</t>
  </si>
  <si>
    <t>Improved Value Gap</t>
  </si>
  <si>
    <t>Your Current Position</t>
  </si>
  <si>
    <t>Impact on Cash Flow</t>
  </si>
  <si>
    <t xml:space="preserve">Impact on Operating Profit
</t>
  </si>
  <si>
    <t>Price Increase %</t>
  </si>
  <si>
    <t>Volume Increase %</t>
  </si>
  <si>
    <t>COGS Reduction %</t>
  </si>
  <si>
    <t>Overheads Reduction %</t>
  </si>
  <si>
    <t>Reduction in Accounts Receivable Days</t>
  </si>
  <si>
    <t>Reduction in Inventory Days</t>
  </si>
  <si>
    <t>Increase in Accounts Payable Days</t>
  </si>
  <si>
    <t>Your Adjusted Position</t>
  </si>
  <si>
    <t>Period</t>
  </si>
  <si>
    <t>Period Length (months)</t>
  </si>
  <si>
    <t>Income Statement / Profit &amp; Loss</t>
  </si>
  <si>
    <t>INSTRUCTIONS</t>
  </si>
  <si>
    <t>NOTE: Use the resconstructed accounts to verify your dat entered on the left</t>
  </si>
  <si>
    <t>RECONSTRUCTED ACCOUNTS</t>
  </si>
  <si>
    <t>Cost of Goods/Direct Costs</t>
  </si>
  <si>
    <t>Overherads</t>
  </si>
  <si>
    <t>Period End</t>
  </si>
  <si>
    <t>Movements Last 2 Periods</t>
  </si>
  <si>
    <t xml:space="preserve">% </t>
  </si>
  <si>
    <t>Days</t>
  </si>
  <si>
    <t>Your investment in Accounts Receivable will be</t>
  </si>
  <si>
    <t>Your investment in Inventory will be</t>
  </si>
  <si>
    <t>You can borrow this quantity for each $ 1 of Retained Profit</t>
  </si>
  <si>
    <t>Reduction in Accounts Receivable Days (xd)</t>
  </si>
  <si>
    <t>Reduction in Inventory Days (xd)</t>
  </si>
  <si>
    <t>Increase in Accounts Payable Days (xd)</t>
  </si>
  <si>
    <t>Overheads Reduction (x%)</t>
  </si>
  <si>
    <t>COGS Reduction (x%)</t>
  </si>
  <si>
    <t>Volume Increase (x%)</t>
  </si>
  <si>
    <t>Price Increase (x%)</t>
  </si>
  <si>
    <t xml:space="preserve">Cash Flow Story </t>
  </si>
  <si>
    <t>Ingresos</t>
  </si>
  <si>
    <t>Margen Bruto</t>
  </si>
  <si>
    <t>(Después de impuestos)</t>
  </si>
  <si>
    <t>Estado de Resultados</t>
  </si>
  <si>
    <t>Formulario de Carga para Cashflow Story</t>
  </si>
  <si>
    <t>xxx</t>
  </si>
  <si>
    <r>
      <t xml:space="preserve">NOTA: Por favor ingresa tus datos en las celdas </t>
    </r>
    <r>
      <rPr>
        <b/>
        <sz val="11"/>
        <color rgb="FFFF0000"/>
        <rFont val="Calibri"/>
        <family val="2"/>
        <scheme val="minor"/>
      </rPr>
      <t>grises -&gt;</t>
    </r>
  </si>
  <si>
    <t>Final del Periodo</t>
  </si>
  <si>
    <t>Otra información</t>
  </si>
  <si>
    <t>Distribuciones/Dividendos</t>
  </si>
  <si>
    <t>Utilidad Retenida</t>
  </si>
  <si>
    <t>Impuestos Pagados</t>
  </si>
  <si>
    <t>Intereses Pagados</t>
  </si>
  <si>
    <t>Ingresos/Gastos Extraordinarios</t>
  </si>
  <si>
    <t>Depreciación &amp; Amortización</t>
  </si>
  <si>
    <t>Balance General</t>
  </si>
  <si>
    <t>Activos</t>
  </si>
  <si>
    <t>Total Activos</t>
  </si>
  <si>
    <t>Efectivo</t>
  </si>
  <si>
    <t>Cuentas por Cobrar</t>
  </si>
  <si>
    <t>Inventario</t>
  </si>
  <si>
    <t>(Incluye Productos en Proceso)</t>
  </si>
  <si>
    <t>Activos Corrientes</t>
  </si>
  <si>
    <t>Activos Fijos</t>
  </si>
  <si>
    <t>Pasivos</t>
  </si>
  <si>
    <t>Total Pasivos</t>
  </si>
  <si>
    <t>Cuentas por Pagar</t>
  </si>
  <si>
    <t>(No total de activos No Circulantes)</t>
  </si>
  <si>
    <t>Otros Pasivos de C.P</t>
  </si>
  <si>
    <t>Otros Pasivos de L.P.</t>
  </si>
  <si>
    <t>Pasivos de L.P.</t>
  </si>
  <si>
    <t>Patrimonio</t>
  </si>
  <si>
    <t>Nombre de la empresa</t>
  </si>
  <si>
    <t>Jay &amp; Co.</t>
  </si>
  <si>
    <t>(DD-MM-YYYY)</t>
  </si>
  <si>
    <t>Margen Bruto per $100</t>
  </si>
  <si>
    <t>Accounts Payable per $100</t>
  </si>
  <si>
    <t>Inventarios per $100</t>
  </si>
  <si>
    <t>Accounts Receivable per $100</t>
  </si>
  <si>
    <t>Duración</t>
  </si>
  <si>
    <t>No. de Periodo</t>
  </si>
  <si>
    <t>no</t>
  </si>
  <si>
    <t>si</t>
  </si>
  <si>
    <t xml:space="preserve">Profit Multiple </t>
  </si>
  <si>
    <t xml:space="preserve"> Múltiplo de Ganancias</t>
  </si>
  <si>
    <t xml:space="preserve">Gross Business Value </t>
  </si>
  <si>
    <t xml:space="preserve"> Valor Bruto del Negocio</t>
  </si>
  <si>
    <t xml:space="preserve">Total Debt </t>
  </si>
  <si>
    <t xml:space="preserve"> Deuda Total</t>
  </si>
  <si>
    <t xml:space="preserve">Your Current Business Value </t>
  </si>
  <si>
    <t xml:space="preserve"> Valor Actual de tu Negocio</t>
  </si>
  <si>
    <t xml:space="preserve">Your Power Of One Value Impact </t>
  </si>
  <si>
    <t xml:space="preserve"> Impacto de tu Poder del Uno en el Valor</t>
  </si>
  <si>
    <t xml:space="preserve">Price Increase (x%) </t>
  </si>
  <si>
    <t xml:space="preserve"> Incremento de Precio (x%)</t>
  </si>
  <si>
    <t xml:space="preserve">Volume Increase (x%) </t>
  </si>
  <si>
    <t xml:space="preserve"> Incremento de Volumen (x%)</t>
  </si>
  <si>
    <t xml:space="preserve">COGS Reduction (x%) </t>
  </si>
  <si>
    <t xml:space="preserve"> Reducción del Costo de Ventas (x%)</t>
  </si>
  <si>
    <t xml:space="preserve">Overheads Reduction (x%) </t>
  </si>
  <si>
    <t xml:space="preserve"> Reducción de Gastos Generales (x%)</t>
  </si>
  <si>
    <t xml:space="preserve">Profit Impact on Valuation </t>
  </si>
  <si>
    <t xml:space="preserve"> Impacto de la Ganancia en la Valoración</t>
  </si>
  <si>
    <t xml:space="preserve">Reduction in Accounts Receivable Days (xd) </t>
  </si>
  <si>
    <t xml:space="preserve"> Reducción en Días de Cuentas por Cobrar (xd)</t>
  </si>
  <si>
    <t xml:space="preserve">Reduction in Inventory Days (xd) </t>
  </si>
  <si>
    <t xml:space="preserve"> Reducción en Días de Inventario (xd)</t>
  </si>
  <si>
    <t xml:space="preserve">Increase in Accounts Payable Days (xd) </t>
  </si>
  <si>
    <t xml:space="preserve"> Aumento en Días de Cuentas por Pagar (xd)</t>
  </si>
  <si>
    <t xml:space="preserve">Cash Impact on Valuation </t>
  </si>
  <si>
    <t xml:space="preserve"> Impacto del Efectivo en la Valoración</t>
  </si>
  <si>
    <t xml:space="preserve">Your Power of One Impact </t>
  </si>
  <si>
    <t xml:space="preserve"> Impacto de tu Poder del Uno</t>
  </si>
  <si>
    <t xml:space="preserve">Your Improved Business Value </t>
  </si>
  <si>
    <t xml:space="preserve"> Valor Mejorado de tu Negocio</t>
  </si>
  <si>
    <t xml:space="preserve">Your Improved Value Indicator </t>
  </si>
  <si>
    <t xml:space="preserve"> Indicador de Valor Mejorado</t>
  </si>
  <si>
    <t xml:space="preserve">Your Targeted Business Value </t>
  </si>
  <si>
    <t xml:space="preserve"> Valor Objetivo de tu Negocio</t>
  </si>
  <si>
    <t xml:space="preserve">Targeted Business Value </t>
  </si>
  <si>
    <t xml:space="preserve"> Valor Objetivo del Negocio</t>
  </si>
  <si>
    <t xml:space="preserve">Current Value Gap </t>
  </si>
  <si>
    <t xml:space="preserve"> Brecha de Valor Actual</t>
  </si>
  <si>
    <t xml:space="preserve">Improved Business Value </t>
  </si>
  <si>
    <t xml:space="preserve"> Valor del Negocio Mejorado</t>
  </si>
  <si>
    <t xml:space="preserve">Improved Value Gap </t>
  </si>
  <si>
    <t xml:space="preserve"> Brecha de Valor Mejorada</t>
  </si>
  <si>
    <t>Pasivos de Corto Plazo</t>
  </si>
  <si>
    <t>Prestamos Bancarios - Corrientes</t>
  </si>
  <si>
    <t>Prestamos Bancarios - No Corrientes</t>
  </si>
  <si>
    <t>Ajuste EBITDA</t>
  </si>
  <si>
    <t>Formulario</t>
  </si>
  <si>
    <t>Usuario</t>
  </si>
  <si>
    <t>Jose García</t>
  </si>
  <si>
    <t>Valor Objetivo EBITDA</t>
  </si>
  <si>
    <t>Financiamiento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</si>
</sst>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;\-&quot;$&quot;#,##0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-* #,##0\ _P_t_s_-;\-* #,##0\ _P_t_s_-;_-* &quot;-&quot;\ _P_t_s_-;_-@_-"/>
    <numFmt numFmtId="169" formatCode="&quot;$&quot;#,##0"/>
    <numFmt numFmtId="170" formatCode="&quot;$&quot;#,##0.00"/>
    <numFmt numFmtId="171" formatCode="&quot;$&quot;#,##0.0"/>
    <numFmt numFmtId="172" formatCode="dd/mm/yyyy;@"/>
    <numFmt numFmtId="173" formatCode="dd\-mm\-yy;@"/>
    <numFmt numFmtId="174" formatCode="_-&quot;$&quot;* #,##0_-;\-&quot;$&quot;* #,##0_-;_-&quot;$&quot;* &quot;-&quot;??_-;_-@_-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"/>
      <color indexed="9"/>
      <name val="Symbol"/>
      <family val="1"/>
      <charset val="2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rgb="FF00CC99"/>
      </top>
      <bottom/>
      <diagonal/>
    </border>
    <border>
      <left style="thin">
        <color indexed="64"/>
      </left>
      <right style="thin">
        <color indexed="64"/>
      </right>
      <top style="thick">
        <color rgb="FF00CC99"/>
      </top>
      <bottom style="thin">
        <color indexed="64"/>
      </bottom>
      <diagonal/>
    </border>
    <border>
      <left/>
      <right/>
      <top/>
      <bottom style="thick">
        <color rgb="FF00CC99"/>
      </bottom>
      <diagonal/>
    </border>
    <border>
      <left/>
      <right/>
      <top style="thick">
        <color rgb="FF00CC99"/>
      </top>
      <bottom style="medium">
        <color indexed="64"/>
      </bottom>
      <diagonal/>
    </border>
    <border>
      <left/>
      <right/>
      <top style="thick">
        <color rgb="FF00CC99"/>
      </top>
      <bottom/>
      <diagonal/>
    </border>
    <border>
      <left/>
      <right/>
      <top/>
      <bottom style="medium">
        <color rgb="FF00CC99"/>
      </bottom>
      <diagonal/>
    </border>
    <border>
      <left/>
      <right/>
      <top style="thin">
        <color rgb="FF00CC99"/>
      </top>
      <bottom style="thin">
        <color rgb="FF00CC99"/>
      </bottom>
      <diagonal/>
    </border>
    <border>
      <left/>
      <right/>
      <top/>
      <bottom style="thin">
        <color rgb="FF00CC99"/>
      </bottom>
      <diagonal/>
    </border>
    <border>
      <left/>
      <right/>
      <top style="thin">
        <color rgb="FF00CC9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rgb="FF00CC99"/>
      </bottom>
      <diagonal/>
    </border>
    <border>
      <left/>
      <right/>
      <top style="thin">
        <color rgb="FF00CC99"/>
      </top>
      <bottom/>
      <diagonal/>
    </border>
    <border>
      <left style="thin">
        <color rgb="FF00CC99"/>
      </left>
      <right style="thin">
        <color rgb="FF00CC99"/>
      </right>
      <top style="thin">
        <color rgb="FF00CC99"/>
      </top>
      <bottom style="thin">
        <color rgb="FF00CC99"/>
      </bottom>
      <diagonal/>
    </border>
    <border>
      <left/>
      <right/>
      <top style="thin">
        <color rgb="FF00CC99"/>
      </top>
      <bottom style="medium">
        <color rgb="FF00CC99"/>
      </bottom>
      <diagonal/>
    </border>
  </borders>
  <cellStyleXfs count="12">
    <xf numFmtId="0" fontId="0" fillId="0" borderId="0"/>
    <xf numFmtId="0" fontId="3" fillId="0" borderId="0"/>
    <xf numFmtId="168" fontId="3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Alignment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33">
    <xf numFmtId="0" fontId="0" fillId="0" borderId="0" xfId="0"/>
    <xf numFmtId="0" fontId="1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169" fontId="7" fillId="11" borderId="1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4" xfId="0" applyBorder="1"/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69" fontId="7" fillId="11" borderId="10" xfId="0" applyNumberFormat="1" applyFont="1" applyFill="1" applyBorder="1" applyAlignment="1">
      <alignment horizontal="center"/>
    </xf>
    <xf numFmtId="169" fontId="7" fillId="11" borderId="8" xfId="0" applyNumberFormat="1" applyFont="1" applyFill="1" applyBorder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69" fontId="1" fillId="0" borderId="13" xfId="0" applyNumberFormat="1" applyFont="1" applyBorder="1" applyAlignment="1">
      <alignment horizontal="center"/>
    </xf>
    <xf numFmtId="169" fontId="1" fillId="0" borderId="0" xfId="0" applyNumberFormat="1" applyFont="1" applyAlignment="1">
      <alignment horizontal="center"/>
    </xf>
    <xf numFmtId="0" fontId="6" fillId="0" borderId="11" xfId="0" applyFont="1" applyBorder="1"/>
    <xf numFmtId="0" fontId="8" fillId="0" borderId="0" xfId="0" applyFont="1"/>
    <xf numFmtId="0" fontId="1" fillId="0" borderId="15" xfId="0" applyFont="1" applyBorder="1"/>
    <xf numFmtId="169" fontId="1" fillId="0" borderId="15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8" applyNumberFormat="1" applyFont="1" applyBorder="1" applyAlignment="1">
      <alignment horizontal="center"/>
    </xf>
    <xf numFmtId="10" fontId="0" fillId="0" borderId="0" xfId="8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4" fontId="0" fillId="0" borderId="0" xfId="8" applyNumberFormat="1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1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0" fillId="0" borderId="0" xfId="0" applyNumberFormat="1" applyAlignment="1">
      <alignment horizontal="left"/>
    </xf>
    <xf numFmtId="3" fontId="9" fillId="0" borderId="0" xfId="0" applyNumberFormat="1" applyFont="1" applyAlignment="1">
      <alignment horizontal="left"/>
    </xf>
    <xf numFmtId="3" fontId="0" fillId="0" borderId="0" xfId="8" applyNumberFormat="1" applyFont="1" applyBorder="1" applyAlignment="1">
      <alignment horizontal="center"/>
    </xf>
    <xf numFmtId="0" fontId="9" fillId="0" borderId="11" xfId="0" applyFont="1" applyBorder="1"/>
    <xf numFmtId="0" fontId="1" fillId="0" borderId="11" xfId="0" applyFont="1" applyBorder="1" applyAlignment="1">
      <alignment horizontal="left"/>
    </xf>
    <xf numFmtId="3" fontId="0" fillId="0" borderId="0" xfId="0" applyNumberFormat="1"/>
    <xf numFmtId="169" fontId="0" fillId="0" borderId="0" xfId="0" applyNumberFormat="1"/>
    <xf numFmtId="0" fontId="11" fillId="0" borderId="0" xfId="0" applyFont="1"/>
    <xf numFmtId="0" fontId="0" fillId="0" borderId="2" xfId="0" applyBorder="1"/>
    <xf numFmtId="0" fontId="0" fillId="0" borderId="16" xfId="0" applyBorder="1"/>
    <xf numFmtId="0" fontId="1" fillId="0" borderId="11" xfId="0" applyFont="1" applyBorder="1"/>
    <xf numFmtId="10" fontId="0" fillId="0" borderId="0" xfId="8" applyNumberFormat="1" applyFont="1" applyAlignment="1">
      <alignment horizontal="center"/>
    </xf>
    <xf numFmtId="4" fontId="0" fillId="0" borderId="15" xfId="0" applyNumberForma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10" fontId="0" fillId="0" borderId="19" xfId="8" applyNumberFormat="1" applyFont="1" applyBorder="1" applyAlignment="1">
      <alignment horizontal="center"/>
    </xf>
    <xf numFmtId="10" fontId="0" fillId="0" borderId="16" xfId="8" applyNumberFormat="1" applyFont="1" applyBorder="1" applyAlignment="1">
      <alignment horizontal="center"/>
    </xf>
    <xf numFmtId="0" fontId="0" fillId="0" borderId="15" xfId="0" applyBorder="1"/>
    <xf numFmtId="10" fontId="0" fillId="0" borderId="15" xfId="8" applyNumberFormat="1" applyFont="1" applyBorder="1" applyAlignment="1">
      <alignment horizontal="center"/>
    </xf>
    <xf numFmtId="3" fontId="0" fillId="0" borderId="15" xfId="8" applyNumberFormat="1" applyFont="1" applyBorder="1" applyAlignment="1">
      <alignment horizontal="center"/>
    </xf>
    <xf numFmtId="0" fontId="9" fillId="0" borderId="15" xfId="0" applyFont="1" applyBorder="1"/>
    <xf numFmtId="3" fontId="9" fillId="0" borderId="15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5" xfId="0" applyNumberFormat="1" applyBorder="1" applyAlignment="1">
      <alignment horizontal="left"/>
    </xf>
    <xf numFmtId="4" fontId="0" fillId="2" borderId="15" xfId="0" applyNumberFormat="1" applyFill="1" applyBorder="1" applyAlignment="1">
      <alignment horizontal="center"/>
    </xf>
    <xf numFmtId="0" fontId="0" fillId="0" borderId="20" xfId="0" applyBorder="1" applyAlignment="1">
      <alignment horizontal="center"/>
    </xf>
    <xf numFmtId="9" fontId="0" fillId="0" borderId="20" xfId="0" applyNumberFormat="1" applyBorder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21" xfId="0" applyBorder="1"/>
    <xf numFmtId="3" fontId="0" fillId="3" borderId="21" xfId="0" applyNumberFormat="1" applyFill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0" fontId="1" fillId="0" borderId="21" xfId="0" applyFont="1" applyBorder="1"/>
    <xf numFmtId="3" fontId="1" fillId="0" borderId="21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4" borderId="0" xfId="0" applyFill="1"/>
    <xf numFmtId="170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170" fontId="0" fillId="9" borderId="0" xfId="0" applyNumberFormat="1" applyFill="1"/>
    <xf numFmtId="170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170" fontId="11" fillId="0" borderId="0" xfId="0" applyNumberFormat="1" applyFont="1" applyAlignment="1">
      <alignment horizontal="center"/>
    </xf>
    <xf numFmtId="0" fontId="12" fillId="8" borderId="0" xfId="0" applyFont="1" applyFill="1"/>
    <xf numFmtId="170" fontId="9" fillId="10" borderId="0" xfId="0" applyNumberFormat="1" applyFont="1" applyFill="1"/>
    <xf numFmtId="169" fontId="13" fillId="5" borderId="0" xfId="10" applyNumberFormat="1" applyFont="1" applyFill="1" applyAlignment="1">
      <alignment horizontal="center"/>
    </xf>
    <xf numFmtId="170" fontId="13" fillId="5" borderId="0" xfId="10" applyNumberFormat="1" applyFont="1" applyFill="1" applyAlignment="1">
      <alignment horizontal="center"/>
    </xf>
    <xf numFmtId="170" fontId="9" fillId="7" borderId="0" xfId="0" applyNumberFormat="1" applyFont="1" applyFill="1"/>
    <xf numFmtId="169" fontId="0" fillId="0" borderId="15" xfId="0" applyNumberFormat="1" applyBorder="1" applyAlignment="1">
      <alignment horizontal="center"/>
    </xf>
    <xf numFmtId="169" fontId="0" fillId="2" borderId="0" xfId="0" applyNumberFormat="1" applyFill="1" applyAlignment="1">
      <alignment horizontal="center"/>
    </xf>
    <xf numFmtId="169" fontId="0" fillId="0" borderId="0" xfId="8" applyNumberFormat="1" applyFont="1" applyBorder="1" applyAlignment="1">
      <alignment horizontal="center"/>
    </xf>
    <xf numFmtId="169" fontId="0" fillId="3" borderId="0" xfId="0" applyNumberFormat="1" applyFill="1" applyAlignment="1">
      <alignment horizontal="center"/>
    </xf>
    <xf numFmtId="169" fontId="10" fillId="0" borderId="0" xfId="0" applyNumberFormat="1" applyFont="1" applyAlignment="1">
      <alignment horizontal="center"/>
    </xf>
    <xf numFmtId="169" fontId="10" fillId="0" borderId="15" xfId="0" applyNumberFormat="1" applyFont="1" applyBorder="1" applyAlignment="1">
      <alignment horizontal="center"/>
    </xf>
    <xf numFmtId="169" fontId="9" fillId="0" borderId="0" xfId="0" applyNumberFormat="1" applyFont="1" applyAlignment="1">
      <alignment horizontal="center"/>
    </xf>
    <xf numFmtId="169" fontId="9" fillId="0" borderId="15" xfId="0" applyNumberFormat="1" applyFont="1" applyBorder="1" applyAlignment="1">
      <alignment horizontal="center"/>
    </xf>
    <xf numFmtId="169" fontId="9" fillId="0" borderId="11" xfId="0" applyNumberFormat="1" applyFont="1" applyBorder="1" applyAlignment="1">
      <alignment horizontal="center"/>
    </xf>
    <xf numFmtId="169" fontId="0" fillId="3" borderId="4" xfId="0" applyNumberFormat="1" applyFill="1" applyBorder="1" applyAlignment="1">
      <alignment horizontal="center"/>
    </xf>
    <xf numFmtId="169" fontId="0" fillId="3" borderId="15" xfId="0" applyNumberFormat="1" applyFill="1" applyBorder="1" applyAlignment="1">
      <alignment horizontal="center"/>
    </xf>
    <xf numFmtId="169" fontId="9" fillId="3" borderId="15" xfId="0" applyNumberFormat="1" applyFont="1" applyFill="1" applyBorder="1" applyAlignment="1">
      <alignment horizontal="center"/>
    </xf>
    <xf numFmtId="169" fontId="1" fillId="3" borderId="15" xfId="0" applyNumberFormat="1" applyFont="1" applyFill="1" applyBorder="1" applyAlignment="1">
      <alignment horizontal="center"/>
    </xf>
    <xf numFmtId="169" fontId="0" fillId="3" borderId="11" xfId="0" applyNumberFormat="1" applyFill="1" applyBorder="1" applyAlignment="1">
      <alignment horizontal="center"/>
    </xf>
    <xf numFmtId="169" fontId="9" fillId="3" borderId="11" xfId="0" applyNumberFormat="1" applyFont="1" applyFill="1" applyBorder="1" applyAlignment="1">
      <alignment horizontal="center"/>
    </xf>
    <xf numFmtId="169" fontId="9" fillId="3" borderId="3" xfId="0" applyNumberFormat="1" applyFont="1" applyFill="1" applyBorder="1" applyAlignment="1">
      <alignment horizontal="center"/>
    </xf>
    <xf numFmtId="0" fontId="14" fillId="0" borderId="0" xfId="0" applyFont="1"/>
    <xf numFmtId="171" fontId="0" fillId="0" borderId="0" xfId="0" applyNumberFormat="1"/>
    <xf numFmtId="0" fontId="0" fillId="0" borderId="0" xfId="8" applyNumberFormat="1" applyFont="1" applyAlignment="1">
      <alignment horizontal="center"/>
    </xf>
    <xf numFmtId="169" fontId="0" fillId="0" borderId="16" xfId="0" applyNumberFormat="1" applyBorder="1" applyAlignment="1">
      <alignment horizontal="center"/>
    </xf>
    <xf numFmtId="9" fontId="7" fillId="0" borderId="0" xfId="8" applyFont="1" applyAlignment="1">
      <alignment horizontal="center"/>
    </xf>
    <xf numFmtId="9" fontId="7" fillId="0" borderId="15" xfId="8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0" fontId="16" fillId="0" borderId="0" xfId="0" applyFont="1"/>
    <xf numFmtId="14" fontId="7" fillId="11" borderId="1" xfId="0" applyNumberFormat="1" applyFont="1" applyFill="1" applyBorder="1" applyAlignment="1">
      <alignment horizontal="center"/>
    </xf>
    <xf numFmtId="0" fontId="1" fillId="12" borderId="0" xfId="0" applyFont="1" applyFill="1"/>
    <xf numFmtId="0" fontId="0" fillId="12" borderId="0" xfId="0" applyFill="1"/>
    <xf numFmtId="0" fontId="1" fillId="12" borderId="13" xfId="0" applyFont="1" applyFill="1" applyBorder="1"/>
    <xf numFmtId="0" fontId="1" fillId="12" borderId="15" xfId="0" applyFont="1" applyFill="1" applyBorder="1"/>
    <xf numFmtId="173" fontId="0" fillId="0" borderId="0" xfId="0" applyNumberFormat="1"/>
    <xf numFmtId="172" fontId="7" fillId="11" borderId="1" xfId="10" applyNumberFormat="1" applyFont="1" applyFill="1" applyBorder="1"/>
    <xf numFmtId="0" fontId="1" fillId="13" borderId="0" xfId="0" applyFont="1" applyFill="1"/>
    <xf numFmtId="4" fontId="0" fillId="13" borderId="0" xfId="0" applyNumberFormat="1" applyFill="1" applyAlignment="1">
      <alignment horizontal="center"/>
    </xf>
    <xf numFmtId="4" fontId="0" fillId="0" borderId="0" xfId="0" applyNumberFormat="1"/>
    <xf numFmtId="0" fontId="7" fillId="11" borderId="1" xfId="10" applyNumberFormat="1" applyFont="1" applyFill="1" applyBorder="1" applyAlignment="1">
      <alignment horizontal="center"/>
    </xf>
    <xf numFmtId="0" fontId="15" fillId="12" borderId="0" xfId="0" applyFont="1" applyFill="1"/>
    <xf numFmtId="0" fontId="5" fillId="12" borderId="0" xfId="0" applyFont="1" applyFill="1"/>
    <xf numFmtId="0" fontId="1" fillId="0" borderId="0" xfId="0" applyFont="1" applyAlignment="1">
      <alignment horizontal="left" vertical="center" indent="1"/>
    </xf>
    <xf numFmtId="43" fontId="0" fillId="0" borderId="0" xfId="11" applyFont="1"/>
    <xf numFmtId="174" fontId="17" fillId="11" borderId="5" xfId="10" applyNumberFormat="1" applyFont="1" applyFill="1" applyBorder="1" applyAlignment="1">
      <alignment horizontal="center" vertical="center"/>
    </xf>
    <xf numFmtId="166" fontId="17" fillId="11" borderId="6" xfId="10" applyFont="1" applyFill="1" applyBorder="1" applyAlignment="1">
      <alignment horizontal="center" vertical="center"/>
    </xf>
    <xf numFmtId="166" fontId="17" fillId="11" borderId="7" xfId="10" applyFont="1" applyFill="1" applyBorder="1" applyAlignment="1">
      <alignment horizontal="center" vertical="center"/>
    </xf>
    <xf numFmtId="0" fontId="17" fillId="11" borderId="5" xfId="0" applyFont="1" applyFill="1" applyBorder="1" applyAlignment="1">
      <alignment horizontal="left"/>
    </xf>
    <xf numFmtId="0" fontId="17" fillId="11" borderId="6" xfId="0" applyFont="1" applyFill="1" applyBorder="1" applyAlignment="1">
      <alignment horizontal="left"/>
    </xf>
    <xf numFmtId="0" fontId="17" fillId="11" borderId="7" xfId="0" applyFont="1" applyFill="1" applyBorder="1" applyAlignment="1">
      <alignment horizontal="left"/>
    </xf>
    <xf numFmtId="0" fontId="17" fillId="11" borderId="5" xfId="0" applyFont="1" applyFill="1" applyBorder="1" applyAlignment="1">
      <alignment horizontal="left"/>
    </xf>
    <xf numFmtId="0" fontId="17" fillId="11" borderId="6" xfId="0" applyFont="1" applyFill="1" applyBorder="1" applyAlignment="1">
      <alignment horizontal="left"/>
    </xf>
    <xf numFmtId="0" fontId="17" fillId="11" borderId="7" xfId="0" applyFont="1" applyFill="1" applyBorder="1" applyAlignment="1">
      <alignment horizontal="left"/>
    </xf>
  </cellXfs>
  <cellStyles count="12">
    <cellStyle name="Comma" xfId="11" builtinId="3"/>
    <cellStyle name="Currency" xfId="10" builtinId="4"/>
    <cellStyle name="Invisible" xfId="9" xr:uid="{1E612B2F-98B7-469B-A635-E38DB4519901}"/>
    <cellStyle name="Millares [0] 2" xfId="4" xr:uid="{FF3DEB98-06D6-477F-9F1D-0542771B35AA}"/>
    <cellStyle name="Millares [0] 3" xfId="2" xr:uid="{75684DB1-7B64-44AE-BA54-F4768B05DABF}"/>
    <cellStyle name="Millares 2" xfId="6" xr:uid="{DA00691E-4B8C-41DA-B9D0-65F1736E0276}"/>
    <cellStyle name="Normal" xfId="0" builtinId="0"/>
    <cellStyle name="Normal 2" xfId="3" xr:uid="{FFD41537-50A1-4E55-A4AF-84B8A7C60AA3}"/>
    <cellStyle name="Normal 3" xfId="1" xr:uid="{7188F009-F24A-414B-8186-774924C899F5}"/>
    <cellStyle name="Percent" xfId="8" builtinId="5"/>
    <cellStyle name="Porcentaje 2" xfId="5" xr:uid="{E3A6E8FA-D932-4642-8C53-D8880F01CF9F}"/>
    <cellStyle name="Porcentaje 3" xfId="7" xr:uid="{41349B97-C218-4FE9-9682-D00D055E1528}"/>
  </cellStyles>
  <dxfs count="53"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F66"/>
      <color rgb="FF00CC99"/>
      <color rgb="FF00CC66"/>
      <color rgb="FF0099CC"/>
      <color rgb="FF33CCCC"/>
      <color rgb="FF33CCFF"/>
      <color rgb="FFFF6699"/>
      <color rgb="FFFF7C80"/>
      <color rgb="FFFF0066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4E4C-3FA9-4F49-B8FE-6DE9AC5EDB71}">
  <dimension ref="B3:L3"/>
  <sheetViews>
    <sheetView workbookViewId="0"/>
  </sheetViews>
  <sheetFormatPr defaultColWidth="10.90625" defaultRowHeight="14.5" x14ac:dyDescent="0.35"/>
  <cols>
    <col min="1" max="1" width="9.1796875" customWidth="1"/>
    <col min="9" max="12" width="10.90625" style="3"/>
  </cols>
  <sheetData>
    <row r="3" spans="2:2" ht="46" x14ac:dyDescent="1">
      <c r="B3" s="100" t="s">
        <v>167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AAAA-737B-46BC-A2F2-D0E9BBEEC2BC}">
  <dimension ref="B2:I52"/>
  <sheetViews>
    <sheetView zoomScale="90" zoomScaleNormal="90" workbookViewId="0">
      <selection activeCell="C8" sqref="C8"/>
    </sheetView>
  </sheetViews>
  <sheetFormatPr defaultColWidth="10.90625" defaultRowHeight="14.5" x14ac:dyDescent="0.35"/>
  <cols>
    <col min="1" max="1" width="7" customWidth="1"/>
    <col min="2" max="2" width="41.1796875" bestFit="1" customWidth="1"/>
  </cols>
  <sheetData>
    <row r="2" spans="2:9" ht="18.5" x14ac:dyDescent="0.45">
      <c r="B2" s="2" t="s">
        <v>94</v>
      </c>
    </row>
    <row r="4" spans="2:9" ht="15" thickBot="1" x14ac:dyDescent="0.4">
      <c r="B4" s="46" t="s">
        <v>123</v>
      </c>
      <c r="C4" s="7"/>
    </row>
    <row r="5" spans="2:9" ht="15" thickTop="1" x14ac:dyDescent="0.35">
      <c r="B5" t="s">
        <v>124</v>
      </c>
      <c r="C5" s="26">
        <v>3000000</v>
      </c>
      <c r="D5" s="32"/>
      <c r="E5" s="32"/>
    </row>
    <row r="6" spans="2:9" ht="15" thickBot="1" x14ac:dyDescent="0.4">
      <c r="B6" s="65" t="s">
        <v>96</v>
      </c>
      <c r="C6" s="70" t="s">
        <v>128</v>
      </c>
    </row>
    <row r="7" spans="2:9" ht="15" thickBot="1" x14ac:dyDescent="0.4">
      <c r="B7" s="65" t="s">
        <v>125</v>
      </c>
      <c r="C7" s="67">
        <f>(('Chapter 1 - Profitability'!F14*4)+('Chapter 1 - Profitability'!E14*3)+('Chapter 1 - Profitability'!D14*2)+('Chapter 1 - Profitability'!C14*1))/10</f>
        <v>694820</v>
      </c>
    </row>
    <row r="8" spans="2:9" ht="15" thickBot="1" x14ac:dyDescent="0.4">
      <c r="B8" s="65" t="s">
        <v>126</v>
      </c>
      <c r="C8" s="107">
        <v>67790</v>
      </c>
    </row>
    <row r="9" spans="2:9" ht="15" thickBot="1" x14ac:dyDescent="0.4">
      <c r="B9" s="65" t="s">
        <v>127</v>
      </c>
      <c r="C9" s="66">
        <f>C7+C8</f>
        <v>762610</v>
      </c>
    </row>
    <row r="11" spans="2:9" ht="15" thickBot="1" x14ac:dyDescent="0.4">
      <c r="B11" s="46" t="s">
        <v>95</v>
      </c>
      <c r="C11" s="7"/>
      <c r="D11" s="34" t="s">
        <v>130</v>
      </c>
      <c r="E11" s="34" t="s">
        <v>129</v>
      </c>
      <c r="G11" t="s">
        <v>96</v>
      </c>
      <c r="H11" s="122" t="s">
        <v>211</v>
      </c>
      <c r="I11" t="s">
        <v>212</v>
      </c>
    </row>
    <row r="12" spans="2:9" ht="15" thickTop="1" x14ac:dyDescent="0.35">
      <c r="B12" t="s">
        <v>96</v>
      </c>
      <c r="C12" s="64">
        <v>4</v>
      </c>
      <c r="D12" s="64">
        <v>3</v>
      </c>
      <c r="E12" s="64">
        <v>5</v>
      </c>
      <c r="G12" t="s">
        <v>97</v>
      </c>
      <c r="H12" s="122" t="s">
        <v>213</v>
      </c>
      <c r="I12" t="s">
        <v>214</v>
      </c>
    </row>
    <row r="13" spans="2:9" ht="15" thickBot="1" x14ac:dyDescent="0.4">
      <c r="B13" s="65" t="s">
        <v>97</v>
      </c>
      <c r="C13" s="67">
        <f>$C$9*C12</f>
        <v>3050440</v>
      </c>
      <c r="D13" s="67">
        <f t="shared" ref="D13:E13" si="0">$C$9*D12</f>
        <v>2287830</v>
      </c>
      <c r="E13" s="67">
        <f t="shared" si="0"/>
        <v>3813050</v>
      </c>
      <c r="G13" t="s">
        <v>71</v>
      </c>
      <c r="H13" s="122" t="s">
        <v>215</v>
      </c>
      <c r="I13" t="s">
        <v>216</v>
      </c>
    </row>
    <row r="14" spans="2:9" ht="15" thickBot="1" x14ac:dyDescent="0.4">
      <c r="B14" s="65" t="s">
        <v>71</v>
      </c>
      <c r="C14" s="67">
        <f>'Structured FS'!$F$42+'Structured FS'!$F$46</f>
        <v>2843000</v>
      </c>
      <c r="D14" s="67">
        <f>'Structured FS'!$F$42+'Structured FS'!$F$46</f>
        <v>2843000</v>
      </c>
      <c r="E14" s="67">
        <f>'Structured FS'!$F$42+'Structured FS'!$F$46</f>
        <v>2843000</v>
      </c>
      <c r="G14" t="s">
        <v>98</v>
      </c>
      <c r="H14" s="122" t="s">
        <v>217</v>
      </c>
      <c r="I14" t="s">
        <v>218</v>
      </c>
    </row>
    <row r="15" spans="2:9" ht="15" thickBot="1" x14ac:dyDescent="0.4">
      <c r="B15" s="68" t="s">
        <v>98</v>
      </c>
      <c r="C15" s="69">
        <f>C13-C14</f>
        <v>207440</v>
      </c>
      <c r="D15" s="69">
        <f t="shared" ref="D15:E15" si="1">D13-D14</f>
        <v>-555170</v>
      </c>
      <c r="E15" s="69">
        <f t="shared" si="1"/>
        <v>970050</v>
      </c>
      <c r="G15">
        <v>0</v>
      </c>
      <c r="H15" s="122" t="s">
        <v>219</v>
      </c>
      <c r="I15" t="s">
        <v>220</v>
      </c>
    </row>
    <row r="16" spans="2:9" x14ac:dyDescent="0.35">
      <c r="G16" t="s">
        <v>94</v>
      </c>
      <c r="H16" s="122" t="s">
        <v>221</v>
      </c>
      <c r="I16" t="s">
        <v>222</v>
      </c>
    </row>
    <row r="17" spans="2:9" x14ac:dyDescent="0.35">
      <c r="B17" s="1" t="s">
        <v>94</v>
      </c>
      <c r="G17" t="s">
        <v>166</v>
      </c>
      <c r="H17" s="122" t="s">
        <v>223</v>
      </c>
      <c r="I17" t="s">
        <v>224</v>
      </c>
    </row>
    <row r="18" spans="2:9" ht="15" thickBot="1" x14ac:dyDescent="0.4">
      <c r="B18" s="7"/>
      <c r="C18" s="7"/>
      <c r="D18" s="7"/>
      <c r="E18" s="7"/>
      <c r="G18" t="s">
        <v>165</v>
      </c>
      <c r="H18" s="122" t="s">
        <v>225</v>
      </c>
      <c r="I18" t="s">
        <v>226</v>
      </c>
    </row>
    <row r="19" spans="2:9" ht="15" thickTop="1" x14ac:dyDescent="0.35">
      <c r="B19" t="s">
        <v>96</v>
      </c>
      <c r="C19" s="64">
        <v>4</v>
      </c>
      <c r="D19" s="64">
        <v>3</v>
      </c>
      <c r="E19" s="64">
        <v>5</v>
      </c>
      <c r="G19" t="s">
        <v>164</v>
      </c>
      <c r="H19" s="122" t="s">
        <v>227</v>
      </c>
      <c r="I19" t="s">
        <v>228</v>
      </c>
    </row>
    <row r="20" spans="2:9" x14ac:dyDescent="0.35">
      <c r="G20" t="s">
        <v>163</v>
      </c>
      <c r="H20" s="122" t="s">
        <v>229</v>
      </c>
      <c r="I20" t="s">
        <v>230</v>
      </c>
    </row>
    <row r="21" spans="2:9" ht="15" thickBot="1" x14ac:dyDescent="0.4">
      <c r="B21" s="65" t="s">
        <v>166</v>
      </c>
      <c r="C21" s="67">
        <f>'Power of One'!$E$10*C19</f>
        <v>264480</v>
      </c>
      <c r="D21" s="67">
        <f>'Power of One'!$E$10*D19</f>
        <v>198360</v>
      </c>
      <c r="E21" s="67">
        <f>'Power of One'!$E$10*E19</f>
        <v>330600</v>
      </c>
      <c r="G21" t="s">
        <v>99</v>
      </c>
      <c r="H21" s="122" t="s">
        <v>231</v>
      </c>
      <c r="I21" t="s">
        <v>232</v>
      </c>
    </row>
    <row r="22" spans="2:9" ht="15" thickBot="1" x14ac:dyDescent="0.4">
      <c r="B22" s="65" t="s">
        <v>165</v>
      </c>
      <c r="C22" s="67">
        <f>'Power of One'!$E$11*C19</f>
        <v>76700</v>
      </c>
      <c r="D22" s="67">
        <f>'Power of One'!$E$11*D19</f>
        <v>57525</v>
      </c>
      <c r="E22" s="67">
        <f>'Power of One'!$E$11*E19</f>
        <v>95875</v>
      </c>
      <c r="G22" t="s">
        <v>160</v>
      </c>
      <c r="H22" s="122" t="s">
        <v>233</v>
      </c>
      <c r="I22" t="s">
        <v>234</v>
      </c>
    </row>
    <row r="23" spans="2:9" ht="15" thickBot="1" x14ac:dyDescent="0.4">
      <c r="B23" s="65" t="s">
        <v>164</v>
      </c>
      <c r="C23" s="67">
        <f>'Power of One'!$E$12*C19</f>
        <v>187780</v>
      </c>
      <c r="D23" s="67">
        <f>'Power of One'!$E$12*D19</f>
        <v>140835</v>
      </c>
      <c r="E23" s="67">
        <f>'Power of One'!$E$12*E19</f>
        <v>234725</v>
      </c>
      <c r="G23" t="s">
        <v>161</v>
      </c>
      <c r="H23" s="122" t="s">
        <v>235</v>
      </c>
      <c r="I23" t="s">
        <v>236</v>
      </c>
    </row>
    <row r="24" spans="2:9" ht="15" thickBot="1" x14ac:dyDescent="0.4">
      <c r="B24" s="65" t="s">
        <v>163</v>
      </c>
      <c r="C24" s="67">
        <f>(('Structured FS'!$F$17*(1+'Power of One'!$C$13))-'Structured FS'!$F$17)*C19</f>
        <v>48648</v>
      </c>
      <c r="D24" s="67">
        <f>(('Structured FS'!$F$17*(1+'Power of One'!$C$13))-'Structured FS'!$F$17)*D19</f>
        <v>36486</v>
      </c>
      <c r="E24" s="67">
        <f>(('Structured FS'!$F$17*(1+'Power of One'!$C$13))-'Structured FS'!$F$17)*E19</f>
        <v>60810</v>
      </c>
      <c r="G24" t="s">
        <v>162</v>
      </c>
      <c r="H24" s="122" t="s">
        <v>237</v>
      </c>
      <c r="I24" t="s">
        <v>238</v>
      </c>
    </row>
    <row r="25" spans="2:9" ht="15" thickBot="1" x14ac:dyDescent="0.4">
      <c r="B25" s="68" t="s">
        <v>99</v>
      </c>
      <c r="C25" s="69">
        <f>SUM(C21:C24)</f>
        <v>577608</v>
      </c>
      <c r="D25" s="69">
        <f t="shared" ref="D25:E25" si="2">SUM(D21:D24)</f>
        <v>433206</v>
      </c>
      <c r="E25" s="69">
        <f t="shared" si="2"/>
        <v>722010</v>
      </c>
      <c r="G25" t="s">
        <v>100</v>
      </c>
      <c r="H25" s="122" t="s">
        <v>239</v>
      </c>
      <c r="I25" t="s">
        <v>240</v>
      </c>
    </row>
    <row r="26" spans="2:9" x14ac:dyDescent="0.35">
      <c r="C26" s="26"/>
      <c r="D26" s="26"/>
      <c r="E26" s="26"/>
      <c r="G26" t="s">
        <v>101</v>
      </c>
      <c r="H26" s="122" t="s">
        <v>241</v>
      </c>
      <c r="I26" t="s">
        <v>242</v>
      </c>
    </row>
    <row r="27" spans="2:9" ht="15" thickBot="1" x14ac:dyDescent="0.4">
      <c r="B27" s="65" t="s">
        <v>160</v>
      </c>
      <c r="C27" s="67">
        <f>('Structured FS'!$F$14/365)*'Power of One'!$C$14</f>
        <v>18115.068493150684</v>
      </c>
      <c r="D27" s="67">
        <f>('Structured FS'!$F$14/365)*'Power of One'!$C$14</f>
        <v>18115.068493150684</v>
      </c>
      <c r="E27" s="67">
        <f>('Structured FS'!$F$14/365)*'Power of One'!$C$14</f>
        <v>18115.068493150684</v>
      </c>
      <c r="G27" t="s">
        <v>102</v>
      </c>
      <c r="H27" s="122" t="s">
        <v>243</v>
      </c>
      <c r="I27" t="s">
        <v>244</v>
      </c>
    </row>
    <row r="28" spans="2:9" ht="15" thickBot="1" x14ac:dyDescent="0.4">
      <c r="B28" s="65" t="s">
        <v>161</v>
      </c>
      <c r="C28" s="67">
        <f>('Structured FS'!$F$15/365)*'Power of One'!$C$15</f>
        <v>12861.643835616438</v>
      </c>
      <c r="D28" s="67">
        <f>('Structured FS'!$F$15/365)*'Power of One'!$C$15</f>
        <v>12861.643835616438</v>
      </c>
      <c r="E28" s="67">
        <f>('Structured FS'!$F$15/365)*'Power of One'!$C$15</f>
        <v>12861.643835616438</v>
      </c>
      <c r="G28" t="s">
        <v>103</v>
      </c>
      <c r="H28" s="122" t="s">
        <v>245</v>
      </c>
      <c r="I28" t="s">
        <v>246</v>
      </c>
    </row>
    <row r="29" spans="2:9" ht="15" thickBot="1" x14ac:dyDescent="0.4">
      <c r="B29" s="65" t="s">
        <v>162</v>
      </c>
      <c r="C29" s="67">
        <f>('Structured FS'!$F$15/365)*'Power of One'!$C$16</f>
        <v>12861.643835616438</v>
      </c>
      <c r="D29" s="67">
        <f>('Structured FS'!$F$15/365)*'Power of One'!$C$16</f>
        <v>12861.643835616438</v>
      </c>
      <c r="E29" s="67">
        <f>('Structured FS'!$F$15/365)*'Power of One'!$C$16</f>
        <v>12861.643835616438</v>
      </c>
      <c r="G29" t="s">
        <v>104</v>
      </c>
      <c r="H29" s="122" t="s">
        <v>247</v>
      </c>
      <c r="I29" t="s">
        <v>248</v>
      </c>
    </row>
    <row r="30" spans="2:9" ht="15" thickBot="1" x14ac:dyDescent="0.4">
      <c r="B30" s="68" t="s">
        <v>100</v>
      </c>
      <c r="C30" s="69">
        <f>SUM(C27:C29)</f>
        <v>43838.356164383556</v>
      </c>
      <c r="D30" s="69">
        <f t="shared" ref="D30:E30" si="3">SUM(D27:D29)</f>
        <v>43838.356164383556</v>
      </c>
      <c r="E30" s="69">
        <f t="shared" si="3"/>
        <v>43838.356164383556</v>
      </c>
      <c r="G30" t="s">
        <v>124</v>
      </c>
      <c r="H30" s="122" t="s">
        <v>249</v>
      </c>
      <c r="I30" t="s">
        <v>250</v>
      </c>
    </row>
    <row r="31" spans="2:9" x14ac:dyDescent="0.35">
      <c r="C31" s="26"/>
      <c r="D31" s="26"/>
      <c r="E31" s="26"/>
      <c r="G31" t="s">
        <v>131</v>
      </c>
      <c r="H31" s="122" t="s">
        <v>251</v>
      </c>
      <c r="I31" t="s">
        <v>252</v>
      </c>
    </row>
    <row r="32" spans="2:9" ht="15" thickBot="1" x14ac:dyDescent="0.4">
      <c r="B32" s="68" t="s">
        <v>101</v>
      </c>
      <c r="C32" s="69">
        <f>C25+C30</f>
        <v>621446.35616438359</v>
      </c>
      <c r="D32" s="69">
        <f t="shared" ref="D32:E32" si="4">D25+D30</f>
        <v>477044.35616438359</v>
      </c>
      <c r="E32" s="69">
        <f t="shared" si="4"/>
        <v>765848.35616438359</v>
      </c>
      <c r="G32" t="s">
        <v>132</v>
      </c>
      <c r="H32" s="122" t="s">
        <v>253</v>
      </c>
      <c r="I32" t="s">
        <v>254</v>
      </c>
    </row>
    <row r="33" spans="2:7" x14ac:dyDescent="0.35">
      <c r="C33" s="26"/>
      <c r="D33" s="26"/>
      <c r="E33" s="26"/>
      <c r="G33" t="s">
        <v>133</v>
      </c>
    </row>
    <row r="34" spans="2:7" ht="15" thickBot="1" x14ac:dyDescent="0.4">
      <c r="B34" s="68" t="s">
        <v>102</v>
      </c>
      <c r="C34" s="69">
        <f>C15+C32</f>
        <v>828886.35616438359</v>
      </c>
      <c r="D34" s="69">
        <f>D15+D32</f>
        <v>-78125.643835616414</v>
      </c>
      <c r="E34" s="69">
        <f>E15+E32</f>
        <v>1735898.3561643837</v>
      </c>
    </row>
    <row r="36" spans="2:7" ht="15" thickBot="1" x14ac:dyDescent="0.4">
      <c r="B36" s="46" t="s">
        <v>103</v>
      </c>
      <c r="C36" s="7"/>
      <c r="D36" s="7"/>
      <c r="E36" s="7"/>
    </row>
    <row r="37" spans="2:7" ht="15" thickTop="1" x14ac:dyDescent="0.35">
      <c r="B37" s="1" t="s">
        <v>96</v>
      </c>
      <c r="C37" s="64">
        <v>4</v>
      </c>
      <c r="D37" s="64">
        <v>3</v>
      </c>
      <c r="E37" s="64">
        <v>5</v>
      </c>
    </row>
    <row r="38" spans="2:7" ht="15" thickBot="1" x14ac:dyDescent="0.4">
      <c r="B38" s="65" t="s">
        <v>98</v>
      </c>
      <c r="C38" s="67">
        <f>C15</f>
        <v>207440</v>
      </c>
      <c r="D38" s="67">
        <f>D15</f>
        <v>-555170</v>
      </c>
      <c r="E38" s="67">
        <f>E15</f>
        <v>970050</v>
      </c>
    </row>
    <row r="39" spans="2:7" ht="15" thickBot="1" x14ac:dyDescent="0.4">
      <c r="B39" s="65" t="s">
        <v>101</v>
      </c>
      <c r="C39" s="70">
        <f>C32</f>
        <v>621446.35616438359</v>
      </c>
      <c r="D39" s="70">
        <f>D32</f>
        <v>477044.35616438359</v>
      </c>
      <c r="E39" s="70">
        <f>E32</f>
        <v>765848.35616438359</v>
      </c>
    </row>
    <row r="40" spans="2:7" ht="15" thickBot="1" x14ac:dyDescent="0.4">
      <c r="B40" s="68" t="s">
        <v>102</v>
      </c>
      <c r="C40" s="69">
        <f>C38+C39</f>
        <v>828886.35616438359</v>
      </c>
      <c r="D40" s="69">
        <f t="shared" ref="D40:E40" si="5">D38+D39</f>
        <v>-78125.643835616414</v>
      </c>
      <c r="E40" s="69">
        <f t="shared" si="5"/>
        <v>1735898.3561643837</v>
      </c>
    </row>
    <row r="42" spans="2:7" ht="15" thickBot="1" x14ac:dyDescent="0.4">
      <c r="B42" s="46" t="s">
        <v>104</v>
      </c>
      <c r="C42" s="7"/>
      <c r="D42" s="7"/>
      <c r="E42" s="7"/>
    </row>
    <row r="43" spans="2:7" ht="15" thickTop="1" x14ac:dyDescent="0.35">
      <c r="B43" s="1" t="s">
        <v>96</v>
      </c>
      <c r="C43" s="64">
        <v>4</v>
      </c>
      <c r="D43" s="64">
        <v>3</v>
      </c>
      <c r="E43" s="64">
        <v>5</v>
      </c>
    </row>
    <row r="44" spans="2:7" ht="15" thickBot="1" x14ac:dyDescent="0.4">
      <c r="B44" s="65" t="s">
        <v>124</v>
      </c>
      <c r="C44" s="67">
        <f>$C$5</f>
        <v>3000000</v>
      </c>
      <c r="D44" s="67">
        <f t="shared" ref="D44:E44" si="6">$C$5</f>
        <v>3000000</v>
      </c>
      <c r="E44" s="67">
        <f t="shared" si="6"/>
        <v>3000000</v>
      </c>
    </row>
    <row r="45" spans="2:7" ht="15" thickBot="1" x14ac:dyDescent="0.4">
      <c r="B45" s="65" t="s">
        <v>98</v>
      </c>
      <c r="C45" s="67">
        <f>C15</f>
        <v>207440</v>
      </c>
      <c r="D45" s="67">
        <f>D15</f>
        <v>-555170</v>
      </c>
      <c r="E45" s="67">
        <f>E15</f>
        <v>970050</v>
      </c>
    </row>
    <row r="46" spans="2:7" ht="15" thickBot="1" x14ac:dyDescent="0.4">
      <c r="B46" s="68" t="s">
        <v>131</v>
      </c>
      <c r="C46" s="69">
        <f>C45-C44</f>
        <v>-2792560</v>
      </c>
      <c r="D46" s="69">
        <f t="shared" ref="D46:E46" si="7">D45-D44</f>
        <v>-3555170</v>
      </c>
      <c r="E46" s="69">
        <f t="shared" si="7"/>
        <v>-2029950</v>
      </c>
    </row>
    <row r="48" spans="2:7" ht="15" thickBot="1" x14ac:dyDescent="0.4">
      <c r="B48" s="46" t="s">
        <v>102</v>
      </c>
      <c r="C48" s="7"/>
      <c r="D48" s="7"/>
      <c r="E48" s="7"/>
    </row>
    <row r="49" spans="2:5" ht="15" thickTop="1" x14ac:dyDescent="0.35">
      <c r="B49" s="1" t="s">
        <v>96</v>
      </c>
      <c r="C49" s="64">
        <v>4</v>
      </c>
      <c r="D49" s="64">
        <v>3</v>
      </c>
      <c r="E49" s="64">
        <v>5</v>
      </c>
    </row>
    <row r="50" spans="2:5" ht="15" thickBot="1" x14ac:dyDescent="0.4">
      <c r="B50" s="65" t="s">
        <v>124</v>
      </c>
      <c r="C50" s="67">
        <f>$C$5</f>
        <v>3000000</v>
      </c>
      <c r="D50" s="67">
        <f t="shared" ref="D50:E50" si="8">$C$5</f>
        <v>3000000</v>
      </c>
      <c r="E50" s="67">
        <f t="shared" si="8"/>
        <v>3000000</v>
      </c>
    </row>
    <row r="51" spans="2:5" ht="15" thickBot="1" x14ac:dyDescent="0.4">
      <c r="B51" s="65" t="s">
        <v>132</v>
      </c>
      <c r="C51" s="70">
        <f>C34</f>
        <v>828886.35616438359</v>
      </c>
      <c r="D51" s="70">
        <f>D34</f>
        <v>-78125.643835616414</v>
      </c>
      <c r="E51" s="70">
        <f>E34</f>
        <v>1735898.3561643837</v>
      </c>
    </row>
    <row r="52" spans="2:5" ht="15" thickBot="1" x14ac:dyDescent="0.4">
      <c r="B52" s="68" t="s">
        <v>133</v>
      </c>
      <c r="C52" s="69">
        <f>C51-C50</f>
        <v>-2171113.6438356163</v>
      </c>
      <c r="D52" s="69">
        <f t="shared" ref="D52:E52" si="9">D51-D50</f>
        <v>-3078125.6438356163</v>
      </c>
      <c r="E52" s="69">
        <f t="shared" si="9"/>
        <v>-1264101.6438356163</v>
      </c>
    </row>
  </sheetData>
  <autoFilter ref="C13:E52" xr:uid="{692CAAAA-737B-46BC-A2F2-D0E9BBEEC2BC}"/>
  <conditionalFormatting sqref="C13:E5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BF28-D1F1-4E1D-8B81-6B526670B8D2}">
  <dimension ref="B2:F26"/>
  <sheetViews>
    <sheetView topLeftCell="C3" workbookViewId="0">
      <selection activeCell="D26" sqref="D26"/>
    </sheetView>
  </sheetViews>
  <sheetFormatPr defaultColWidth="10.90625" defaultRowHeight="14.5" x14ac:dyDescent="0.35"/>
  <cols>
    <col min="1" max="1" width="5.453125" customWidth="1"/>
    <col min="2" max="2" width="28.08984375" bestFit="1" customWidth="1"/>
    <col min="3" max="3" width="22.90625" style="3" bestFit="1" customWidth="1"/>
    <col min="4" max="4" width="6.36328125" bestFit="1" customWidth="1"/>
    <col min="5" max="5" width="50.6328125" bestFit="1" customWidth="1"/>
    <col min="6" max="6" width="6.36328125" bestFit="1" customWidth="1"/>
  </cols>
  <sheetData>
    <row r="2" spans="2:6" ht="18.5" x14ac:dyDescent="0.45">
      <c r="B2" s="2" t="s">
        <v>105</v>
      </c>
    </row>
    <row r="4" spans="2:6" x14ac:dyDescent="0.35">
      <c r="B4" s="1" t="s">
        <v>106</v>
      </c>
    </row>
    <row r="6" spans="2:6" x14ac:dyDescent="0.35">
      <c r="B6" s="71" t="s">
        <v>107</v>
      </c>
      <c r="C6" s="81">
        <v>100</v>
      </c>
      <c r="E6" s="79" t="s">
        <v>157</v>
      </c>
      <c r="F6" s="80">
        <f>('Chapter 2 - Working Capital'!F6/365)*C6</f>
        <v>21.823956442831218</v>
      </c>
    </row>
    <row r="7" spans="2:6" x14ac:dyDescent="0.35">
      <c r="C7" s="17"/>
      <c r="F7" s="72"/>
    </row>
    <row r="8" spans="2:6" x14ac:dyDescent="0.35">
      <c r="B8" s="71" t="s">
        <v>108</v>
      </c>
      <c r="C8" s="82">
        <f>('Structured FS'!F15/'Structured FS'!F14)*C6</f>
        <v>70.999697519661225</v>
      </c>
      <c r="E8" s="79" t="s">
        <v>158</v>
      </c>
      <c r="F8" s="80">
        <f>('Chapter 2 - Working Capital'!F7/365)*C8</f>
        <v>23.442226255293406</v>
      </c>
    </row>
    <row r="9" spans="2:6" x14ac:dyDescent="0.35">
      <c r="C9" s="76">
        <f>100-C8</f>
        <v>29.000302480338775</v>
      </c>
      <c r="F9" s="72"/>
    </row>
    <row r="10" spans="2:6" x14ac:dyDescent="0.35">
      <c r="C10" s="76"/>
      <c r="E10" s="79" t="s">
        <v>119</v>
      </c>
      <c r="F10" s="80">
        <f>('Chapter 2 - Working Capital'!F8/365)*C8</f>
        <v>8.9231699939503919</v>
      </c>
    </row>
    <row r="11" spans="2:6" x14ac:dyDescent="0.35">
      <c r="C11" s="76"/>
      <c r="F11" s="72"/>
    </row>
    <row r="12" spans="2:6" x14ac:dyDescent="0.35">
      <c r="B12" s="71" t="s">
        <v>109</v>
      </c>
      <c r="C12" s="82">
        <f>C6-C8</f>
        <v>29.000302480338775</v>
      </c>
      <c r="E12" s="79" t="s">
        <v>120</v>
      </c>
      <c r="F12" s="80">
        <f>F6+F8-F10</f>
        <v>36.343012704174228</v>
      </c>
    </row>
    <row r="13" spans="2:6" x14ac:dyDescent="0.35">
      <c r="C13" s="76"/>
      <c r="F13" s="72"/>
    </row>
    <row r="14" spans="2:6" x14ac:dyDescent="0.35">
      <c r="B14" s="71" t="s">
        <v>110</v>
      </c>
      <c r="C14" s="82">
        <f>('Structured FS'!F17/'Structured FS'!F14)*C6</f>
        <v>18.393829401088929</v>
      </c>
      <c r="F14" s="72"/>
    </row>
    <row r="15" spans="2:6" x14ac:dyDescent="0.35">
      <c r="C15" s="76"/>
      <c r="F15" s="72"/>
    </row>
    <row r="16" spans="2:6" x14ac:dyDescent="0.35">
      <c r="B16" s="71" t="s">
        <v>111</v>
      </c>
      <c r="C16" s="82">
        <f>C12-C14</f>
        <v>10.606473079249845</v>
      </c>
      <c r="F16" s="72"/>
    </row>
    <row r="17" spans="2:6" x14ac:dyDescent="0.35">
      <c r="C17" s="76"/>
      <c r="F17" s="72"/>
    </row>
    <row r="18" spans="2:6" x14ac:dyDescent="0.35">
      <c r="C18" s="78" t="s">
        <v>112</v>
      </c>
      <c r="F18" s="72"/>
    </row>
    <row r="19" spans="2:6" x14ac:dyDescent="0.35">
      <c r="B19" s="73" t="s">
        <v>113</v>
      </c>
      <c r="C19" s="76">
        <f>('Structured FS'!F19/'Structured FS'!F14)*C6</f>
        <v>0</v>
      </c>
      <c r="F19" s="72"/>
    </row>
    <row r="20" spans="2:6" x14ac:dyDescent="0.35">
      <c r="B20" s="73" t="s">
        <v>114</v>
      </c>
      <c r="C20" s="76">
        <f>('Structured FS'!F20/'Structured FS'!F14)*C6</f>
        <v>2.661826981246219</v>
      </c>
      <c r="F20" s="72"/>
    </row>
    <row r="21" spans="2:6" x14ac:dyDescent="0.35">
      <c r="B21" s="73" t="s">
        <v>115</v>
      </c>
      <c r="C21" s="76">
        <f>('Structured FS'!F22/'Structured FS'!F14)*C6</f>
        <v>1.7437991530550514</v>
      </c>
      <c r="E21" s="3" t="s">
        <v>122</v>
      </c>
      <c r="F21" s="123">
        <f>('Structured FS'!F42+'Structured FS'!F46)/'Structured FS'!F52</f>
        <v>2.1702290076335879</v>
      </c>
    </row>
    <row r="22" spans="2:6" x14ac:dyDescent="0.35">
      <c r="B22" s="73" t="s">
        <v>116</v>
      </c>
      <c r="C22" s="76">
        <f>('Structured FS'!F24/'Structured FS'!F14)*C6</f>
        <v>2.2686025408348458</v>
      </c>
      <c r="E22" s="3" t="s">
        <v>159</v>
      </c>
      <c r="F22" s="72"/>
    </row>
    <row r="23" spans="2:6" x14ac:dyDescent="0.35">
      <c r="C23" s="76"/>
      <c r="F23" s="72"/>
    </row>
    <row r="24" spans="2:6" x14ac:dyDescent="0.35">
      <c r="B24" s="71" t="s">
        <v>117</v>
      </c>
      <c r="C24" s="82">
        <f>C16-C19-C20-C21-C22</f>
        <v>3.932244404113729</v>
      </c>
      <c r="E24" s="74" t="s">
        <v>121</v>
      </c>
      <c r="F24" s="75">
        <f>C24*F21</f>
        <v>8.5338708709124678</v>
      </c>
    </row>
    <row r="26" spans="2:6" x14ac:dyDescent="0.35">
      <c r="C26" s="77" t="s">
        <v>118</v>
      </c>
      <c r="D26" s="83">
        <f>F12-(C24+F24)</f>
        <v>23.87689742914803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DE2A-8A36-45DE-99D3-B3F5F42891D3}">
  <dimension ref="B1:I46"/>
  <sheetViews>
    <sheetView showGridLines="0" tabSelected="1" topLeftCell="A2" zoomScaleNormal="70" workbookViewId="0">
      <pane xSplit="2" ySplit="12" topLeftCell="C35" activePane="bottomRight" state="frozen"/>
      <selection activeCell="A2" sqref="A2"/>
      <selection pane="topRight" activeCell="C2" sqref="C2"/>
      <selection pane="bottomLeft" activeCell="A12" sqref="A12"/>
      <selection pane="bottomRight" activeCell="D11" sqref="D11"/>
    </sheetView>
  </sheetViews>
  <sheetFormatPr defaultRowHeight="14.5" x14ac:dyDescent="0.35"/>
  <cols>
    <col min="2" max="2" width="27.6328125" customWidth="1"/>
    <col min="3" max="3" width="21.08984375" bestFit="1" customWidth="1"/>
    <col min="4" max="4" width="11" bestFit="1" customWidth="1"/>
    <col min="5" max="7" width="10.90625"/>
    <col min="8" max="10" width="12.26953125" bestFit="1" customWidth="1"/>
    <col min="12" max="13" width="8.90625" bestFit="1" customWidth="1"/>
    <col min="14" max="14" width="11.453125" bestFit="1" customWidth="1"/>
  </cols>
  <sheetData>
    <row r="1" spans="2:9" ht="7" customHeight="1" x14ac:dyDescent="0.35"/>
    <row r="2" spans="2:9" ht="18.5" x14ac:dyDescent="0.45">
      <c r="B2" s="2" t="s">
        <v>172</v>
      </c>
      <c r="C2" s="2"/>
    </row>
    <row r="3" spans="2:9" ht="5" customHeight="1" x14ac:dyDescent="0.35"/>
    <row r="4" spans="2:9" x14ac:dyDescent="0.35">
      <c r="B4" s="4" t="s">
        <v>174</v>
      </c>
      <c r="C4" s="4"/>
      <c r="D4" s="109" t="s">
        <v>173</v>
      </c>
    </row>
    <row r="6" spans="2:9" ht="19" thickBot="1" x14ac:dyDescent="0.5">
      <c r="B6" s="2" t="s">
        <v>259</v>
      </c>
      <c r="C6" s="2"/>
      <c r="G6" s="7"/>
    </row>
    <row r="7" spans="2:9" ht="10" customHeight="1" thickTop="1" thickBot="1" x14ac:dyDescent="0.4">
      <c r="B7" s="9"/>
      <c r="C7" s="9"/>
      <c r="D7" s="8"/>
      <c r="E7" s="8"/>
      <c r="F7" s="8"/>
    </row>
    <row r="8" spans="2:9" ht="15" thickBot="1" x14ac:dyDescent="0.4">
      <c r="B8" t="s">
        <v>200</v>
      </c>
      <c r="D8" s="130" t="s">
        <v>201</v>
      </c>
      <c r="E8" s="131"/>
      <c r="F8" s="131"/>
      <c r="G8" s="132"/>
    </row>
    <row r="9" spans="2:9" ht="15" thickBot="1" x14ac:dyDescent="0.4">
      <c r="B9" t="s">
        <v>260</v>
      </c>
      <c r="D9" s="127" t="s">
        <v>261</v>
      </c>
      <c r="E9" s="128"/>
      <c r="F9" s="128"/>
      <c r="G9" s="129"/>
    </row>
    <row r="10" spans="2:9" ht="15" thickBot="1" x14ac:dyDescent="0.4">
      <c r="B10" t="s">
        <v>262</v>
      </c>
      <c r="D10" s="124">
        <v>3000000</v>
      </c>
      <c r="E10" s="125"/>
      <c r="F10" s="125"/>
      <c r="G10" s="126"/>
    </row>
    <row r="11" spans="2:9" ht="15" thickBot="1" x14ac:dyDescent="0.4">
      <c r="B11" t="s">
        <v>258</v>
      </c>
      <c r="D11" s="124">
        <v>67790</v>
      </c>
      <c r="E11" s="125"/>
      <c r="F11" s="125"/>
      <c r="G11" s="126"/>
    </row>
    <row r="12" spans="2:9" x14ac:dyDescent="0.35">
      <c r="B12" t="s">
        <v>208</v>
      </c>
      <c r="D12" s="3">
        <v>1</v>
      </c>
      <c r="E12" s="3">
        <v>2</v>
      </c>
      <c r="F12" s="3">
        <v>3</v>
      </c>
      <c r="G12" s="3">
        <v>4</v>
      </c>
    </row>
    <row r="13" spans="2:9" x14ac:dyDescent="0.35">
      <c r="B13" t="s">
        <v>175</v>
      </c>
      <c r="C13" s="108" t="s">
        <v>202</v>
      </c>
      <c r="D13" s="115">
        <v>42185</v>
      </c>
      <c r="E13" s="115">
        <v>42551</v>
      </c>
      <c r="F13" s="115">
        <v>42916</v>
      </c>
      <c r="G13" s="115">
        <v>43281</v>
      </c>
    </row>
    <row r="14" spans="2:9" x14ac:dyDescent="0.35">
      <c r="B14" t="s">
        <v>207</v>
      </c>
      <c r="C14" s="108"/>
      <c r="D14" s="119">
        <v>12</v>
      </c>
      <c r="E14" s="119">
        <v>12</v>
      </c>
      <c r="F14" s="119">
        <v>12</v>
      </c>
      <c r="G14" s="119">
        <v>12</v>
      </c>
    </row>
    <row r="15" spans="2:9" x14ac:dyDescent="0.35">
      <c r="I15" s="114"/>
    </row>
    <row r="16" spans="2:9" ht="16" thickBot="1" x14ac:dyDescent="0.4">
      <c r="B16" s="23" t="s">
        <v>171</v>
      </c>
      <c r="C16" s="23"/>
      <c r="E16" s="7"/>
      <c r="F16" s="7"/>
    </row>
    <row r="17" spans="2:7" ht="15" thickTop="1" x14ac:dyDescent="0.35">
      <c r="B17" s="6" t="s">
        <v>168</v>
      </c>
      <c r="C17" s="6"/>
      <c r="D17" s="15">
        <v>3400000</v>
      </c>
      <c r="E17" s="16">
        <v>5000000</v>
      </c>
      <c r="F17" s="16">
        <v>5800000</v>
      </c>
      <c r="G17" s="15">
        <v>6612000</v>
      </c>
    </row>
    <row r="18" spans="2:7" x14ac:dyDescent="0.35">
      <c r="B18" t="s">
        <v>169</v>
      </c>
      <c r="D18" s="5">
        <v>865000</v>
      </c>
      <c r="E18" s="5">
        <v>1300000</v>
      </c>
      <c r="F18" s="5">
        <v>1650000</v>
      </c>
      <c r="G18" s="5">
        <v>1917500</v>
      </c>
    </row>
    <row r="19" spans="2:7" x14ac:dyDescent="0.35">
      <c r="B19" t="s">
        <v>178</v>
      </c>
      <c r="C19" s="108" t="s">
        <v>170</v>
      </c>
      <c r="D19" s="5">
        <v>150000</v>
      </c>
      <c r="E19" s="5">
        <v>100000</v>
      </c>
      <c r="F19" s="5">
        <v>250000</v>
      </c>
      <c r="G19" s="5">
        <v>260000</v>
      </c>
    </row>
    <row r="20" spans="2:7" x14ac:dyDescent="0.35">
      <c r="D20" s="17"/>
      <c r="E20" s="17"/>
      <c r="F20" s="17"/>
      <c r="G20" s="17"/>
    </row>
    <row r="21" spans="2:7" x14ac:dyDescent="0.35">
      <c r="B21" s="1" t="s">
        <v>176</v>
      </c>
      <c r="C21" s="1"/>
    </row>
    <row r="22" spans="2:7" x14ac:dyDescent="0.35">
      <c r="B22" t="s">
        <v>182</v>
      </c>
      <c r="D22" s="5">
        <v>74000</v>
      </c>
      <c r="E22" s="5">
        <v>100000</v>
      </c>
      <c r="F22" s="5">
        <v>100000</v>
      </c>
      <c r="G22" s="5">
        <v>100000</v>
      </c>
    </row>
    <row r="23" spans="2:7" x14ac:dyDescent="0.35">
      <c r="B23" t="s">
        <v>180</v>
      </c>
      <c r="D23" s="5">
        <v>50000</v>
      </c>
      <c r="E23" s="5">
        <v>100000</v>
      </c>
      <c r="F23" s="5">
        <v>150000</v>
      </c>
      <c r="G23" s="5">
        <v>176000</v>
      </c>
    </row>
    <row r="24" spans="2:7" x14ac:dyDescent="0.35">
      <c r="B24" t="s">
        <v>179</v>
      </c>
      <c r="D24" s="5">
        <v>114600</v>
      </c>
      <c r="E24" s="5">
        <v>87000</v>
      </c>
      <c r="F24" s="5">
        <v>125000</v>
      </c>
      <c r="G24" s="5">
        <v>115300</v>
      </c>
    </row>
    <row r="25" spans="2:7" x14ac:dyDescent="0.35">
      <c r="B25" t="s">
        <v>181</v>
      </c>
      <c r="D25" s="5">
        <v>0</v>
      </c>
      <c r="E25" s="5">
        <v>0</v>
      </c>
      <c r="F25" s="5">
        <v>0</v>
      </c>
      <c r="G25" s="5">
        <v>0</v>
      </c>
    </row>
    <row r="26" spans="2:7" x14ac:dyDescent="0.35">
      <c r="B26" t="s">
        <v>177</v>
      </c>
      <c r="D26" s="5">
        <v>45400</v>
      </c>
      <c r="E26" s="5">
        <v>180000</v>
      </c>
      <c r="F26" s="5">
        <v>100000</v>
      </c>
      <c r="G26" s="5">
        <v>150000</v>
      </c>
    </row>
    <row r="27" spans="2:7" x14ac:dyDescent="0.35">
      <c r="D27" s="3"/>
      <c r="E27" s="3"/>
      <c r="F27" s="3"/>
      <c r="G27" s="3"/>
    </row>
    <row r="30" spans="2:7" ht="16" thickBot="1" x14ac:dyDescent="0.4">
      <c r="B30" s="23" t="s">
        <v>183</v>
      </c>
      <c r="C30" s="23"/>
      <c r="D30" s="18"/>
      <c r="E30" s="3"/>
      <c r="F30" s="18"/>
      <c r="G30" s="3"/>
    </row>
    <row r="31" spans="2:7" ht="15" thickTop="1" x14ac:dyDescent="0.35">
      <c r="B31" s="12" t="s">
        <v>184</v>
      </c>
      <c r="C31" s="1"/>
      <c r="D31" s="3"/>
      <c r="E31" s="19"/>
      <c r="F31" s="3"/>
      <c r="G31" s="19"/>
    </row>
    <row r="32" spans="2:7" x14ac:dyDescent="0.35">
      <c r="B32" t="s">
        <v>185</v>
      </c>
      <c r="D32" s="5">
        <v>2700000</v>
      </c>
      <c r="E32" s="5">
        <v>3600000</v>
      </c>
      <c r="F32" s="5">
        <v>4450000</v>
      </c>
      <c r="G32" s="5">
        <v>5014000</v>
      </c>
    </row>
    <row r="33" spans="2:7" x14ac:dyDescent="0.35">
      <c r="B33" t="s">
        <v>186</v>
      </c>
      <c r="D33" s="5">
        <v>160000</v>
      </c>
      <c r="E33" s="5">
        <v>75000</v>
      </c>
      <c r="F33" s="5">
        <v>0</v>
      </c>
      <c r="G33" s="5">
        <v>0</v>
      </c>
    </row>
    <row r="34" spans="2:7" x14ac:dyDescent="0.35">
      <c r="B34" t="s">
        <v>187</v>
      </c>
      <c r="D34" s="5">
        <v>570000</v>
      </c>
      <c r="E34" s="5">
        <v>900000</v>
      </c>
      <c r="F34" s="5">
        <v>1200000</v>
      </c>
      <c r="G34" s="5">
        <v>1443000</v>
      </c>
    </row>
    <row r="35" spans="2:7" x14ac:dyDescent="0.35">
      <c r="B35" t="s">
        <v>188</v>
      </c>
      <c r="C35" s="108" t="s">
        <v>189</v>
      </c>
      <c r="D35" s="5">
        <v>600000</v>
      </c>
      <c r="E35" s="5">
        <v>920000</v>
      </c>
      <c r="F35" s="5">
        <v>1250000</v>
      </c>
      <c r="G35" s="5">
        <v>1550000</v>
      </c>
    </row>
    <row r="36" spans="2:7" x14ac:dyDescent="0.35">
      <c r="B36" t="s">
        <v>190</v>
      </c>
      <c r="D36" s="5">
        <v>1500000</v>
      </c>
      <c r="E36" s="5">
        <v>2100000</v>
      </c>
      <c r="F36" s="5">
        <v>2500000</v>
      </c>
      <c r="G36" s="5">
        <v>3064000</v>
      </c>
    </row>
    <row r="37" spans="2:7" x14ac:dyDescent="0.35">
      <c r="B37" t="s">
        <v>191</v>
      </c>
      <c r="C37" s="108" t="s">
        <v>195</v>
      </c>
      <c r="D37" s="5">
        <v>1000000</v>
      </c>
      <c r="E37" s="5">
        <v>1400000</v>
      </c>
      <c r="F37" s="5">
        <v>1800000</v>
      </c>
      <c r="G37" s="5">
        <v>1800000</v>
      </c>
    </row>
    <row r="38" spans="2:7" x14ac:dyDescent="0.35">
      <c r="D38" s="3"/>
      <c r="E38" s="3"/>
      <c r="F38" s="3"/>
      <c r="G38" s="3"/>
    </row>
    <row r="39" spans="2:7" x14ac:dyDescent="0.35">
      <c r="B39" s="1" t="s">
        <v>192</v>
      </c>
      <c r="C39" s="1"/>
      <c r="D39" s="3"/>
      <c r="E39" s="3"/>
      <c r="F39" s="3"/>
      <c r="G39" s="3"/>
    </row>
    <row r="40" spans="2:7" x14ac:dyDescent="0.35">
      <c r="B40" t="s">
        <v>193</v>
      </c>
      <c r="D40" s="5">
        <v>2000000</v>
      </c>
      <c r="E40" s="5">
        <v>2800000</v>
      </c>
      <c r="F40" s="5">
        <v>3400000</v>
      </c>
      <c r="G40" s="5">
        <v>3704000</v>
      </c>
    </row>
    <row r="41" spans="2:7" x14ac:dyDescent="0.35">
      <c r="B41" t="s">
        <v>194</v>
      </c>
      <c r="D41" s="5">
        <v>300000</v>
      </c>
      <c r="E41" s="5">
        <v>450000</v>
      </c>
      <c r="F41" s="5">
        <v>500000</v>
      </c>
      <c r="G41" s="5">
        <v>590000</v>
      </c>
    </row>
    <row r="42" spans="2:7" x14ac:dyDescent="0.35">
      <c r="B42" t="s">
        <v>255</v>
      </c>
      <c r="D42" s="5">
        <v>800000</v>
      </c>
      <c r="E42" s="5">
        <v>1600000</v>
      </c>
      <c r="F42" s="5">
        <v>2150000</v>
      </c>
      <c r="G42" s="5">
        <v>2454000</v>
      </c>
    </row>
    <row r="43" spans="2:7" x14ac:dyDescent="0.35">
      <c r="D43" s="3"/>
      <c r="E43" s="3"/>
      <c r="F43" s="3"/>
      <c r="G43" s="3"/>
    </row>
    <row r="44" spans="2:7" x14ac:dyDescent="0.35">
      <c r="B44" s="1" t="s">
        <v>263</v>
      </c>
      <c r="C44" s="1"/>
      <c r="D44" s="3"/>
      <c r="E44" s="3"/>
      <c r="F44" s="3"/>
      <c r="G44" s="3"/>
    </row>
    <row r="45" spans="2:7" x14ac:dyDescent="0.35">
      <c r="B45" t="s">
        <v>256</v>
      </c>
      <c r="D45" s="5">
        <v>400000</v>
      </c>
      <c r="E45" s="5">
        <v>1000000</v>
      </c>
      <c r="F45" s="5">
        <v>1450000</v>
      </c>
      <c r="G45" s="5">
        <v>1643000</v>
      </c>
    </row>
    <row r="46" spans="2:7" x14ac:dyDescent="0.35">
      <c r="B46" t="s">
        <v>257</v>
      </c>
      <c r="D46" s="5">
        <v>1000000</v>
      </c>
      <c r="E46" s="5">
        <v>1200000</v>
      </c>
      <c r="F46" s="5">
        <v>1200000</v>
      </c>
      <c r="G46" s="5">
        <v>1200000</v>
      </c>
    </row>
  </sheetData>
  <mergeCells count="1">
    <mergeCell ref="D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98C7-AF66-4E22-9BF1-5AB986F1BAF4}">
  <dimension ref="A2:I52"/>
  <sheetViews>
    <sheetView topLeftCell="B3" workbookViewId="0">
      <selection activeCell="F15" sqref="F15"/>
    </sheetView>
  </sheetViews>
  <sheetFormatPr defaultColWidth="10.90625" defaultRowHeight="14.5" x14ac:dyDescent="0.35"/>
  <cols>
    <col min="2" max="2" width="29.26953125" customWidth="1"/>
    <col min="3" max="6" width="10.90625" style="3"/>
  </cols>
  <sheetData>
    <row r="2" spans="2:6" ht="18.5" x14ac:dyDescent="0.45">
      <c r="B2" s="2" t="s">
        <v>148</v>
      </c>
    </row>
    <row r="4" spans="2:6" x14ac:dyDescent="0.35">
      <c r="B4" s="4" t="s">
        <v>149</v>
      </c>
    </row>
    <row r="6" spans="2:6" ht="19" thickBot="1" x14ac:dyDescent="0.5">
      <c r="B6" s="22" t="s">
        <v>150</v>
      </c>
      <c r="C6" s="18"/>
      <c r="F6" s="18"/>
    </row>
    <row r="7" spans="2:6" ht="15" thickTop="1" x14ac:dyDescent="0.35">
      <c r="D7" s="19"/>
      <c r="E7" s="19"/>
    </row>
    <row r="10" spans="2:6" ht="15" thickBot="1" x14ac:dyDescent="0.4">
      <c r="B10" s="11" t="s">
        <v>145</v>
      </c>
      <c r="C10" s="13">
        <v>1</v>
      </c>
      <c r="D10" s="13">
        <v>2</v>
      </c>
      <c r="E10" s="13">
        <v>3</v>
      </c>
      <c r="F10" s="13">
        <v>4</v>
      </c>
    </row>
    <row r="11" spans="2:6" x14ac:dyDescent="0.35">
      <c r="B11" t="s">
        <v>153</v>
      </c>
      <c r="C11" s="14">
        <f>Inputs!D13</f>
        <v>42185</v>
      </c>
      <c r="D11" s="14">
        <f>Inputs!E13</f>
        <v>42551</v>
      </c>
      <c r="E11" s="14">
        <f>Inputs!F13</f>
        <v>42916</v>
      </c>
      <c r="F11" s="14">
        <f>Inputs!G13</f>
        <v>43281</v>
      </c>
    </row>
    <row r="13" spans="2:6" ht="16" thickBot="1" x14ac:dyDescent="0.4">
      <c r="B13" s="23" t="s">
        <v>147</v>
      </c>
    </row>
    <row r="14" spans="2:6" ht="15" thickTop="1" x14ac:dyDescent="0.35">
      <c r="B14" s="112" t="str">
        <f>Inputs!B17</f>
        <v>Ingresos</v>
      </c>
      <c r="C14" s="20">
        <f>Inputs!D17</f>
        <v>3400000</v>
      </c>
      <c r="D14" s="20">
        <f>Inputs!E17</f>
        <v>5000000</v>
      </c>
      <c r="E14" s="20">
        <f>Inputs!F17</f>
        <v>5800000</v>
      </c>
      <c r="F14" s="20">
        <f>Inputs!G17</f>
        <v>6612000</v>
      </c>
    </row>
    <row r="15" spans="2:6" x14ac:dyDescent="0.35">
      <c r="B15" s="111" t="s">
        <v>151</v>
      </c>
      <c r="C15" s="17">
        <f>C14-C16</f>
        <v>2535000</v>
      </c>
      <c r="D15" s="17">
        <f t="shared" ref="D15:F15" si="0">D14-D16</f>
        <v>3700000</v>
      </c>
      <c r="E15" s="17">
        <f t="shared" si="0"/>
        <v>4150000</v>
      </c>
      <c r="F15" s="17">
        <f t="shared" si="0"/>
        <v>4694500</v>
      </c>
    </row>
    <row r="16" spans="2:6" x14ac:dyDescent="0.35">
      <c r="B16" s="110" t="str">
        <f>Inputs!B18</f>
        <v>Margen Bruto</v>
      </c>
      <c r="C16" s="21">
        <f>Inputs!D18</f>
        <v>865000</v>
      </c>
      <c r="D16" s="21">
        <f>Inputs!E18</f>
        <v>1300000</v>
      </c>
      <c r="E16" s="21">
        <f>Inputs!F18</f>
        <v>1650000</v>
      </c>
      <c r="F16" s="21">
        <f>Inputs!G18</f>
        <v>1917500</v>
      </c>
    </row>
    <row r="17" spans="1:9" x14ac:dyDescent="0.35">
      <c r="B17" s="111" t="s">
        <v>152</v>
      </c>
      <c r="C17" s="17">
        <f>C16-C18</f>
        <v>505000</v>
      </c>
      <c r="D17" s="17">
        <f t="shared" ref="D17:F17" si="1">D16-D18</f>
        <v>833000</v>
      </c>
      <c r="E17" s="17">
        <f t="shared" si="1"/>
        <v>1025000</v>
      </c>
      <c r="F17" s="17">
        <f t="shared" si="1"/>
        <v>1216200</v>
      </c>
    </row>
    <row r="18" spans="1:9" x14ac:dyDescent="0.35">
      <c r="B18" s="110" t="s">
        <v>2</v>
      </c>
      <c r="C18" s="21">
        <f>C21+C20+C19</f>
        <v>360000</v>
      </c>
      <c r="D18" s="21">
        <f t="shared" ref="D18:F18" si="2">D21+D20+D19</f>
        <v>467000</v>
      </c>
      <c r="E18" s="21">
        <f t="shared" si="2"/>
        <v>625000</v>
      </c>
      <c r="F18" s="21">
        <f t="shared" si="2"/>
        <v>701300</v>
      </c>
    </row>
    <row r="19" spans="1:9" x14ac:dyDescent="0.35">
      <c r="B19" s="111" t="str">
        <f>Inputs!B25</f>
        <v>Ingresos/Gastos Extraordinarios</v>
      </c>
      <c r="C19" s="17">
        <f>Inputs!D25</f>
        <v>0</v>
      </c>
      <c r="D19" s="17">
        <f>Inputs!E25</f>
        <v>0</v>
      </c>
      <c r="E19" s="17">
        <f>Inputs!F25</f>
        <v>0</v>
      </c>
      <c r="F19" s="17">
        <f>Inputs!G25</f>
        <v>0</v>
      </c>
    </row>
    <row r="20" spans="1:9" x14ac:dyDescent="0.35">
      <c r="B20" s="111" t="str">
        <f>Inputs!B23</f>
        <v>Intereses Pagados</v>
      </c>
      <c r="C20" s="17">
        <f>Inputs!D23</f>
        <v>50000</v>
      </c>
      <c r="D20" s="17">
        <f>Inputs!E23</f>
        <v>100000</v>
      </c>
      <c r="E20" s="17">
        <f>Inputs!F23</f>
        <v>150000</v>
      </c>
      <c r="F20" s="17">
        <f>Inputs!G23</f>
        <v>176000</v>
      </c>
    </row>
    <row r="21" spans="1:9" x14ac:dyDescent="0.35">
      <c r="B21" s="110" t="s">
        <v>20</v>
      </c>
      <c r="C21" s="21">
        <f>C23+C22</f>
        <v>310000</v>
      </c>
      <c r="D21" s="21">
        <f t="shared" ref="D21:F21" si="3">D23+D22</f>
        <v>367000</v>
      </c>
      <c r="E21" s="21">
        <f t="shared" si="3"/>
        <v>475000</v>
      </c>
      <c r="F21" s="21">
        <f t="shared" si="3"/>
        <v>525300</v>
      </c>
    </row>
    <row r="22" spans="1:9" x14ac:dyDescent="0.35">
      <c r="B22" s="111" t="str">
        <f>Inputs!B24</f>
        <v>Impuestos Pagados</v>
      </c>
      <c r="C22" s="17">
        <f>Inputs!D24</f>
        <v>114600</v>
      </c>
      <c r="D22" s="17">
        <f>Inputs!E24</f>
        <v>87000</v>
      </c>
      <c r="E22" s="17">
        <f>Inputs!F24</f>
        <v>125000</v>
      </c>
      <c r="F22" s="17">
        <f>Inputs!G24</f>
        <v>115300</v>
      </c>
    </row>
    <row r="23" spans="1:9" x14ac:dyDescent="0.35">
      <c r="B23" s="110" t="s">
        <v>22</v>
      </c>
      <c r="C23" s="21">
        <f>C25+C24</f>
        <v>195400</v>
      </c>
      <c r="D23" s="21">
        <f t="shared" ref="D23:F23" si="4">D25+D24</f>
        <v>280000</v>
      </c>
      <c r="E23" s="21">
        <f t="shared" si="4"/>
        <v>350000</v>
      </c>
      <c r="F23" s="21">
        <f t="shared" si="4"/>
        <v>410000</v>
      </c>
    </row>
    <row r="24" spans="1:9" x14ac:dyDescent="0.35">
      <c r="B24" s="111" t="str">
        <f>Inputs!B26</f>
        <v>Distribuciones/Dividendos</v>
      </c>
      <c r="C24" s="17">
        <f>Inputs!D26</f>
        <v>45400</v>
      </c>
      <c r="D24" s="17">
        <f>Inputs!E26</f>
        <v>180000</v>
      </c>
      <c r="E24" s="17">
        <f>Inputs!F26</f>
        <v>100000</v>
      </c>
      <c r="F24" s="17">
        <f>Inputs!G26</f>
        <v>150000</v>
      </c>
    </row>
    <row r="25" spans="1:9" x14ac:dyDescent="0.35">
      <c r="B25" s="110" t="str">
        <f>_xlfn.CONCAT(Inputs!B19:C19)</f>
        <v>Utilidad Retenida(Después de impuestos)</v>
      </c>
      <c r="C25" s="21">
        <f>Inputs!D19</f>
        <v>150000</v>
      </c>
      <c r="D25" s="21">
        <f>Inputs!E19</f>
        <v>100000</v>
      </c>
      <c r="E25" s="21">
        <f>Inputs!F19</f>
        <v>250000</v>
      </c>
      <c r="F25" s="21">
        <f>Inputs!G19</f>
        <v>260000</v>
      </c>
    </row>
    <row r="27" spans="1:9" ht="16" thickBot="1" x14ac:dyDescent="0.4">
      <c r="B27" s="23" t="s">
        <v>1</v>
      </c>
      <c r="C27" s="18"/>
      <c r="D27" s="18"/>
      <c r="E27" s="18"/>
    </row>
    <row r="28" spans="1:9" ht="15" thickTop="1" x14ac:dyDescent="0.35">
      <c r="B28" s="9"/>
      <c r="F28" s="19"/>
    </row>
    <row r="29" spans="1:9" x14ac:dyDescent="0.35">
      <c r="B29" s="111" t="str">
        <f>Inputs!B33</f>
        <v>Efectivo</v>
      </c>
      <c r="C29" s="17">
        <f>Inputs!D33</f>
        <v>160000</v>
      </c>
      <c r="D29" s="17">
        <f>Inputs!E33</f>
        <v>75000</v>
      </c>
      <c r="E29" s="17">
        <f>Inputs!F33</f>
        <v>0</v>
      </c>
      <c r="F29" s="17">
        <f>Inputs!G33</f>
        <v>0</v>
      </c>
    </row>
    <row r="30" spans="1:9" x14ac:dyDescent="0.35">
      <c r="B30" s="111" t="str">
        <f>Inputs!B34</f>
        <v>Cuentas por Cobrar</v>
      </c>
      <c r="C30" s="17">
        <f>Inputs!D34</f>
        <v>570000</v>
      </c>
      <c r="D30" s="17">
        <f>Inputs!E34</f>
        <v>900000</v>
      </c>
      <c r="E30" s="17">
        <f>Inputs!F34</f>
        <v>1200000</v>
      </c>
      <c r="F30" s="17">
        <f>Inputs!G34</f>
        <v>1443000</v>
      </c>
      <c r="H30" s="42"/>
      <c r="I30" s="42"/>
    </row>
    <row r="31" spans="1:9" x14ac:dyDescent="0.35">
      <c r="B31" s="111" t="str">
        <f>Inputs!B35</f>
        <v>Inventario</v>
      </c>
      <c r="C31" s="17">
        <f>Inputs!D35</f>
        <v>600000</v>
      </c>
      <c r="D31" s="17">
        <f>Inputs!E35</f>
        <v>920000</v>
      </c>
      <c r="E31" s="17">
        <f>Inputs!F35</f>
        <v>1250000</v>
      </c>
      <c r="F31" s="17">
        <f>Inputs!G35</f>
        <v>1550000</v>
      </c>
      <c r="H31" s="42"/>
      <c r="I31" s="42"/>
    </row>
    <row r="32" spans="1:9" x14ac:dyDescent="0.35">
      <c r="A32" t="s">
        <v>210</v>
      </c>
      <c r="B32" s="111" t="s">
        <v>24</v>
      </c>
      <c r="C32" s="17">
        <f>C33-C29-C30-C31</f>
        <v>170000</v>
      </c>
      <c r="D32" s="17">
        <f t="shared" ref="D32:F32" si="5">D33-D29-D30-D31</f>
        <v>205000</v>
      </c>
      <c r="E32" s="17">
        <f t="shared" si="5"/>
        <v>50000</v>
      </c>
      <c r="F32" s="17">
        <f t="shared" si="5"/>
        <v>71000</v>
      </c>
    </row>
    <row r="33" spans="1:6" x14ac:dyDescent="0.35">
      <c r="A33" t="s">
        <v>210</v>
      </c>
      <c r="B33" s="110" t="str">
        <f>Inputs!B36</f>
        <v>Activos Corrientes</v>
      </c>
      <c r="C33" s="21">
        <f>Inputs!D36</f>
        <v>1500000</v>
      </c>
      <c r="D33" s="21">
        <f>Inputs!E36</f>
        <v>2100000</v>
      </c>
      <c r="E33" s="21">
        <f>Inputs!F36</f>
        <v>2500000</v>
      </c>
      <c r="F33" s="21">
        <f>Inputs!G36</f>
        <v>3064000</v>
      </c>
    </row>
    <row r="35" spans="1:6" x14ac:dyDescent="0.35">
      <c r="A35" t="s">
        <v>210</v>
      </c>
      <c r="B35" s="111" t="str">
        <f>+Inputs!B37</f>
        <v>Activos Fijos</v>
      </c>
      <c r="C35" s="17">
        <f>Inputs!D37</f>
        <v>1000000</v>
      </c>
      <c r="D35" s="17">
        <f>Inputs!E37</f>
        <v>1400000</v>
      </c>
      <c r="E35" s="17">
        <f>Inputs!F37</f>
        <v>1800000</v>
      </c>
      <c r="F35" s="17">
        <f>Inputs!G37</f>
        <v>1800000</v>
      </c>
    </row>
    <row r="36" spans="1:6" x14ac:dyDescent="0.35">
      <c r="A36" t="s">
        <v>209</v>
      </c>
      <c r="B36" s="121" t="s">
        <v>25</v>
      </c>
      <c r="C36" s="17">
        <f>C37-C35</f>
        <v>200000</v>
      </c>
      <c r="D36" s="17">
        <f t="shared" ref="D36:F36" si="6">D37-D35</f>
        <v>100000</v>
      </c>
      <c r="E36" s="17">
        <f t="shared" si="6"/>
        <v>150000</v>
      </c>
      <c r="F36" s="17">
        <f t="shared" si="6"/>
        <v>150000</v>
      </c>
    </row>
    <row r="37" spans="1:6" x14ac:dyDescent="0.35">
      <c r="A37" t="s">
        <v>209</v>
      </c>
      <c r="B37" s="120" t="s">
        <v>26</v>
      </c>
      <c r="C37" s="21">
        <f>C39-C33</f>
        <v>1200000</v>
      </c>
      <c r="D37" s="21">
        <f t="shared" ref="D37:F37" si="7">D39-D33</f>
        <v>1500000</v>
      </c>
      <c r="E37" s="21">
        <f t="shared" si="7"/>
        <v>1950000</v>
      </c>
      <c r="F37" s="21">
        <f t="shared" si="7"/>
        <v>1950000</v>
      </c>
    </row>
    <row r="39" spans="1:6" x14ac:dyDescent="0.35">
      <c r="A39" t="s">
        <v>210</v>
      </c>
      <c r="B39" s="113" t="str">
        <f>Inputs!B32</f>
        <v>Total Activos</v>
      </c>
      <c r="C39" s="25">
        <f>Inputs!D32</f>
        <v>2700000</v>
      </c>
      <c r="D39" s="25">
        <f>Inputs!E32</f>
        <v>3600000</v>
      </c>
      <c r="E39" s="25">
        <f>Inputs!F32</f>
        <v>4450000</v>
      </c>
      <c r="F39" s="25">
        <f>Inputs!G32</f>
        <v>5014000</v>
      </c>
    </row>
    <row r="41" spans="1:6" x14ac:dyDescent="0.35">
      <c r="B41" s="111" t="str">
        <f>Inputs!B41</f>
        <v>Cuentas por Pagar</v>
      </c>
      <c r="C41" s="17">
        <f>Inputs!D41</f>
        <v>300000</v>
      </c>
      <c r="D41" s="17">
        <f>Inputs!E41</f>
        <v>450000</v>
      </c>
      <c r="E41" s="17">
        <f>Inputs!F41</f>
        <v>500000</v>
      </c>
      <c r="F41" s="17">
        <f>Inputs!G41</f>
        <v>590000</v>
      </c>
    </row>
    <row r="42" spans="1:6" x14ac:dyDescent="0.35">
      <c r="B42" s="111" t="str">
        <f>Inputs!B45</f>
        <v>Prestamos Bancarios - Corrientes</v>
      </c>
      <c r="C42" s="17">
        <f>Inputs!D45</f>
        <v>400000</v>
      </c>
      <c r="D42" s="17">
        <f>Inputs!E45</f>
        <v>1000000</v>
      </c>
      <c r="E42" s="17">
        <f>Inputs!F45</f>
        <v>1450000</v>
      </c>
      <c r="F42" s="17">
        <f>Inputs!G45</f>
        <v>1643000</v>
      </c>
    </row>
    <row r="43" spans="1:6" x14ac:dyDescent="0.35">
      <c r="B43" s="111" t="s">
        <v>196</v>
      </c>
      <c r="C43" s="17">
        <f>C44-C41-C42</f>
        <v>100000</v>
      </c>
      <c r="D43" s="17">
        <f t="shared" ref="D43:F43" si="8">D44-D41-D42</f>
        <v>150000</v>
      </c>
      <c r="E43" s="17">
        <f t="shared" si="8"/>
        <v>200000</v>
      </c>
      <c r="F43" s="17">
        <f t="shared" si="8"/>
        <v>221000</v>
      </c>
    </row>
    <row r="44" spans="1:6" x14ac:dyDescent="0.35">
      <c r="B44" s="110" t="str">
        <f>Inputs!B42</f>
        <v>Pasivos de Corto Plazo</v>
      </c>
      <c r="C44" s="21">
        <f>Inputs!D42</f>
        <v>800000</v>
      </c>
      <c r="D44" s="21">
        <f>Inputs!E42</f>
        <v>1600000</v>
      </c>
      <c r="E44" s="21">
        <f>Inputs!F42</f>
        <v>2150000</v>
      </c>
      <c r="F44" s="21">
        <f>Inputs!G42</f>
        <v>2454000</v>
      </c>
    </row>
    <row r="46" spans="1:6" x14ac:dyDescent="0.35">
      <c r="B46" s="111" t="str">
        <f>Inputs!B46</f>
        <v>Prestamos Bancarios - No Corrientes</v>
      </c>
      <c r="C46" s="17">
        <f>Inputs!D46</f>
        <v>1000000</v>
      </c>
      <c r="D46" s="17">
        <f>Inputs!E46</f>
        <v>1200000</v>
      </c>
      <c r="E46" s="17">
        <f>Inputs!F46</f>
        <v>1200000</v>
      </c>
      <c r="F46" s="17">
        <f>Inputs!G46</f>
        <v>1200000</v>
      </c>
    </row>
    <row r="47" spans="1:6" x14ac:dyDescent="0.35">
      <c r="B47" s="111" t="s">
        <v>197</v>
      </c>
      <c r="C47" s="17">
        <f>C48-C46</f>
        <v>200000</v>
      </c>
      <c r="D47" s="17">
        <f t="shared" ref="D47:F47" si="9">D48-D46</f>
        <v>0</v>
      </c>
      <c r="E47" s="17">
        <f t="shared" si="9"/>
        <v>50000</v>
      </c>
      <c r="F47" s="17">
        <f t="shared" si="9"/>
        <v>50000</v>
      </c>
    </row>
    <row r="48" spans="1:6" x14ac:dyDescent="0.35">
      <c r="B48" s="110" t="s">
        <v>198</v>
      </c>
      <c r="C48" s="21">
        <f>C50-C44</f>
        <v>1200000</v>
      </c>
      <c r="D48" s="21">
        <f t="shared" ref="D48:F48" si="10">D50-D44</f>
        <v>1200000</v>
      </c>
      <c r="E48" s="21">
        <f t="shared" si="10"/>
        <v>1250000</v>
      </c>
      <c r="F48" s="21">
        <f t="shared" si="10"/>
        <v>1250000</v>
      </c>
    </row>
    <row r="49" spans="2:9" x14ac:dyDescent="0.35">
      <c r="H49" s="42"/>
      <c r="I49" s="42"/>
    </row>
    <row r="50" spans="2:9" x14ac:dyDescent="0.35">
      <c r="B50" s="113" t="s">
        <v>193</v>
      </c>
      <c r="C50" s="25">
        <f>Inputs!D40</f>
        <v>2000000</v>
      </c>
      <c r="D50" s="25">
        <f>Inputs!E40</f>
        <v>2800000</v>
      </c>
      <c r="E50" s="25">
        <f>Inputs!F40</f>
        <v>3400000</v>
      </c>
      <c r="F50" s="25">
        <f>Inputs!G40</f>
        <v>3704000</v>
      </c>
    </row>
    <row r="51" spans="2:9" x14ac:dyDescent="0.35">
      <c r="H51" s="42"/>
      <c r="I51" s="42"/>
    </row>
    <row r="52" spans="2:9" x14ac:dyDescent="0.35">
      <c r="B52" s="113" t="s">
        <v>199</v>
      </c>
      <c r="C52" s="25">
        <f>C39-C50</f>
        <v>700000</v>
      </c>
      <c r="D52" s="25">
        <f t="shared" ref="D52:F52" si="11">D39-D50</f>
        <v>800000</v>
      </c>
      <c r="E52" s="25">
        <f t="shared" si="11"/>
        <v>1050000</v>
      </c>
      <c r="F52" s="25">
        <f t="shared" si="11"/>
        <v>1310000</v>
      </c>
    </row>
  </sheetData>
  <pageMargins left="0.7" right="0.7" top="0.75" bottom="0.75" header="0.3" footer="0.3"/>
  <ignoredErrors>
    <ignoredError sqref="C22:F22 C23:F23 C16:F1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5707-280A-4BC6-8174-B6AB8634D312}">
  <dimension ref="B2:G23"/>
  <sheetViews>
    <sheetView workbookViewId="0"/>
  </sheetViews>
  <sheetFormatPr defaultColWidth="10.90625" defaultRowHeight="14.5" x14ac:dyDescent="0.35"/>
  <cols>
    <col min="1" max="1" width="7.1796875" customWidth="1"/>
    <col min="2" max="2" width="24.7265625" bestFit="1" customWidth="1"/>
    <col min="3" max="3" width="13.08984375" customWidth="1"/>
    <col min="4" max="4" width="14.36328125" bestFit="1" customWidth="1"/>
    <col min="5" max="5" width="13.453125" bestFit="1" customWidth="1"/>
    <col min="6" max="6" width="10.81640625" bestFit="1" customWidth="1"/>
    <col min="7" max="7" width="23" bestFit="1" customWidth="1"/>
  </cols>
  <sheetData>
    <row r="2" spans="2:7" ht="18.5" x14ac:dyDescent="0.45">
      <c r="B2" s="2" t="s">
        <v>27</v>
      </c>
    </row>
    <row r="3" spans="2:7" x14ac:dyDescent="0.35">
      <c r="B3" s="1"/>
    </row>
    <row r="4" spans="2:7" x14ac:dyDescent="0.35">
      <c r="B4" s="1" t="s">
        <v>153</v>
      </c>
      <c r="C4" s="29">
        <f>'Structured FS'!C11</f>
        <v>42185</v>
      </c>
      <c r="D4" s="29">
        <f>'Structured FS'!D11</f>
        <v>42551</v>
      </c>
      <c r="E4" s="29">
        <f>'Structured FS'!E11</f>
        <v>42916</v>
      </c>
      <c r="F4" s="29">
        <f>'Structured FS'!F11</f>
        <v>43281</v>
      </c>
    </row>
    <row r="5" spans="2:7" ht="15" thickBot="1" x14ac:dyDescent="0.4">
      <c r="B5" s="10" t="s">
        <v>146</v>
      </c>
      <c r="C5" s="13" t="e">
        <f>'Structured FS'!#REF!</f>
        <v>#REF!</v>
      </c>
      <c r="D5" s="13" t="e">
        <f>'Structured FS'!#REF!</f>
        <v>#REF!</v>
      </c>
      <c r="E5" s="13" t="e">
        <f>'Structured FS'!#REF!</f>
        <v>#REF!</v>
      </c>
      <c r="F5" s="13" t="e">
        <f>'Structured FS'!#REF!</f>
        <v>#REF!</v>
      </c>
      <c r="G5" s="13" t="s">
        <v>154</v>
      </c>
    </row>
    <row r="6" spans="2:7" x14ac:dyDescent="0.35">
      <c r="B6" t="s">
        <v>11</v>
      </c>
      <c r="C6" s="17">
        <f>'Structured FS'!C14</f>
        <v>3400000</v>
      </c>
      <c r="D6" s="17">
        <f>'Structured FS'!D14</f>
        <v>5000000</v>
      </c>
      <c r="E6" s="17">
        <f>'Structured FS'!E14</f>
        <v>5800000</v>
      </c>
      <c r="F6" s="17">
        <f>'Structured FS'!F14</f>
        <v>6612000</v>
      </c>
      <c r="G6" s="33">
        <f>F6-E6</f>
        <v>812000</v>
      </c>
    </row>
    <row r="7" spans="2:7" x14ac:dyDescent="0.35">
      <c r="B7" t="s">
        <v>28</v>
      </c>
      <c r="C7" s="31" t="s">
        <v>32</v>
      </c>
      <c r="D7" s="28">
        <f>((D6-C6)/C6)</f>
        <v>0.47058823529411764</v>
      </c>
      <c r="E7" s="28">
        <f t="shared" ref="E7:F7" si="0">((E6-D6)/D6)</f>
        <v>0.16</v>
      </c>
      <c r="F7" s="28">
        <f t="shared" si="0"/>
        <v>0.14000000000000001</v>
      </c>
      <c r="G7" s="47">
        <f t="shared" ref="G7:G18" si="1">F7-E7</f>
        <v>-1.999999999999999E-2</v>
      </c>
    </row>
    <row r="8" spans="2:7" x14ac:dyDescent="0.35">
      <c r="B8" t="s">
        <v>29</v>
      </c>
      <c r="C8" s="17">
        <f>'Structured FS'!C16</f>
        <v>865000</v>
      </c>
      <c r="D8" s="17">
        <f>'Structured FS'!D16</f>
        <v>1300000</v>
      </c>
      <c r="E8" s="17">
        <f>'Structured FS'!E16</f>
        <v>1650000</v>
      </c>
      <c r="F8" s="17">
        <f>'Structured FS'!F16</f>
        <v>1917500</v>
      </c>
      <c r="G8" s="33">
        <f t="shared" si="1"/>
        <v>267500</v>
      </c>
    </row>
    <row r="9" spans="2:7" x14ac:dyDescent="0.35">
      <c r="B9" t="s">
        <v>18</v>
      </c>
      <c r="C9" s="28">
        <f>C8/C6</f>
        <v>0.25441176470588234</v>
      </c>
      <c r="D9" s="28">
        <f t="shared" ref="D9:F9" si="2">D8/D6</f>
        <v>0.26</v>
      </c>
      <c r="E9" s="28">
        <f t="shared" si="2"/>
        <v>0.28448275862068967</v>
      </c>
      <c r="F9" s="28">
        <f t="shared" si="2"/>
        <v>0.2900030248033878</v>
      </c>
      <c r="G9" s="47">
        <f t="shared" si="1"/>
        <v>5.5202661826981303E-3</v>
      </c>
    </row>
    <row r="10" spans="2:7" x14ac:dyDescent="0.35">
      <c r="B10" t="s">
        <v>19</v>
      </c>
      <c r="C10" s="17">
        <f>'Structured FS'!C17</f>
        <v>505000</v>
      </c>
      <c r="D10" s="17">
        <f>'Structured FS'!D17</f>
        <v>833000</v>
      </c>
      <c r="E10" s="17">
        <f>'Structured FS'!E17</f>
        <v>1025000</v>
      </c>
      <c r="F10" s="17">
        <f>'Structured FS'!F17</f>
        <v>1216200</v>
      </c>
      <c r="G10" s="33">
        <f t="shared" si="1"/>
        <v>191200</v>
      </c>
    </row>
    <row r="11" spans="2:7" x14ac:dyDescent="0.35">
      <c r="B11" t="s">
        <v>30</v>
      </c>
      <c r="C11" s="28">
        <f>C10/C6</f>
        <v>0.14852941176470588</v>
      </c>
      <c r="D11" s="28">
        <f t="shared" ref="D11:F11" si="3">D10/D6</f>
        <v>0.1666</v>
      </c>
      <c r="E11" s="28">
        <f t="shared" si="3"/>
        <v>0.17672413793103448</v>
      </c>
      <c r="F11" s="28">
        <f t="shared" si="3"/>
        <v>0.18393829401088929</v>
      </c>
      <c r="G11" s="47">
        <f t="shared" si="1"/>
        <v>7.2141560798548166E-3</v>
      </c>
    </row>
    <row r="12" spans="2:7" x14ac:dyDescent="0.35">
      <c r="B12" t="s">
        <v>2</v>
      </c>
      <c r="C12" s="17">
        <f>'Structured FS'!C18</f>
        <v>360000</v>
      </c>
      <c r="D12" s="17">
        <f>'Structured FS'!D18</f>
        <v>467000</v>
      </c>
      <c r="E12" s="17">
        <f>'Structured FS'!E18</f>
        <v>625000</v>
      </c>
      <c r="F12" s="17">
        <f>'Structured FS'!F18</f>
        <v>701300</v>
      </c>
      <c r="G12" s="33">
        <f t="shared" si="1"/>
        <v>76300</v>
      </c>
    </row>
    <row r="13" spans="2:7" x14ac:dyDescent="0.35">
      <c r="B13" t="s">
        <v>16</v>
      </c>
      <c r="C13" s="28">
        <f>C12/C6</f>
        <v>0.10588235294117647</v>
      </c>
      <c r="D13" s="28">
        <f t="shared" ref="D13:F13" si="4">D12/D6</f>
        <v>9.3399999999999997E-2</v>
      </c>
      <c r="E13" s="28">
        <f t="shared" si="4"/>
        <v>0.10775862068965517</v>
      </c>
      <c r="F13" s="28">
        <f t="shared" si="4"/>
        <v>0.10606473079249849</v>
      </c>
      <c r="G13" s="47">
        <f t="shared" si="1"/>
        <v>-1.6938898971566724E-3</v>
      </c>
    </row>
    <row r="14" spans="2:7" x14ac:dyDescent="0.35">
      <c r="B14" t="s">
        <v>10</v>
      </c>
      <c r="C14" s="17">
        <f>C12+Inputs!D22</f>
        <v>434000</v>
      </c>
      <c r="D14" s="17">
        <f>D12+Inputs!E22</f>
        <v>567000</v>
      </c>
      <c r="E14" s="17">
        <f>E12+Inputs!F22</f>
        <v>725000</v>
      </c>
      <c r="F14" s="17">
        <f>F12+Inputs!G22</f>
        <v>801300</v>
      </c>
      <c r="G14" s="33">
        <f t="shared" si="1"/>
        <v>76300</v>
      </c>
    </row>
    <row r="15" spans="2:7" x14ac:dyDescent="0.35">
      <c r="B15" t="s">
        <v>22</v>
      </c>
      <c r="C15" s="17">
        <f>'Structured FS'!C23</f>
        <v>195400</v>
      </c>
      <c r="D15" s="17">
        <f>'Structured FS'!D23</f>
        <v>280000</v>
      </c>
      <c r="E15" s="17">
        <f>'Structured FS'!E23</f>
        <v>350000</v>
      </c>
      <c r="F15" s="17">
        <f>'Structured FS'!F23</f>
        <v>410000</v>
      </c>
      <c r="G15" s="33">
        <f t="shared" si="1"/>
        <v>60000</v>
      </c>
    </row>
    <row r="16" spans="2:7" x14ac:dyDescent="0.35">
      <c r="B16" t="s">
        <v>17</v>
      </c>
      <c r="C16" s="28">
        <f>C15/C6</f>
        <v>5.7470588235294121E-2</v>
      </c>
      <c r="D16" s="28">
        <f>D15/D6</f>
        <v>5.6000000000000001E-2</v>
      </c>
      <c r="E16" s="28">
        <f>E15/E6</f>
        <v>6.0344827586206899E-2</v>
      </c>
      <c r="F16" s="28">
        <f>F15/F6</f>
        <v>6.2008469449485785E-2</v>
      </c>
      <c r="G16" s="47">
        <f t="shared" si="1"/>
        <v>1.6636418632788863E-3</v>
      </c>
    </row>
    <row r="17" spans="2:7" x14ac:dyDescent="0.35">
      <c r="B17" t="s">
        <v>23</v>
      </c>
      <c r="C17" s="26">
        <f>'Structured FS'!C25</f>
        <v>150000</v>
      </c>
      <c r="D17" s="26">
        <f>'Structured FS'!D25</f>
        <v>100000</v>
      </c>
      <c r="E17" s="26">
        <f>'Structured FS'!E25</f>
        <v>250000</v>
      </c>
      <c r="F17" s="26">
        <f>'Structured FS'!F25</f>
        <v>260000</v>
      </c>
      <c r="G17" s="33">
        <f t="shared" si="1"/>
        <v>10000</v>
      </c>
    </row>
    <row r="18" spans="2:7" x14ac:dyDescent="0.35">
      <c r="B18" t="s">
        <v>31</v>
      </c>
      <c r="C18" s="30">
        <f>C12/'Structured FS'!C20</f>
        <v>7.2</v>
      </c>
      <c r="D18" s="30">
        <f>D12/'Structured FS'!D20</f>
        <v>4.67</v>
      </c>
      <c r="E18" s="30">
        <f>E12/'Structured FS'!E20</f>
        <v>4.166666666666667</v>
      </c>
      <c r="F18" s="30">
        <f>F12/'Structured FS'!F20</f>
        <v>3.9846590909090911</v>
      </c>
      <c r="G18" s="47">
        <f t="shared" si="1"/>
        <v>-0.18200757575757587</v>
      </c>
    </row>
    <row r="21" spans="2:7" ht="15" thickBot="1" x14ac:dyDescent="0.4">
      <c r="B21" s="13" t="s">
        <v>11</v>
      </c>
      <c r="C21" s="13" t="s">
        <v>29</v>
      </c>
      <c r="D21" s="13" t="s">
        <v>2</v>
      </c>
      <c r="E21" s="13" t="s">
        <v>23</v>
      </c>
    </row>
    <row r="22" spans="2:7" x14ac:dyDescent="0.35">
      <c r="B22" s="17">
        <f>'Structured FS'!F14</f>
        <v>6612000</v>
      </c>
      <c r="C22" s="17">
        <f>F8</f>
        <v>1917500</v>
      </c>
      <c r="D22" s="17">
        <f>F12</f>
        <v>701300</v>
      </c>
      <c r="E22" s="17">
        <f>F17</f>
        <v>260000</v>
      </c>
    </row>
    <row r="23" spans="2:7" x14ac:dyDescent="0.35">
      <c r="B23" s="17">
        <f>F6-E6</f>
        <v>812000</v>
      </c>
      <c r="C23" s="17">
        <f>F8-E8</f>
        <v>267500</v>
      </c>
      <c r="D23" s="17">
        <f>F12-E12</f>
        <v>76300</v>
      </c>
      <c r="E23" s="17">
        <f>F17-E17</f>
        <v>10000</v>
      </c>
    </row>
  </sheetData>
  <conditionalFormatting sqref="B23:E23">
    <cfRule type="cellIs" dxfId="52" priority="1" operator="lessThan">
      <formula>0</formula>
    </cfRule>
    <cfRule type="cellIs" dxfId="51" priority="2" operator="greaterThan">
      <formula>0</formula>
    </cfRule>
  </conditionalFormatting>
  <conditionalFormatting sqref="G6:G18">
    <cfRule type="cellIs" dxfId="50" priority="3" operator="lessThan">
      <formula>0</formula>
    </cfRule>
    <cfRule type="cellIs" dxfId="49" priority="4" operator="greaterThanOr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BE331-8F00-4453-B3FD-DA324FE6856D}">
  <dimension ref="B2:I22"/>
  <sheetViews>
    <sheetView workbookViewId="0"/>
  </sheetViews>
  <sheetFormatPr defaultColWidth="10.90625" defaultRowHeight="14.5" x14ac:dyDescent="0.35"/>
  <cols>
    <col min="1" max="1" width="6.36328125" customWidth="1"/>
    <col min="2" max="2" width="25.6328125" bestFit="1" customWidth="1"/>
    <col min="3" max="3" width="10.08984375" bestFit="1" customWidth="1"/>
    <col min="4" max="4" width="15.453125" bestFit="1" customWidth="1"/>
    <col min="5" max="5" width="14.1796875" bestFit="1" customWidth="1"/>
    <col min="6" max="6" width="10.81640625" bestFit="1" customWidth="1"/>
    <col min="7" max="7" width="23" bestFit="1" customWidth="1"/>
  </cols>
  <sheetData>
    <row r="2" spans="2:9" ht="18.5" x14ac:dyDescent="0.45">
      <c r="B2" s="2" t="s">
        <v>35</v>
      </c>
    </row>
    <row r="3" spans="2:9" x14ac:dyDescent="0.35">
      <c r="B3" s="1"/>
    </row>
    <row r="4" spans="2:9" x14ac:dyDescent="0.35">
      <c r="B4" s="1" t="s">
        <v>153</v>
      </c>
      <c r="C4" s="29">
        <f>'Structured FS'!C11</f>
        <v>42185</v>
      </c>
      <c r="D4" s="29">
        <f>'Structured FS'!D11</f>
        <v>42551</v>
      </c>
      <c r="E4" s="29">
        <f>'Structured FS'!E11</f>
        <v>42916</v>
      </c>
      <c r="F4" s="29">
        <f>'Structured FS'!F11</f>
        <v>43281</v>
      </c>
    </row>
    <row r="5" spans="2:9" ht="15" thickBot="1" x14ac:dyDescent="0.4">
      <c r="B5" s="10" t="s">
        <v>146</v>
      </c>
      <c r="C5" s="13" t="e">
        <f>'Structured FS'!#REF!</f>
        <v>#REF!</v>
      </c>
      <c r="D5" s="13" t="e">
        <f>'Structured FS'!#REF!</f>
        <v>#REF!</v>
      </c>
      <c r="E5" s="13" t="e">
        <f>'Structured FS'!#REF!</f>
        <v>#REF!</v>
      </c>
      <c r="F5" s="13" t="e">
        <f>'Structured FS'!#REF!</f>
        <v>#REF!</v>
      </c>
      <c r="G5" s="13" t="s">
        <v>154</v>
      </c>
    </row>
    <row r="6" spans="2:9" x14ac:dyDescent="0.35">
      <c r="B6" t="s">
        <v>33</v>
      </c>
      <c r="C6" s="32">
        <f>('Structured FS'!C30/'Structured FS'!C14)*365</f>
        <v>61.191176470588232</v>
      </c>
      <c r="D6" s="32">
        <f>('Structured FS'!D30/'Structured FS'!D14)*365</f>
        <v>65.7</v>
      </c>
      <c r="E6" s="32">
        <f>('Structured FS'!E30/'Structured FS'!E14)*365</f>
        <v>75.517241379310349</v>
      </c>
      <c r="F6" s="32">
        <f>('Structured FS'!F30/'Structured FS'!F14)*365</f>
        <v>79.657441016333934</v>
      </c>
      <c r="G6" s="32">
        <f>F6-E6</f>
        <v>4.140199637023585</v>
      </c>
    </row>
    <row r="7" spans="2:9" x14ac:dyDescent="0.35">
      <c r="B7" t="s">
        <v>34</v>
      </c>
      <c r="C7" s="32">
        <f>('Structured FS'!C31/'Structured FS'!C15)*365</f>
        <v>86.390532544378701</v>
      </c>
      <c r="D7" s="32">
        <f>('Structured FS'!D31/'Structured FS'!D15)*365</f>
        <v>90.756756756756758</v>
      </c>
      <c r="E7" s="32">
        <f>('Structured FS'!E31/'Structured FS'!E15)*365</f>
        <v>109.93975903614459</v>
      </c>
      <c r="F7" s="32">
        <f>('Structured FS'!F31/'Structured FS'!F15)*365</f>
        <v>120.51336670571945</v>
      </c>
      <c r="G7" s="32">
        <f t="shared" ref="G7:G18" si="0">F7-E7</f>
        <v>10.573607669574855</v>
      </c>
      <c r="H7" s="118">
        <f>E8</f>
        <v>43.975903614457835</v>
      </c>
      <c r="I7" s="118">
        <f>F8</f>
        <v>45.872829907338371</v>
      </c>
    </row>
    <row r="8" spans="2:9" x14ac:dyDescent="0.35">
      <c r="B8" t="s">
        <v>36</v>
      </c>
      <c r="C8" s="32">
        <f>('Structured FS'!C41/'Structured FS'!C15)*365</f>
        <v>43.19526627218935</v>
      </c>
      <c r="D8" s="32">
        <f>('Structured FS'!D41/'Structured FS'!D15)*365</f>
        <v>44.391891891891895</v>
      </c>
      <c r="E8" s="32">
        <f>('Structured FS'!E41/'Structured FS'!E15)*365</f>
        <v>43.975903614457835</v>
      </c>
      <c r="F8" s="32">
        <f>('Structured FS'!F41/'Structured FS'!F15)*365</f>
        <v>45.872829907338371</v>
      </c>
      <c r="G8" s="32">
        <f t="shared" si="0"/>
        <v>1.8969262928805364</v>
      </c>
      <c r="H8" s="118">
        <f>E7</f>
        <v>109.93975903614459</v>
      </c>
      <c r="I8" s="118">
        <f>F7</f>
        <v>120.51336670571945</v>
      </c>
    </row>
    <row r="9" spans="2:9" x14ac:dyDescent="0.35">
      <c r="B9" s="116" t="s">
        <v>204</v>
      </c>
      <c r="C9" s="117">
        <f>'Structured FS'!C41/'Structured FS'!C14*100</f>
        <v>8.8235294117647065</v>
      </c>
      <c r="D9" s="117">
        <f>'Structured FS'!D41/'Structured FS'!D14*100</f>
        <v>9</v>
      </c>
      <c r="E9" s="117">
        <f>'Structured FS'!E41/'Structured FS'!E14*100</f>
        <v>8.6206896551724146</v>
      </c>
      <c r="F9" s="117">
        <f>'Structured FS'!F41/'Structured FS'!F14*100</f>
        <v>8.9231699939503937</v>
      </c>
      <c r="G9" s="32">
        <f t="shared" si="0"/>
        <v>0.30248033877797909</v>
      </c>
      <c r="H9" s="118">
        <f>H8+E6</f>
        <v>185.45700041545496</v>
      </c>
      <c r="I9" s="118">
        <f>I8+F6</f>
        <v>200.17080772205338</v>
      </c>
    </row>
    <row r="10" spans="2:9" x14ac:dyDescent="0.35">
      <c r="B10" s="116" t="s">
        <v>205</v>
      </c>
      <c r="C10" s="117">
        <f>'Structured FS'!C31/'Structured FS'!C14*100</f>
        <v>17.647058823529413</v>
      </c>
      <c r="D10" s="117">
        <f>'Structured FS'!D31/'Structured FS'!D14*100</f>
        <v>18.399999999999999</v>
      </c>
      <c r="E10" s="117">
        <f>'Structured FS'!E31/'Structured FS'!E14*100</f>
        <v>21.551724137931032</v>
      </c>
      <c r="F10" s="117">
        <f>'Structured FS'!F31/'Structured FS'!F14*100</f>
        <v>23.442226255293406</v>
      </c>
      <c r="G10" s="32">
        <f t="shared" si="0"/>
        <v>1.8905021173623737</v>
      </c>
    </row>
    <row r="11" spans="2:9" x14ac:dyDescent="0.35">
      <c r="B11" s="116" t="s">
        <v>206</v>
      </c>
      <c r="C11" s="117">
        <f>'Structured FS'!C30/'Structured FS'!C14*100</f>
        <v>16.764705882352938</v>
      </c>
      <c r="D11" s="117">
        <f>'Structured FS'!D30/'Structured FS'!D14*100</f>
        <v>18</v>
      </c>
      <c r="E11" s="117">
        <f>'Structured FS'!E30/'Structured FS'!E14*100</f>
        <v>20.689655172413794</v>
      </c>
      <c r="F11" s="117">
        <f>'Structured FS'!F30/'Structured FS'!F14*100</f>
        <v>21.823956442831218</v>
      </c>
      <c r="G11" s="32">
        <f t="shared" si="0"/>
        <v>1.1343012704174242</v>
      </c>
      <c r="H11" s="118">
        <f>E7+E6-E8</f>
        <v>141.48109680099714</v>
      </c>
      <c r="I11" s="118">
        <f>F7+F6-F8</f>
        <v>154.29797781471501</v>
      </c>
    </row>
    <row r="12" spans="2:9" x14ac:dyDescent="0.35">
      <c r="B12" t="s">
        <v>37</v>
      </c>
      <c r="C12" s="32">
        <f>C6+C7-C8</f>
        <v>104.38644274277758</v>
      </c>
      <c r="D12" s="32">
        <f t="shared" ref="D12:F12" si="1">D6+D7-D8</f>
        <v>112.06486486486486</v>
      </c>
      <c r="E12" s="32">
        <f t="shared" si="1"/>
        <v>141.48109680099714</v>
      </c>
      <c r="F12" s="32">
        <f t="shared" si="1"/>
        <v>154.29797781471501</v>
      </c>
      <c r="G12" s="32">
        <f t="shared" si="0"/>
        <v>12.816881013717875</v>
      </c>
    </row>
    <row r="13" spans="2:9" x14ac:dyDescent="0.35">
      <c r="B13" t="s">
        <v>3</v>
      </c>
      <c r="C13" s="17">
        <f>'Structured FS'!C30+'Structured FS'!C31-'Structured FS'!C41</f>
        <v>870000</v>
      </c>
      <c r="D13" s="17">
        <f>'Structured FS'!D30+'Structured FS'!D31-'Structured FS'!D41</f>
        <v>1370000</v>
      </c>
      <c r="E13" s="17">
        <f>'Structured FS'!E30+'Structured FS'!E31-'Structured FS'!E41</f>
        <v>1950000</v>
      </c>
      <c r="F13" s="17">
        <f>'Structured FS'!F30+'Structured FS'!F31-'Structured FS'!F41</f>
        <v>2403000</v>
      </c>
      <c r="G13" s="26">
        <f t="shared" si="0"/>
        <v>453000</v>
      </c>
    </row>
    <row r="14" spans="2:9" x14ac:dyDescent="0.35">
      <c r="B14" t="s">
        <v>38</v>
      </c>
      <c r="C14" s="32">
        <f>(C13/'Structured FS'!C14)*100</f>
        <v>25.588235294117645</v>
      </c>
      <c r="D14" s="32">
        <f>(D13/'Structured FS'!D14)*100</f>
        <v>27.400000000000002</v>
      </c>
      <c r="E14" s="32">
        <f>(E13/'Structured FS'!E14)*100</f>
        <v>33.620689655172413</v>
      </c>
      <c r="F14" s="32">
        <f>(F13/'Structured FS'!F14)*100</f>
        <v>36.343012704174228</v>
      </c>
      <c r="G14" s="32">
        <f t="shared" si="0"/>
        <v>2.7223230490018153</v>
      </c>
    </row>
    <row r="15" spans="2:9" x14ac:dyDescent="0.35">
      <c r="B15" t="s">
        <v>203</v>
      </c>
      <c r="C15" s="72">
        <f>('Chapter 1 - Profitability'!C8/'Structured FS'!C14)*100</f>
        <v>25.441176470588232</v>
      </c>
      <c r="D15" s="72">
        <f>('Chapter 1 - Profitability'!D8/'Structured FS'!D14)*100</f>
        <v>26</v>
      </c>
      <c r="E15" s="72">
        <f>('Chapter 1 - Profitability'!E8/'Structured FS'!E14)*100</f>
        <v>28.448275862068968</v>
      </c>
      <c r="F15" s="72">
        <f>('Chapter 1 - Profitability'!F8/'Structured FS'!F14)*100</f>
        <v>29.000302480338782</v>
      </c>
      <c r="G15" s="32">
        <f t="shared" si="0"/>
        <v>0.5520266182698137</v>
      </c>
    </row>
    <row r="16" spans="2:9" x14ac:dyDescent="0.35">
      <c r="B16" t="s">
        <v>39</v>
      </c>
      <c r="C16" s="32">
        <f>'Structured FS'!C14/'Chapter 2 - Working Capital'!C13</f>
        <v>3.9080459770114944</v>
      </c>
      <c r="D16" s="32">
        <f>'Structured FS'!D14/'Chapter 2 - Working Capital'!D13</f>
        <v>3.6496350364963503</v>
      </c>
      <c r="E16" s="32">
        <f>'Structured FS'!E14/'Chapter 2 - Working Capital'!E13</f>
        <v>2.9743589743589745</v>
      </c>
      <c r="F16" s="32">
        <f>'Structured FS'!F14/'Chapter 2 - Working Capital'!F13</f>
        <v>2.7515605493133584</v>
      </c>
      <c r="G16" s="32">
        <f t="shared" si="0"/>
        <v>-0.22279842504561609</v>
      </c>
    </row>
    <row r="17" spans="2:7" x14ac:dyDescent="0.35">
      <c r="B17" t="s">
        <v>40</v>
      </c>
      <c r="C17" s="32">
        <f>(('Structured FS'!C16/'Structured FS'!C14)-(('Structured FS'!C30+'Structured FS'!C31-'Structured FS'!C41)/'Structured FS'!C14))*100</f>
        <v>-0.14705882352941124</v>
      </c>
      <c r="D17" s="32">
        <f>(('Structured FS'!D16/'Structured FS'!D14)-(('Structured FS'!D30+'Structured FS'!D31-'Structured FS'!D41)/'Structured FS'!D14))*100</f>
        <v>-1.4000000000000012</v>
      </c>
      <c r="E17" s="32">
        <f>(('Structured FS'!E16/'Structured FS'!E14)-(('Structured FS'!E30+'Structured FS'!E31-'Structured FS'!E41)/'Structured FS'!E14))*100</f>
        <v>-5.1724137931034475</v>
      </c>
      <c r="F17" s="32">
        <f>(('Structured FS'!F16/'Structured FS'!F14)-(('Structured FS'!F30+'Structured FS'!F31-'Structured FS'!F41)/'Structured FS'!F14))*100</f>
        <v>-7.3427102238354465</v>
      </c>
      <c r="G17" s="32">
        <f t="shared" si="0"/>
        <v>-2.170296430731999</v>
      </c>
    </row>
    <row r="18" spans="2:7" x14ac:dyDescent="0.35">
      <c r="B18" t="s">
        <v>41</v>
      </c>
      <c r="C18" s="32">
        <f>'Structured FS'!C33/'Structured FS'!C44</f>
        <v>1.875</v>
      </c>
      <c r="D18" s="32">
        <f>'Structured FS'!D33/'Structured FS'!D44</f>
        <v>1.3125</v>
      </c>
      <c r="E18" s="32">
        <f>'Structured FS'!E33/'Structured FS'!E44</f>
        <v>1.1627906976744187</v>
      </c>
      <c r="F18" s="32">
        <f>'Structured FS'!F33/'Structured FS'!F44</f>
        <v>1.2485737571312143</v>
      </c>
      <c r="G18" s="32">
        <f t="shared" si="0"/>
        <v>8.5783059456795652E-2</v>
      </c>
    </row>
    <row r="20" spans="2:7" ht="15" thickBot="1" x14ac:dyDescent="0.4">
      <c r="B20" s="13" t="s">
        <v>5</v>
      </c>
      <c r="C20" s="13" t="s">
        <v>4</v>
      </c>
      <c r="D20" s="13" t="s">
        <v>6</v>
      </c>
      <c r="E20" s="13" t="s">
        <v>3</v>
      </c>
    </row>
    <row r="21" spans="2:7" x14ac:dyDescent="0.35">
      <c r="B21" s="26">
        <f>'Structured FS'!F30</f>
        <v>1443000</v>
      </c>
      <c r="C21" s="26">
        <f>'Structured FS'!F31</f>
        <v>1550000</v>
      </c>
      <c r="D21" s="26">
        <f>'Structured FS'!F41</f>
        <v>590000</v>
      </c>
      <c r="E21" s="26">
        <f>B21+C21-D21</f>
        <v>2403000</v>
      </c>
    </row>
    <row r="22" spans="2:7" x14ac:dyDescent="0.35">
      <c r="B22" s="26">
        <f>'Structured FS'!F30-'Structured FS'!E30</f>
        <v>243000</v>
      </c>
      <c r="C22" s="26">
        <f>'Structured FS'!F31-'Structured FS'!E31</f>
        <v>300000</v>
      </c>
      <c r="D22" s="26">
        <f>'Structured FS'!F41-'Structured FS'!E41</f>
        <v>90000</v>
      </c>
      <c r="E22" s="26">
        <f>B22+C22-D22</f>
        <v>453000</v>
      </c>
    </row>
  </sheetData>
  <conditionalFormatting sqref="B22:E22">
    <cfRule type="cellIs" dxfId="48" priority="1" operator="lessThan">
      <formula>0</formula>
    </cfRule>
    <cfRule type="cellIs" dxfId="47" priority="2" operator="greaterThan">
      <formula>0</formula>
    </cfRule>
  </conditionalFormatting>
  <conditionalFormatting sqref="G6:G7">
    <cfRule type="cellIs" dxfId="46" priority="15" operator="greaterThan">
      <formula>0</formula>
    </cfRule>
    <cfRule type="cellIs" dxfId="45" priority="16" operator="lessThan">
      <formula>0</formula>
    </cfRule>
  </conditionalFormatting>
  <conditionalFormatting sqref="G8:G12">
    <cfRule type="cellIs" dxfId="44" priority="13" operator="lessThan">
      <formula>0</formula>
    </cfRule>
    <cfRule type="cellIs" dxfId="43" priority="14" operator="greaterThan">
      <formula>0</formula>
    </cfRule>
  </conditionalFormatting>
  <conditionalFormatting sqref="G12:G15">
    <cfRule type="cellIs" dxfId="42" priority="7" operator="greaterThan">
      <formula>0</formula>
    </cfRule>
    <cfRule type="cellIs" dxfId="41" priority="8" operator="lessThan">
      <formula>0</formula>
    </cfRule>
  </conditionalFormatting>
  <conditionalFormatting sqref="G16:G18">
    <cfRule type="cellIs" dxfId="40" priority="3" operator="lessThan">
      <formula>0</formula>
    </cfRule>
    <cfRule type="cellIs" dxfId="39" priority="4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2CD0A-DD3E-483A-8BD5-E0CF445EEB06}">
  <dimension ref="B2:G18"/>
  <sheetViews>
    <sheetView workbookViewId="0"/>
  </sheetViews>
  <sheetFormatPr defaultColWidth="10.90625" defaultRowHeight="14.5" x14ac:dyDescent="0.35"/>
  <cols>
    <col min="1" max="1" width="6.36328125" customWidth="1"/>
    <col min="2" max="2" width="25.6328125" bestFit="1" customWidth="1"/>
    <col min="3" max="3" width="11.54296875" bestFit="1" customWidth="1"/>
    <col min="4" max="4" width="15.6328125" bestFit="1" customWidth="1"/>
    <col min="5" max="5" width="14.36328125" bestFit="1" customWidth="1"/>
    <col min="6" max="6" width="13.26953125" bestFit="1" customWidth="1"/>
    <col min="7" max="7" width="23" bestFit="1" customWidth="1"/>
  </cols>
  <sheetData>
    <row r="2" spans="2:7" ht="18.5" x14ac:dyDescent="0.45">
      <c r="B2" s="2" t="s">
        <v>42</v>
      </c>
    </row>
    <row r="3" spans="2:7" x14ac:dyDescent="0.35">
      <c r="B3" s="1"/>
    </row>
    <row r="4" spans="2:7" x14ac:dyDescent="0.35">
      <c r="B4" s="1" t="s">
        <v>153</v>
      </c>
      <c r="C4" s="29">
        <f>'Structured FS'!C11</f>
        <v>42185</v>
      </c>
      <c r="D4" s="29">
        <f>'Structured FS'!D11</f>
        <v>42551</v>
      </c>
      <c r="E4" s="29">
        <f>'Structured FS'!E11</f>
        <v>42916</v>
      </c>
      <c r="F4" s="29">
        <f>'Structured FS'!F11</f>
        <v>43281</v>
      </c>
    </row>
    <row r="5" spans="2:7" ht="15" thickBot="1" x14ac:dyDescent="0.4">
      <c r="B5" s="10" t="s">
        <v>146</v>
      </c>
      <c r="C5" s="13" t="e">
        <f>'Structured FS'!#REF!</f>
        <v>#REF!</v>
      </c>
      <c r="D5" s="13" t="e">
        <f>'Structured FS'!#REF!</f>
        <v>#REF!</v>
      </c>
      <c r="E5" s="13" t="e">
        <f>'Structured FS'!#REF!</f>
        <v>#REF!</v>
      </c>
      <c r="F5" s="13" t="e">
        <f>'Structured FS'!#REF!</f>
        <v>#REF!</v>
      </c>
      <c r="G5" s="13" t="s">
        <v>154</v>
      </c>
    </row>
    <row r="6" spans="2:7" x14ac:dyDescent="0.35">
      <c r="B6" t="s">
        <v>43</v>
      </c>
      <c r="C6" s="17">
        <f>'Structured FS'!C32+'Structured FS'!C35+'Structured FS'!C36-'Structured FS'!C43-'Structured FS'!C47</f>
        <v>1070000</v>
      </c>
      <c r="D6" s="17">
        <f>'Structured FS'!D32+'Structured FS'!D35+'Structured FS'!D36-'Structured FS'!D43-'Structured FS'!D47</f>
        <v>1555000</v>
      </c>
      <c r="E6" s="17">
        <f>'Structured FS'!E32+'Structured FS'!E35+'Structured FS'!E36-'Structured FS'!E43-'Structured FS'!E47</f>
        <v>1750000</v>
      </c>
      <c r="F6" s="17">
        <f>'Structured FS'!F32+'Structured FS'!F35+'Structured FS'!F36-'Structured FS'!F43-'Structured FS'!F47</f>
        <v>1750000</v>
      </c>
      <c r="G6" s="17">
        <f>F6-E6</f>
        <v>0</v>
      </c>
    </row>
    <row r="7" spans="2:7" x14ac:dyDescent="0.35">
      <c r="B7" t="s">
        <v>44</v>
      </c>
      <c r="C7" s="28">
        <f>C6/'Structured FS'!C14</f>
        <v>0.31470588235294117</v>
      </c>
      <c r="D7" s="28">
        <f>D6/'Structured FS'!D14</f>
        <v>0.311</v>
      </c>
      <c r="E7" s="28">
        <f>E6/'Structured FS'!E14</f>
        <v>0.30172413793103448</v>
      </c>
      <c r="F7" s="28">
        <f>F6/'Structured FS'!F14</f>
        <v>0.26467029643073198</v>
      </c>
      <c r="G7" s="32">
        <f t="shared" ref="G7:G14" si="0">F7-E7</f>
        <v>-3.7053841500302498E-2</v>
      </c>
    </row>
    <row r="8" spans="2:7" x14ac:dyDescent="0.35">
      <c r="B8" t="s">
        <v>45</v>
      </c>
      <c r="C8" s="32">
        <f>'Structured FS'!C14/C6</f>
        <v>3.1775700934579438</v>
      </c>
      <c r="D8" s="32">
        <f>'Structured FS'!D14/D6</f>
        <v>3.215434083601286</v>
      </c>
      <c r="E8" s="32">
        <f>'Structured FS'!E14/E6</f>
        <v>3.3142857142857145</v>
      </c>
      <c r="F8" s="32">
        <f>'Structured FS'!F14/F6</f>
        <v>3.7782857142857145</v>
      </c>
      <c r="G8" s="32">
        <f t="shared" si="0"/>
        <v>0.46399999999999997</v>
      </c>
    </row>
    <row r="9" spans="2:7" x14ac:dyDescent="0.35">
      <c r="B9" t="s">
        <v>46</v>
      </c>
      <c r="C9" s="17">
        <f>'Structured FS'!C42+'Structured FS'!C46+'Structured FS'!C52-'Structured FS'!C29</f>
        <v>1940000</v>
      </c>
      <c r="D9" s="17">
        <f>'Structured FS'!D42+'Structured FS'!D46+'Structured FS'!D52-'Structured FS'!D29</f>
        <v>2925000</v>
      </c>
      <c r="E9" s="17">
        <f>'Structured FS'!E42+'Structured FS'!E46+'Structured FS'!E52-'Structured FS'!E29</f>
        <v>3700000</v>
      </c>
      <c r="F9" s="17">
        <f>'Structured FS'!F42+'Structured FS'!F46+'Structured FS'!F52-'Structured FS'!F29</f>
        <v>4153000</v>
      </c>
      <c r="G9" s="17">
        <f t="shared" si="0"/>
        <v>453000</v>
      </c>
    </row>
    <row r="10" spans="2:7" x14ac:dyDescent="0.35">
      <c r="B10" t="s">
        <v>47</v>
      </c>
      <c r="C10" s="28">
        <f>C9/'Structured FS'!C14</f>
        <v>0.57058823529411762</v>
      </c>
      <c r="D10" s="28">
        <f>D9/'Structured FS'!D14</f>
        <v>0.58499999999999996</v>
      </c>
      <c r="E10" s="28">
        <f>E9/'Structured FS'!E14</f>
        <v>0.63793103448275867</v>
      </c>
      <c r="F10" s="28">
        <f>F9/'Structured FS'!F14</f>
        <v>0.6281004234724743</v>
      </c>
      <c r="G10" s="26">
        <f t="shared" si="0"/>
        <v>-9.8306110102843736E-3</v>
      </c>
    </row>
    <row r="11" spans="2:7" x14ac:dyDescent="0.35">
      <c r="B11" t="s">
        <v>48</v>
      </c>
      <c r="C11" s="32">
        <f>'Structured FS'!C14/'Chapter 3 - Other Capital'!C9</f>
        <v>1.7525773195876289</v>
      </c>
      <c r="D11" s="32">
        <f>'Structured FS'!D14/'Chapter 3 - Other Capital'!D9</f>
        <v>1.7094017094017093</v>
      </c>
      <c r="E11" s="32">
        <f>'Structured FS'!E14/'Chapter 3 - Other Capital'!E9</f>
        <v>1.5675675675675675</v>
      </c>
      <c r="F11" s="32">
        <f>'Structured FS'!F14/'Chapter 3 - Other Capital'!F9</f>
        <v>1.5921020948711775</v>
      </c>
      <c r="G11" s="32">
        <f t="shared" si="0"/>
        <v>2.4534527303609943E-2</v>
      </c>
    </row>
    <row r="12" spans="2:7" x14ac:dyDescent="0.35">
      <c r="B12" t="s">
        <v>49</v>
      </c>
      <c r="C12" s="28">
        <f>'Structured FS'!C18/C9</f>
        <v>0.18556701030927836</v>
      </c>
      <c r="D12" s="28">
        <f>'Structured FS'!D18/D9</f>
        <v>0.15965811965811966</v>
      </c>
      <c r="E12" s="28">
        <f>'Structured FS'!E18/E9</f>
        <v>0.16891891891891891</v>
      </c>
      <c r="F12" s="28">
        <f>'Structured FS'!F18/F9</f>
        <v>0.16886588008668432</v>
      </c>
      <c r="G12" s="32">
        <f t="shared" si="0"/>
        <v>-5.3038832234592048E-5</v>
      </c>
    </row>
    <row r="13" spans="2:7" x14ac:dyDescent="0.35">
      <c r="B13" t="s">
        <v>50</v>
      </c>
      <c r="C13" s="28">
        <f>'Structured FS'!C18/'Structured FS'!C39</f>
        <v>0.13333333333333333</v>
      </c>
      <c r="D13" s="28">
        <f>'Structured FS'!D18/'Structured FS'!D39</f>
        <v>0.12972222222222221</v>
      </c>
      <c r="E13" s="28">
        <f>'Structured FS'!E18/'Structured FS'!E39</f>
        <v>0.1404494382022472</v>
      </c>
      <c r="F13" s="28">
        <f>'Structured FS'!F18/'Structured FS'!F39</f>
        <v>0.13986836856800958</v>
      </c>
      <c r="G13" s="32">
        <f t="shared" si="0"/>
        <v>-5.8106963423762426E-4</v>
      </c>
    </row>
    <row r="14" spans="2:7" x14ac:dyDescent="0.35">
      <c r="B14" t="s">
        <v>51</v>
      </c>
      <c r="C14" s="28">
        <f>'Structured FS'!C23/'Structured FS'!C52</f>
        <v>0.27914285714285714</v>
      </c>
      <c r="D14" s="28">
        <f>'Structured FS'!D23/'Structured FS'!D52</f>
        <v>0.35</v>
      </c>
      <c r="E14" s="28">
        <f>'Structured FS'!E23/'Structured FS'!E52</f>
        <v>0.33333333333333331</v>
      </c>
      <c r="F14" s="28">
        <f>'Structured FS'!F23/'Structured FS'!F52</f>
        <v>0.31297709923664124</v>
      </c>
      <c r="G14" s="32">
        <f t="shared" si="0"/>
        <v>-2.0356234096692072E-2</v>
      </c>
    </row>
    <row r="16" spans="2:7" ht="15" thickBot="1" x14ac:dyDescent="0.4">
      <c r="B16" s="13" t="s">
        <v>8</v>
      </c>
      <c r="C16" s="13" t="s">
        <v>69</v>
      </c>
      <c r="D16" s="13" t="s">
        <v>70</v>
      </c>
      <c r="E16" s="13" t="s">
        <v>43</v>
      </c>
    </row>
    <row r="17" spans="2:5" x14ac:dyDescent="0.35">
      <c r="B17" s="17">
        <f>'Structured FS'!F35</f>
        <v>1800000</v>
      </c>
      <c r="C17" s="17">
        <f>'Structured FS'!F32+'Structured FS'!F36</f>
        <v>221000</v>
      </c>
      <c r="D17" s="17">
        <f>'Structured FS'!F43+'Structured FS'!F47</f>
        <v>271000</v>
      </c>
      <c r="E17" s="17">
        <f>B17+C17-D17</f>
        <v>1750000</v>
      </c>
    </row>
    <row r="18" spans="2:5" x14ac:dyDescent="0.35">
      <c r="B18" s="17">
        <f>'Structured FS'!F35-'Structured FS'!E35</f>
        <v>0</v>
      </c>
      <c r="C18" s="17">
        <f>'Structured FS'!F32+'Structured FS'!F36-'Structured FS'!E32-'Structured FS'!E36</f>
        <v>21000</v>
      </c>
      <c r="D18" s="17">
        <f>'Structured FS'!F43+'Structured FS'!F47-'Structured FS'!E43-'Structured FS'!E47</f>
        <v>21000</v>
      </c>
      <c r="E18" s="17">
        <f>B18+C18-D18</f>
        <v>0</v>
      </c>
    </row>
  </sheetData>
  <conditionalFormatting sqref="B18:D18">
    <cfRule type="cellIs" dxfId="38" priority="17" operator="lessThan">
      <formula>0</formula>
    </cfRule>
    <cfRule type="cellIs" dxfId="37" priority="18" operator="greaterThan">
      <formula>0</formula>
    </cfRule>
  </conditionalFormatting>
  <conditionalFormatting sqref="G6">
    <cfRule type="cellIs" dxfId="36" priority="1" operator="lessThan">
      <formula>0</formula>
    </cfRule>
    <cfRule type="cellIs" dxfId="35" priority="2" operator="greaterThan">
      <formula>0</formula>
    </cfRule>
  </conditionalFormatting>
  <conditionalFormatting sqref="G7">
    <cfRule type="cellIs" dxfId="34" priority="15" operator="greaterThan">
      <formula>0</formula>
    </cfRule>
    <cfRule type="cellIs" dxfId="33" priority="16" operator="lessThan">
      <formula>0</formula>
    </cfRule>
  </conditionalFormatting>
  <conditionalFormatting sqref="G8">
    <cfRule type="cellIs" dxfId="32" priority="13" operator="lessThan">
      <formula>0</formula>
    </cfRule>
    <cfRule type="cellIs" dxfId="31" priority="14" operator="greaterThan">
      <formula>0</formula>
    </cfRule>
  </conditionalFormatting>
  <conditionalFormatting sqref="G9:G11">
    <cfRule type="cellIs" dxfId="30" priority="7" operator="greaterThan">
      <formula>0</formula>
    </cfRule>
    <cfRule type="cellIs" dxfId="29" priority="8" operator="lessThan">
      <formula>0</formula>
    </cfRule>
  </conditionalFormatting>
  <conditionalFormatting sqref="G12:G14">
    <cfRule type="cellIs" dxfId="28" priority="3" operator="lessThan">
      <formula>0</formula>
    </cfRule>
    <cfRule type="cellIs" dxfId="27" priority="4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3353-352E-47F1-A87E-3E2E2CCB3B3B}">
  <dimension ref="B2:M47"/>
  <sheetViews>
    <sheetView topLeftCell="A22" workbookViewId="0">
      <selection activeCell="C46" sqref="C46"/>
    </sheetView>
  </sheetViews>
  <sheetFormatPr defaultColWidth="10.90625" defaultRowHeight="14.5" x14ac:dyDescent="0.35"/>
  <cols>
    <col min="1" max="1" width="6.36328125" customWidth="1"/>
    <col min="2" max="2" width="25.6328125" bestFit="1" customWidth="1"/>
    <col min="3" max="3" width="22.26953125" customWidth="1"/>
    <col min="4" max="4" width="26.08984375" customWidth="1"/>
    <col min="5" max="5" width="14.36328125" bestFit="1" customWidth="1"/>
    <col min="6" max="6" width="13.26953125" bestFit="1" customWidth="1"/>
    <col min="7" max="7" width="23" bestFit="1" customWidth="1"/>
  </cols>
  <sheetData>
    <row r="2" spans="2:11" ht="18.5" x14ac:dyDescent="0.45">
      <c r="B2" s="2" t="s">
        <v>59</v>
      </c>
    </row>
    <row r="3" spans="2:11" x14ac:dyDescent="0.35">
      <c r="B3" s="1"/>
    </row>
    <row r="4" spans="2:11" x14ac:dyDescent="0.35">
      <c r="B4" s="1" t="s">
        <v>153</v>
      </c>
      <c r="C4" s="29">
        <f>'Structured FS'!C11</f>
        <v>42185</v>
      </c>
      <c r="D4" s="29">
        <f>'Structured FS'!D11</f>
        <v>42551</v>
      </c>
      <c r="E4" s="29">
        <f>'Structured FS'!E11</f>
        <v>42916</v>
      </c>
      <c r="F4" s="29">
        <f>'Structured FS'!F11</f>
        <v>43281</v>
      </c>
    </row>
    <row r="5" spans="2:11" ht="15" thickBot="1" x14ac:dyDescent="0.4">
      <c r="B5" s="10" t="s">
        <v>146</v>
      </c>
      <c r="C5" s="13" t="e">
        <f>'Structured FS'!#REF!</f>
        <v>#REF!</v>
      </c>
      <c r="D5" s="13" t="e">
        <f>'Structured FS'!#REF!</f>
        <v>#REF!</v>
      </c>
      <c r="E5" s="13" t="e">
        <f>'Structured FS'!#REF!</f>
        <v>#REF!</v>
      </c>
      <c r="F5" s="13" t="e">
        <f>'Structured FS'!#REF!</f>
        <v>#REF!</v>
      </c>
      <c r="G5" s="13" t="s">
        <v>154</v>
      </c>
    </row>
    <row r="6" spans="2:11" x14ac:dyDescent="0.35">
      <c r="B6" t="s">
        <v>40</v>
      </c>
      <c r="C6" s="27">
        <f>(('Structured FS'!C16/'Structured FS'!C14)-(('Structured FS'!C30+'Structured FS'!C31-'Structured FS'!C41)/'Structured FS'!C14))*100</f>
        <v>-0.14705882352941124</v>
      </c>
      <c r="D6" s="27">
        <f>(('Structured FS'!D16/'Structured FS'!D14)-(('Structured FS'!D30+'Structured FS'!D31-'Structured FS'!D41)/'Structured FS'!D14))*100</f>
        <v>-1.4000000000000012</v>
      </c>
      <c r="E6" s="27">
        <f>(('Structured FS'!E16/'Structured FS'!E14)-(('Structured FS'!E30+'Structured FS'!E31-'Structured FS'!E41)/'Structured FS'!E14))*100</f>
        <v>-5.1724137931034475</v>
      </c>
      <c r="F6" s="27">
        <f>(('Structured FS'!F16/'Structured FS'!F14)-(('Structured FS'!F30+'Structured FS'!F31-'Structured FS'!F41)/'Structured FS'!F14))*100</f>
        <v>-7.3427102238354465</v>
      </c>
      <c r="G6" s="32">
        <f>F6-E6</f>
        <v>-2.170296430731999</v>
      </c>
    </row>
    <row r="7" spans="2:11" x14ac:dyDescent="0.35">
      <c r="B7" t="s">
        <v>52</v>
      </c>
      <c r="C7" s="85" t="s">
        <v>32</v>
      </c>
      <c r="D7" s="86">
        <f>('Structured FS'!D18+Inputs!E22)-(('Structured FS'!D30+'Structured FS'!D31-'Structured FS'!D41)-('Structured FS'!C30+'Structured FS'!C31-'Structured FS'!C41))</f>
        <v>67000</v>
      </c>
      <c r="E7" s="86">
        <f>('Structured FS'!E18+Inputs!F22)-(('Structured FS'!E30+'Structured FS'!E31-'Structured FS'!E41)-('Structured FS'!D30+'Structured FS'!D31-'Structured FS'!D41))</f>
        <v>145000</v>
      </c>
      <c r="F7" s="86">
        <f>('Structured FS'!F18+Inputs!G22)-(('Structured FS'!F30+'Structured FS'!F31-'Structured FS'!F41)-('Structured FS'!E30+'Structured FS'!E31-'Structured FS'!E41))</f>
        <v>348300</v>
      </c>
      <c r="G7" s="17">
        <f t="shared" ref="G7:G14" si="0">F7-E7</f>
        <v>203300</v>
      </c>
    </row>
    <row r="8" spans="2:11" x14ac:dyDescent="0.35">
      <c r="B8" t="s">
        <v>53</v>
      </c>
      <c r="C8" s="17">
        <f>'Structured FS'!C18+Inputs!D22</f>
        <v>434000</v>
      </c>
      <c r="D8" s="17">
        <f>'Structured FS'!D18+Inputs!E22</f>
        <v>567000</v>
      </c>
      <c r="E8" s="17">
        <f>'Structured FS'!E18+Inputs!F22</f>
        <v>725000</v>
      </c>
      <c r="F8" s="17">
        <f>'Structured FS'!F18+Inputs!G22</f>
        <v>801300</v>
      </c>
      <c r="G8" s="17">
        <f t="shared" si="0"/>
        <v>76300</v>
      </c>
    </row>
    <row r="9" spans="2:11" x14ac:dyDescent="0.35">
      <c r="B9" t="s">
        <v>54</v>
      </c>
      <c r="C9" s="85" t="s">
        <v>32</v>
      </c>
      <c r="D9" s="87">
        <f>('Structured FS'!D14-('Structured FS'!D30-'Structured FS'!C30))-('Structured FS'!D15+('Structured FS'!D31-'Structured FS'!C31)-('Structured FS'!D41-'Structured FS'!C41))-('Structured FS'!D17-Inputs!E22)-('Structured FS'!D20)-('Structured FS'!D22)-('Structured FS'!D19)-('Structured FS'!D24)-('Structured FS'!D35-'Structured FS'!C35+Inputs!E22)-(('Structured FS'!D32-'Structured FS'!C32)+('Structured FS'!D36-'Structured FS'!C36)-('Structured FS'!D43-'Structured FS'!C43)-('Structured FS'!D47-'Structured FS'!C47))-(('Structured FS'!D52-'Structured FS'!C52)-'Structured FS'!D25)</f>
        <v>-885000</v>
      </c>
      <c r="E9" s="87">
        <f>('Structured FS'!E14-('Structured FS'!E30-'Structured FS'!D30))-('Structured FS'!E15+('Structured FS'!E31-'Structured FS'!D31)-('Structured FS'!E41-'Structured FS'!D41))-('Structured FS'!E17-Inputs!F22)-('Structured FS'!E20)-('Structured FS'!E22)-('Structured FS'!E19)-('Structured FS'!E24)-('Structured FS'!E35-'Structured FS'!D35+Inputs!F22)-(('Structured FS'!E32-'Structured FS'!D32)+('Structured FS'!E36-'Structured FS'!D36)-('Structured FS'!E43-'Structured FS'!D43)-('Structured FS'!E47-'Structured FS'!D47))-(('Structured FS'!E52-'Structured FS'!D52)-'Structured FS'!E25)</f>
        <v>-525000</v>
      </c>
      <c r="F9" s="87">
        <f>('Structured FS'!F14-('Structured FS'!F30-'Structured FS'!E30))-('Structured FS'!F15+('Structured FS'!F31-'Structured FS'!E31)-('Structured FS'!F41-'Structured FS'!E41))-('Structured FS'!F17-Inputs!G22)-('Structured FS'!F20)-('Structured FS'!F22)-('Structured FS'!F19)-('Structured FS'!F24)-('Structured FS'!F35-'Structured FS'!E35+Inputs!G22)-(('Structured FS'!F32-'Structured FS'!E32)+('Structured FS'!F36-'Structured FS'!E36)-('Structured FS'!F43-'Structured FS'!E43)-('Structured FS'!F47-'Structured FS'!E47))-(('Structured FS'!F52-'Structured FS'!E52)-'Structured FS'!F25)</f>
        <v>-193000</v>
      </c>
      <c r="G9" s="17">
        <f t="shared" si="0"/>
        <v>332000</v>
      </c>
      <c r="J9" s="41"/>
      <c r="K9" s="41"/>
    </row>
    <row r="10" spans="2:11" x14ac:dyDescent="0.35">
      <c r="B10" t="s">
        <v>55</v>
      </c>
      <c r="C10" s="17">
        <f>'Structured FS'!C42+'Structured FS'!C46-'Structured FS'!C29</f>
        <v>1240000</v>
      </c>
      <c r="D10" s="17">
        <f>'Structured FS'!D42+'Structured FS'!D46-'Structured FS'!D29</f>
        <v>2125000</v>
      </c>
      <c r="E10" s="17">
        <f>'Structured FS'!E42+'Structured FS'!E46-'Structured FS'!E29</f>
        <v>2650000</v>
      </c>
      <c r="F10" s="17">
        <f>'Structured FS'!F42+'Structured FS'!F46-'Structured FS'!F29</f>
        <v>2843000</v>
      </c>
      <c r="G10" s="17">
        <f t="shared" si="0"/>
        <v>193000</v>
      </c>
      <c r="J10" s="41"/>
      <c r="K10" s="41"/>
    </row>
    <row r="11" spans="2:11" x14ac:dyDescent="0.35">
      <c r="B11" t="s">
        <v>56</v>
      </c>
      <c r="C11" s="32">
        <f>C10/'Structured FS'!C52</f>
        <v>1.7714285714285714</v>
      </c>
      <c r="D11" s="32">
        <f>D10/'Structured FS'!D52</f>
        <v>2.65625</v>
      </c>
      <c r="E11" s="32">
        <f>E10/'Structured FS'!E52</f>
        <v>2.5238095238095237</v>
      </c>
      <c r="F11" s="32">
        <f>F10/'Structured FS'!F52</f>
        <v>2.1702290076335879</v>
      </c>
      <c r="G11" s="32">
        <f t="shared" si="0"/>
        <v>-0.35358051617593578</v>
      </c>
      <c r="J11" s="41"/>
      <c r="K11" s="41"/>
    </row>
    <row r="12" spans="2:11" x14ac:dyDescent="0.35">
      <c r="B12" t="s">
        <v>57</v>
      </c>
      <c r="C12" s="32">
        <f>('Structured FS'!C42+'Structured FS'!C46)/('Structured FS'!C42+'Structured FS'!C46+'Structured FS'!C52)</f>
        <v>0.66666666666666663</v>
      </c>
      <c r="D12" s="32">
        <f>('Structured FS'!D42+'Structured FS'!D46)/('Structured FS'!D42+'Structured FS'!D46+'Structured FS'!D52)</f>
        <v>0.73333333333333328</v>
      </c>
      <c r="E12" s="32">
        <f>('Structured FS'!E42+'Structured FS'!E46)/('Structured FS'!E42+'Structured FS'!E46+'Structured FS'!E52)</f>
        <v>0.71621621621621623</v>
      </c>
      <c r="F12" s="32">
        <f>('Structured FS'!F42+'Structured FS'!F46)/('Structured FS'!F42+'Structured FS'!F46+'Structured FS'!F52)</f>
        <v>0.68456537442812426</v>
      </c>
      <c r="G12" s="32">
        <f t="shared" si="0"/>
        <v>-3.1650841788091966E-2</v>
      </c>
    </row>
    <row r="13" spans="2:11" x14ac:dyDescent="0.35">
      <c r="B13" t="s">
        <v>31</v>
      </c>
      <c r="C13" s="32">
        <f>'Structured FS'!C18/'Structured FS'!C20</f>
        <v>7.2</v>
      </c>
      <c r="D13" s="32">
        <f>'Structured FS'!D18/'Structured FS'!D20</f>
        <v>4.67</v>
      </c>
      <c r="E13" s="32">
        <f>'Structured FS'!E18/'Structured FS'!E20</f>
        <v>4.166666666666667</v>
      </c>
      <c r="F13" s="32">
        <f>'Structured FS'!F18/'Structured FS'!F20</f>
        <v>3.9846590909090911</v>
      </c>
      <c r="G13" s="32">
        <f t="shared" si="0"/>
        <v>-0.18200757575757587</v>
      </c>
    </row>
    <row r="14" spans="2:11" x14ac:dyDescent="0.35">
      <c r="B14" t="s">
        <v>58</v>
      </c>
      <c r="C14" s="32">
        <f>C10/C8</f>
        <v>2.8571428571428572</v>
      </c>
      <c r="D14" s="32">
        <f t="shared" ref="D14:F14" si="1">D10/D8</f>
        <v>3.7477954144620811</v>
      </c>
      <c r="E14" s="32">
        <f t="shared" si="1"/>
        <v>3.6551724137931036</v>
      </c>
      <c r="F14" s="32">
        <f t="shared" si="1"/>
        <v>3.5479845251466369</v>
      </c>
      <c r="G14" s="32">
        <f t="shared" si="0"/>
        <v>-0.10718788864646678</v>
      </c>
    </row>
    <row r="16" spans="2:11" ht="15" thickBot="1" x14ac:dyDescent="0.4">
      <c r="B16" s="13" t="s">
        <v>7</v>
      </c>
      <c r="C16" s="13" t="s">
        <v>71</v>
      </c>
      <c r="D16" s="13" t="s">
        <v>9</v>
      </c>
      <c r="E16" s="13" t="s">
        <v>72</v>
      </c>
    </row>
    <row r="17" spans="2:13" x14ac:dyDescent="0.35">
      <c r="B17" s="17">
        <f>'Structured FS'!F29</f>
        <v>0</v>
      </c>
      <c r="C17" s="17">
        <f>'Structured FS'!F42+'Structured FS'!F46</f>
        <v>2843000</v>
      </c>
      <c r="D17" s="17">
        <f>'Structured FS'!F52</f>
        <v>1310000</v>
      </c>
      <c r="E17" s="17">
        <f>B17+C17+D17</f>
        <v>4153000</v>
      </c>
    </row>
    <row r="18" spans="2:13" x14ac:dyDescent="0.35">
      <c r="B18" s="17">
        <f>'Structured FS'!F29-'Structured FS'!E29</f>
        <v>0</v>
      </c>
      <c r="C18" s="17">
        <f>'Structured FS'!F42+'Structured FS'!F46-'Structured FS'!E42-'Structured FS'!E46</f>
        <v>193000</v>
      </c>
      <c r="D18" s="17">
        <f>'Structured FS'!F52-'Structured FS'!E52</f>
        <v>260000</v>
      </c>
      <c r="E18" s="17">
        <f>B18+C18+D18</f>
        <v>453000</v>
      </c>
    </row>
    <row r="20" spans="2:13" x14ac:dyDescent="0.35">
      <c r="B20" s="1" t="s">
        <v>73</v>
      </c>
      <c r="J20" s="17"/>
      <c r="K20" s="17"/>
      <c r="L20" s="17"/>
      <c r="M20" s="17"/>
    </row>
    <row r="21" spans="2:13" x14ac:dyDescent="0.35">
      <c r="J21" s="17"/>
      <c r="K21" s="17"/>
      <c r="L21" s="17"/>
      <c r="M21" s="17"/>
    </row>
    <row r="22" spans="2:13" ht="15" thickBot="1" x14ac:dyDescent="0.4">
      <c r="B22" s="13"/>
      <c r="C22" s="13"/>
      <c r="D22" s="13" t="s">
        <v>77</v>
      </c>
      <c r="E22" s="13" t="s">
        <v>78</v>
      </c>
      <c r="J22" s="17"/>
      <c r="K22" s="17"/>
      <c r="L22" s="17"/>
      <c r="M22" s="17"/>
    </row>
    <row r="23" spans="2:13" x14ac:dyDescent="0.35">
      <c r="B23" s="35" t="s">
        <v>66</v>
      </c>
      <c r="C23" s="36" t="s">
        <v>74</v>
      </c>
      <c r="D23" s="88">
        <f>IF('Structured FS'!F25&gt;=0,'Structured FS'!F25,0)</f>
        <v>260000</v>
      </c>
      <c r="E23" s="88">
        <f>IF('Structured FS'!F25&lt;0,'Structured FS'!F25,0)</f>
        <v>0</v>
      </c>
    </row>
    <row r="24" spans="2:13" x14ac:dyDescent="0.35">
      <c r="B24" s="58" t="s">
        <v>67</v>
      </c>
      <c r="C24" s="60" t="s">
        <v>75</v>
      </c>
      <c r="D24" s="89">
        <f>IF(E18&gt;=0,0,E18)</f>
        <v>0</v>
      </c>
      <c r="E24" s="89">
        <f>IF(E18&lt;0,0,E18)</f>
        <v>453000</v>
      </c>
    </row>
    <row r="25" spans="2:13" x14ac:dyDescent="0.35">
      <c r="B25" s="58" t="s">
        <v>68</v>
      </c>
      <c r="C25" s="60" t="s">
        <v>43</v>
      </c>
      <c r="D25" s="89">
        <f>IF('Chapter 3 - Other Capital'!E18&gt;=0,'Chapter 3 - Other Capital'!E18,0)</f>
        <v>0</v>
      </c>
      <c r="E25" s="89">
        <f>IF('Chapter 3 - Other Capital'!E18&lt;0,'Chapter 3 - Other Capital'!E18,0)</f>
        <v>0</v>
      </c>
      <c r="F25" s="41"/>
    </row>
    <row r="26" spans="2:13" x14ac:dyDescent="0.35">
      <c r="C26" s="37" t="s">
        <v>76</v>
      </c>
      <c r="D26" s="90">
        <f>SUM(D23:D25)</f>
        <v>260000</v>
      </c>
      <c r="E26" s="90">
        <f>SUM(E23:E25)</f>
        <v>453000</v>
      </c>
    </row>
    <row r="28" spans="2:13" x14ac:dyDescent="0.35">
      <c r="B28" s="1" t="s">
        <v>79</v>
      </c>
    </row>
    <row r="30" spans="2:13" ht="15" thickBot="1" x14ac:dyDescent="0.4">
      <c r="B30" s="40" t="s">
        <v>74</v>
      </c>
      <c r="C30" s="34"/>
      <c r="D30" s="34" t="s">
        <v>0</v>
      </c>
      <c r="E30" s="34"/>
      <c r="F30" s="34" t="s">
        <v>80</v>
      </c>
    </row>
    <row r="31" spans="2:13" ht="15" thickTop="1" x14ac:dyDescent="0.35">
      <c r="B31" t="s">
        <v>11</v>
      </c>
      <c r="C31" s="17">
        <f>'Structured FS'!F14</f>
        <v>6612000</v>
      </c>
      <c r="D31" t="s">
        <v>82</v>
      </c>
      <c r="E31" s="87">
        <f>('Structured FS'!F14-('Structured FS'!F30-'Structured FS'!E30))</f>
        <v>6369000</v>
      </c>
      <c r="F31" s="93">
        <f>E31-C31</f>
        <v>-243000</v>
      </c>
    </row>
    <row r="32" spans="2:13" x14ac:dyDescent="0.35">
      <c r="B32" s="54" t="s">
        <v>81</v>
      </c>
      <c r="C32" s="84">
        <f>'Structured FS'!F15</f>
        <v>4694500</v>
      </c>
      <c r="D32" s="54" t="s">
        <v>83</v>
      </c>
      <c r="E32" s="94">
        <f>('Structured FS'!F15+('Structured FS'!F31-'Structured FS'!E31)-('Structured FS'!F41-'Structured FS'!E41))</f>
        <v>4904500</v>
      </c>
      <c r="F32" s="94">
        <f>C32-E32</f>
        <v>-210000</v>
      </c>
    </row>
    <row r="33" spans="2:6" x14ac:dyDescent="0.35">
      <c r="B33" s="57" t="s">
        <v>29</v>
      </c>
      <c r="C33" s="91">
        <f>C31-C32</f>
        <v>1917500</v>
      </c>
      <c r="D33" s="57" t="s">
        <v>84</v>
      </c>
      <c r="E33" s="95">
        <f>E31-E32</f>
        <v>1464500</v>
      </c>
      <c r="F33" s="96">
        <f>E33-C33</f>
        <v>-453000</v>
      </c>
    </row>
    <row r="34" spans="2:6" x14ac:dyDescent="0.35">
      <c r="C34" s="17"/>
      <c r="E34" s="87"/>
      <c r="F34" s="87"/>
    </row>
    <row r="35" spans="2:6" x14ac:dyDescent="0.35">
      <c r="B35" t="s">
        <v>89</v>
      </c>
      <c r="C35" s="17">
        <f>'Structured FS'!F17-Inputs!G22</f>
        <v>1116200</v>
      </c>
      <c r="D35" t="s">
        <v>89</v>
      </c>
      <c r="E35" s="87">
        <f>'Structured FS'!F17-Inputs!G22</f>
        <v>1116200</v>
      </c>
      <c r="F35" s="87"/>
    </row>
    <row r="36" spans="2:6" x14ac:dyDescent="0.35">
      <c r="B36" s="57" t="s">
        <v>53</v>
      </c>
      <c r="C36" s="91">
        <f>C33-C35</f>
        <v>801300</v>
      </c>
      <c r="D36" s="57" t="s">
        <v>52</v>
      </c>
      <c r="E36" s="95">
        <f>E33-E35</f>
        <v>348300</v>
      </c>
      <c r="F36" s="96">
        <f>E36-C36</f>
        <v>-453000</v>
      </c>
    </row>
    <row r="37" spans="2:6" x14ac:dyDescent="0.35">
      <c r="C37" s="17"/>
      <c r="E37" s="87"/>
      <c r="F37" s="87"/>
    </row>
    <row r="38" spans="2:6" ht="15" thickBot="1" x14ac:dyDescent="0.4">
      <c r="C38" s="17"/>
      <c r="D38" s="39" t="s">
        <v>85</v>
      </c>
      <c r="E38" s="97"/>
      <c r="F38" s="87"/>
    </row>
    <row r="39" spans="2:6" ht="15" thickTop="1" x14ac:dyDescent="0.35">
      <c r="B39" t="s">
        <v>13</v>
      </c>
      <c r="C39" s="17">
        <f>-'Structured FS'!F20</f>
        <v>-176000</v>
      </c>
      <c r="D39" t="s">
        <v>13</v>
      </c>
      <c r="E39" s="87">
        <f>-'Structured FS'!F20</f>
        <v>-176000</v>
      </c>
      <c r="F39" s="87"/>
    </row>
    <row r="40" spans="2:6" x14ac:dyDescent="0.35">
      <c r="B40" t="s">
        <v>21</v>
      </c>
      <c r="C40" s="17">
        <f>-'Structured FS'!F22</f>
        <v>-115300</v>
      </c>
      <c r="D40" t="s">
        <v>21</v>
      </c>
      <c r="E40" s="87">
        <f>-'Structured FS'!F22</f>
        <v>-115300</v>
      </c>
      <c r="F40" s="87"/>
    </row>
    <row r="41" spans="2:6" x14ac:dyDescent="0.35">
      <c r="B41" t="s">
        <v>86</v>
      </c>
      <c r="C41" s="17">
        <f>-'Structured FS'!F19</f>
        <v>0</v>
      </c>
      <c r="D41" t="s">
        <v>86</v>
      </c>
      <c r="E41" s="87">
        <f>-'Structured FS'!F19</f>
        <v>0</v>
      </c>
      <c r="F41" s="87"/>
    </row>
    <row r="42" spans="2:6" x14ac:dyDescent="0.35">
      <c r="B42" t="s">
        <v>87</v>
      </c>
      <c r="C42" s="17">
        <f>-'Structured FS'!F24</f>
        <v>-150000</v>
      </c>
      <c r="D42" t="s">
        <v>87</v>
      </c>
      <c r="E42" s="87">
        <f>-'Structured FS'!F24</f>
        <v>-150000</v>
      </c>
      <c r="F42" s="87"/>
    </row>
    <row r="43" spans="2:6" x14ac:dyDescent="0.35">
      <c r="B43" t="s">
        <v>12</v>
      </c>
      <c r="C43" s="17">
        <f>-Inputs!G22</f>
        <v>-100000</v>
      </c>
      <c r="D43" t="s">
        <v>88</v>
      </c>
      <c r="E43" s="87">
        <f>-('Structured FS'!F35-'Structured FS'!E35+Inputs!G22)</f>
        <v>-100000</v>
      </c>
      <c r="F43" s="87"/>
    </row>
    <row r="44" spans="2:6" x14ac:dyDescent="0.35">
      <c r="C44" s="17"/>
      <c r="D44" t="s">
        <v>90</v>
      </c>
      <c r="E44" s="87">
        <f>-(('Structured FS'!F32-'Structured FS'!E32)+('Structured FS'!F36-'Structured FS'!E36)-('Structured FS'!F43-'Structured FS'!E43)-('Structured FS'!F47-'Structured FS'!E47))</f>
        <v>0</v>
      </c>
      <c r="F44" s="87"/>
    </row>
    <row r="45" spans="2:6" x14ac:dyDescent="0.35">
      <c r="C45" s="17"/>
      <c r="D45" t="s">
        <v>91</v>
      </c>
      <c r="E45" s="87">
        <f>-(('Structured FS'!F52-'Structured FS'!E52)-'Structured FS'!F25)</f>
        <v>0</v>
      </c>
      <c r="F45" s="87"/>
    </row>
    <row r="46" spans="2:6" ht="15" thickBot="1" x14ac:dyDescent="0.4">
      <c r="B46" s="39" t="s">
        <v>23</v>
      </c>
      <c r="C46" s="92">
        <f>C36+C39+C40+C41+C42+C43</f>
        <v>260000</v>
      </c>
      <c r="D46" s="39" t="s">
        <v>54</v>
      </c>
      <c r="E46" s="98">
        <f>E36+E39+E40+E41+E42+E43+E44+E45</f>
        <v>-193000</v>
      </c>
      <c r="F46" s="99"/>
    </row>
    <row r="47" spans="2:6" ht="15" thickTop="1" x14ac:dyDescent="0.35"/>
  </sheetData>
  <conditionalFormatting sqref="B18:E18">
    <cfRule type="cellIs" dxfId="26" priority="49" operator="lessThan">
      <formula>0</formula>
    </cfRule>
    <cfRule type="cellIs" dxfId="25" priority="50" operator="greaterThanOrEqual">
      <formula>0</formula>
    </cfRule>
  </conditionalFormatting>
  <conditionalFormatting sqref="F31:F33">
    <cfRule type="cellIs" dxfId="24" priority="9" operator="lessThan">
      <formula>0</formula>
    </cfRule>
    <cfRule type="cellIs" dxfId="23" priority="10" operator="greaterThan">
      <formula>0</formula>
    </cfRule>
  </conditionalFormatting>
  <conditionalFormatting sqref="F36">
    <cfRule type="cellIs" dxfId="22" priority="13" operator="lessThan">
      <formula>0</formula>
    </cfRule>
    <cfRule type="cellIs" dxfId="21" priority="14" operator="greaterThan">
      <formula>0</formula>
    </cfRule>
  </conditionalFormatting>
  <conditionalFormatting sqref="G6:G8">
    <cfRule type="cellIs" dxfId="20" priority="25" operator="lessThan">
      <formula>0</formula>
    </cfRule>
  </conditionalFormatting>
  <conditionalFormatting sqref="G6:G10">
    <cfRule type="cellIs" dxfId="19" priority="24" operator="greaterThanOrEqual">
      <formula>0</formula>
    </cfRule>
  </conditionalFormatting>
  <conditionalFormatting sqref="G9:G12">
    <cfRule type="cellIs" dxfId="18" priority="21" operator="greaterThan">
      <formula>0</formula>
    </cfRule>
  </conditionalFormatting>
  <conditionalFormatting sqref="G11:G12">
    <cfRule type="cellIs" dxfId="17" priority="22" operator="lessThanOrEqual">
      <formula>0</formula>
    </cfRule>
  </conditionalFormatting>
  <conditionalFormatting sqref="G13">
    <cfRule type="cellIs" dxfId="16" priority="37" operator="lessThan">
      <formula>0</formula>
    </cfRule>
    <cfRule type="cellIs" dxfId="15" priority="38" operator="greaterThanOrEqual">
      <formula>0</formula>
    </cfRule>
  </conditionalFormatting>
  <conditionalFormatting sqref="G14">
    <cfRule type="cellIs" dxfId="14" priority="19" operator="greaterThan">
      <formula>0</formula>
    </cfRule>
    <cfRule type="cellIs" dxfId="13" priority="20" operator="lessThanOrEqual">
      <formula>0</formula>
    </cfRule>
  </conditionalFormatting>
  <pageMargins left="0.7" right="0.7" top="0.75" bottom="0.75" header="0.3" footer="0.3"/>
  <ignoredErrors>
    <ignoredError sqref="F32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EE6D-0478-4037-8E17-BB6696D78C04}">
  <dimension ref="B2:D26"/>
  <sheetViews>
    <sheetView workbookViewId="0"/>
  </sheetViews>
  <sheetFormatPr defaultColWidth="10.90625" defaultRowHeight="14.5" x14ac:dyDescent="0.35"/>
  <cols>
    <col min="2" max="2" width="23.7265625" bestFit="1" customWidth="1"/>
    <col min="3" max="3" width="13.1796875" bestFit="1" customWidth="1"/>
    <col min="4" max="4" width="10" bestFit="1" customWidth="1"/>
  </cols>
  <sheetData>
    <row r="2" spans="2:4" ht="18.5" x14ac:dyDescent="0.45">
      <c r="B2" s="2" t="s">
        <v>60</v>
      </c>
    </row>
    <row r="3" spans="2:4" x14ac:dyDescent="0.35">
      <c r="B3" s="1"/>
    </row>
    <row r="4" spans="2:4" x14ac:dyDescent="0.35">
      <c r="B4" s="43" t="s">
        <v>61</v>
      </c>
    </row>
    <row r="5" spans="2:4" x14ac:dyDescent="0.35">
      <c r="B5" s="1"/>
    </row>
    <row r="6" spans="2:4" ht="15" thickBot="1" x14ac:dyDescent="0.4">
      <c r="B6" s="7"/>
      <c r="C6" s="7" t="s">
        <v>62</v>
      </c>
      <c r="D6" s="18" t="s">
        <v>63</v>
      </c>
    </row>
    <row r="7" spans="2:4" ht="15" thickTop="1" x14ac:dyDescent="0.35">
      <c r="B7" t="s">
        <v>11</v>
      </c>
      <c r="C7" s="26">
        <f>'Chapter 1 - Profitability'!F6</f>
        <v>6612000</v>
      </c>
      <c r="D7" s="26">
        <f>'Chapter 1 - Profitability'!G6</f>
        <v>812000</v>
      </c>
    </row>
    <row r="8" spans="2:4" x14ac:dyDescent="0.35">
      <c r="B8" s="51" t="s">
        <v>18</v>
      </c>
      <c r="C8" s="52">
        <f>'Chapter 1 - Profitability'!F9</f>
        <v>0.2900030248033878</v>
      </c>
      <c r="D8" s="52">
        <f>'Chapter 1 - Profitability'!G9</f>
        <v>5.5202661826981303E-3</v>
      </c>
    </row>
    <row r="9" spans="2:4" x14ac:dyDescent="0.35">
      <c r="B9" s="54" t="s">
        <v>16</v>
      </c>
      <c r="C9" s="55">
        <f>'Chapter 1 - Profitability'!F13</f>
        <v>0.10606473079249849</v>
      </c>
      <c r="D9" s="55">
        <f>'Chapter 1 - Profitability'!G13</f>
        <v>-1.6938898971566724E-3</v>
      </c>
    </row>
    <row r="10" spans="2:4" x14ac:dyDescent="0.35">
      <c r="B10" s="45" t="s">
        <v>17</v>
      </c>
      <c r="C10" s="53">
        <f>'Chapter 1 - Profitability'!F16</f>
        <v>6.2008469449485785E-2</v>
      </c>
      <c r="D10" s="53">
        <f>'Chapter 1 - Profitability'!G16</f>
        <v>1.6636418632788863E-3</v>
      </c>
    </row>
    <row r="12" spans="2:4" x14ac:dyDescent="0.35">
      <c r="B12" s="43" t="s">
        <v>64</v>
      </c>
    </row>
    <row r="14" spans="2:4" ht="15" thickBot="1" x14ac:dyDescent="0.4">
      <c r="B14" s="7"/>
      <c r="C14" s="46" t="s">
        <v>62</v>
      </c>
      <c r="D14" s="34" t="s">
        <v>63</v>
      </c>
    </row>
    <row r="15" spans="2:4" ht="15" thickTop="1" x14ac:dyDescent="0.35">
      <c r="B15" t="s">
        <v>33</v>
      </c>
      <c r="C15" s="32">
        <f>'Chapter 2 - Working Capital'!F6</f>
        <v>79.657441016333934</v>
      </c>
      <c r="D15" s="32">
        <f>'Chapter 2 - Working Capital'!G6</f>
        <v>4.140199637023585</v>
      </c>
    </row>
    <row r="16" spans="2:4" x14ac:dyDescent="0.35">
      <c r="B16" s="49" t="s">
        <v>34</v>
      </c>
      <c r="C16" s="48">
        <f>'Chapter 2 - Working Capital'!F7</f>
        <v>120.51336670571945</v>
      </c>
      <c r="D16" s="48">
        <f>'Chapter 2 - Working Capital'!G7</f>
        <v>10.573607669574855</v>
      </c>
    </row>
    <row r="17" spans="2:4" x14ac:dyDescent="0.35">
      <c r="B17" s="44" t="s">
        <v>36</v>
      </c>
      <c r="C17" s="48">
        <f>'Chapter 2 - Working Capital'!F8</f>
        <v>45.872829907338371</v>
      </c>
      <c r="D17" s="48">
        <f>'Chapter 2 - Working Capital'!G8</f>
        <v>1.8969262928805364</v>
      </c>
    </row>
    <row r="18" spans="2:4" x14ac:dyDescent="0.35">
      <c r="B18" s="50" t="s">
        <v>37</v>
      </c>
      <c r="C18" s="48">
        <f>'Chapter 2 - Working Capital'!F12</f>
        <v>154.29797781471501</v>
      </c>
      <c r="D18" s="48">
        <f>'Chapter 2 - Working Capital'!G12</f>
        <v>12.816881013717875</v>
      </c>
    </row>
    <row r="20" spans="2:4" x14ac:dyDescent="0.35">
      <c r="B20" s="43" t="s">
        <v>65</v>
      </c>
    </row>
    <row r="22" spans="2:4" ht="15" thickBot="1" x14ac:dyDescent="0.4">
      <c r="B22" s="7"/>
      <c r="C22" s="46" t="s">
        <v>62</v>
      </c>
      <c r="D22" s="34" t="s">
        <v>63</v>
      </c>
    </row>
    <row r="23" spans="2:4" ht="15" thickTop="1" x14ac:dyDescent="0.35">
      <c r="B23" t="s">
        <v>7</v>
      </c>
      <c r="C23" s="26">
        <f>'Structured FS'!F29</f>
        <v>0</v>
      </c>
      <c r="D23" s="26">
        <f>('Structured FS'!F29-'Structured FS'!E29)</f>
        <v>0</v>
      </c>
    </row>
    <row r="24" spans="2:4" x14ac:dyDescent="0.35">
      <c r="B24" s="54" t="s">
        <v>14</v>
      </c>
      <c r="C24" s="56">
        <f>'Structured FS'!F42</f>
        <v>1643000</v>
      </c>
      <c r="D24" s="59">
        <f>('Structured FS'!F42-'Structured FS'!E42)</f>
        <v>193000</v>
      </c>
    </row>
    <row r="25" spans="2:4" x14ac:dyDescent="0.35">
      <c r="B25" t="s">
        <v>15</v>
      </c>
      <c r="C25" s="38">
        <f>'Structured FS'!F46</f>
        <v>1200000</v>
      </c>
      <c r="D25" s="59">
        <f>('Structured FS'!F46-'Structured FS'!E46)</f>
        <v>0</v>
      </c>
    </row>
    <row r="26" spans="2:4" x14ac:dyDescent="0.35">
      <c r="B26" s="54" t="s">
        <v>54</v>
      </c>
      <c r="C26" s="56">
        <f>'Chapter 4 - Funding'!F9</f>
        <v>-193000</v>
      </c>
      <c r="D26" s="61" t="s">
        <v>32</v>
      </c>
    </row>
  </sheetData>
  <conditionalFormatting sqref="D7:D10">
    <cfRule type="cellIs" dxfId="12" priority="21" operator="lessThan">
      <formula>0</formula>
    </cfRule>
    <cfRule type="cellIs" dxfId="11" priority="22" operator="greaterThan">
      <formula>0</formula>
    </cfRule>
  </conditionalFormatting>
  <conditionalFormatting sqref="D15:D16">
    <cfRule type="cellIs" dxfId="10" priority="13" operator="greaterThan">
      <formula>0</formula>
    </cfRule>
    <cfRule type="cellIs" dxfId="9" priority="14" operator="lessThan">
      <formula>0</formula>
    </cfRule>
  </conditionalFormatting>
  <conditionalFormatting sqref="D17">
    <cfRule type="cellIs" dxfId="8" priority="11" operator="lessThan">
      <formula>0</formula>
    </cfRule>
    <cfRule type="cellIs" dxfId="7" priority="12" operator="greaterThan">
      <formula>0</formula>
    </cfRule>
  </conditionalFormatting>
  <conditionalFormatting sqref="D18">
    <cfRule type="cellIs" dxfId="6" priority="9" operator="greaterThan">
      <formula>0</formula>
    </cfRule>
    <cfRule type="cellIs" dxfId="5" priority="10" operator="lessThan">
      <formula>0</formula>
    </cfRule>
  </conditionalFormatting>
  <conditionalFormatting sqref="D23:D24 D26">
    <cfRule type="cellIs" dxfId="4" priority="7" operator="greaterThanOrEqual">
      <formula>0</formula>
    </cfRule>
    <cfRule type="cellIs" dxfId="3" priority="8" operator="lessThan">
      <formula>0</formula>
    </cfRule>
  </conditionalFormatting>
  <conditionalFormatting sqref="D25">
    <cfRule type="cellIs" dxfId="2" priority="1" operator="lessThan">
      <formula>0</formula>
    </cfRule>
    <cfRule type="cellIs" dxfId="1" priority="2" operator="greaterThanOr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47CD-487E-4BC0-8C04-2A951462ACAF}">
  <dimension ref="B2:K203"/>
  <sheetViews>
    <sheetView workbookViewId="0"/>
  </sheetViews>
  <sheetFormatPr defaultColWidth="10.90625" defaultRowHeight="14.5" x14ac:dyDescent="0.35"/>
  <cols>
    <col min="1" max="1" width="6.453125" customWidth="1"/>
    <col min="2" max="2" width="33.26953125" bestFit="1" customWidth="1"/>
    <col min="3" max="4" width="18.1796875" bestFit="1" customWidth="1"/>
    <col min="5" max="5" width="24.453125" bestFit="1" customWidth="1"/>
    <col min="8" max="8" width="19.26953125" bestFit="1" customWidth="1"/>
    <col min="10" max="10" width="5.90625" hidden="1" customWidth="1"/>
    <col min="11" max="11" width="4.81640625" hidden="1" customWidth="1"/>
  </cols>
  <sheetData>
    <row r="2" spans="2:11" ht="18.5" x14ac:dyDescent="0.45">
      <c r="B2" s="2" t="s">
        <v>92</v>
      </c>
      <c r="J2" s="62" t="s">
        <v>155</v>
      </c>
      <c r="K2" s="62" t="s">
        <v>156</v>
      </c>
    </row>
    <row r="3" spans="2:11" x14ac:dyDescent="0.35">
      <c r="J3" s="63">
        <v>-1</v>
      </c>
      <c r="K3" s="62">
        <v>-100</v>
      </c>
    </row>
    <row r="4" spans="2:11" x14ac:dyDescent="0.35">
      <c r="B4" s="1" t="s">
        <v>93</v>
      </c>
      <c r="J4" s="63">
        <v>-0.99</v>
      </c>
      <c r="K4" s="62">
        <v>-99</v>
      </c>
    </row>
    <row r="5" spans="2:11" x14ac:dyDescent="0.35">
      <c r="J5" s="63">
        <v>-0.98</v>
      </c>
      <c r="K5" s="62">
        <v>-98</v>
      </c>
    </row>
    <row r="6" spans="2:11" ht="15" thickBot="1" x14ac:dyDescent="0.4">
      <c r="B6" s="7"/>
      <c r="C6" s="7"/>
      <c r="D6" s="34" t="s">
        <v>54</v>
      </c>
      <c r="E6" s="34" t="s">
        <v>2</v>
      </c>
      <c r="J6" s="63">
        <v>-0.97</v>
      </c>
      <c r="K6" s="62">
        <v>-97</v>
      </c>
    </row>
    <row r="7" spans="2:11" ht="15" thickTop="1" x14ac:dyDescent="0.35">
      <c r="B7" t="s">
        <v>134</v>
      </c>
      <c r="D7" s="17">
        <f>'Chapter 4 - Funding'!F9</f>
        <v>-193000</v>
      </c>
      <c r="E7" s="17">
        <f>'Chapter 1 - Profitability'!F12</f>
        <v>701300</v>
      </c>
      <c r="J7" s="63">
        <v>-0.96</v>
      </c>
      <c r="K7" s="62">
        <v>-96</v>
      </c>
    </row>
    <row r="8" spans="2:11" x14ac:dyDescent="0.35">
      <c r="J8" s="63">
        <v>-0.95</v>
      </c>
      <c r="K8" s="62">
        <v>-95</v>
      </c>
    </row>
    <row r="9" spans="2:11" ht="15" thickBot="1" x14ac:dyDescent="0.4">
      <c r="B9" s="46" t="s">
        <v>93</v>
      </c>
      <c r="C9" s="7"/>
      <c r="D9" s="34" t="s">
        <v>135</v>
      </c>
      <c r="E9" s="34" t="s">
        <v>136</v>
      </c>
      <c r="J9" s="63">
        <v>-0.94</v>
      </c>
      <c r="K9" s="62">
        <v>-94</v>
      </c>
    </row>
    <row r="10" spans="2:11" ht="15" thickTop="1" x14ac:dyDescent="0.35">
      <c r="B10" t="s">
        <v>137</v>
      </c>
      <c r="C10" s="104">
        <v>0.01</v>
      </c>
      <c r="D10" s="17">
        <f>(1-'Chapter 2 - Working Capital'!F6/365)*E10</f>
        <v>51690</v>
      </c>
      <c r="E10" s="17">
        <f>(('Structured FS'!$F$14*(1+C10))-'Structured FS'!$F$14)</f>
        <v>66120</v>
      </c>
      <c r="J10" s="63">
        <v>-0.93</v>
      </c>
      <c r="K10" s="62">
        <v>-93</v>
      </c>
    </row>
    <row r="11" spans="2:11" x14ac:dyDescent="0.35">
      <c r="B11" s="54" t="s">
        <v>138</v>
      </c>
      <c r="C11" s="105">
        <v>0.01</v>
      </c>
      <c r="D11" s="84">
        <f>((1-'Chapter 2 - Working Capital'!F6/365)*('Structured FS'!F14*C11))-((1+'Chapter 2 - Working Capital'!F7/365-'Chapter 2 - Working Capital'!F8/365)*'Structured FS'!F15*C11)</f>
        <v>-4854.9999999999927</v>
      </c>
      <c r="E11" s="84">
        <f>(('Structured FS'!$F$14*(1+C11))-'Structured FS'!$F$14)-(('Structured FS'!$F$15*(1+C11))-'Structured FS'!$F$15)</f>
        <v>19175</v>
      </c>
      <c r="G11" s="17"/>
      <c r="J11" s="63">
        <v>-0.92</v>
      </c>
      <c r="K11" s="62">
        <v>-92</v>
      </c>
    </row>
    <row r="12" spans="2:11" x14ac:dyDescent="0.35">
      <c r="B12" t="s">
        <v>139</v>
      </c>
      <c r="C12" s="104">
        <v>0.01</v>
      </c>
      <c r="D12" s="17">
        <f>(1+'Chapter 2 - Working Capital'!F7/365-'Chapter 2 - Working Capital'!F8/365)*E12</f>
        <v>56544.999999999993</v>
      </c>
      <c r="E12" s="17">
        <f>(('Structured FS'!$F$15*(1+C12))-'Structured FS'!$F$15)</f>
        <v>46945</v>
      </c>
      <c r="G12" s="102"/>
      <c r="J12" s="63">
        <v>-0.91</v>
      </c>
      <c r="K12" s="62">
        <v>-91</v>
      </c>
    </row>
    <row r="13" spans="2:11" x14ac:dyDescent="0.35">
      <c r="B13" s="54" t="s">
        <v>140</v>
      </c>
      <c r="C13" s="105">
        <v>0.01</v>
      </c>
      <c r="D13" s="84">
        <f>(('Structured FS'!$F$17*(1+C13))-'Structured FS'!$F$17)</f>
        <v>12162</v>
      </c>
      <c r="E13" s="84">
        <f>(('Structured FS'!$F$17*(1+C13))-'Structured FS'!$F$17)</f>
        <v>12162</v>
      </c>
      <c r="G13" s="17"/>
      <c r="H13" s="101"/>
      <c r="J13" s="63">
        <v>-0.9</v>
      </c>
      <c r="K13" s="62">
        <v>-90</v>
      </c>
    </row>
    <row r="14" spans="2:11" x14ac:dyDescent="0.35">
      <c r="B14" s="45" t="s">
        <v>141</v>
      </c>
      <c r="C14" s="106">
        <v>1</v>
      </c>
      <c r="D14" s="103">
        <f>('Structured FS'!$F$14/365)*C14</f>
        <v>18115.068493150684</v>
      </c>
      <c r="E14" s="103"/>
      <c r="J14" s="63">
        <v>-0.89</v>
      </c>
      <c r="K14" s="62">
        <v>-89</v>
      </c>
    </row>
    <row r="15" spans="2:11" x14ac:dyDescent="0.35">
      <c r="B15" s="54" t="s">
        <v>142</v>
      </c>
      <c r="C15" s="106">
        <v>1</v>
      </c>
      <c r="D15" s="84">
        <f>('Structured FS'!$F$15/365)*C15</f>
        <v>12861.643835616438</v>
      </c>
      <c r="E15" s="84"/>
      <c r="J15" s="63">
        <v>-0.88</v>
      </c>
      <c r="K15" s="62">
        <v>-88</v>
      </c>
    </row>
    <row r="16" spans="2:11" x14ac:dyDescent="0.35">
      <c r="B16" s="54" t="s">
        <v>143</v>
      </c>
      <c r="C16" s="106">
        <v>1</v>
      </c>
      <c r="D16" s="84">
        <f>('Structured FS'!$F$15/365)*C16</f>
        <v>12861.643835616438</v>
      </c>
      <c r="E16" s="84"/>
      <c r="J16" s="63">
        <v>-0.87</v>
      </c>
      <c r="K16" s="62">
        <v>-87</v>
      </c>
    </row>
    <row r="17" spans="2:11" x14ac:dyDescent="0.35">
      <c r="B17" s="24" t="s">
        <v>101</v>
      </c>
      <c r="C17" s="54"/>
      <c r="D17" s="25">
        <f>SUM(D10:D16)</f>
        <v>159380.35616438359</v>
      </c>
      <c r="E17" s="25">
        <f>SUM(E10:E16)</f>
        <v>144402</v>
      </c>
      <c r="J17" s="63">
        <v>-0.86</v>
      </c>
      <c r="K17" s="62">
        <v>-86</v>
      </c>
    </row>
    <row r="18" spans="2:11" x14ac:dyDescent="0.35">
      <c r="J18" s="63">
        <v>-0.85</v>
      </c>
      <c r="K18" s="62">
        <v>-85</v>
      </c>
    </row>
    <row r="19" spans="2:11" x14ac:dyDescent="0.35">
      <c r="G19" s="72"/>
      <c r="H19" s="42"/>
      <c r="J19" s="63">
        <v>-0.84</v>
      </c>
      <c r="K19" s="62">
        <v>-84</v>
      </c>
    </row>
    <row r="20" spans="2:11" ht="15" thickBot="1" x14ac:dyDescent="0.4">
      <c r="B20" s="7"/>
      <c r="C20" s="7"/>
      <c r="D20" s="34" t="s">
        <v>54</v>
      </c>
      <c r="E20" s="34" t="s">
        <v>2</v>
      </c>
      <c r="J20" s="63">
        <v>-0.83</v>
      </c>
      <c r="K20" s="62">
        <v>-83</v>
      </c>
    </row>
    <row r="21" spans="2:11" ht="15" thickTop="1" x14ac:dyDescent="0.35">
      <c r="B21" t="s">
        <v>144</v>
      </c>
      <c r="D21" s="17">
        <f>D7+D17</f>
        <v>-33619.643835616414</v>
      </c>
      <c r="E21" s="17">
        <f>E7+E17</f>
        <v>845702</v>
      </c>
      <c r="J21" s="63">
        <v>-0.82</v>
      </c>
      <c r="K21" s="62">
        <v>-82</v>
      </c>
    </row>
    <row r="22" spans="2:11" x14ac:dyDescent="0.35">
      <c r="J22" s="63">
        <v>-0.81</v>
      </c>
      <c r="K22" s="62">
        <v>-81</v>
      </c>
    </row>
    <row r="23" spans="2:11" x14ac:dyDescent="0.35">
      <c r="J23" s="63">
        <v>-0.8</v>
      </c>
      <c r="K23" s="62">
        <v>-80</v>
      </c>
    </row>
    <row r="24" spans="2:11" x14ac:dyDescent="0.35">
      <c r="J24" s="63">
        <v>-0.79</v>
      </c>
      <c r="K24" s="62">
        <v>-79</v>
      </c>
    </row>
    <row r="25" spans="2:11" x14ac:dyDescent="0.35">
      <c r="J25" s="63">
        <v>-0.78</v>
      </c>
      <c r="K25" s="62">
        <v>-78</v>
      </c>
    </row>
    <row r="26" spans="2:11" x14ac:dyDescent="0.35">
      <c r="J26" s="63">
        <v>-0.77</v>
      </c>
      <c r="K26" s="62">
        <v>-77</v>
      </c>
    </row>
    <row r="27" spans="2:11" x14ac:dyDescent="0.35">
      <c r="J27" s="63">
        <v>-0.76</v>
      </c>
      <c r="K27" s="62">
        <v>-76</v>
      </c>
    </row>
    <row r="28" spans="2:11" x14ac:dyDescent="0.35">
      <c r="J28" s="63">
        <v>-0.75</v>
      </c>
      <c r="K28" s="62">
        <v>-75</v>
      </c>
    </row>
    <row r="29" spans="2:11" x14ac:dyDescent="0.35">
      <c r="J29" s="63">
        <v>-0.74</v>
      </c>
      <c r="K29" s="62">
        <v>-74</v>
      </c>
    </row>
    <row r="30" spans="2:11" x14ac:dyDescent="0.35">
      <c r="J30" s="63">
        <v>-0.73</v>
      </c>
      <c r="K30" s="62">
        <v>-73</v>
      </c>
    </row>
    <row r="31" spans="2:11" x14ac:dyDescent="0.35">
      <c r="J31" s="63">
        <v>-0.72</v>
      </c>
      <c r="K31" s="62">
        <v>-72</v>
      </c>
    </row>
    <row r="32" spans="2:11" x14ac:dyDescent="0.35">
      <c r="J32" s="63">
        <v>-0.71</v>
      </c>
      <c r="K32" s="62">
        <v>-71</v>
      </c>
    </row>
    <row r="33" spans="10:11" x14ac:dyDescent="0.35">
      <c r="J33" s="63">
        <v>-0.7</v>
      </c>
      <c r="K33" s="62">
        <v>-70</v>
      </c>
    </row>
    <row r="34" spans="10:11" x14ac:dyDescent="0.35">
      <c r="J34" s="63">
        <v>-0.69</v>
      </c>
      <c r="K34" s="62">
        <v>-69</v>
      </c>
    </row>
    <row r="35" spans="10:11" x14ac:dyDescent="0.35">
      <c r="J35" s="63">
        <v>-0.68</v>
      </c>
      <c r="K35" s="62">
        <v>-68</v>
      </c>
    </row>
    <row r="36" spans="10:11" x14ac:dyDescent="0.35">
      <c r="J36" s="63">
        <v>-0.67</v>
      </c>
      <c r="K36" s="62">
        <v>-67</v>
      </c>
    </row>
    <row r="37" spans="10:11" x14ac:dyDescent="0.35">
      <c r="J37" s="63">
        <v>-0.66</v>
      </c>
      <c r="K37" s="62">
        <v>-66</v>
      </c>
    </row>
    <row r="38" spans="10:11" x14ac:dyDescent="0.35">
      <c r="J38" s="63">
        <v>-0.65</v>
      </c>
      <c r="K38" s="62">
        <v>-65</v>
      </c>
    </row>
    <row r="39" spans="10:11" x14ac:dyDescent="0.35">
      <c r="J39" s="63">
        <v>-0.64</v>
      </c>
      <c r="K39" s="62">
        <v>-64</v>
      </c>
    </row>
    <row r="40" spans="10:11" x14ac:dyDescent="0.35">
      <c r="J40" s="63">
        <v>-0.63</v>
      </c>
      <c r="K40" s="62">
        <v>-63</v>
      </c>
    </row>
    <row r="41" spans="10:11" x14ac:dyDescent="0.35">
      <c r="J41" s="63">
        <v>-0.62</v>
      </c>
      <c r="K41" s="62">
        <v>-62</v>
      </c>
    </row>
    <row r="42" spans="10:11" x14ac:dyDescent="0.35">
      <c r="J42" s="63">
        <v>-0.61</v>
      </c>
      <c r="K42" s="62">
        <v>-61</v>
      </c>
    </row>
    <row r="43" spans="10:11" x14ac:dyDescent="0.35">
      <c r="J43" s="63">
        <v>-0.6</v>
      </c>
      <c r="K43" s="62">
        <v>-60</v>
      </c>
    </row>
    <row r="44" spans="10:11" x14ac:dyDescent="0.35">
      <c r="J44" s="63">
        <v>-0.59</v>
      </c>
      <c r="K44" s="62">
        <v>-59</v>
      </c>
    </row>
    <row r="45" spans="10:11" x14ac:dyDescent="0.35">
      <c r="J45" s="63">
        <v>-0.57999999999999996</v>
      </c>
      <c r="K45" s="62">
        <v>-58</v>
      </c>
    </row>
    <row r="46" spans="10:11" x14ac:dyDescent="0.35">
      <c r="J46" s="63">
        <v>-0.56999999999999995</v>
      </c>
      <c r="K46" s="62">
        <v>-57</v>
      </c>
    </row>
    <row r="47" spans="10:11" x14ac:dyDescent="0.35">
      <c r="J47" s="63">
        <v>-0.56000000000000005</v>
      </c>
      <c r="K47" s="62">
        <v>-56</v>
      </c>
    </row>
    <row r="48" spans="10:11" x14ac:dyDescent="0.35">
      <c r="J48" s="63">
        <v>-0.55000000000000004</v>
      </c>
      <c r="K48" s="62">
        <v>-55</v>
      </c>
    </row>
    <row r="49" spans="10:11" x14ac:dyDescent="0.35">
      <c r="J49" s="63">
        <v>-0.54</v>
      </c>
      <c r="K49" s="62">
        <v>-54</v>
      </c>
    </row>
    <row r="50" spans="10:11" x14ac:dyDescent="0.35">
      <c r="J50" s="63">
        <v>-0.53</v>
      </c>
      <c r="K50" s="62">
        <v>-53</v>
      </c>
    </row>
    <row r="51" spans="10:11" x14ac:dyDescent="0.35">
      <c r="J51" s="63">
        <v>-0.52</v>
      </c>
      <c r="K51" s="62">
        <v>-52</v>
      </c>
    </row>
    <row r="52" spans="10:11" x14ac:dyDescent="0.35">
      <c r="J52" s="63">
        <v>-0.51</v>
      </c>
      <c r="K52" s="62">
        <v>-51</v>
      </c>
    </row>
    <row r="53" spans="10:11" x14ac:dyDescent="0.35">
      <c r="J53" s="63">
        <v>-0.5</v>
      </c>
      <c r="K53" s="62">
        <v>-50</v>
      </c>
    </row>
    <row r="54" spans="10:11" x14ac:dyDescent="0.35">
      <c r="J54" s="63">
        <v>-0.49</v>
      </c>
      <c r="K54" s="62">
        <v>-49</v>
      </c>
    </row>
    <row r="55" spans="10:11" x14ac:dyDescent="0.35">
      <c r="J55" s="63">
        <v>-0.48</v>
      </c>
      <c r="K55" s="62">
        <v>-48</v>
      </c>
    </row>
    <row r="56" spans="10:11" x14ac:dyDescent="0.35">
      <c r="J56" s="63">
        <v>-0.47</v>
      </c>
      <c r="K56" s="62">
        <v>-47</v>
      </c>
    </row>
    <row r="57" spans="10:11" x14ac:dyDescent="0.35">
      <c r="J57" s="63">
        <v>-0.46</v>
      </c>
      <c r="K57" s="62">
        <v>-46</v>
      </c>
    </row>
    <row r="58" spans="10:11" x14ac:dyDescent="0.35">
      <c r="J58" s="63">
        <v>-0.45</v>
      </c>
      <c r="K58" s="62">
        <v>-45</v>
      </c>
    </row>
    <row r="59" spans="10:11" x14ac:dyDescent="0.35">
      <c r="J59" s="63">
        <v>-0.44</v>
      </c>
      <c r="K59" s="62">
        <v>-44</v>
      </c>
    </row>
    <row r="60" spans="10:11" x14ac:dyDescent="0.35">
      <c r="J60" s="63">
        <v>-0.42999999999999899</v>
      </c>
      <c r="K60" s="62">
        <v>-43</v>
      </c>
    </row>
    <row r="61" spans="10:11" x14ac:dyDescent="0.35">
      <c r="J61" s="63">
        <v>-0.41999999999999899</v>
      </c>
      <c r="K61" s="62">
        <v>-42</v>
      </c>
    </row>
    <row r="62" spans="10:11" x14ac:dyDescent="0.35">
      <c r="J62" s="63">
        <v>-0.40999999999999898</v>
      </c>
      <c r="K62" s="62">
        <v>-41</v>
      </c>
    </row>
    <row r="63" spans="10:11" x14ac:dyDescent="0.35">
      <c r="J63" s="63">
        <v>-0.39999999999999902</v>
      </c>
      <c r="K63" s="62">
        <v>-40</v>
      </c>
    </row>
    <row r="64" spans="10:11" x14ac:dyDescent="0.35">
      <c r="J64" s="63">
        <v>-0.38999999999999901</v>
      </c>
      <c r="K64" s="62">
        <v>-39</v>
      </c>
    </row>
    <row r="65" spans="10:11" x14ac:dyDescent="0.35">
      <c r="J65" s="63">
        <v>-0.37999999999999901</v>
      </c>
      <c r="K65" s="62">
        <v>-38</v>
      </c>
    </row>
    <row r="66" spans="10:11" x14ac:dyDescent="0.35">
      <c r="J66" s="63">
        <v>-0.369999999999999</v>
      </c>
      <c r="K66" s="62">
        <v>-37</v>
      </c>
    </row>
    <row r="67" spans="10:11" x14ac:dyDescent="0.35">
      <c r="J67" s="63">
        <v>-0.35999999999999899</v>
      </c>
      <c r="K67" s="62">
        <v>-36</v>
      </c>
    </row>
    <row r="68" spans="10:11" x14ac:dyDescent="0.35">
      <c r="J68" s="63">
        <v>-0.34999999999999898</v>
      </c>
      <c r="K68" s="62">
        <v>-35</v>
      </c>
    </row>
    <row r="69" spans="10:11" x14ac:dyDescent="0.35">
      <c r="J69" s="63">
        <v>-0.33999999999999903</v>
      </c>
      <c r="K69" s="62">
        <v>-34</v>
      </c>
    </row>
    <row r="70" spans="10:11" x14ac:dyDescent="0.35">
      <c r="J70" s="63">
        <v>-0.32999999999999902</v>
      </c>
      <c r="K70" s="62">
        <v>-33</v>
      </c>
    </row>
    <row r="71" spans="10:11" x14ac:dyDescent="0.35">
      <c r="J71" s="63">
        <v>-0.31999999999999901</v>
      </c>
      <c r="K71" s="62">
        <v>-32</v>
      </c>
    </row>
    <row r="72" spans="10:11" x14ac:dyDescent="0.35">
      <c r="J72" s="63">
        <v>-0.309999999999999</v>
      </c>
      <c r="K72" s="62">
        <v>-31</v>
      </c>
    </row>
    <row r="73" spans="10:11" x14ac:dyDescent="0.35">
      <c r="J73" s="63">
        <v>-0.29999999999999899</v>
      </c>
      <c r="K73" s="62">
        <v>-30</v>
      </c>
    </row>
    <row r="74" spans="10:11" x14ac:dyDescent="0.35">
      <c r="J74" s="63">
        <v>-0.28999999999999898</v>
      </c>
      <c r="K74" s="62">
        <v>-29</v>
      </c>
    </row>
    <row r="75" spans="10:11" x14ac:dyDescent="0.35">
      <c r="J75" s="63">
        <v>-0.27999999999999903</v>
      </c>
      <c r="K75" s="62">
        <v>-28</v>
      </c>
    </row>
    <row r="76" spans="10:11" x14ac:dyDescent="0.35">
      <c r="J76" s="63">
        <v>-0.26999999999999902</v>
      </c>
      <c r="K76" s="62">
        <v>-27</v>
      </c>
    </row>
    <row r="77" spans="10:11" x14ac:dyDescent="0.35">
      <c r="J77" s="63">
        <v>-0.25999999999999901</v>
      </c>
      <c r="K77" s="62">
        <v>-26</v>
      </c>
    </row>
    <row r="78" spans="10:11" x14ac:dyDescent="0.35">
      <c r="J78" s="63">
        <v>-0.249999999999999</v>
      </c>
      <c r="K78" s="62">
        <v>-25</v>
      </c>
    </row>
    <row r="79" spans="10:11" x14ac:dyDescent="0.35">
      <c r="J79" s="63">
        <v>-0.23999999999999899</v>
      </c>
      <c r="K79" s="62">
        <v>-24</v>
      </c>
    </row>
    <row r="80" spans="10:11" x14ac:dyDescent="0.35">
      <c r="J80" s="63">
        <v>-0.22999999999999901</v>
      </c>
      <c r="K80" s="62">
        <v>-23</v>
      </c>
    </row>
    <row r="81" spans="10:11" x14ac:dyDescent="0.35">
      <c r="J81" s="63">
        <v>-0.219999999999999</v>
      </c>
      <c r="K81" s="62">
        <v>-22</v>
      </c>
    </row>
    <row r="82" spans="10:11" x14ac:dyDescent="0.35">
      <c r="J82" s="63">
        <v>-0.20999999999999899</v>
      </c>
      <c r="K82" s="62">
        <v>-21</v>
      </c>
    </row>
    <row r="83" spans="10:11" x14ac:dyDescent="0.35">
      <c r="J83" s="63">
        <v>-0.19999999999999901</v>
      </c>
      <c r="K83" s="62">
        <v>-20</v>
      </c>
    </row>
    <row r="84" spans="10:11" x14ac:dyDescent="0.35">
      <c r="J84" s="63">
        <v>-0.189999999999999</v>
      </c>
      <c r="K84" s="62">
        <v>-19</v>
      </c>
    </row>
    <row r="85" spans="10:11" x14ac:dyDescent="0.35">
      <c r="J85" s="63">
        <v>-0.17999999999999899</v>
      </c>
      <c r="K85" s="62">
        <v>-18</v>
      </c>
    </row>
    <row r="86" spans="10:11" x14ac:dyDescent="0.35">
      <c r="J86" s="63">
        <v>-0.16999999999999901</v>
      </c>
      <c r="K86" s="62">
        <v>-17</v>
      </c>
    </row>
    <row r="87" spans="10:11" x14ac:dyDescent="0.35">
      <c r="J87" s="63">
        <v>-0.159999999999999</v>
      </c>
      <c r="K87" s="62">
        <v>-16</v>
      </c>
    </row>
    <row r="88" spans="10:11" x14ac:dyDescent="0.35">
      <c r="J88" s="63">
        <v>-0.149999999999999</v>
      </c>
      <c r="K88" s="62">
        <v>-15</v>
      </c>
    </row>
    <row r="89" spans="10:11" x14ac:dyDescent="0.35">
      <c r="J89" s="63">
        <v>-0.13999999999999899</v>
      </c>
      <c r="K89" s="62">
        <v>-14</v>
      </c>
    </row>
    <row r="90" spans="10:11" x14ac:dyDescent="0.35">
      <c r="J90" s="63">
        <v>-0.12999999999999901</v>
      </c>
      <c r="K90" s="62">
        <v>-13</v>
      </c>
    </row>
    <row r="91" spans="10:11" x14ac:dyDescent="0.35">
      <c r="J91" s="63">
        <v>-0.119999999999999</v>
      </c>
      <c r="K91" s="62">
        <v>-12</v>
      </c>
    </row>
    <row r="92" spans="10:11" x14ac:dyDescent="0.35">
      <c r="J92" s="63">
        <v>-0.109999999999999</v>
      </c>
      <c r="K92" s="62">
        <v>-11</v>
      </c>
    </row>
    <row r="93" spans="10:11" x14ac:dyDescent="0.35">
      <c r="J93" s="63">
        <v>-9.9999999999999006E-2</v>
      </c>
      <c r="K93" s="62">
        <v>-10</v>
      </c>
    </row>
    <row r="94" spans="10:11" x14ac:dyDescent="0.35">
      <c r="J94" s="63">
        <v>-8.9999999999998997E-2</v>
      </c>
      <c r="K94" s="62">
        <v>-9</v>
      </c>
    </row>
    <row r="95" spans="10:11" x14ac:dyDescent="0.35">
      <c r="J95" s="63">
        <v>-7.9999999999999002E-2</v>
      </c>
      <c r="K95" s="62">
        <v>-8</v>
      </c>
    </row>
    <row r="96" spans="10:11" x14ac:dyDescent="0.35">
      <c r="J96" s="63">
        <v>-6.9999999999998994E-2</v>
      </c>
      <c r="K96" s="62">
        <v>-7</v>
      </c>
    </row>
    <row r="97" spans="10:11" x14ac:dyDescent="0.35">
      <c r="J97" s="63">
        <v>-5.9999999999999103E-2</v>
      </c>
      <c r="K97" s="62">
        <v>-6</v>
      </c>
    </row>
    <row r="98" spans="10:11" x14ac:dyDescent="0.35">
      <c r="J98" s="63">
        <v>-4.9999999999998997E-2</v>
      </c>
      <c r="K98" s="62">
        <v>-5</v>
      </c>
    </row>
    <row r="99" spans="10:11" x14ac:dyDescent="0.35">
      <c r="J99" s="63">
        <v>-3.9999999999999002E-2</v>
      </c>
      <c r="K99" s="62">
        <v>-4</v>
      </c>
    </row>
    <row r="100" spans="10:11" x14ac:dyDescent="0.35">
      <c r="J100" s="63">
        <v>-2.9999999999999E-2</v>
      </c>
      <c r="K100" s="62">
        <v>-3</v>
      </c>
    </row>
    <row r="101" spans="10:11" x14ac:dyDescent="0.35">
      <c r="J101" s="63">
        <v>-1.9999999999999001E-2</v>
      </c>
      <c r="K101" s="62">
        <v>-2</v>
      </c>
    </row>
    <row r="102" spans="10:11" x14ac:dyDescent="0.35">
      <c r="J102" s="63">
        <v>-9.9999999999990097E-3</v>
      </c>
      <c r="K102" s="62">
        <v>-1</v>
      </c>
    </row>
    <row r="103" spans="10:11" x14ac:dyDescent="0.35">
      <c r="J103" s="63">
        <v>0</v>
      </c>
      <c r="K103" s="62">
        <v>0</v>
      </c>
    </row>
    <row r="104" spans="10:11" x14ac:dyDescent="0.35">
      <c r="J104" s="63">
        <v>0.01</v>
      </c>
      <c r="K104" s="62">
        <v>1</v>
      </c>
    </row>
    <row r="105" spans="10:11" x14ac:dyDescent="0.35">
      <c r="J105" s="63">
        <v>0.02</v>
      </c>
      <c r="K105" s="62">
        <v>2</v>
      </c>
    </row>
    <row r="106" spans="10:11" x14ac:dyDescent="0.35">
      <c r="J106" s="63">
        <v>0.03</v>
      </c>
      <c r="K106" s="62">
        <v>3</v>
      </c>
    </row>
    <row r="107" spans="10:11" x14ac:dyDescent="0.35">
      <c r="J107" s="63">
        <v>0.04</v>
      </c>
      <c r="K107" s="62">
        <v>4</v>
      </c>
    </row>
    <row r="108" spans="10:11" x14ac:dyDescent="0.35">
      <c r="J108" s="63">
        <v>0.05</v>
      </c>
      <c r="K108" s="62">
        <v>5</v>
      </c>
    </row>
    <row r="109" spans="10:11" x14ac:dyDescent="0.35">
      <c r="J109" s="63">
        <v>6.0000000000000102E-2</v>
      </c>
      <c r="K109" s="62">
        <v>6</v>
      </c>
    </row>
    <row r="110" spans="10:11" x14ac:dyDescent="0.35">
      <c r="J110" s="63">
        <v>7.0000000000000104E-2</v>
      </c>
      <c r="K110" s="62">
        <v>7</v>
      </c>
    </row>
    <row r="111" spans="10:11" x14ac:dyDescent="0.35">
      <c r="J111" s="63">
        <v>8.0000000000000099E-2</v>
      </c>
      <c r="K111" s="62">
        <v>8</v>
      </c>
    </row>
    <row r="112" spans="10:11" x14ac:dyDescent="0.35">
      <c r="J112" s="63">
        <v>9.0000000000000094E-2</v>
      </c>
      <c r="K112" s="62">
        <v>9</v>
      </c>
    </row>
    <row r="113" spans="10:11" x14ac:dyDescent="0.35">
      <c r="J113" s="63">
        <v>0.1</v>
      </c>
      <c r="K113" s="62">
        <v>10</v>
      </c>
    </row>
    <row r="114" spans="10:11" x14ac:dyDescent="0.35">
      <c r="J114" s="63">
        <v>0.11</v>
      </c>
      <c r="K114" s="62">
        <v>11</v>
      </c>
    </row>
    <row r="115" spans="10:11" x14ac:dyDescent="0.35">
      <c r="J115" s="63">
        <v>0.12</v>
      </c>
      <c r="K115" s="62">
        <v>12</v>
      </c>
    </row>
    <row r="116" spans="10:11" x14ac:dyDescent="0.35">
      <c r="J116" s="63">
        <v>0.13</v>
      </c>
      <c r="K116" s="62">
        <v>13</v>
      </c>
    </row>
    <row r="117" spans="10:11" x14ac:dyDescent="0.35">
      <c r="J117" s="63">
        <v>0.14000000000000001</v>
      </c>
      <c r="K117" s="62">
        <v>14</v>
      </c>
    </row>
    <row r="118" spans="10:11" x14ac:dyDescent="0.35">
      <c r="J118" s="63">
        <v>0.15</v>
      </c>
      <c r="K118" s="62">
        <v>15</v>
      </c>
    </row>
    <row r="119" spans="10:11" x14ac:dyDescent="0.35">
      <c r="J119" s="63">
        <v>0.16</v>
      </c>
      <c r="K119" s="62">
        <v>16</v>
      </c>
    </row>
    <row r="120" spans="10:11" x14ac:dyDescent="0.35">
      <c r="J120" s="63">
        <v>0.17</v>
      </c>
      <c r="K120" s="62">
        <v>17</v>
      </c>
    </row>
    <row r="121" spans="10:11" x14ac:dyDescent="0.35">
      <c r="J121" s="63">
        <v>0.18</v>
      </c>
      <c r="K121" s="62">
        <v>18</v>
      </c>
    </row>
    <row r="122" spans="10:11" x14ac:dyDescent="0.35">
      <c r="J122" s="63">
        <v>0.19</v>
      </c>
      <c r="K122" s="62">
        <v>19</v>
      </c>
    </row>
    <row r="123" spans="10:11" x14ac:dyDescent="0.35">
      <c r="J123" s="63">
        <v>0.2</v>
      </c>
      <c r="K123" s="62">
        <v>20</v>
      </c>
    </row>
    <row r="124" spans="10:11" x14ac:dyDescent="0.35">
      <c r="J124" s="63">
        <v>0.21</v>
      </c>
      <c r="K124" s="62">
        <v>21</v>
      </c>
    </row>
    <row r="125" spans="10:11" x14ac:dyDescent="0.35">
      <c r="J125" s="63">
        <v>0.22</v>
      </c>
      <c r="K125" s="62">
        <v>22</v>
      </c>
    </row>
    <row r="126" spans="10:11" x14ac:dyDescent="0.35">
      <c r="J126" s="63">
        <v>0.23</v>
      </c>
      <c r="K126" s="62">
        <v>23</v>
      </c>
    </row>
    <row r="127" spans="10:11" x14ac:dyDescent="0.35">
      <c r="J127" s="63">
        <v>0.24</v>
      </c>
      <c r="K127" s="62">
        <v>24</v>
      </c>
    </row>
    <row r="128" spans="10:11" x14ac:dyDescent="0.35">
      <c r="J128" s="63">
        <v>0.25</v>
      </c>
      <c r="K128" s="62">
        <v>25</v>
      </c>
    </row>
    <row r="129" spans="10:11" x14ac:dyDescent="0.35">
      <c r="J129" s="63">
        <v>0.26</v>
      </c>
      <c r="K129" s="62">
        <v>26</v>
      </c>
    </row>
    <row r="130" spans="10:11" x14ac:dyDescent="0.35">
      <c r="J130" s="63">
        <v>0.27</v>
      </c>
      <c r="K130" s="62">
        <v>27</v>
      </c>
    </row>
    <row r="131" spans="10:11" x14ac:dyDescent="0.35">
      <c r="J131" s="63">
        <v>0.28000000000000003</v>
      </c>
      <c r="K131" s="62">
        <v>28</v>
      </c>
    </row>
    <row r="132" spans="10:11" x14ac:dyDescent="0.35">
      <c r="J132" s="63">
        <v>0.28999999999999998</v>
      </c>
      <c r="K132" s="62">
        <v>29</v>
      </c>
    </row>
    <row r="133" spans="10:11" x14ac:dyDescent="0.35">
      <c r="J133" s="63">
        <v>0.3</v>
      </c>
      <c r="K133" s="62">
        <v>30</v>
      </c>
    </row>
    <row r="134" spans="10:11" x14ac:dyDescent="0.35">
      <c r="J134" s="63">
        <v>0.31</v>
      </c>
      <c r="K134" s="62">
        <v>31</v>
      </c>
    </row>
    <row r="135" spans="10:11" x14ac:dyDescent="0.35">
      <c r="J135" s="63">
        <v>0.32</v>
      </c>
      <c r="K135" s="62">
        <v>32</v>
      </c>
    </row>
    <row r="136" spans="10:11" x14ac:dyDescent="0.35">
      <c r="J136" s="63">
        <v>0.33</v>
      </c>
      <c r="K136" s="62">
        <v>33</v>
      </c>
    </row>
    <row r="137" spans="10:11" x14ac:dyDescent="0.35">
      <c r="J137" s="63">
        <v>0.34</v>
      </c>
      <c r="K137" s="62">
        <v>34</v>
      </c>
    </row>
    <row r="138" spans="10:11" x14ac:dyDescent="0.35">
      <c r="J138" s="63">
        <v>0.35</v>
      </c>
      <c r="K138" s="62">
        <v>35</v>
      </c>
    </row>
    <row r="139" spans="10:11" x14ac:dyDescent="0.35">
      <c r="J139" s="63">
        <v>0.36</v>
      </c>
      <c r="K139" s="62">
        <v>36</v>
      </c>
    </row>
    <row r="140" spans="10:11" x14ac:dyDescent="0.35">
      <c r="J140" s="63">
        <v>0.37</v>
      </c>
      <c r="K140" s="62">
        <v>37</v>
      </c>
    </row>
    <row r="141" spans="10:11" x14ac:dyDescent="0.35">
      <c r="J141" s="63">
        <v>0.38</v>
      </c>
      <c r="K141" s="62">
        <v>38</v>
      </c>
    </row>
    <row r="142" spans="10:11" x14ac:dyDescent="0.35">
      <c r="J142" s="63">
        <v>0.39</v>
      </c>
      <c r="K142" s="62">
        <v>39</v>
      </c>
    </row>
    <row r="143" spans="10:11" x14ac:dyDescent="0.35">
      <c r="J143" s="63">
        <v>0.4</v>
      </c>
      <c r="K143" s="62">
        <v>40</v>
      </c>
    </row>
    <row r="144" spans="10:11" x14ac:dyDescent="0.35">
      <c r="J144" s="63">
        <v>0.41</v>
      </c>
      <c r="K144" s="62">
        <v>41</v>
      </c>
    </row>
    <row r="145" spans="10:11" x14ac:dyDescent="0.35">
      <c r="J145" s="63">
        <v>0.42</v>
      </c>
      <c r="K145" s="62">
        <v>42</v>
      </c>
    </row>
    <row r="146" spans="10:11" x14ac:dyDescent="0.35">
      <c r="J146" s="63">
        <v>0.43</v>
      </c>
      <c r="K146" s="62">
        <v>43</v>
      </c>
    </row>
    <row r="147" spans="10:11" x14ac:dyDescent="0.35">
      <c r="J147" s="63">
        <v>0.44</v>
      </c>
      <c r="K147" s="62">
        <v>44</v>
      </c>
    </row>
    <row r="148" spans="10:11" x14ac:dyDescent="0.35">
      <c r="J148" s="63">
        <v>0.45</v>
      </c>
      <c r="K148" s="62">
        <v>45</v>
      </c>
    </row>
    <row r="149" spans="10:11" x14ac:dyDescent="0.35">
      <c r="J149" s="63">
        <v>0.46</v>
      </c>
      <c r="K149" s="62">
        <v>46</v>
      </c>
    </row>
    <row r="150" spans="10:11" x14ac:dyDescent="0.35">
      <c r="J150" s="63">
        <v>0.47</v>
      </c>
      <c r="K150" s="62">
        <v>47</v>
      </c>
    </row>
    <row r="151" spans="10:11" x14ac:dyDescent="0.35">
      <c r="J151" s="63">
        <v>0.48</v>
      </c>
      <c r="K151" s="62">
        <v>48</v>
      </c>
    </row>
    <row r="152" spans="10:11" x14ac:dyDescent="0.35">
      <c r="J152" s="63">
        <v>0.49</v>
      </c>
      <c r="K152" s="62">
        <v>49</v>
      </c>
    </row>
    <row r="153" spans="10:11" x14ac:dyDescent="0.35">
      <c r="J153" s="63">
        <v>0.5</v>
      </c>
      <c r="K153" s="62">
        <v>50</v>
      </c>
    </row>
    <row r="154" spans="10:11" x14ac:dyDescent="0.35">
      <c r="J154" s="63">
        <v>0.51</v>
      </c>
      <c r="K154" s="62">
        <v>51</v>
      </c>
    </row>
    <row r="155" spans="10:11" x14ac:dyDescent="0.35">
      <c r="J155" s="63">
        <v>0.52</v>
      </c>
      <c r="K155" s="62">
        <v>52</v>
      </c>
    </row>
    <row r="156" spans="10:11" x14ac:dyDescent="0.35">
      <c r="J156" s="63">
        <v>0.53</v>
      </c>
      <c r="K156" s="62">
        <v>53</v>
      </c>
    </row>
    <row r="157" spans="10:11" x14ac:dyDescent="0.35">
      <c r="J157" s="63">
        <v>0.54</v>
      </c>
      <c r="K157" s="62">
        <v>54</v>
      </c>
    </row>
    <row r="158" spans="10:11" x14ac:dyDescent="0.35">
      <c r="J158" s="63">
        <v>0.55000000000000004</v>
      </c>
      <c r="K158" s="62">
        <v>55</v>
      </c>
    </row>
    <row r="159" spans="10:11" x14ac:dyDescent="0.35">
      <c r="J159" s="63">
        <v>0.56000000000000005</v>
      </c>
      <c r="K159" s="62">
        <v>56</v>
      </c>
    </row>
    <row r="160" spans="10:11" x14ac:dyDescent="0.35">
      <c r="J160" s="63">
        <v>0.56999999999999995</v>
      </c>
      <c r="K160" s="62">
        <v>57</v>
      </c>
    </row>
    <row r="161" spans="10:11" x14ac:dyDescent="0.35">
      <c r="J161" s="63">
        <v>0.57999999999999996</v>
      </c>
      <c r="K161" s="62">
        <v>58</v>
      </c>
    </row>
    <row r="162" spans="10:11" x14ac:dyDescent="0.35">
      <c r="J162" s="63">
        <v>0.59</v>
      </c>
      <c r="K162" s="62">
        <v>59</v>
      </c>
    </row>
    <row r="163" spans="10:11" x14ac:dyDescent="0.35">
      <c r="J163" s="63">
        <v>0.6</v>
      </c>
      <c r="K163" s="62">
        <v>60</v>
      </c>
    </row>
    <row r="164" spans="10:11" x14ac:dyDescent="0.35">
      <c r="J164" s="63">
        <v>0.61</v>
      </c>
      <c r="K164" s="62">
        <v>61</v>
      </c>
    </row>
    <row r="165" spans="10:11" x14ac:dyDescent="0.35">
      <c r="J165" s="63">
        <v>0.62</v>
      </c>
      <c r="K165" s="62">
        <v>62</v>
      </c>
    </row>
    <row r="166" spans="10:11" x14ac:dyDescent="0.35">
      <c r="J166" s="63">
        <v>0.63</v>
      </c>
      <c r="K166" s="62">
        <v>63</v>
      </c>
    </row>
    <row r="167" spans="10:11" x14ac:dyDescent="0.35">
      <c r="J167" s="63">
        <v>0.64</v>
      </c>
      <c r="K167" s="62">
        <v>64</v>
      </c>
    </row>
    <row r="168" spans="10:11" x14ac:dyDescent="0.35">
      <c r="J168" s="63">
        <v>0.65</v>
      </c>
      <c r="K168" s="62">
        <v>65</v>
      </c>
    </row>
    <row r="169" spans="10:11" x14ac:dyDescent="0.35">
      <c r="J169" s="63">
        <v>0.66</v>
      </c>
      <c r="K169" s="62">
        <v>66</v>
      </c>
    </row>
    <row r="170" spans="10:11" x14ac:dyDescent="0.35">
      <c r="J170" s="63">
        <v>0.67</v>
      </c>
      <c r="K170" s="62">
        <v>67</v>
      </c>
    </row>
    <row r="171" spans="10:11" x14ac:dyDescent="0.35">
      <c r="J171" s="63">
        <v>0.68</v>
      </c>
      <c r="K171" s="62">
        <v>68</v>
      </c>
    </row>
    <row r="172" spans="10:11" x14ac:dyDescent="0.35">
      <c r="J172" s="63">
        <v>0.69</v>
      </c>
      <c r="K172" s="62">
        <v>69</v>
      </c>
    </row>
    <row r="173" spans="10:11" x14ac:dyDescent="0.35">
      <c r="J173" s="63">
        <v>0.7</v>
      </c>
      <c r="K173" s="62">
        <v>70</v>
      </c>
    </row>
    <row r="174" spans="10:11" x14ac:dyDescent="0.35">
      <c r="J174" s="63">
        <v>0.71</v>
      </c>
      <c r="K174" s="62">
        <v>71</v>
      </c>
    </row>
    <row r="175" spans="10:11" x14ac:dyDescent="0.35">
      <c r="J175" s="63">
        <v>0.72</v>
      </c>
      <c r="K175" s="62">
        <v>72</v>
      </c>
    </row>
    <row r="176" spans="10:11" x14ac:dyDescent="0.35">
      <c r="J176" s="63">
        <v>0.73</v>
      </c>
      <c r="K176" s="62">
        <v>73</v>
      </c>
    </row>
    <row r="177" spans="10:11" x14ac:dyDescent="0.35">
      <c r="J177" s="63">
        <v>0.74</v>
      </c>
      <c r="K177" s="62">
        <v>74</v>
      </c>
    </row>
    <row r="178" spans="10:11" x14ac:dyDescent="0.35">
      <c r="J178" s="63">
        <v>0.75</v>
      </c>
      <c r="K178" s="62">
        <v>75</v>
      </c>
    </row>
    <row r="179" spans="10:11" x14ac:dyDescent="0.35">
      <c r="J179" s="63">
        <v>0.76</v>
      </c>
      <c r="K179" s="62">
        <v>76</v>
      </c>
    </row>
    <row r="180" spans="10:11" x14ac:dyDescent="0.35">
      <c r="J180" s="63">
        <v>0.77</v>
      </c>
      <c r="K180" s="62">
        <v>77</v>
      </c>
    </row>
    <row r="181" spans="10:11" x14ac:dyDescent="0.35">
      <c r="J181" s="63">
        <v>0.78</v>
      </c>
      <c r="K181" s="62">
        <v>78</v>
      </c>
    </row>
    <row r="182" spans="10:11" x14ac:dyDescent="0.35">
      <c r="J182" s="63">
        <v>0.79</v>
      </c>
      <c r="K182" s="62">
        <v>79</v>
      </c>
    </row>
    <row r="183" spans="10:11" x14ac:dyDescent="0.35">
      <c r="J183" s="63">
        <v>0.8</v>
      </c>
      <c r="K183" s="62">
        <v>80</v>
      </c>
    </row>
    <row r="184" spans="10:11" x14ac:dyDescent="0.35">
      <c r="J184" s="63">
        <v>0.81</v>
      </c>
      <c r="K184" s="62">
        <v>81</v>
      </c>
    </row>
    <row r="185" spans="10:11" x14ac:dyDescent="0.35">
      <c r="J185" s="63">
        <v>0.82</v>
      </c>
      <c r="K185" s="62">
        <v>82</v>
      </c>
    </row>
    <row r="186" spans="10:11" x14ac:dyDescent="0.35">
      <c r="J186" s="63">
        <v>0.83</v>
      </c>
      <c r="K186" s="62">
        <v>83</v>
      </c>
    </row>
    <row r="187" spans="10:11" x14ac:dyDescent="0.35">
      <c r="J187" s="63">
        <v>0.84</v>
      </c>
      <c r="K187" s="62">
        <v>84</v>
      </c>
    </row>
    <row r="188" spans="10:11" x14ac:dyDescent="0.35">
      <c r="J188" s="63">
        <v>0.85</v>
      </c>
      <c r="K188" s="62">
        <v>85</v>
      </c>
    </row>
    <row r="189" spans="10:11" x14ac:dyDescent="0.35">
      <c r="J189" s="63">
        <v>0.86</v>
      </c>
      <c r="K189" s="62">
        <v>86</v>
      </c>
    </row>
    <row r="190" spans="10:11" x14ac:dyDescent="0.35">
      <c r="J190" s="63">
        <v>0.87</v>
      </c>
      <c r="K190" s="62">
        <v>87</v>
      </c>
    </row>
    <row r="191" spans="10:11" x14ac:dyDescent="0.35">
      <c r="J191" s="63">
        <v>0.88</v>
      </c>
      <c r="K191" s="62">
        <v>88</v>
      </c>
    </row>
    <row r="192" spans="10:11" x14ac:dyDescent="0.35">
      <c r="J192" s="63">
        <v>0.89</v>
      </c>
      <c r="K192" s="62">
        <v>89</v>
      </c>
    </row>
    <row r="193" spans="10:11" x14ac:dyDescent="0.35">
      <c r="J193" s="63">
        <v>0.9</v>
      </c>
      <c r="K193" s="62">
        <v>90</v>
      </c>
    </row>
    <row r="194" spans="10:11" x14ac:dyDescent="0.35">
      <c r="J194" s="63">
        <v>0.91</v>
      </c>
      <c r="K194" s="62">
        <v>91</v>
      </c>
    </row>
    <row r="195" spans="10:11" x14ac:dyDescent="0.35">
      <c r="J195" s="63">
        <v>0.92</v>
      </c>
      <c r="K195" s="62">
        <v>92</v>
      </c>
    </row>
    <row r="196" spans="10:11" x14ac:dyDescent="0.35">
      <c r="J196" s="63">
        <v>0.93</v>
      </c>
      <c r="K196" s="62">
        <v>93</v>
      </c>
    </row>
    <row r="197" spans="10:11" x14ac:dyDescent="0.35">
      <c r="J197" s="63">
        <v>0.94</v>
      </c>
      <c r="K197" s="62">
        <v>94</v>
      </c>
    </row>
    <row r="198" spans="10:11" x14ac:dyDescent="0.35">
      <c r="J198" s="63">
        <v>0.95</v>
      </c>
      <c r="K198" s="62">
        <v>95</v>
      </c>
    </row>
    <row r="199" spans="10:11" x14ac:dyDescent="0.35">
      <c r="J199" s="63">
        <v>0.96</v>
      </c>
      <c r="K199" s="62">
        <v>96</v>
      </c>
    </row>
    <row r="200" spans="10:11" x14ac:dyDescent="0.35">
      <c r="J200" s="63">
        <v>0.97</v>
      </c>
      <c r="K200" s="62">
        <v>97</v>
      </c>
    </row>
    <row r="201" spans="10:11" x14ac:dyDescent="0.35">
      <c r="J201" s="63">
        <v>0.98</v>
      </c>
      <c r="K201" s="62">
        <v>98</v>
      </c>
    </row>
    <row r="202" spans="10:11" x14ac:dyDescent="0.35">
      <c r="J202" s="63">
        <v>0.99</v>
      </c>
      <c r="K202" s="62">
        <v>99</v>
      </c>
    </row>
    <row r="203" spans="10:11" x14ac:dyDescent="0.35">
      <c r="J203" s="63">
        <v>1</v>
      </c>
      <c r="K203" s="62">
        <v>100</v>
      </c>
    </row>
  </sheetData>
  <dataValidations count="2">
    <dataValidation type="list" allowBlank="1" showInputMessage="1" showErrorMessage="1" sqref="C10:C13" xr:uid="{A11493F4-5E74-4D58-8F7B-F67FFAFCBFBA}">
      <formula1>$J$3:$J$203</formula1>
    </dataValidation>
    <dataValidation type="list" allowBlank="1" showInputMessage="1" showErrorMessage="1" sqref="C14:C16" xr:uid="{BD6211E9-9807-4C4E-A19B-F299563B3080}">
      <formula1>$K$3:$K$203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Inputs</vt:lpstr>
      <vt:lpstr>Structured FS</vt:lpstr>
      <vt:lpstr>Chapter 1 - Profitability</vt:lpstr>
      <vt:lpstr>Chapter 2 - Working Capital</vt:lpstr>
      <vt:lpstr>Chapter 3 - Other Capital</vt:lpstr>
      <vt:lpstr>Chapter 4 - Funding</vt:lpstr>
      <vt:lpstr>Summary</vt:lpstr>
      <vt:lpstr>Power of One</vt:lpstr>
      <vt:lpstr>Business Value Indicator</vt:lpstr>
      <vt:lpstr>Sustainable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diego.ruiz</dc:creator>
  <cp:lastModifiedBy>José Ángel García Medina</cp:lastModifiedBy>
  <cp:lastPrinted>2025-05-18T19:11:37Z</cp:lastPrinted>
  <dcterms:created xsi:type="dcterms:W3CDTF">2021-05-18T23:13:04Z</dcterms:created>
  <dcterms:modified xsi:type="dcterms:W3CDTF">2025-06-13T15:30:22Z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