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ulting\Financial report PY\data\"/>
    </mc:Choice>
  </mc:AlternateContent>
  <xr:revisionPtr revIDLastSave="0" documentId="13_ncr:1_{9F8164BB-FEB7-46A9-8F01-C86AB4E73461}" xr6:coauthVersionLast="47" xr6:coauthVersionMax="47" xr10:uidLastSave="{00000000-0000-0000-0000-000000000000}"/>
  <bookViews>
    <workbookView xWindow="-110" yWindow="-110" windowWidth="19420" windowHeight="12220" firstSheet="2" activeTab="7" xr2:uid="{5B17FEF8-AF8B-4FCA-B027-FD987ADA7F0C}"/>
  </bookViews>
  <sheets>
    <sheet name="Estados" sheetId="14" r:id="rId1"/>
    <sheet name="EEFF" sheetId="7" r:id="rId2"/>
    <sheet name="Summary" sheetId="12" r:id="rId3"/>
    <sheet name="Profitability" sheetId="8" r:id="rId4"/>
    <sheet name="WorkingCapital" sheetId="9" r:id="rId5"/>
    <sheet name="Capital" sheetId="10" r:id="rId6"/>
    <sheet name="Funding" sheetId="11" r:id="rId7"/>
    <sheet name="Documentacion" sheetId="13" r:id="rId8"/>
  </sheets>
  <definedNames>
    <definedName name="_xlnm._FilterDatabase" localSheetId="2" hidden="1">Summary!$A$2:$H$70</definedName>
    <definedName name="Accounts_Payable">EEFF!$C$39</definedName>
    <definedName name="Accounts_Payable_Days">EEFF!$C$77</definedName>
    <definedName name="Accounts_Payable2">EEFF!$D$39:$D$39</definedName>
    <definedName name="Accounts_Receivable">EEFF!$C$31</definedName>
    <definedName name="Accounts_Receivable_Days">EEFF!$C$75</definedName>
    <definedName name="Accounts_Receivable2">EEFF!$D$31:$D$31</definedName>
    <definedName name="Asset_Turnover">EEFF!$C$91</definedName>
    <definedName name="Balance_Sheet">EEFF!$C$29</definedName>
    <definedName name="Balance_Sheet_Check">EEFF!$C$54</definedName>
    <definedName name="Bank_Loans_Less_Current">EEFF!$C$40</definedName>
    <definedName name="Bank_Loans_Less_Non_Current">EEFF!$C$43</definedName>
    <definedName name="Capital">EEFF!$C$49</definedName>
    <definedName name="Cash">EEFF!$C$30</definedName>
    <definedName name="Cost_of_Goods">EEFF!$C$17</definedName>
    <definedName name="Cost_of_Goods2">EEFF!$D$17</definedName>
    <definedName name="Costo_de_Ventas">EEFF!$C$8</definedName>
    <definedName name="Current_Assets">EEFF!$C$34</definedName>
    <definedName name="Current_Liabilities">EEFF!$C$42</definedName>
    <definedName name="Current_Ratio">EEFF!$C$83</definedName>
    <definedName name="Debt_Payback">EEFF!$C$105</definedName>
    <definedName name="Debt_to_Capital">EEFF!$C$103</definedName>
    <definedName name="Debt_to_Equity">EEFF!$C$102</definedName>
    <definedName name="Depreciation_And_Amortisation">EEFF!$C$67</definedName>
    <definedName name="Depreciation_And_Amortisation2">EEFF!$D$67</definedName>
    <definedName name="Días_de_Cobro">EEFF!$C$10</definedName>
    <definedName name="Días_de_Pago">EEFF!$C$11</definedName>
    <definedName name="Dividends_Paid">EEFF!$C$26</definedName>
    <definedName name="Dividends_Paid2">EEFF!$D$26</definedName>
    <definedName name="EBITDA">EEFF!$C$68</definedName>
    <definedName name="EBITDA2">EEFF!$D$68:$D$68</definedName>
    <definedName name="Equity">EEFF!$C$50</definedName>
    <definedName name="Extraordinary_IncomeOrExpenses">EEFF!$C$22</definedName>
    <definedName name="Fixed_Assets">EEFF!$C$35</definedName>
    <definedName name="Fixed_Assets2">EEFF!$D$35</definedName>
    <definedName name="Gastos_Fijos">EEFF!$C$9</definedName>
    <definedName name="Gross_Margin">EEFF!$C$18</definedName>
    <definedName name="Gross_Margin_Perc">EEFF!$C$62</definedName>
    <definedName name="Gross_Margin2">EEFF!$D$18</definedName>
    <definedName name="Interest_Cover">EEFF!$C$72</definedName>
    <definedName name="Interest_Paid">EEFF!$C$21</definedName>
    <definedName name="Interest_Paid2">EEFF!$D$21</definedName>
    <definedName name="Inventory">EEFF!$C$32</definedName>
    <definedName name="Inventory_Days">EEFF!$C$76</definedName>
    <definedName name="Inventory2">EEFF!$D$32:$D$32</definedName>
    <definedName name="Liabilities_And_Equity">EEFF!$C$52</definedName>
    <definedName name="Marginal_Cash_Flow">EEFF!$C$82</definedName>
    <definedName name="Net_Cash_Flow3">EEFF!$E$100:$E$100</definedName>
    <definedName name="Net_Cash_Flow4">EEFF!$F$100:$F$100</definedName>
    <definedName name="Net_Debt">EEFF!$C$101</definedName>
    <definedName name="Net_Operating_Assets">EEFF!$C$89</definedName>
    <definedName name="Net_Operating_Assets_Perc">EEFF!$C$90</definedName>
    <definedName name="Net_Profit">EEFF!$C$25</definedName>
    <definedName name="Net_Profit_Before_Tax">EEFF!$C$23</definedName>
    <definedName name="Net_Profit_Perc">EEFF!$C$70</definedName>
    <definedName name="Non_Current_Assets">EEFF!$C$37</definedName>
    <definedName name="Non_Current_Liabilities">EEFF!$C$45</definedName>
    <definedName name="Operating_Cash_Flow">EEFF!$D$98</definedName>
    <definedName name="Operating_Cash_Profit">EEFF!$C$99</definedName>
    <definedName name="Operating_Profit">EEFF!$C$20</definedName>
    <definedName name="Operating_Profit_Perc">EEFF!$C$66</definedName>
    <definedName name="Other_Capital">EEFF!$C$86</definedName>
    <definedName name="Other_Capital_Perc">EEFF!$C$87</definedName>
    <definedName name="Other_Capital_Turnover">EEFF!$C$88</definedName>
    <definedName name="Other_Current_Assets">EEFF!$C$33</definedName>
    <definedName name="Other_Current_Liabilities">EEFF!$C$41</definedName>
    <definedName name="Other_Non_Current_Assets">EEFF!$C$36</definedName>
    <definedName name="Other_Non_Current_Liabilities">EEFF!$C$44</definedName>
    <definedName name="Overheads">EEFF!$C$19</definedName>
    <definedName name="Overheads_Perc">EEFF!$C$64</definedName>
    <definedName name="Overheads2">EEFF!$D$19</definedName>
    <definedName name="Period_Earnings">EEFF!$C$47</definedName>
    <definedName name="Precio_de_Venta">EEFF!$C$6</definedName>
    <definedName name="ProfitAndLoss">EEFF!$C$15</definedName>
    <definedName name="Retained_Earnings">EEFF!$C$48</definedName>
    <definedName name="Retained_Profit">EEFF!$C$27</definedName>
    <definedName name="Return_on_Capital_Perc">EEFF!$C$92</definedName>
    <definedName name="Return_on_Equity_Perc">EEFF!$C$94</definedName>
    <definedName name="Return_on_Total_Assets_Perc">EEFF!$C$93</definedName>
    <definedName name="Revenue">EEFF!$C$16</definedName>
    <definedName name="Revenue_Growth_Perc">EEFF!$C$60</definedName>
    <definedName name="Revenue2">EEFF!$D$16</definedName>
    <definedName name="Rotación_de_Inventario">EEFF!$C$12</definedName>
    <definedName name="Tasa_Impositiva">EEFF!$C$3</definedName>
    <definedName name="Tax_Paid">EEFF!$C$24</definedName>
    <definedName name="Tax_Paid2">EEFF!$D$24</definedName>
    <definedName name="Total_Assets">EEFF!$C$38</definedName>
    <definedName name="Total_Liabilities">EEFF!$C$46</definedName>
    <definedName name="Volumen_de_Ventas">EEFF!$C$7</definedName>
    <definedName name="Working_Capital">EEFF!$C$79</definedName>
    <definedName name="Working_Capital_Days">EEFF!$C$78</definedName>
    <definedName name="Working_Capital_per_100Dlls">EEFF!$C$80</definedName>
    <definedName name="Working_Capital_Turnover">EEFF!$C$81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7" i="7" l="1"/>
  <c r="D236" i="7"/>
  <c r="C236" i="7"/>
  <c r="D235" i="7"/>
  <c r="C235" i="7"/>
  <c r="C237" i="7"/>
  <c r="L27" i="12"/>
  <c r="K27" i="12"/>
  <c r="E27" i="12"/>
  <c r="C91" i="12"/>
  <c r="E56" i="12"/>
  <c r="C42" i="14"/>
  <c r="C86" i="7"/>
  <c r="C88" i="7" s="1"/>
  <c r="C42" i="7"/>
  <c r="D42" i="14"/>
  <c r="D37" i="14"/>
  <c r="F45" i="14"/>
  <c r="E45" i="14"/>
  <c r="D45" i="14"/>
  <c r="C45" i="14"/>
  <c r="E42" i="14"/>
  <c r="F39" i="14"/>
  <c r="F42" i="14" s="1"/>
  <c r="F37" i="14"/>
  <c r="E37" i="14"/>
  <c r="C37" i="14"/>
  <c r="E34" i="14"/>
  <c r="D34" i="14"/>
  <c r="C34" i="14"/>
  <c r="F32" i="14"/>
  <c r="F31" i="14"/>
  <c r="F30" i="14"/>
  <c r="E17" i="14"/>
  <c r="E19" i="14" s="1"/>
  <c r="E22" i="14" s="1"/>
  <c r="E24" i="14" s="1"/>
  <c r="D17" i="14"/>
  <c r="C17" i="14" a="1"/>
  <c r="C17" i="14" s="1"/>
  <c r="F17" i="14"/>
  <c r="F19" i="14" s="1"/>
  <c r="F22" i="14" s="1"/>
  <c r="F24" i="14" s="1"/>
  <c r="D15" i="8"/>
  <c r="C15" i="8" a="1"/>
  <c r="C15" i="8" s="1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N37" i="12"/>
  <c r="J37" i="12"/>
  <c r="I37" i="12"/>
  <c r="N36" i="12"/>
  <c r="J36" i="12"/>
  <c r="I36" i="12"/>
  <c r="N35" i="12"/>
  <c r="J35" i="12"/>
  <c r="I35" i="12"/>
  <c r="N34" i="12"/>
  <c r="I34" i="12"/>
  <c r="N33" i="12"/>
  <c r="I33" i="12"/>
  <c r="N32" i="12"/>
  <c r="J32" i="12"/>
  <c r="I32" i="12"/>
  <c r="N31" i="12"/>
  <c r="J31" i="12"/>
  <c r="I31" i="12"/>
  <c r="N30" i="12"/>
  <c r="J30" i="12"/>
  <c r="I30" i="12"/>
  <c r="N29" i="12"/>
  <c r="I29" i="12"/>
  <c r="N28" i="12"/>
  <c r="I28" i="12"/>
  <c r="N27" i="12"/>
  <c r="J27" i="12"/>
  <c r="I27" i="12"/>
  <c r="N26" i="12"/>
  <c r="I26" i="12"/>
  <c r="N25" i="12"/>
  <c r="I25" i="12"/>
  <c r="N24" i="12"/>
  <c r="I24" i="12"/>
  <c r="N23" i="12"/>
  <c r="J23" i="12"/>
  <c r="I23" i="12"/>
  <c r="N22" i="12"/>
  <c r="J22" i="12"/>
  <c r="I22" i="12"/>
  <c r="N21" i="12"/>
  <c r="I21" i="12"/>
  <c r="N20" i="12"/>
  <c r="I20" i="12"/>
  <c r="N19" i="12"/>
  <c r="J19" i="12"/>
  <c r="I19" i="12"/>
  <c r="N18" i="12"/>
  <c r="I18" i="12"/>
  <c r="N17" i="12"/>
  <c r="I17" i="12"/>
  <c r="N16" i="12"/>
  <c r="I16" i="12"/>
  <c r="N15" i="12"/>
  <c r="I15" i="12"/>
  <c r="N14" i="12"/>
  <c r="J14" i="12"/>
  <c r="I14" i="12"/>
  <c r="N13" i="12"/>
  <c r="I13" i="12"/>
  <c r="N12" i="12"/>
  <c r="J12" i="12"/>
  <c r="I12" i="12"/>
  <c r="N11" i="12"/>
  <c r="I11" i="12"/>
  <c r="N10" i="12"/>
  <c r="J10" i="12"/>
  <c r="I10" i="12"/>
  <c r="N9" i="12"/>
  <c r="I9" i="12"/>
  <c r="N8" i="12"/>
  <c r="I8" i="12"/>
  <c r="N7" i="12"/>
  <c r="J7" i="12"/>
  <c r="I7" i="12"/>
  <c r="N6" i="12"/>
  <c r="I6" i="12"/>
  <c r="N4" i="12"/>
  <c r="I4" i="12"/>
  <c r="N3" i="12"/>
  <c r="I3" i="12"/>
  <c r="J5" i="12"/>
  <c r="I5" i="12"/>
  <c r="N5" i="12"/>
  <c r="C34" i="7"/>
  <c r="C37" i="7"/>
  <c r="C45" i="7"/>
  <c r="H100" i="7" a="1"/>
  <c r="H100" i="7" s="1"/>
  <c r="E100" i="7" a="1"/>
  <c r="E100" i="7" s="1"/>
  <c r="D100" i="7" a="1"/>
  <c r="D100" i="7" s="1"/>
  <c r="D86" i="7"/>
  <c r="D88" i="7" s="1"/>
  <c r="D77" i="7" a="1"/>
  <c r="D77" i="7" s="1"/>
  <c r="D76" i="7" a="1"/>
  <c r="D76" i="7" s="1"/>
  <c r="D75" i="7" a="1"/>
  <c r="D75" i="7" s="1"/>
  <c r="D63" i="7"/>
  <c r="D64" i="7" s="1"/>
  <c r="D42" i="7"/>
  <c r="D37" i="7"/>
  <c r="H18" i="7"/>
  <c r="F32" i="7" s="1"/>
  <c r="C204" i="7" s="1"/>
  <c r="D18" i="7"/>
  <c r="D82" i="7" s="1" a="1"/>
  <c r="D82" i="7" s="1"/>
  <c r="H17" i="7"/>
  <c r="E8" i="7"/>
  <c r="N105" i="7"/>
  <c r="N104" i="7"/>
  <c r="N103" i="7"/>
  <c r="N102" i="7"/>
  <c r="N101" i="7"/>
  <c r="N100" i="7"/>
  <c r="N99" i="7"/>
  <c r="N98" i="7"/>
  <c r="N97" i="7"/>
  <c r="N94" i="7"/>
  <c r="N93" i="7"/>
  <c r="N92" i="7"/>
  <c r="N91" i="7"/>
  <c r="N90" i="7"/>
  <c r="N89" i="7"/>
  <c r="N88" i="7"/>
  <c r="N87" i="7"/>
  <c r="N86" i="7"/>
  <c r="N83" i="7"/>
  <c r="N82" i="7"/>
  <c r="N81" i="7"/>
  <c r="N80" i="7"/>
  <c r="N79" i="7"/>
  <c r="N78" i="7"/>
  <c r="N77" i="7"/>
  <c r="N76" i="7"/>
  <c r="N75" i="7"/>
  <c r="N72" i="7"/>
  <c r="N71" i="7"/>
  <c r="N70" i="7"/>
  <c r="N69" i="7"/>
  <c r="N68" i="7"/>
  <c r="N67" i="7"/>
  <c r="N66" i="7"/>
  <c r="N65" i="7"/>
  <c r="N64" i="7"/>
  <c r="N63" i="7"/>
  <c r="N62" i="7"/>
  <c r="N61" i="7"/>
  <c r="N59" i="7"/>
  <c r="N60" i="7"/>
  <c r="N52" i="7"/>
  <c r="N54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7" i="7"/>
  <c r="N26" i="7"/>
  <c r="N25" i="7"/>
  <c r="N24" i="7"/>
  <c r="N23" i="7"/>
  <c r="N22" i="7"/>
  <c r="N21" i="7"/>
  <c r="N20" i="7"/>
  <c r="N19" i="7"/>
  <c r="N18" i="7"/>
  <c r="N17" i="7"/>
  <c r="D59" i="7"/>
  <c r="D79" i="7" a="1"/>
  <c r="D79" i="7" s="1"/>
  <c r="C79" i="7"/>
  <c r="C80" i="7" s="1"/>
  <c r="C77" i="7"/>
  <c r="C76" i="7"/>
  <c r="C75" i="7"/>
  <c r="C101" i="7"/>
  <c r="E4" i="11"/>
  <c r="D4" i="11"/>
  <c r="C4" i="11"/>
  <c r="B4" i="11"/>
  <c r="E3" i="11"/>
  <c r="D3" i="11"/>
  <c r="C3" i="11"/>
  <c r="B3" i="11"/>
  <c r="C64" i="7"/>
  <c r="C59" i="7"/>
  <c r="C18" i="7" a="1"/>
  <c r="C18" i="7" s="1"/>
  <c r="C82" i="7" s="1"/>
  <c r="C63" i="7"/>
  <c r="H16" i="7"/>
  <c r="E7" i="7"/>
  <c r="E9" i="7"/>
  <c r="F19" i="7" s="1"/>
  <c r="E307" i="7" s="1"/>
  <c r="E10" i="7"/>
  <c r="F75" i="7" s="1"/>
  <c r="E11" i="7"/>
  <c r="F76" i="7" s="1"/>
  <c r="E12" i="7"/>
  <c r="F77" i="7" s="1"/>
  <c r="E6" i="7"/>
  <c r="I16" i="7" s="1"/>
  <c r="E315" i="7"/>
  <c r="C315" i="7"/>
  <c r="E314" i="7"/>
  <c r="C314" i="7"/>
  <c r="E313" i="7"/>
  <c r="C313" i="7"/>
  <c r="E311" i="7"/>
  <c r="C311" i="7"/>
  <c r="C276" i="7"/>
  <c r="C275" i="7"/>
  <c r="E243" i="7"/>
  <c r="C243" i="7"/>
  <c r="B243" i="7"/>
  <c r="E242" i="7"/>
  <c r="D242" i="7"/>
  <c r="C242" i="7"/>
  <c r="B242" i="7"/>
  <c r="D191" i="7"/>
  <c r="C191" i="7"/>
  <c r="D149" i="7"/>
  <c r="C149" i="7"/>
  <c r="D148" i="7"/>
  <c r="C148" i="7"/>
  <c r="E101" i="7"/>
  <c r="C335" i="7" s="1"/>
  <c r="D101" i="7"/>
  <c r="F86" i="7"/>
  <c r="D258" i="7" s="1"/>
  <c r="E86" i="7"/>
  <c r="E88" i="7" s="1"/>
  <c r="C260" i="7" s="1"/>
  <c r="E79" i="7"/>
  <c r="E77" i="7"/>
  <c r="C228" i="7" s="1"/>
  <c r="E76" i="7"/>
  <c r="C227" i="7" s="1"/>
  <c r="E75" i="7"/>
  <c r="E63" i="7"/>
  <c r="C187" i="7" s="1"/>
  <c r="E59" i="7"/>
  <c r="C183" i="7" s="1"/>
  <c r="D60" i="7"/>
  <c r="F45" i="7"/>
  <c r="E45" i="7"/>
  <c r="D45" i="7"/>
  <c r="E42" i="7"/>
  <c r="F37" i="7"/>
  <c r="E37" i="7"/>
  <c r="E34" i="7"/>
  <c r="D34" i="7"/>
  <c r="E18" i="7"/>
  <c r="E20" i="7" s="1"/>
  <c r="K39" i="7"/>
  <c r="M67" i="7"/>
  <c r="M88" i="7"/>
  <c r="K81" i="7"/>
  <c r="C87" i="7" l="1"/>
  <c r="D81" i="7"/>
  <c r="D80" i="7"/>
  <c r="C46" i="14"/>
  <c r="C81" i="7"/>
  <c r="C38" i="14"/>
  <c r="G100" i="7"/>
  <c r="C334" i="7"/>
  <c r="C78" i="7"/>
  <c r="C19" i="14"/>
  <c r="C83" i="7"/>
  <c r="D19" i="14"/>
  <c r="D22" i="14" s="1"/>
  <c r="D24" i="14" s="1"/>
  <c r="D47" i="14" s="1"/>
  <c r="D87" i="7"/>
  <c r="K23" i="7"/>
  <c r="K47" i="7"/>
  <c r="K105" i="7"/>
  <c r="M75" i="7"/>
  <c r="K92" i="7"/>
  <c r="K42" i="7"/>
  <c r="K24" i="7"/>
  <c r="M64" i="7"/>
  <c r="M102" i="7"/>
  <c r="M42" i="7"/>
  <c r="K26" i="7"/>
  <c r="K8" i="7"/>
  <c r="K94" i="7"/>
  <c r="K30" i="7"/>
  <c r="M38" i="7"/>
  <c r="K7" i="7"/>
  <c r="M34" i="7"/>
  <c r="M80" i="7"/>
  <c r="K45" i="7"/>
  <c r="M92" i="7"/>
  <c r="M23" i="7"/>
  <c r="K40" i="7"/>
  <c r="M21" i="7"/>
  <c r="K35" i="7"/>
  <c r="M81" i="7"/>
  <c r="K100" i="7"/>
  <c r="K64" i="7"/>
  <c r="M71" i="7"/>
  <c r="K101" i="7"/>
  <c r="M18" i="7"/>
  <c r="K19" i="7"/>
  <c r="K16" i="7"/>
  <c r="M27" i="7"/>
  <c r="K52" i="7"/>
  <c r="M104" i="7"/>
  <c r="K22" i="7"/>
  <c r="M16" i="7"/>
  <c r="M105" i="7"/>
  <c r="M11" i="7"/>
  <c r="M40" i="7"/>
  <c r="K89" i="7"/>
  <c r="M39" i="7"/>
  <c r="K6" i="7"/>
  <c r="M9" i="7"/>
  <c r="K41" i="7"/>
  <c r="M82" i="7"/>
  <c r="M86" i="7"/>
  <c r="M60" i="7"/>
  <c r="M49" i="7"/>
  <c r="M101" i="7"/>
  <c r="K9" i="7"/>
  <c r="M90" i="7"/>
  <c r="K33" i="7"/>
  <c r="K49" i="7"/>
  <c r="M26" i="7"/>
  <c r="K93" i="7"/>
  <c r="M100" i="7"/>
  <c r="M19" i="7"/>
  <c r="K83" i="7"/>
  <c r="K46" i="7"/>
  <c r="K66" i="7"/>
  <c r="K60" i="7"/>
  <c r="M68" i="7"/>
  <c r="M89" i="7"/>
  <c r="M24" i="7"/>
  <c r="K88" i="7"/>
  <c r="M59" i="7"/>
  <c r="M83" i="7"/>
  <c r="M45" i="7"/>
  <c r="M46" i="7"/>
  <c r="M6" i="7"/>
  <c r="K31" i="7"/>
  <c r="M48" i="7"/>
  <c r="M93" i="7"/>
  <c r="M3" i="7"/>
  <c r="K44" i="7"/>
  <c r="M44" i="7"/>
  <c r="M66" i="7"/>
  <c r="M87" i="7"/>
  <c r="K67" i="7"/>
  <c r="K70" i="7"/>
  <c r="M7" i="7"/>
  <c r="M43" i="7"/>
  <c r="K20" i="7"/>
  <c r="K77" i="7"/>
  <c r="M25" i="7"/>
  <c r="K62" i="7"/>
  <c r="K80" i="7"/>
  <c r="K18" i="7"/>
  <c r="K98" i="7"/>
  <c r="M41" i="7"/>
  <c r="K75" i="7"/>
  <c r="K48" i="7"/>
  <c r="K68" i="7"/>
  <c r="K25" i="7"/>
  <c r="M77" i="7"/>
  <c r="K82" i="7"/>
  <c r="M30" i="7"/>
  <c r="M94" i="7"/>
  <c r="K17" i="7"/>
  <c r="M72" i="7"/>
  <c r="M31" i="7"/>
  <c r="K37" i="7"/>
  <c r="M52" i="7"/>
  <c r="M17" i="7"/>
  <c r="M70" i="7"/>
  <c r="M63" i="7"/>
  <c r="M98" i="7"/>
  <c r="M37" i="7"/>
  <c r="K103" i="7"/>
  <c r="K79" i="7"/>
  <c r="K11" i="7"/>
  <c r="K27" i="7"/>
  <c r="K86" i="7"/>
  <c r="K34" i="7"/>
  <c r="K78" i="7"/>
  <c r="M76" i="7"/>
  <c r="K50" i="7"/>
  <c r="M35" i="7"/>
  <c r="M79" i="7"/>
  <c r="K36" i="7"/>
  <c r="M69" i="7"/>
  <c r="K43" i="7"/>
  <c r="M54" i="7"/>
  <c r="M65" i="7"/>
  <c r="M103" i="7"/>
  <c r="M8" i="7"/>
  <c r="K76" i="7"/>
  <c r="M33" i="7"/>
  <c r="K38" i="7"/>
  <c r="M61" i="7"/>
  <c r="M78" i="7"/>
  <c r="K91" i="7"/>
  <c r="K90" i="7"/>
  <c r="K3" i="7"/>
  <c r="M10" i="7"/>
  <c r="K32" i="7"/>
  <c r="K72" i="7"/>
  <c r="K54" i="7"/>
  <c r="K87" i="7"/>
  <c r="M20" i="7"/>
  <c r="M50" i="7"/>
  <c r="K12" i="7"/>
  <c r="K21" i="7"/>
  <c r="M97" i="7"/>
  <c r="M22" i="7"/>
  <c r="M47" i="7"/>
  <c r="M12" i="7"/>
  <c r="K10" i="7"/>
  <c r="M91" i="7"/>
  <c r="K102" i="7"/>
  <c r="M32" i="7"/>
  <c r="M36" i="7"/>
  <c r="M62" i="7"/>
  <c r="F46" i="14" l="1"/>
  <c r="E46" i="14"/>
  <c r="D46" i="14"/>
  <c r="E38" i="14"/>
  <c r="F34" i="14"/>
  <c r="F38" i="14" s="1"/>
  <c r="D38" i="14"/>
  <c r="E47" i="14"/>
  <c r="E26" i="14"/>
  <c r="F48" i="14" s="1"/>
  <c r="F47" i="14"/>
  <c r="F26" i="14"/>
  <c r="D26" i="14"/>
  <c r="E48" i="14" s="1"/>
  <c r="D97" i="7" a="1"/>
  <c r="D97" i="7" s="1"/>
  <c r="D61" i="7"/>
  <c r="D62" i="7"/>
  <c r="D20" i="7"/>
  <c r="D65" i="7" s="1"/>
  <c r="D66" i="7" s="1"/>
  <c r="C20" i="7"/>
  <c r="C22" i="14" s="1" a="1"/>
  <c r="C22" i="14" s="1"/>
  <c r="C97" i="7"/>
  <c r="C61" i="7"/>
  <c r="C62" i="7"/>
  <c r="C46" i="7"/>
  <c r="C38" i="7"/>
  <c r="F30" i="7"/>
  <c r="D147" i="7" s="1"/>
  <c r="F78" i="7"/>
  <c r="F17" i="7"/>
  <c r="G17" i="7" s="1"/>
  <c r="C205" i="7"/>
  <c r="F16" i="7"/>
  <c r="D83" i="7"/>
  <c r="C307" i="7"/>
  <c r="F63" i="7"/>
  <c r="D187" i="7" s="1"/>
  <c r="E187" i="7" s="1"/>
  <c r="E46" i="7"/>
  <c r="E78" i="7"/>
  <c r="C229" i="7" s="1"/>
  <c r="E60" i="7"/>
  <c r="C184" i="7" s="1"/>
  <c r="E191" i="7"/>
  <c r="E97" i="7"/>
  <c r="C331" i="7" s="1"/>
  <c r="C226" i="7"/>
  <c r="D38" i="7"/>
  <c r="E61" i="7"/>
  <c r="C185" i="7" s="1"/>
  <c r="E82" i="7"/>
  <c r="C233" i="7" s="1"/>
  <c r="E87" i="7"/>
  <c r="C259" i="7" s="1"/>
  <c r="C258" i="7"/>
  <c r="E258" i="7" s="1"/>
  <c r="E38" i="7"/>
  <c r="E93" i="7" s="1"/>
  <c r="C265" i="7" s="1"/>
  <c r="D46" i="7"/>
  <c r="E64" i="7"/>
  <c r="C188" i="7" s="1"/>
  <c r="E62" i="7"/>
  <c r="C186" i="7" s="1"/>
  <c r="E83" i="7"/>
  <c r="C234" i="7" s="1"/>
  <c r="D78" i="7"/>
  <c r="E23" i="7"/>
  <c r="E25" i="7" s="1"/>
  <c r="E72" i="7"/>
  <c r="C196" i="7" s="1"/>
  <c r="E68" i="7"/>
  <c r="E98" i="7" s="1" a="1"/>
  <c r="E98" i="7" s="1"/>
  <c r="E65" i="7"/>
  <c r="E104" i="7"/>
  <c r="C338" i="7" s="1"/>
  <c r="E81" i="7"/>
  <c r="C232" i="7" s="1"/>
  <c r="C230" i="7"/>
  <c r="E80" i="7"/>
  <c r="C231" i="7" s="1"/>
  <c r="C23" i="7" l="1" a="1"/>
  <c r="C23" i="7" s="1"/>
  <c r="C65" i="7"/>
  <c r="C25" i="7" a="1"/>
  <c r="C25" i="7" s="1"/>
  <c r="C27" i="7" s="1" a="1"/>
  <c r="C27" i="7" s="1"/>
  <c r="C24" i="14" a="1"/>
  <c r="C24" i="14" s="1"/>
  <c r="C93" i="7"/>
  <c r="F50" i="14"/>
  <c r="E50" i="14"/>
  <c r="D23" i="7"/>
  <c r="D25" i="7" s="1"/>
  <c r="D27" i="7" s="1"/>
  <c r="D72" i="7"/>
  <c r="D104" i="7"/>
  <c r="D68" i="7"/>
  <c r="C72" i="7"/>
  <c r="C104" i="7" s="1"/>
  <c r="C68" i="7"/>
  <c r="C66" i="7"/>
  <c r="C69" i="7"/>
  <c r="C70" i="7"/>
  <c r="B275" i="7"/>
  <c r="F101" i="7"/>
  <c r="D335" i="7" s="1"/>
  <c r="E335" i="7" s="1"/>
  <c r="B276" i="7"/>
  <c r="C147" i="7"/>
  <c r="G303" i="7"/>
  <c r="G304" i="7"/>
  <c r="F39" i="7"/>
  <c r="C304" i="7"/>
  <c r="G16" i="7"/>
  <c r="F88" i="7"/>
  <c r="D260" i="7" s="1"/>
  <c r="E260" i="7" s="1"/>
  <c r="D112" i="7"/>
  <c r="F87" i="7"/>
  <c r="D259" i="7" s="1"/>
  <c r="E259" i="7" s="1"/>
  <c r="F59" i="7"/>
  <c r="D183" i="7" s="1"/>
  <c r="E183" i="7" s="1"/>
  <c r="F18" i="7"/>
  <c r="C303" i="7"/>
  <c r="C112" i="7"/>
  <c r="B159" i="7"/>
  <c r="F64" i="7"/>
  <c r="D188" i="7" s="1"/>
  <c r="E188" i="7" s="1"/>
  <c r="D93" i="7"/>
  <c r="E27" i="7"/>
  <c r="F48" i="7" s="1"/>
  <c r="E47" i="7"/>
  <c r="E69" i="7"/>
  <c r="C189" i="7"/>
  <c r="E66" i="7"/>
  <c r="C190" i="7" s="1"/>
  <c r="E99" i="7"/>
  <c r="C333" i="7" s="1"/>
  <c r="C332" i="7"/>
  <c r="C192" i="7"/>
  <c r="E105" i="7"/>
  <c r="C339" i="7" s="1"/>
  <c r="C71" i="7" l="1"/>
  <c r="D48" i="7"/>
  <c r="C47" i="7"/>
  <c r="C47" i="14"/>
  <c r="C26" i="14" a="1"/>
  <c r="C26" i="14" s="1"/>
  <c r="D48" i="14" s="1"/>
  <c r="D50" i="14" s="1"/>
  <c r="C50" i="14"/>
  <c r="C50" i="7"/>
  <c r="C99" i="7"/>
  <c r="C105" i="7"/>
  <c r="D105" i="7" a="1"/>
  <c r="D105" i="7" s="1"/>
  <c r="D98" i="7" a="1"/>
  <c r="D98" i="7" s="1"/>
  <c r="D99" i="7" a="1"/>
  <c r="D99" i="7" s="1"/>
  <c r="C52" i="7"/>
  <c r="F31" i="7"/>
  <c r="E303" i="7"/>
  <c r="C137" i="7"/>
  <c r="C305" i="7"/>
  <c r="C308" i="7" s="1"/>
  <c r="F60" i="7"/>
  <c r="D184" i="7" s="1"/>
  <c r="E184" i="7" s="1"/>
  <c r="B205" i="7"/>
  <c r="B204" i="7"/>
  <c r="C113" i="7"/>
  <c r="D113" i="7" s="1"/>
  <c r="F62" i="7"/>
  <c r="D186" i="7" s="1"/>
  <c r="E186" i="7" s="1"/>
  <c r="F61" i="7"/>
  <c r="C158" i="7" s="1"/>
  <c r="B158" i="7"/>
  <c r="F20" i="7"/>
  <c r="F72" i="7" s="1"/>
  <c r="D196" i="7" s="1"/>
  <c r="E196" i="7" s="1"/>
  <c r="D137" i="7"/>
  <c r="D227" i="7"/>
  <c r="E227" i="7" s="1"/>
  <c r="C159" i="7"/>
  <c r="E48" i="7"/>
  <c r="E50" i="7" s="1"/>
  <c r="I52" i="7" s="1"/>
  <c r="D47" i="7"/>
  <c r="D69" i="7"/>
  <c r="D70" i="7" s="1"/>
  <c r="E70" i="7"/>
  <c r="C194" i="7" s="1"/>
  <c r="C193" i="7"/>
  <c r="E71" i="7"/>
  <c r="C195" i="7" s="1"/>
  <c r="C54" i="7" l="1"/>
  <c r="C89" i="7"/>
  <c r="C103" i="7"/>
  <c r="C102" i="7"/>
  <c r="C94" i="7"/>
  <c r="F34" i="7"/>
  <c r="F38" i="7" s="1"/>
  <c r="F93" i="7" s="1"/>
  <c r="D265" i="7" s="1"/>
  <c r="E265" i="7" s="1"/>
  <c r="F100" i="7"/>
  <c r="F97" i="7"/>
  <c r="F82" i="7"/>
  <c r="D233" i="7" s="1"/>
  <c r="E233" i="7" s="1"/>
  <c r="D205" i="7"/>
  <c r="D204" i="7"/>
  <c r="E304" i="7"/>
  <c r="H304" i="7" s="1"/>
  <c r="F79" i="7"/>
  <c r="F81" i="7" s="1"/>
  <c r="D232" i="7" s="1"/>
  <c r="E232" i="7" s="1"/>
  <c r="D50" i="7"/>
  <c r="H52" i="7" s="1"/>
  <c r="F42" i="7"/>
  <c r="F46" i="7" s="1"/>
  <c r="F303" i="7"/>
  <c r="C136" i="7"/>
  <c r="D139" i="7"/>
  <c r="D228" i="7"/>
  <c r="E228" i="7" s="1"/>
  <c r="D138" i="7"/>
  <c r="C138" i="7"/>
  <c r="H303" i="7"/>
  <c r="D226" i="7"/>
  <c r="E226" i="7" s="1"/>
  <c r="D136" i="7"/>
  <c r="D185" i="7"/>
  <c r="E185" i="7" s="1"/>
  <c r="F65" i="7"/>
  <c r="D189" i="7" s="1"/>
  <c r="E189" i="7" s="1"/>
  <c r="D159" i="7"/>
  <c r="D158" i="7"/>
  <c r="F68" i="7"/>
  <c r="F105" i="7" s="1"/>
  <c r="D339" i="7" s="1"/>
  <c r="E339" i="7" s="1"/>
  <c r="F23" i="7"/>
  <c r="E312" i="7" s="1"/>
  <c r="C114" i="7"/>
  <c r="D114" i="7" s="1"/>
  <c r="F104" i="7"/>
  <c r="D338" i="7" s="1"/>
  <c r="E338" i="7" s="1"/>
  <c r="G52" i="7"/>
  <c r="D71" i="7"/>
  <c r="E89" i="7"/>
  <c r="E103" i="7"/>
  <c r="C337" i="7" s="1"/>
  <c r="E102" i="7"/>
  <c r="C336" i="7" s="1"/>
  <c r="E52" i="7"/>
  <c r="E54" i="7" s="1"/>
  <c r="E94" i="7"/>
  <c r="C266" i="7" s="1"/>
  <c r="C91" i="7" l="1"/>
  <c r="C90" i="7"/>
  <c r="C92" i="7"/>
  <c r="E305" i="7"/>
  <c r="E308" i="7" s="1"/>
  <c r="F308" i="7" s="1"/>
  <c r="D331" i="7"/>
  <c r="E331" i="7" s="1"/>
  <c r="G97" i="7"/>
  <c r="F304" i="7"/>
  <c r="H79" i="7"/>
  <c r="D230" i="7"/>
  <c r="E230" i="7" s="1"/>
  <c r="F80" i="7"/>
  <c r="D231" i="7" s="1"/>
  <c r="E204" i="7"/>
  <c r="E205" i="7"/>
  <c r="H305" i="7"/>
  <c r="F83" i="7"/>
  <c r="D234" i="7" s="1"/>
  <c r="E234" i="7" s="1"/>
  <c r="C139" i="7"/>
  <c r="F305" i="7"/>
  <c r="D229" i="7"/>
  <c r="E229" i="7" s="1"/>
  <c r="F98" i="7"/>
  <c r="F99" i="7"/>
  <c r="F66" i="7"/>
  <c r="D190" i="7" s="1"/>
  <c r="E190" i="7" s="1"/>
  <c r="D192" i="7"/>
  <c r="E192" i="7" s="1"/>
  <c r="D334" i="7"/>
  <c r="E334" i="7" s="1"/>
  <c r="F25" i="7"/>
  <c r="F47" i="7" s="1"/>
  <c r="C312" i="7"/>
  <c r="C318" i="7" s="1"/>
  <c r="G322" i="7" s="1"/>
  <c r="D103" i="7"/>
  <c r="D89" i="7"/>
  <c r="D102" i="7"/>
  <c r="D94" i="7"/>
  <c r="D52" i="7"/>
  <c r="D54" i="7" s="1"/>
  <c r="E90" i="7"/>
  <c r="C262" i="7" s="1"/>
  <c r="C261" i="7"/>
  <c r="E91" i="7"/>
  <c r="C263" i="7" s="1"/>
  <c r="E92" i="7"/>
  <c r="C264" i="7" s="1"/>
  <c r="E231" i="7" l="1"/>
  <c r="E318" i="7"/>
  <c r="H322" i="7" s="1"/>
  <c r="D91" i="7"/>
  <c r="D90" i="7"/>
  <c r="D333" i="7"/>
  <c r="E333" i="7" s="1"/>
  <c r="G99" i="7"/>
  <c r="D332" i="7"/>
  <c r="E332" i="7" s="1"/>
  <c r="G98" i="7"/>
  <c r="D243" i="7"/>
  <c r="C115" i="7"/>
  <c r="D115" i="7" s="1"/>
  <c r="F69" i="7"/>
  <c r="D193" i="7" s="1"/>
  <c r="E193" i="7" s="1"/>
  <c r="C150" i="7"/>
  <c r="F27" i="7"/>
  <c r="D92" i="7"/>
  <c r="E158" i="7" l="1"/>
  <c r="D284" i="7"/>
  <c r="D287" i="7" s="1"/>
  <c r="E159" i="7"/>
  <c r="F70" i="7"/>
  <c r="D194" i="7" s="1"/>
  <c r="E194" i="7" s="1"/>
  <c r="F50" i="7"/>
  <c r="F71" i="7"/>
  <c r="D195" i="7" s="1"/>
  <c r="E195" i="7" s="1"/>
  <c r="D276" i="7" l="1"/>
  <c r="E276" i="7" s="1"/>
  <c r="E285" i="7" s="1"/>
  <c r="E287" i="7" s="1"/>
  <c r="J52" i="7"/>
  <c r="F89" i="7"/>
  <c r="F102" i="7"/>
  <c r="D336" i="7" s="1"/>
  <c r="E336" i="7" s="1"/>
  <c r="D275" i="7"/>
  <c r="E275" i="7" s="1"/>
  <c r="F103" i="7"/>
  <c r="D337" i="7" s="1"/>
  <c r="E337" i="7" s="1"/>
  <c r="F94" i="7"/>
  <c r="D266" i="7" s="1"/>
  <c r="E266" i="7" s="1"/>
  <c r="F52" i="7"/>
  <c r="F54" i="7" s="1"/>
  <c r="F90" i="7" l="1"/>
  <c r="D262" i="7" s="1"/>
  <c r="E262" i="7" s="1"/>
  <c r="D261" i="7"/>
  <c r="E261" i="7" s="1"/>
  <c r="F91" i="7"/>
  <c r="D263" i="7" s="1"/>
  <c r="E263" i="7" s="1"/>
  <c r="F92" i="7"/>
  <c r="D264" i="7" s="1"/>
  <c r="E264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tc={A9732E0C-5635-4032-AF6F-E20BA4EFA178}</author>
  </authors>
  <commentList>
    <comment ref="C60" authorId="0" shapeId="0" xr:uid="{A9732E0C-5635-4032-AF6F-E20BA4EFA178}">
      <text>
        <t>[Threaded comment]
Your version of Excel allows you to read this threaded comment; however, any edits to it will get removed if the file is opened in a newer version of Excel. Learn more: https://go.microsoft.com/fwlink/?linkid=870924
Comment:
    Argegar Formula Manualmente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<sst xmlns="http://schemas.openxmlformats.org/spreadsheetml/2006/main" count="1152" uniqueCount="379">
  <si>
    <t>Definicion</t>
  </si>
  <si>
    <t>Nombre</t>
  </si>
  <si>
    <t>Variables</t>
  </si>
  <si>
    <t>Checks</t>
  </si>
  <si>
    <t>Formulas</t>
  </si>
  <si>
    <t>Diccionario</t>
  </si>
  <si>
    <t>Tasa Impositiva</t>
  </si>
  <si>
    <t>Tasa_Impositiva</t>
  </si>
  <si>
    <t>/</t>
  </si>
  <si>
    <t>Or</t>
  </si>
  <si>
    <t>&amp;</t>
  </si>
  <si>
    <t>And</t>
  </si>
  <si>
    <t>Palanca</t>
  </si>
  <si>
    <t>Valor Actual</t>
  </si>
  <si>
    <t>Cambio (%)</t>
  </si>
  <si>
    <t>Nuevo Valor</t>
  </si>
  <si>
    <t>+</t>
  </si>
  <si>
    <t>_Plus_</t>
  </si>
  <si>
    <t>Precio de Venta</t>
  </si>
  <si>
    <t>Precio_de_Venta</t>
  </si>
  <si>
    <t>-</t>
  </si>
  <si>
    <t>_Less_</t>
  </si>
  <si>
    <t>Volumen de Ventas</t>
  </si>
  <si>
    <t>Volumen_de_Ventas</t>
  </si>
  <si>
    <t>$</t>
  </si>
  <si>
    <t>Dlls</t>
  </si>
  <si>
    <t>Costo de Ventas (%)</t>
  </si>
  <si>
    <t>Costo_de_Ventas</t>
  </si>
  <si>
    <t>%</t>
  </si>
  <si>
    <t>Perc</t>
  </si>
  <si>
    <t>Gastos Fijos</t>
  </si>
  <si>
    <t>Gastos_Fijos</t>
  </si>
  <si>
    <t>Días de Cobro (DSO)</t>
  </si>
  <si>
    <t>Días_de_Cobro</t>
  </si>
  <si>
    <t>Días de Pago (DPO)</t>
  </si>
  <si>
    <t>Días_de_Pago</t>
  </si>
  <si>
    <t>Rotación de Inventario</t>
  </si>
  <si>
    <t>Rotación_de_Inventario</t>
  </si>
  <si>
    <t>30-06-2015</t>
  </si>
  <si>
    <t>30-06-2016</t>
  </si>
  <si>
    <t>30-06-2017</t>
  </si>
  <si>
    <t>30-06-2018</t>
  </si>
  <si>
    <t>Profit &amp; Loss</t>
  </si>
  <si>
    <t>ProfitAndLoss</t>
  </si>
  <si>
    <t>12 months</t>
  </si>
  <si>
    <t>Revenue</t>
  </si>
  <si>
    <t>Cost of Goods</t>
  </si>
  <si>
    <t>Cost_of_Goods</t>
  </si>
  <si>
    <t>Gross Margin</t>
  </si>
  <si>
    <t>Gross_Margin</t>
  </si>
  <si>
    <t>Overheads</t>
  </si>
  <si>
    <t>Operating Profit</t>
  </si>
  <si>
    <t>Operating_Profit</t>
  </si>
  <si>
    <t>Interest Paid</t>
  </si>
  <si>
    <t>Interest_Paid</t>
  </si>
  <si>
    <t>Extraordinary Income/Expenses</t>
  </si>
  <si>
    <t>Extraordinary_IncomeOrExpenses</t>
  </si>
  <si>
    <t>Net Profit Before Tax</t>
  </si>
  <si>
    <t>Net_Profit_Before_Tax</t>
  </si>
  <si>
    <t>Tax Paid</t>
  </si>
  <si>
    <t>Tax_Paid</t>
  </si>
  <si>
    <t>Net Profit</t>
  </si>
  <si>
    <t>Net_Profit</t>
  </si>
  <si>
    <t>Dividends Paid</t>
  </si>
  <si>
    <t>Dividends_Paid</t>
  </si>
  <si>
    <t>Retained Profit</t>
  </si>
  <si>
    <t>Retained_Profit</t>
  </si>
  <si>
    <t>Balance Sheet</t>
  </si>
  <si>
    <t>Balance_Sheet</t>
  </si>
  <si>
    <t>Cash</t>
  </si>
  <si>
    <t>Accounts Receivable</t>
  </si>
  <si>
    <t>Accounts_Receivable</t>
  </si>
  <si>
    <t>Inventory</t>
  </si>
  <si>
    <t>Other Current Assets</t>
  </si>
  <si>
    <t>Other_Current_Assets</t>
  </si>
  <si>
    <t>Current Assets</t>
  </si>
  <si>
    <t>Current_Assets</t>
  </si>
  <si>
    <t>Fixed Assets</t>
  </si>
  <si>
    <t>Fixed_Assets</t>
  </si>
  <si>
    <t>Other Non Current Assets</t>
  </si>
  <si>
    <t>Other_Non_Current_Assets</t>
  </si>
  <si>
    <t>Non Current Assets</t>
  </si>
  <si>
    <t>Non_Current_Assets</t>
  </si>
  <si>
    <t>Total Assets</t>
  </si>
  <si>
    <t>Total_Assets</t>
  </si>
  <si>
    <t>Accounts Payable</t>
  </si>
  <si>
    <t>Accounts_Payable</t>
  </si>
  <si>
    <t>Bank Loans - Current</t>
  </si>
  <si>
    <t>Bank_Loans_Less_Current</t>
  </si>
  <si>
    <t>Current Liabilities</t>
  </si>
  <si>
    <t>Current_Liabilities</t>
  </si>
  <si>
    <t>Bank Loans - Non Current</t>
  </si>
  <si>
    <t>Bank_Loans_Less_Non_Current</t>
  </si>
  <si>
    <t>Other Non Current Liabilities</t>
  </si>
  <si>
    <t>Other_Non_Current_Liabilities</t>
  </si>
  <si>
    <t>Non Current Liabilities</t>
  </si>
  <si>
    <t>Non_Current_Liabilities</t>
  </si>
  <si>
    <t>Total Liabilities</t>
  </si>
  <si>
    <t>Total_Liabilities</t>
  </si>
  <si>
    <t>Period Earnings</t>
  </si>
  <si>
    <t>Period_Earnings</t>
  </si>
  <si>
    <t>Retained Earnings</t>
  </si>
  <si>
    <t>Retained_Earnings</t>
  </si>
  <si>
    <t>Capital</t>
  </si>
  <si>
    <t>Equity</t>
  </si>
  <si>
    <t>Liabilities + Equity</t>
  </si>
  <si>
    <t>Liabilities_And_Equity</t>
  </si>
  <si>
    <t>Balance Sheet Check</t>
  </si>
  <si>
    <t>Balance_Sheet_Check</t>
  </si>
  <si>
    <t>Chapter 1 - Profitability</t>
  </si>
  <si>
    <t>R</t>
  </si>
  <si>
    <t>Revenue Growth %</t>
  </si>
  <si>
    <t>Revenue_Growth_Perc</t>
  </si>
  <si>
    <t>n/a</t>
  </si>
  <si>
    <t>Gross Margin %</t>
  </si>
  <si>
    <t>Gross_Margin_Perc</t>
  </si>
  <si>
    <t>Overheads %</t>
  </si>
  <si>
    <t>Overheads_Perc</t>
  </si>
  <si>
    <t>Operating Profit %</t>
  </si>
  <si>
    <t>Operating_Profit_Perc</t>
  </si>
  <si>
    <t>Depreciation &amp; Amortisation</t>
  </si>
  <si>
    <t>Depreciation_And_Amortisation</t>
  </si>
  <si>
    <t>EBITDA</t>
  </si>
  <si>
    <t>Net Profit %</t>
  </si>
  <si>
    <t>Net_Profit_Perc</t>
  </si>
  <si>
    <t>Interest Cover</t>
  </si>
  <si>
    <t>Interest_Cover</t>
  </si>
  <si>
    <t>Chapter 2 - Working Capital</t>
  </si>
  <si>
    <t>Accounts Receivable Days</t>
  </si>
  <si>
    <t>Accounts_Receivable_Days</t>
  </si>
  <si>
    <t>Inventory Days</t>
  </si>
  <si>
    <t>Inventory_Days</t>
  </si>
  <si>
    <t>Accounts Payable Days</t>
  </si>
  <si>
    <t>Accounts_Payable_Days</t>
  </si>
  <si>
    <t>Working Capital Days</t>
  </si>
  <si>
    <t>Working_Capital_Days</t>
  </si>
  <si>
    <t>Working Capital</t>
  </si>
  <si>
    <t>Working_Capital</t>
  </si>
  <si>
    <t>Working Capital per $100</t>
  </si>
  <si>
    <t>Working_Capital_per_100Dlls</t>
  </si>
  <si>
    <t>Working Capital Turnover</t>
  </si>
  <si>
    <t>Working_Capital_Turnover</t>
  </si>
  <si>
    <t>Marginal Cash Flow</t>
  </si>
  <si>
    <t>Marginal_Cash_Flow</t>
  </si>
  <si>
    <t>Current Ratio</t>
  </si>
  <si>
    <t>Current_Ratio</t>
  </si>
  <si>
    <t>Chapter 3 - Other Capital</t>
  </si>
  <si>
    <t>Other Capital</t>
  </si>
  <si>
    <t>Other_Capital</t>
  </si>
  <si>
    <t>Other Capital %</t>
  </si>
  <si>
    <t>Other_Capital_Perc</t>
  </si>
  <si>
    <t>Other Capital Turnover</t>
  </si>
  <si>
    <t>Other_Capital_Turnover</t>
  </si>
  <si>
    <t>Net Operating Assets</t>
  </si>
  <si>
    <t>Net_Operating_Assets</t>
  </si>
  <si>
    <t>Net Operating Assets %</t>
  </si>
  <si>
    <t>Net_Operating_Assets_Perc</t>
  </si>
  <si>
    <t>Asset Turnover</t>
  </si>
  <si>
    <t>Asset_Turnover</t>
  </si>
  <si>
    <t>Return on Capital %</t>
  </si>
  <si>
    <t>Return_on_Capital_Perc</t>
  </si>
  <si>
    <t>Return on Total Assets %</t>
  </si>
  <si>
    <t>Return_on_Total_Assets_Perc</t>
  </si>
  <si>
    <t>Return on Equity %</t>
  </si>
  <si>
    <t>Return_on_Equity_Perc</t>
  </si>
  <si>
    <t>Chapter 4 - Funding</t>
  </si>
  <si>
    <t>Operating Cash Flow</t>
  </si>
  <si>
    <t>Operating_Cash_Flow</t>
  </si>
  <si>
    <t>Operating Cash Profit</t>
  </si>
  <si>
    <t>=EBITDA</t>
  </si>
  <si>
    <t>Net Cash Flow</t>
  </si>
  <si>
    <t>Net_Cash_Flow</t>
  </si>
  <si>
    <t>Net Debt</t>
  </si>
  <si>
    <t>Net_Debt</t>
  </si>
  <si>
    <t>Debt to Equity</t>
  </si>
  <si>
    <t>Debt_to_Equity</t>
  </si>
  <si>
    <t>Debt to Capital</t>
  </si>
  <si>
    <t>Debt_to_Capital</t>
  </si>
  <si>
    <t>Debt Payback</t>
  </si>
  <si>
    <t>Debt_Payback</t>
  </si>
  <si>
    <t>Summary</t>
  </si>
  <si>
    <t>Your Profit Story</t>
  </si>
  <si>
    <t>Current Period</t>
  </si>
  <si>
    <t>Movement</t>
  </si>
  <si>
    <t>Your Balance Sheet Story</t>
  </si>
  <si>
    <t>Your Cash Flow Sheet Story</t>
  </si>
  <si>
    <t>Chapter 1</t>
  </si>
  <si>
    <t>Profitability</t>
  </si>
  <si>
    <t>Profitability Trends</t>
  </si>
  <si>
    <t>Revenue Growth vs COGS Growth</t>
  </si>
  <si>
    <t>Revenue Growth vs Overheads Growth</t>
  </si>
  <si>
    <t>Profitability Ratios</t>
  </si>
  <si>
    <t>Movements</t>
  </si>
  <si>
    <t>Chapter 2</t>
  </si>
  <si>
    <t>Working Capital Trends</t>
  </si>
  <si>
    <t>Working Capital Timeline</t>
  </si>
  <si>
    <t>Investment in Working Capital per $100</t>
  </si>
  <si>
    <t>Gross Margin vs Working Capital per $100</t>
  </si>
  <si>
    <t>Working Capital Ratios</t>
  </si>
  <si>
    <t>Chapter 3</t>
  </si>
  <si>
    <t>Other Assets</t>
  </si>
  <si>
    <t>Other Liabilities</t>
  </si>
  <si>
    <t>Return on Capital Trends</t>
  </si>
  <si>
    <t>Other Capital Ratios</t>
  </si>
  <si>
    <t>Chapter 4</t>
  </si>
  <si>
    <t>Funding</t>
  </si>
  <si>
    <t>Total Debt</t>
  </si>
  <si>
    <t>Total Funding</t>
  </si>
  <si>
    <t>Funding Trends</t>
  </si>
  <si>
    <t>Your Funding</t>
  </si>
  <si>
    <t>"+ Cash Flow"</t>
  </si>
  <si>
    <t>"- Cash Flow"</t>
  </si>
  <si>
    <t>Profit</t>
  </si>
  <si>
    <t>Working Capital Invested</t>
  </si>
  <si>
    <t>Total</t>
  </si>
  <si>
    <t>Your Equation</t>
  </si>
  <si>
    <t>(COGS * (1 - %Reduc_COGS)) + (COGS * (Inventory_Days / 365)) - (COGS * (Payables_Days / 365))</t>
  </si>
  <si>
    <t>Profit vs Cash Flow</t>
  </si>
  <si>
    <t>Cash Flow</t>
  </si>
  <si>
    <t>Variance</t>
  </si>
  <si>
    <t>Cash from Customers</t>
  </si>
  <si>
    <t>COGS</t>
  </si>
  <si>
    <t>Cash to Suppliers</t>
  </si>
  <si>
    <t>Gross Cash Profit</t>
  </si>
  <si>
    <t>Overheads excl Depreciation</t>
  </si>
  <si>
    <t>Other Cash Outflow</t>
  </si>
  <si>
    <t>Extraordinary Income</t>
  </si>
  <si>
    <t>Distributions/Dividends Paid</t>
  </si>
  <si>
    <t>Fixed Assets Acquired</t>
  </si>
  <si>
    <t>Other Net Assets Increased</t>
  </si>
  <si>
    <t>Capital Introduced</t>
  </si>
  <si>
    <t>Operating Cash Profit vs Operating Cash Flow</t>
  </si>
  <si>
    <t>Funding Ratios</t>
  </si>
  <si>
    <t>Power of One</t>
  </si>
  <si>
    <t>Your Power of One</t>
  </si>
  <si>
    <t>year</t>
  </si>
  <si>
    <t>revenue</t>
  </si>
  <si>
    <t>gross_margin</t>
  </si>
  <si>
    <t>operating_profit</t>
  </si>
  <si>
    <t>net_profit</t>
  </si>
  <si>
    <t>ar_days</t>
  </si>
  <si>
    <t>inv_days</t>
  </si>
  <si>
    <t>ap_days</t>
  </si>
  <si>
    <t>wc_days</t>
  </si>
  <si>
    <t>total_assets</t>
  </si>
  <si>
    <t>asset_turnover</t>
  </si>
  <si>
    <t>return_on_capital</t>
  </si>
  <si>
    <t>net_debt</t>
  </si>
  <si>
    <t>equity</t>
  </si>
  <si>
    <t>debt_to_equity</t>
  </si>
  <si>
    <t>cash_flow</t>
  </si>
  <si>
    <t>Variables identificadas</t>
  </si>
  <si>
    <t>Tablas</t>
  </si>
  <si>
    <t>Tipo</t>
  </si>
  <si>
    <t>Descripcion</t>
  </si>
  <si>
    <t>Foto</t>
  </si>
  <si>
    <t>Filas</t>
  </si>
  <si>
    <t>Col1, Col2, Col3, Col4</t>
  </si>
  <si>
    <t>Tabla Basica</t>
  </si>
  <si>
    <t>Tabla Basica con Header repetitivo</t>
  </si>
  <si>
    <r>
      <rPr>
        <b/>
        <sz val="11"/>
        <color theme="1"/>
        <rFont val="Calibri"/>
        <family val="2"/>
        <scheme val="minor"/>
      </rPr>
      <t xml:space="preserve">Reporting period: </t>
    </r>
    <r>
      <rPr>
        <sz val="11"/>
        <color theme="1"/>
        <rFont val="Calibri"/>
        <family val="2"/>
        <scheme val="minor"/>
      </rPr>
      <t xml:space="preserve">Final del Periodo, Duración del periodo
</t>
    </r>
    <r>
      <rPr>
        <b/>
        <sz val="11"/>
        <color theme="1"/>
        <rFont val="Calibri"/>
        <family val="2"/>
        <scheme val="minor"/>
      </rPr>
      <t xml:space="preserve">ProfitAndLoss: </t>
    </r>
    <r>
      <rPr>
        <sz val="11"/>
        <color theme="1"/>
        <rFont val="Calibri"/>
        <family val="2"/>
        <scheme val="minor"/>
      </rPr>
      <t>Revenue, Gross_margin</t>
    </r>
  </si>
  <si>
    <t>Periodo 1, Periodo 2, Periodo 3, Periodo 4</t>
  </si>
  <si>
    <t>Classificacion</t>
  </si>
  <si>
    <t>General</t>
  </si>
  <si>
    <t>Constant</t>
  </si>
  <si>
    <t>Formula</t>
  </si>
  <si>
    <t>=Revenue-Cost_of_Goods</t>
  </si>
  <si>
    <t>=Gross_Margin-Overheads</t>
  </si>
  <si>
    <t>=Operating_Profit-Interest_Paid-Extraordinary_IncomeOrExpenses</t>
  </si>
  <si>
    <t>=Net_Profit_Before_Tax-Tax_Paid</t>
  </si>
  <si>
    <t>=Net_Profit-Dividends_Paid</t>
  </si>
  <si>
    <t>=Current_Assets+Non_Current_Assets</t>
  </si>
  <si>
    <t>=Current_Liabilities+Non_Current_Liabilities</t>
  </si>
  <si>
    <t>=Net_Profit</t>
  </si>
  <si>
    <t>=Total_Liabilities+Equity</t>
  </si>
  <si>
    <t>=Total_Assets-Liabilities_And_Equity</t>
  </si>
  <si>
    <t>=Cash+Accounts_Receivable+Inventory+Other_Current_Assets</t>
  </si>
  <si>
    <t>=Fixed_Assets+Other_Non_Current_Assets</t>
  </si>
  <si>
    <t>=Bank_Loans_Less_Non_Current+Other_Non_Current_Liabilities</t>
  </si>
  <si>
    <t>=Period_Earnings+Retained_Earnings+Capital</t>
  </si>
  <si>
    <t>=((Revenue2-Revenue)/Revenue)*100</t>
  </si>
  <si>
    <t>=(Gross_Margin/Revenue)*100</t>
  </si>
  <si>
    <t>=(Overheads/Revenue)*100</t>
  </si>
  <si>
    <t>=(Operating_Profit/Revenue)*100</t>
  </si>
  <si>
    <t>=Operating_Profit+Depreciation_And_Amortisation</t>
  </si>
  <si>
    <t>=(Net_Profit/Revenue)*100</t>
  </si>
  <si>
    <t>=Operating_Profit/Interest_Paid</t>
  </si>
  <si>
    <t>=(Accounts_Receivable/Revenue)*365</t>
  </si>
  <si>
    <t>=(Inventory/Cost_of_Goods)*365</t>
  </si>
  <si>
    <t>=(Accounts_Payable/Cost_of_Goods)*365</t>
  </si>
  <si>
    <t>=Accounts_Receivable_Days+Inventory_Days-Accounts_Payable_Days</t>
  </si>
  <si>
    <t>=Accounts_Receivable+Inventory-Accounts_Payable</t>
  </si>
  <si>
    <t>=(Working_Capital/C59)*100</t>
  </si>
  <si>
    <t>=Revenue/Working_Capital</t>
  </si>
  <si>
    <t>=((Gross_Margin/Revenue)-((Accounts_Receivable+Inventory-Accounts_Payable)/Revenue))*100</t>
  </si>
  <si>
    <t>=Current_Assets/Current_Liabilities</t>
  </si>
  <si>
    <t>=Fixed_Assets+Other_Current_Assets+Other_Non_Current_Assets-C41-Other_Non_Current_Liabilities</t>
  </si>
  <si>
    <t>=C86/Revenue</t>
  </si>
  <si>
    <t>=Revenue/C86</t>
  </si>
  <si>
    <t>=Bank_Loans_Less_Current+Bank_Loans_Less_Non_Current-Cash+Equity</t>
  </si>
  <si>
    <t>=Net_Operating_Assets/C59</t>
  </si>
  <si>
    <t>=C59/Net_Operating_Assets</t>
  </si>
  <si>
    <t>=Operating_Profit/Net_Operating_Assets</t>
  </si>
  <si>
    <t>=Operating_Profit/Total_Assets</t>
  </si>
  <si>
    <t>=Net_Profit/Equity</t>
  </si>
  <si>
    <t>=EBITDA2-((Accounts_Receivable2+Inventory2-Accounts_Payable2)-(Accounts_Receivable+Inventory-Accounts_Payable))</t>
  </si>
  <si>
    <t>=(Revenue2-(Accounts_Receivable2-Accounts_Receivable))-(Cost_of_Goods2+(Inventory2-Inventory)-(Accounts_Payable2-Accounts_Payable))-Overheads2-Depreciation_And_Amortisation2-Interest_Paid2-Tax_Paid2-Dividends_Paid2-(Fixed_Assets2-Fixed_Assets-Depreciation_And_Amortisation2)</t>
  </si>
  <si>
    <t>=Bank_Loans_Less_Current+Bank_Loans_Less_Non_Current-Cash</t>
  </si>
  <si>
    <t>=Net_Debt/Equity</t>
  </si>
  <si>
    <t>=(Bank_Loans_Less_Current+Bank_Loans_Less_Non_Current)/(Bank_Loans_Less_Current+Bank_Loans_Less_Non_Current+Equity)</t>
  </si>
  <si>
    <t>=Net_Debt/EBITDA</t>
  </si>
  <si>
    <t>=Revenue2-Cost_of_Goods2</t>
  </si>
  <si>
    <t>=Revenue3-Cost_of_Goods3</t>
  </si>
  <si>
    <t>Class</t>
  </si>
  <si>
    <t>Variable</t>
  </si>
  <si>
    <t>Name</t>
  </si>
  <si>
    <t>Forumla</t>
  </si>
  <si>
    <t>Forumla 2 period</t>
  </si>
  <si>
    <t>Forumla 3 period</t>
  </si>
  <si>
    <t>Scenario</t>
  </si>
  <si>
    <t>DF_FormulasFin</t>
  </si>
  <si>
    <t>Read from excel</t>
  </si>
  <si>
    <t>Statement</t>
  </si>
  <si>
    <t>Asset</t>
  </si>
  <si>
    <t>Liablilities</t>
  </si>
  <si>
    <t>=Net_Operating_Assets/Revenue</t>
  </si>
  <si>
    <t>=Revenue/Net_Operating_Assets</t>
  </si>
  <si>
    <t>=Other_Capital/Revenue</t>
  </si>
  <si>
    <t>=Revenue/Other_Capital</t>
  </si>
  <si>
    <t>=(Working_Capital/Revenue)*100</t>
  </si>
  <si>
    <t>Other Current Liabilities</t>
  </si>
  <si>
    <t>Other_Current_Liabilities</t>
  </si>
  <si>
    <t>Graficas</t>
  </si>
  <si>
    <t>Timeline with days</t>
  </si>
  <si>
    <t>Stacked bar Plot</t>
  </si>
  <si>
    <t>All periods by Variables Bar Plot</t>
  </si>
  <si>
    <t>Multivariable by period Bar Plot</t>
  </si>
  <si>
    <t>Variables Stacked by period Bar Plot</t>
  </si>
  <si>
    <t>Sums and Lesses Bar Plot</t>
  </si>
  <si>
    <t>Cash Flow Story Loading Template</t>
  </si>
  <si>
    <t>for company xxxx</t>
  </si>
  <si>
    <t>INPUTS FORM</t>
  </si>
  <si>
    <t>NOTA: Por favor ingresa la data en las celdas grises</t>
  </si>
  <si>
    <t>Periodo</t>
  </si>
  <si>
    <t>Fecha</t>
  </si>
  <si>
    <t>Activos</t>
  </si>
  <si>
    <t>Ingresos</t>
  </si>
  <si>
    <t>Costo de Ventas</t>
  </si>
  <si>
    <t>Margen Bruto</t>
  </si>
  <si>
    <t>Gastos Administrativos</t>
  </si>
  <si>
    <t>Utilidad Operacional</t>
  </si>
  <si>
    <t>Intereses Pagados</t>
  </si>
  <si>
    <t>Ingresos/Gastos Extraordinarios</t>
  </si>
  <si>
    <t>Utilidad Neta Antes de Impuestos</t>
  </si>
  <si>
    <t>Impuestos Pagados</t>
  </si>
  <si>
    <t>Utilidad Neta</t>
  </si>
  <si>
    <t>Dividendos Pagados</t>
  </si>
  <si>
    <t>Utilidad Retenida</t>
  </si>
  <si>
    <t>Efectivo</t>
  </si>
  <si>
    <t>Cuentas por Cobrar</t>
  </si>
  <si>
    <t>Inventarios</t>
  </si>
  <si>
    <t>Otros Activos Corrientes</t>
  </si>
  <si>
    <t>Activos Corrientes</t>
  </si>
  <si>
    <t>Activos Fijos</t>
  </si>
  <si>
    <t>Otros Activos No Corrientes</t>
  </si>
  <si>
    <t>Activos No Corrientes</t>
  </si>
  <si>
    <t>Total Activos</t>
  </si>
  <si>
    <t>Cuentas por Pagar</t>
  </si>
  <si>
    <t>Prestamos Bancarios Corrientes</t>
  </si>
  <si>
    <t>Otros Pasivos Corrientes</t>
  </si>
  <si>
    <t>Pasivos Corrientes</t>
  </si>
  <si>
    <t>Prestamos Bancarios No Corrientes</t>
  </si>
  <si>
    <t>Otros Pasivos No Corrientes</t>
  </si>
  <si>
    <t>Pasivos No Corrientes</t>
  </si>
  <si>
    <t>Total Pasivos</t>
  </si>
  <si>
    <t>Ganancias del Periodo</t>
  </si>
  <si>
    <t>Ganancias Retenidas</t>
  </si>
  <si>
    <t>Patrimonio</t>
  </si>
  <si>
    <t>Depreciación &amp; Amortización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</si>
</sst>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#,##0\ &quot;€&quot;;[Red]\-#,##0\ &quot;€&quot;"/>
    <numFmt numFmtId="167" formatCode="#,##0.00\ &quot;€&quot;;[Red]\-#,##0.00\ &quot;€&quot;"/>
    <numFmt numFmtId="168" formatCode="0.0%"/>
    <numFmt numFmtId="169" formatCode="_-* #,##0\ _P_t_s_-;\-* #,##0\ _P_t_s_-;_-* &quot;-&quot;\ _P_t_s_-;_-@_-"/>
    <numFmt numFmtId="170" formatCode="0.0"/>
    <numFmt numFmtId="171" formatCode="#,##0.0000000000000_);[Red]\(#,##0.0000000000000\)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Symbol"/>
      <family val="1"/>
      <charset val="2"/>
    </font>
    <font>
      <b/>
      <sz val="11"/>
      <color theme="1"/>
      <name val="Railway"/>
    </font>
    <font>
      <sz val="11"/>
      <color theme="1"/>
      <name val="Railway"/>
    </font>
    <font>
      <b/>
      <sz val="11"/>
      <color rgb="FF002060"/>
      <name val="Railway"/>
    </font>
    <font>
      <sz val="11"/>
      <color rgb="FF002060"/>
      <name val="Railway"/>
    </font>
    <font>
      <b/>
      <u/>
      <sz val="11"/>
      <color theme="1"/>
      <name val="Railway"/>
    </font>
    <font>
      <sz val="11"/>
      <color rgb="FF0070C0"/>
      <name val="Railway"/>
    </font>
    <font>
      <b/>
      <sz val="18"/>
      <color theme="1"/>
      <name val="Railway"/>
    </font>
    <font>
      <sz val="11"/>
      <name val="Railway"/>
    </font>
    <font>
      <b/>
      <sz val="16"/>
      <color theme="1"/>
      <name val="Railway"/>
    </font>
    <font>
      <b/>
      <sz val="11"/>
      <name val="Calibri"/>
      <family val="2"/>
      <scheme val="minor"/>
    </font>
    <font>
      <b/>
      <sz val="11"/>
      <color rgb="FF0070C0"/>
      <name val="Railway"/>
    </font>
    <font>
      <sz val="11"/>
      <color rgb="FFFF0000"/>
      <name val="Railway"/>
    </font>
    <font>
      <b/>
      <sz val="11"/>
      <color theme="4"/>
      <name val="Railway"/>
    </font>
    <font>
      <b/>
      <sz val="11"/>
      <name val="Railway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ck">
        <color theme="0" tint="-0.34998626667073579"/>
      </left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/>
      <bottom style="thick">
        <color rgb="FF00CC99"/>
      </bottom>
      <diagonal/>
    </border>
    <border>
      <left/>
      <right/>
      <top style="thick">
        <color rgb="FF00CC99"/>
      </top>
      <bottom/>
      <diagonal/>
    </border>
    <border>
      <left/>
      <right/>
      <top style="thick">
        <color rgb="FF00CC99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3" fillId="0" borderId="0"/>
    <xf numFmtId="169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 applyAlignment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5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5" fillId="0" borderId="0" xfId="0" applyFont="1"/>
    <xf numFmtId="0" fontId="6" fillId="0" borderId="3" xfId="0" applyFont="1" applyBorder="1"/>
    <xf numFmtId="3" fontId="6" fillId="0" borderId="3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0" fontId="6" fillId="0" borderId="4" xfId="0" applyFont="1" applyBorder="1"/>
    <xf numFmtId="4" fontId="6" fillId="0" borderId="4" xfId="0" applyNumberFormat="1" applyFont="1" applyBorder="1" applyAlignment="1">
      <alignment horizontal="center"/>
    </xf>
    <xf numFmtId="168" fontId="6" fillId="0" borderId="4" xfId="8" applyNumberFormat="1" applyFont="1" applyBorder="1" applyAlignment="1">
      <alignment horizontal="center"/>
    </xf>
    <xf numFmtId="10" fontId="6" fillId="0" borderId="4" xfId="8" applyNumberFormat="1" applyFont="1" applyBorder="1" applyAlignment="1">
      <alignment horizontal="center"/>
    </xf>
    <xf numFmtId="2" fontId="6" fillId="0" borderId="4" xfId="8" applyNumberFormat="1" applyFont="1" applyBorder="1" applyAlignment="1">
      <alignment horizontal="center"/>
    </xf>
    <xf numFmtId="0" fontId="7" fillId="0" borderId="5" xfId="0" applyFont="1" applyBorder="1"/>
    <xf numFmtId="3" fontId="7" fillId="0" borderId="5" xfId="0" applyNumberFormat="1" applyFont="1" applyBorder="1" applyAlignment="1">
      <alignment horizontal="center"/>
    </xf>
    <xf numFmtId="0" fontId="7" fillId="0" borderId="0" xfId="0" applyFont="1"/>
    <xf numFmtId="3" fontId="7" fillId="0" borderId="0" xfId="0" applyNumberFormat="1" applyFont="1" applyAlignment="1">
      <alignment horizontal="center"/>
    </xf>
    <xf numFmtId="3" fontId="6" fillId="0" borderId="0" xfId="0" applyNumberFormat="1" applyFont="1"/>
    <xf numFmtId="0" fontId="6" fillId="0" borderId="2" xfId="0" applyFont="1" applyBorder="1" applyAlignment="1">
      <alignment horizontal="center"/>
    </xf>
    <xf numFmtId="0" fontId="7" fillId="0" borderId="2" xfId="0" applyFont="1" applyBorder="1"/>
    <xf numFmtId="3" fontId="7" fillId="0" borderId="2" xfId="0" applyNumberFormat="1" applyFont="1" applyBorder="1" applyAlignment="1">
      <alignment horizontal="center"/>
    </xf>
    <xf numFmtId="0" fontId="7" fillId="0" borderId="4" xfId="0" applyFont="1" applyBorder="1"/>
    <xf numFmtId="3" fontId="7" fillId="0" borderId="4" xfId="0" applyNumberFormat="1" applyFont="1" applyBorder="1" applyAlignment="1">
      <alignment horizontal="center"/>
    </xf>
    <xf numFmtId="3" fontId="8" fillId="0" borderId="4" xfId="0" applyNumberFormat="1" applyFont="1" applyBorder="1" applyAlignment="1">
      <alignment horizontal="center"/>
    </xf>
    <xf numFmtId="0" fontId="7" fillId="2" borderId="4" xfId="0" applyFont="1" applyFill="1" applyBorder="1"/>
    <xf numFmtId="3" fontId="8" fillId="2" borderId="4" xfId="0" applyNumberFormat="1" applyFont="1" applyFill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4" fontId="6" fillId="0" borderId="0" xfId="0" applyNumberFormat="1" applyFont="1" applyAlignment="1">
      <alignment horizontal="center"/>
    </xf>
    <xf numFmtId="10" fontId="6" fillId="0" borderId="0" xfId="8" applyNumberFormat="1" applyFont="1" applyBorder="1" applyAlignment="1">
      <alignment horizontal="center"/>
    </xf>
    <xf numFmtId="0" fontId="6" fillId="4" borderId="4" xfId="0" applyFont="1" applyFill="1" applyBorder="1"/>
    <xf numFmtId="4" fontId="6" fillId="4" borderId="4" xfId="0" applyNumberFormat="1" applyFont="1" applyFill="1" applyBorder="1" applyAlignment="1">
      <alignment horizontal="center"/>
    </xf>
    <xf numFmtId="0" fontId="6" fillId="4" borderId="0" xfId="0" applyFont="1" applyFill="1"/>
    <xf numFmtId="3" fontId="6" fillId="4" borderId="0" xfId="0" applyNumberFormat="1" applyFont="1" applyFill="1" applyAlignment="1">
      <alignment horizontal="center"/>
    </xf>
    <xf numFmtId="10" fontId="6" fillId="4" borderId="4" xfId="8" applyNumberFormat="1" applyFont="1" applyFill="1" applyBorder="1" applyAlignment="1">
      <alignment horizontal="center"/>
    </xf>
    <xf numFmtId="4" fontId="6" fillId="4" borderId="0" xfId="0" applyNumberFormat="1" applyFont="1" applyFill="1" applyAlignment="1">
      <alignment horizontal="center"/>
    </xf>
    <xf numFmtId="3" fontId="6" fillId="3" borderId="4" xfId="0" applyNumberFormat="1" applyFont="1" applyFill="1" applyBorder="1" applyAlignment="1">
      <alignment horizontal="center"/>
    </xf>
    <xf numFmtId="0" fontId="9" fillId="0" borderId="0" xfId="0" applyFont="1"/>
    <xf numFmtId="4" fontId="6" fillId="0" borderId="3" xfId="0" applyNumberFormat="1" applyFont="1" applyBorder="1" applyAlignment="1">
      <alignment horizontal="center"/>
    </xf>
    <xf numFmtId="4" fontId="6" fillId="0" borderId="4" xfId="8" applyNumberFormat="1" applyFont="1" applyBorder="1" applyAlignment="1">
      <alignment horizontal="center"/>
    </xf>
    <xf numFmtId="3" fontId="6" fillId="0" borderId="4" xfId="8" applyNumberFormat="1" applyFont="1" applyBorder="1" applyAlignment="1">
      <alignment horizontal="center"/>
    </xf>
    <xf numFmtId="3" fontId="10" fillId="0" borderId="0" xfId="0" applyNumberFormat="1" applyFont="1" applyAlignment="1">
      <alignment horizontal="center"/>
    </xf>
    <xf numFmtId="0" fontId="7" fillId="2" borderId="6" xfId="0" applyFont="1" applyFill="1" applyBorder="1"/>
    <xf numFmtId="3" fontId="7" fillId="2" borderId="5" xfId="0" applyNumberFormat="1" applyFont="1" applyFill="1" applyBorder="1" applyAlignment="1">
      <alignment horizontal="center"/>
    </xf>
    <xf numFmtId="3" fontId="7" fillId="2" borderId="6" xfId="0" applyNumberFormat="1" applyFont="1" applyFill="1" applyBorder="1" applyAlignment="1">
      <alignment horizontal="center"/>
    </xf>
    <xf numFmtId="3" fontId="6" fillId="5" borderId="4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/>
    <xf numFmtId="0" fontId="5" fillId="0" borderId="5" xfId="0" applyFont="1" applyBorder="1" applyAlignment="1">
      <alignment horizontal="center"/>
    </xf>
    <xf numFmtId="4" fontId="6" fillId="0" borderId="7" xfId="0" applyNumberFormat="1" applyFont="1" applyBorder="1" applyAlignment="1">
      <alignment horizontal="center"/>
    </xf>
    <xf numFmtId="4" fontId="6" fillId="0" borderId="8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3" fontId="12" fillId="0" borderId="0" xfId="0" applyNumberFormat="1" applyFont="1" applyAlignment="1">
      <alignment horizontal="center"/>
    </xf>
    <xf numFmtId="3" fontId="12" fillId="0" borderId="4" xfId="0" applyNumberFormat="1" applyFont="1" applyBorder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left"/>
    </xf>
    <xf numFmtId="0" fontId="6" fillId="0" borderId="5" xfId="0" applyFont="1" applyBorder="1"/>
    <xf numFmtId="3" fontId="6" fillId="0" borderId="4" xfId="0" applyNumberFormat="1" applyFont="1" applyBorder="1"/>
    <xf numFmtId="3" fontId="7" fillId="0" borderId="4" xfId="0" applyNumberFormat="1" applyFont="1" applyBorder="1"/>
    <xf numFmtId="3" fontId="7" fillId="0" borderId="5" xfId="0" applyNumberFormat="1" applyFont="1" applyBorder="1"/>
    <xf numFmtId="0" fontId="13" fillId="0" borderId="0" xfId="0" applyFont="1"/>
    <xf numFmtId="9" fontId="6" fillId="0" borderId="0" xfId="8" applyFont="1"/>
    <xf numFmtId="167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7" fontId="6" fillId="0" borderId="0" xfId="0" applyNumberFormat="1" applyFont="1"/>
    <xf numFmtId="2" fontId="0" fillId="0" borderId="1" xfId="0" applyNumberFormat="1" applyBorder="1" applyAlignment="1">
      <alignment horizontal="center" vertical="center" wrapText="1"/>
    </xf>
    <xf numFmtId="168" fontId="6" fillId="0" borderId="9" xfId="8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4" fontId="6" fillId="3" borderId="0" xfId="0" applyNumberFormat="1" applyFont="1" applyFill="1" applyAlignment="1">
      <alignment horizontal="center"/>
    </xf>
    <xf numFmtId="170" fontId="6" fillId="0" borderId="0" xfId="0" applyNumberFormat="1" applyFont="1"/>
    <xf numFmtId="3" fontId="6" fillId="4" borderId="4" xfId="0" applyNumberFormat="1" applyFont="1" applyFill="1" applyBorder="1" applyAlignment="1">
      <alignment horizontal="center"/>
    </xf>
    <xf numFmtId="3" fontId="6" fillId="3" borderId="0" xfId="0" applyNumberFormat="1" applyFont="1" applyFill="1"/>
    <xf numFmtId="168" fontId="6" fillId="0" borderId="0" xfId="8" applyNumberFormat="1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6" fillId="0" borderId="0" xfId="0" quotePrefix="1" applyFont="1"/>
    <xf numFmtId="0" fontId="1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/>
    <xf numFmtId="0" fontId="6" fillId="6" borderId="0" xfId="0" applyFont="1" applyFill="1"/>
    <xf numFmtId="0" fontId="6" fillId="3" borderId="0" xfId="0" applyFont="1" applyFill="1"/>
    <xf numFmtId="167" fontId="6" fillId="3" borderId="0" xfId="0" applyNumberFormat="1" applyFont="1" applyFill="1"/>
    <xf numFmtId="4" fontId="6" fillId="3" borderId="0" xfId="0" applyNumberFormat="1" applyFont="1" applyFill="1"/>
    <xf numFmtId="0" fontId="6" fillId="7" borderId="0" xfId="0" applyFont="1" applyFill="1" applyAlignment="1">
      <alignment horizontal="center"/>
    </xf>
    <xf numFmtId="0" fontId="6" fillId="8" borderId="0" xfId="0" applyFont="1" applyFill="1"/>
    <xf numFmtId="0" fontId="6" fillId="9" borderId="0" xfId="0" applyFont="1" applyFill="1"/>
    <xf numFmtId="3" fontId="6" fillId="7" borderId="0" xfId="0" applyNumberFormat="1" applyFont="1" applyFill="1" applyAlignment="1">
      <alignment horizontal="center"/>
    </xf>
    <xf numFmtId="0" fontId="6" fillId="10" borderId="4" xfId="0" applyFont="1" applyFill="1" applyBorder="1"/>
    <xf numFmtId="0" fontId="6" fillId="10" borderId="0" xfId="0" applyFont="1" applyFill="1"/>
    <xf numFmtId="0" fontId="0" fillId="10" borderId="1" xfId="0" applyFill="1" applyBorder="1" applyAlignment="1">
      <alignment vertical="center" wrapText="1"/>
    </xf>
    <xf numFmtId="167" fontId="0" fillId="10" borderId="1" xfId="0" applyNumberFormat="1" applyFill="1" applyBorder="1" applyAlignment="1">
      <alignment horizontal="center" vertical="center" wrapText="1"/>
    </xf>
    <xf numFmtId="3" fontId="0" fillId="10" borderId="1" xfId="0" applyNumberFormat="1" applyFill="1" applyBorder="1" applyAlignment="1">
      <alignment horizontal="center" vertical="center" wrapText="1"/>
    </xf>
    <xf numFmtId="166" fontId="0" fillId="10" borderId="1" xfId="0" applyNumberFormat="1" applyFill="1" applyBorder="1" applyAlignment="1">
      <alignment horizontal="center" vertical="center" wrapText="1"/>
    </xf>
    <xf numFmtId="2" fontId="0" fillId="10" borderId="1" xfId="0" applyNumberForma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171" fontId="6" fillId="0" borderId="0" xfId="0" applyNumberFormat="1" applyFont="1"/>
    <xf numFmtId="0" fontId="1" fillId="0" borderId="0" xfId="0" applyFont="1" applyAlignment="1">
      <alignment horizontal="center" vertical="center"/>
    </xf>
    <xf numFmtId="44" fontId="0" fillId="0" borderId="0" xfId="10" applyFont="1" applyAlignment="1">
      <alignment vertical="center" wrapText="1"/>
    </xf>
    <xf numFmtId="44" fontId="0" fillId="0" borderId="0" xfId="10" applyFont="1" applyAlignment="1">
      <alignment vertical="center"/>
    </xf>
    <xf numFmtId="0" fontId="0" fillId="0" borderId="0" xfId="11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3" fontId="12" fillId="11" borderId="0" xfId="0" applyNumberFormat="1" applyFont="1" applyFill="1" applyAlignment="1">
      <alignment horizontal="center"/>
    </xf>
    <xf numFmtId="3" fontId="10" fillId="11" borderId="0" xfId="0" applyNumberFormat="1" applyFont="1" applyFill="1" applyAlignment="1">
      <alignment horizontal="center"/>
    </xf>
    <xf numFmtId="3" fontId="7" fillId="12" borderId="5" xfId="0" applyNumberFormat="1" applyFont="1" applyFill="1" applyBorder="1" applyAlignment="1">
      <alignment horizontal="center"/>
    </xf>
    <xf numFmtId="3" fontId="7" fillId="12" borderId="2" xfId="0" applyNumberFormat="1" applyFont="1" applyFill="1" applyBorder="1" applyAlignment="1">
      <alignment horizontal="center"/>
    </xf>
    <xf numFmtId="3" fontId="7" fillId="12" borderId="0" xfId="0" applyNumberFormat="1" applyFont="1" applyFill="1" applyAlignment="1">
      <alignment horizontal="center"/>
    </xf>
    <xf numFmtId="3" fontId="7" fillId="12" borderId="6" xfId="0" applyNumberFormat="1" applyFont="1" applyFill="1" applyBorder="1" applyAlignment="1">
      <alignment horizontal="center"/>
    </xf>
    <xf numFmtId="3" fontId="12" fillId="12" borderId="0" xfId="0" applyNumberFormat="1" applyFont="1" applyFill="1" applyAlignment="1">
      <alignment horizontal="center"/>
    </xf>
    <xf numFmtId="3" fontId="8" fillId="12" borderId="4" xfId="0" applyNumberFormat="1" applyFont="1" applyFill="1" applyBorder="1" applyAlignment="1">
      <alignment horizontal="center"/>
    </xf>
    <xf numFmtId="3" fontId="10" fillId="12" borderId="0" xfId="0" applyNumberFormat="1" applyFont="1" applyFill="1" applyAlignment="1">
      <alignment horizontal="center"/>
    </xf>
    <xf numFmtId="2" fontId="5" fillId="12" borderId="4" xfId="8" applyNumberFormat="1" applyFont="1" applyFill="1" applyBorder="1" applyAlignment="1">
      <alignment horizontal="center"/>
    </xf>
    <xf numFmtId="3" fontId="6" fillId="12" borderId="4" xfId="0" applyNumberFormat="1" applyFont="1" applyFill="1" applyBorder="1" applyAlignment="1">
      <alignment horizontal="center"/>
    </xf>
    <xf numFmtId="2" fontId="6" fillId="12" borderId="4" xfId="0" applyNumberFormat="1" applyFont="1" applyFill="1" applyBorder="1" applyAlignment="1">
      <alignment horizontal="center"/>
    </xf>
    <xf numFmtId="4" fontId="6" fillId="12" borderId="0" xfId="0" applyNumberFormat="1" applyFont="1" applyFill="1" applyAlignment="1">
      <alignment horizontal="center"/>
    </xf>
    <xf numFmtId="4" fontId="6" fillId="12" borderId="4" xfId="0" applyNumberFormat="1" applyFont="1" applyFill="1" applyBorder="1" applyAlignment="1">
      <alignment horizontal="center"/>
    </xf>
    <xf numFmtId="3" fontId="6" fillId="12" borderId="0" xfId="0" applyNumberFormat="1" applyFont="1" applyFill="1" applyAlignment="1">
      <alignment horizontal="center"/>
    </xf>
    <xf numFmtId="10" fontId="6" fillId="12" borderId="4" xfId="8" applyNumberFormat="1" applyFont="1" applyFill="1" applyBorder="1" applyAlignment="1">
      <alignment horizontal="center"/>
    </xf>
    <xf numFmtId="10" fontId="6" fillId="12" borderId="0" xfId="8" applyNumberFormat="1" applyFont="1" applyFill="1" applyBorder="1" applyAlignment="1">
      <alignment horizontal="center"/>
    </xf>
    <xf numFmtId="168" fontId="6" fillId="12" borderId="4" xfId="8" applyNumberFormat="1" applyFont="1" applyFill="1" applyBorder="1" applyAlignment="1">
      <alignment horizontal="center"/>
    </xf>
    <xf numFmtId="2" fontId="6" fillId="13" borderId="4" xfId="0" applyNumberFormat="1" applyFont="1" applyFill="1" applyBorder="1" applyAlignment="1">
      <alignment horizontal="center"/>
    </xf>
    <xf numFmtId="4" fontId="6" fillId="13" borderId="4" xfId="0" applyNumberFormat="1" applyFont="1" applyFill="1" applyBorder="1" applyAlignment="1">
      <alignment horizontal="center"/>
    </xf>
    <xf numFmtId="0" fontId="6" fillId="12" borderId="4" xfId="0" applyFont="1" applyFill="1" applyBorder="1"/>
    <xf numFmtId="0" fontId="6" fillId="2" borderId="0" xfId="0" applyFont="1" applyFill="1"/>
    <xf numFmtId="0" fontId="6" fillId="2" borderId="0" xfId="0" quotePrefix="1" applyFont="1" applyFill="1"/>
    <xf numFmtId="3" fontId="6" fillId="2" borderId="0" xfId="0" applyNumberFormat="1" applyFont="1" applyFill="1" applyAlignment="1">
      <alignment horizontal="center"/>
    </xf>
    <xf numFmtId="0" fontId="15" fillId="11" borderId="0" xfId="0" applyFont="1" applyFill="1"/>
    <xf numFmtId="0" fontId="15" fillId="0" borderId="0" xfId="0" applyFont="1"/>
    <xf numFmtId="0" fontId="16" fillId="3" borderId="0" xfId="0" applyFont="1" applyFill="1"/>
    <xf numFmtId="3" fontId="5" fillId="12" borderId="4" xfId="0" applyNumberFormat="1" applyFont="1" applyFill="1" applyBorder="1" applyAlignment="1">
      <alignment horizontal="center"/>
    </xf>
    <xf numFmtId="0" fontId="17" fillId="11" borderId="0" xfId="0" applyFont="1" applyFill="1"/>
    <xf numFmtId="0" fontId="12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quotePrefix="1"/>
    <xf numFmtId="0" fontId="1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14" fontId="23" fillId="14" borderId="1" xfId="0" applyNumberFormat="1" applyFont="1" applyFill="1" applyBorder="1"/>
    <xf numFmtId="14" fontId="23" fillId="0" borderId="0" xfId="0" applyNumberFormat="1" applyFont="1"/>
    <xf numFmtId="0" fontId="0" fillId="14" borderId="13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</cellXfs>
  <cellStyles count="12">
    <cellStyle name="Comma" xfId="11" builtinId="3"/>
    <cellStyle name="Currency" xfId="10" builtinId="4"/>
    <cellStyle name="Invisible" xfId="9" xr:uid="{1E612B2F-98B7-469B-A635-E38DB4519901}"/>
    <cellStyle name="Millares [0] 2" xfId="4" xr:uid="{FF3DEB98-06D6-477F-9F1D-0542771B35AA}"/>
    <cellStyle name="Millares [0] 3" xfId="2" xr:uid="{75684DB1-7B64-44AE-BA54-F4768B05DABF}"/>
    <cellStyle name="Millares 2" xfId="6" xr:uid="{DA00691E-4B8C-41DA-B9D0-65F1736E0276}"/>
    <cellStyle name="Normal" xfId="0" builtinId="0"/>
    <cellStyle name="Normal 2" xfId="3" xr:uid="{FFD41537-50A1-4E55-A4AF-84B8A7C60AA3}"/>
    <cellStyle name="Normal 3" xfId="1" xr:uid="{7188F009-F24A-414B-8186-774924C899F5}"/>
    <cellStyle name="Percent" xfId="8" builtinId="5"/>
    <cellStyle name="Porcentaje 2" xfId="5" xr:uid="{E3A6E8FA-D932-4642-8C53-D8880F01CF9F}"/>
    <cellStyle name="Porcentaje 3" xfId="7" xr:uid="{41349B97-C218-4FE9-9682-D00D055E1528}"/>
  </cellStyles>
  <dxfs count="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2D050"/>
      </font>
    </dxf>
    <dxf>
      <font>
        <color rgb="FF92D050"/>
      </font>
    </dxf>
    <dxf>
      <font>
        <color rgb="FFFF0000"/>
      </font>
    </dxf>
    <dxf>
      <font>
        <color rgb="FFFF0000"/>
      </font>
    </dxf>
    <dxf>
      <font>
        <color rgb="FF92D050"/>
      </font>
    </dxf>
    <dxf>
      <font>
        <color rgb="FF92D050"/>
      </font>
    </dxf>
    <dxf>
      <font>
        <color rgb="FFFF000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92D050"/>
      </font>
    </dxf>
    <dxf>
      <font>
        <color rgb="FFFF000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92D050"/>
      </font>
    </dxf>
    <dxf>
      <font>
        <color rgb="FFFF0000"/>
      </font>
    </dxf>
    <dxf>
      <font>
        <color rgb="FFFF0000"/>
      </font>
    </dxf>
    <dxf>
      <font>
        <color rgb="FF92D050"/>
      </font>
    </dxf>
    <dxf>
      <font>
        <color rgb="FF92D050"/>
      </font>
    </dxf>
    <dxf>
      <font>
        <color rgb="FFFF000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99FF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971784776902884E-2"/>
          <c:y val="2.3148148148148147E-2"/>
          <c:w val="0.91666666666666652"/>
          <c:h val="0.8138969087197434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(EEFF!$A$16,EEFF!$A$17,EEFF!$A$18,EEFF!$A$19,EEFF!$A$20)</c:f>
              <c:strCache>
                <c:ptCount val="5"/>
                <c:pt idx="0">
                  <c:v>Revenue</c:v>
                </c:pt>
                <c:pt idx="1">
                  <c:v>Cost of Goods</c:v>
                </c:pt>
                <c:pt idx="2">
                  <c:v>Gross Margin</c:v>
                </c:pt>
                <c:pt idx="3">
                  <c:v>Overheads</c:v>
                </c:pt>
                <c:pt idx="4">
                  <c:v>Operating Profit</c:v>
                </c:pt>
              </c:strCache>
            </c:strRef>
          </c:cat>
          <c:val>
            <c:numRef>
              <c:f>(EEFF!$F$16,EEFF!$F$17,EEFF!$F$18,EEFF!$F$19,EEFF!$F$20)</c:f>
              <c:numCache>
                <c:formatCode>#,##0</c:formatCode>
                <c:ptCount val="5"/>
                <c:pt idx="0">
                  <c:v>6612000</c:v>
                </c:pt>
                <c:pt idx="1">
                  <c:v>4694500</c:v>
                </c:pt>
                <c:pt idx="2">
                  <c:v>1917500</c:v>
                </c:pt>
                <c:pt idx="3">
                  <c:v>1216200</c:v>
                </c:pt>
                <c:pt idx="4">
                  <c:v>701300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14A-4208-85D5-3FB815395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2802831"/>
        <c:axId val="1312804911"/>
      </c:barChart>
      <c:catAx>
        <c:axId val="1312802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12804911"/>
        <c:crosses val="autoZero"/>
        <c:auto val="1"/>
        <c:lblAlgn val="ctr"/>
        <c:lblOffset val="100"/>
        <c:noMultiLvlLbl val="0"/>
      </c:catAx>
      <c:valAx>
        <c:axId val="1312804911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312802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116</xdr:row>
      <xdr:rowOff>0</xdr:rowOff>
    </xdr:from>
    <xdr:to>
      <xdr:col>4</xdr:col>
      <xdr:colOff>495300</xdr:colOff>
      <xdr:row>131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6BFC5FD-79C6-464D-A120-F89972D699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54323</xdr:colOff>
      <xdr:row>5</xdr:row>
      <xdr:rowOff>63502</xdr:rowOff>
    </xdr:from>
    <xdr:to>
      <xdr:col>3</xdr:col>
      <xdr:colOff>2577169</xdr:colOff>
      <xdr:row>5</xdr:row>
      <xdr:rowOff>2890922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B49653-D78C-4180-8BFF-0745A8C5A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7678" y="1534028"/>
          <a:ext cx="2551421" cy="2827420"/>
        </a:xfrm>
        <a:prstGeom prst="rect">
          <a:avLst/>
        </a:prstGeom>
      </xdr:spPr>
    </xdr:pic>
    <xdr:clientData/>
  </xdr:twoCellAnchor>
  <xdr:twoCellAnchor editAs="oneCell">
    <xdr:from>
      <xdr:col>3</xdr:col>
      <xdr:colOff>66951</xdr:colOff>
      <xdr:row>6</xdr:row>
      <xdr:rowOff>33096</xdr:rowOff>
    </xdr:from>
    <xdr:to>
      <xdr:col>3</xdr:col>
      <xdr:colOff>2699297</xdr:colOff>
      <xdr:row>6</xdr:row>
      <xdr:rowOff>617964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3509A1-C89B-A7D8-E7BC-094AF4B3D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58445" y="4288421"/>
          <a:ext cx="2632346" cy="584868"/>
        </a:xfrm>
        <a:prstGeom prst="rect">
          <a:avLst/>
        </a:prstGeom>
      </xdr:spPr>
    </xdr:pic>
    <xdr:clientData/>
  </xdr:twoCellAnchor>
  <xdr:twoCellAnchor editAs="oneCell">
    <xdr:from>
      <xdr:col>3</xdr:col>
      <xdr:colOff>98962</xdr:colOff>
      <xdr:row>10</xdr:row>
      <xdr:rowOff>85605</xdr:rowOff>
    </xdr:from>
    <xdr:to>
      <xdr:col>3</xdr:col>
      <xdr:colOff>2614220</xdr:colOff>
      <xdr:row>10</xdr:row>
      <xdr:rowOff>1794082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296EA0-49F2-E18D-F057-1526CDABD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90456" y="8233397"/>
          <a:ext cx="2515258" cy="1708477"/>
        </a:xfrm>
        <a:prstGeom prst="rect">
          <a:avLst/>
        </a:prstGeom>
      </xdr:spPr>
    </xdr:pic>
    <xdr:clientData/>
  </xdr:twoCellAnchor>
  <xdr:twoCellAnchor editAs="oneCell">
    <xdr:from>
      <xdr:col>3</xdr:col>
      <xdr:colOff>140198</xdr:colOff>
      <xdr:row>10</xdr:row>
      <xdr:rowOff>1905002</xdr:rowOff>
    </xdr:from>
    <xdr:to>
      <xdr:col>3</xdr:col>
      <xdr:colOff>2655456</xdr:colOff>
      <xdr:row>10</xdr:row>
      <xdr:rowOff>3258367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6E6DED-BA70-1AE4-E1A7-0C85497969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5590"/>
        <a:stretch/>
      </xdr:blipFill>
      <xdr:spPr>
        <a:xfrm>
          <a:off x="3331692" y="10052794"/>
          <a:ext cx="2515258" cy="1353365"/>
        </a:xfrm>
        <a:prstGeom prst="rect">
          <a:avLst/>
        </a:prstGeom>
      </xdr:spPr>
    </xdr:pic>
    <xdr:clientData/>
  </xdr:twoCellAnchor>
  <xdr:twoCellAnchor editAs="oneCell">
    <xdr:from>
      <xdr:col>3</xdr:col>
      <xdr:colOff>41232</xdr:colOff>
      <xdr:row>11</xdr:row>
      <xdr:rowOff>41231</xdr:rowOff>
    </xdr:from>
    <xdr:to>
      <xdr:col>3</xdr:col>
      <xdr:colOff>2667345</xdr:colOff>
      <xdr:row>11</xdr:row>
      <xdr:rowOff>1517400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B9E9D8-D993-AAEA-2729-43C85BBC9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2726" y="11619673"/>
          <a:ext cx="2626113" cy="1476169"/>
        </a:xfrm>
        <a:prstGeom prst="rect">
          <a:avLst/>
        </a:prstGeom>
      </xdr:spPr>
    </xdr:pic>
    <xdr:clientData/>
  </xdr:twoCellAnchor>
  <xdr:twoCellAnchor editAs="oneCell">
    <xdr:from>
      <xdr:col>3</xdr:col>
      <xdr:colOff>90714</xdr:colOff>
      <xdr:row>12</xdr:row>
      <xdr:rowOff>98962</xdr:rowOff>
    </xdr:from>
    <xdr:to>
      <xdr:col>3</xdr:col>
      <xdr:colOff>2611439</xdr:colOff>
      <xdr:row>12</xdr:row>
      <xdr:rowOff>824676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B53E73-3464-7BB7-C9F2-6B08C67010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1173" r="7633"/>
        <a:stretch/>
      </xdr:blipFill>
      <xdr:spPr>
        <a:xfrm>
          <a:off x="3282208" y="13252533"/>
          <a:ext cx="2520725" cy="725714"/>
        </a:xfrm>
        <a:prstGeom prst="rect">
          <a:avLst/>
        </a:prstGeom>
      </xdr:spPr>
    </xdr:pic>
    <xdr:clientData/>
  </xdr:twoCellAnchor>
  <xdr:twoCellAnchor editAs="oneCell">
    <xdr:from>
      <xdr:col>3</xdr:col>
      <xdr:colOff>32987</xdr:colOff>
      <xdr:row>13</xdr:row>
      <xdr:rowOff>98961</xdr:rowOff>
    </xdr:from>
    <xdr:to>
      <xdr:col>3</xdr:col>
      <xdr:colOff>2678141</xdr:colOff>
      <xdr:row>13</xdr:row>
      <xdr:rowOff>848677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80088B6-890D-2BBB-BCB9-E40DB9470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24481" y="14827662"/>
          <a:ext cx="2645154" cy="749716"/>
        </a:xfrm>
        <a:prstGeom prst="rect">
          <a:avLst/>
        </a:prstGeom>
      </xdr:spPr>
    </xdr:pic>
    <xdr:clientData/>
  </xdr:twoCellAnchor>
  <xdr:twoCellAnchor editAs="oneCell">
    <xdr:from>
      <xdr:col>3</xdr:col>
      <xdr:colOff>29208</xdr:colOff>
      <xdr:row>13</xdr:row>
      <xdr:rowOff>858990</xdr:rowOff>
    </xdr:from>
    <xdr:to>
      <xdr:col>3</xdr:col>
      <xdr:colOff>2682610</xdr:colOff>
      <xdr:row>13</xdr:row>
      <xdr:rowOff>1646290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ED20B9-720F-47B8-CBCF-1ADA58F685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r="9599"/>
        <a:stretch/>
      </xdr:blipFill>
      <xdr:spPr>
        <a:xfrm>
          <a:off x="3221847" y="16963296"/>
          <a:ext cx="2653402" cy="787300"/>
        </a:xfrm>
        <a:prstGeom prst="rect">
          <a:avLst/>
        </a:prstGeom>
      </xdr:spPr>
    </xdr:pic>
    <xdr:clientData/>
  </xdr:twoCellAnchor>
  <xdr:twoCellAnchor editAs="oneCell">
    <xdr:from>
      <xdr:col>3</xdr:col>
      <xdr:colOff>99954</xdr:colOff>
      <xdr:row>12</xdr:row>
      <xdr:rowOff>817270</xdr:rowOff>
    </xdr:from>
    <xdr:to>
      <xdr:col>3</xdr:col>
      <xdr:colOff>2651713</xdr:colOff>
      <xdr:row>12</xdr:row>
      <xdr:rowOff>1530472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0669AD4-5331-268F-5B17-2C6C5867B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92593" y="13970001"/>
          <a:ext cx="2551759" cy="713202"/>
        </a:xfrm>
        <a:prstGeom prst="rect">
          <a:avLst/>
        </a:prstGeom>
      </xdr:spPr>
    </xdr:pic>
    <xdr:clientData/>
  </xdr:twoCellAnchor>
  <xdr:twoCellAnchor editAs="oneCell">
    <xdr:from>
      <xdr:col>3</xdr:col>
      <xdr:colOff>85362</xdr:colOff>
      <xdr:row>15</xdr:row>
      <xdr:rowOff>64675</xdr:rowOff>
    </xdr:from>
    <xdr:to>
      <xdr:col>3</xdr:col>
      <xdr:colOff>2651714</xdr:colOff>
      <xdr:row>15</xdr:row>
      <xdr:rowOff>1639020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D143FD2-64C9-BA3A-3E39-C6731F08A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278001" y="17397823"/>
          <a:ext cx="2566352" cy="1574345"/>
        </a:xfrm>
        <a:prstGeom prst="rect">
          <a:avLst/>
        </a:prstGeom>
      </xdr:spPr>
    </xdr:pic>
    <xdr:clientData/>
  </xdr:twoCellAnchor>
  <xdr:twoCellAnchor editAs="oneCell">
    <xdr:from>
      <xdr:col>3</xdr:col>
      <xdr:colOff>173514</xdr:colOff>
      <xdr:row>16</xdr:row>
      <xdr:rowOff>70555</xdr:rowOff>
    </xdr:from>
    <xdr:to>
      <xdr:col>3</xdr:col>
      <xdr:colOff>2344299</xdr:colOff>
      <xdr:row>16</xdr:row>
      <xdr:rowOff>1089688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B0D4E13-50CF-52C6-E3F4-4394D564D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66153" y="20008379"/>
          <a:ext cx="2170785" cy="1019133"/>
        </a:xfrm>
        <a:prstGeom prst="rect">
          <a:avLst/>
        </a:prstGeom>
      </xdr:spPr>
    </xdr:pic>
    <xdr:clientData/>
  </xdr:twoCellAnchor>
  <xdr:twoCellAnchor editAs="oneCell">
    <xdr:from>
      <xdr:col>3</xdr:col>
      <xdr:colOff>23154</xdr:colOff>
      <xdr:row>12</xdr:row>
      <xdr:rowOff>1575740</xdr:rowOff>
    </xdr:from>
    <xdr:to>
      <xdr:col>3</xdr:col>
      <xdr:colOff>2684107</xdr:colOff>
      <xdr:row>12</xdr:row>
      <xdr:rowOff>2316574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610B326-B8A1-02BD-637E-4784449A6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15793" y="14728471"/>
          <a:ext cx="2660953" cy="740834"/>
        </a:xfrm>
        <a:prstGeom prst="rect">
          <a:avLst/>
        </a:prstGeom>
      </xdr:spPr>
    </xdr:pic>
    <xdr:clientData/>
  </xdr:twoCellAnchor>
  <xdr:twoCellAnchor editAs="oneCell">
    <xdr:from>
      <xdr:col>3</xdr:col>
      <xdr:colOff>64674</xdr:colOff>
      <xdr:row>13</xdr:row>
      <xdr:rowOff>1648022</xdr:rowOff>
    </xdr:from>
    <xdr:to>
      <xdr:col>3</xdr:col>
      <xdr:colOff>2657591</xdr:colOff>
      <xdr:row>13</xdr:row>
      <xdr:rowOff>2381646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85598BA-F8FA-43AD-F46E-7886437AA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57313" y="17752328"/>
          <a:ext cx="2592917" cy="733624"/>
        </a:xfrm>
        <a:prstGeom prst="rect">
          <a:avLst/>
        </a:prstGeom>
      </xdr:spPr>
    </xdr:pic>
    <xdr:clientData/>
  </xdr:twoCellAnchor>
  <xdr:twoCellAnchor editAs="oneCell">
    <xdr:from>
      <xdr:col>3</xdr:col>
      <xdr:colOff>52915</xdr:colOff>
      <xdr:row>12</xdr:row>
      <xdr:rowOff>2361149</xdr:rowOff>
    </xdr:from>
    <xdr:to>
      <xdr:col>3</xdr:col>
      <xdr:colOff>2653235</xdr:colOff>
      <xdr:row>12</xdr:row>
      <xdr:rowOff>3098828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7182B49-8132-89D0-D45E-CE6BC2A78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45554" y="15513880"/>
          <a:ext cx="2600320" cy="737679"/>
        </a:xfrm>
        <a:prstGeom prst="rect">
          <a:avLst/>
        </a:prstGeom>
      </xdr:spPr>
    </xdr:pic>
    <xdr:clientData/>
  </xdr:twoCellAnchor>
  <xdr:twoCellAnchor editAs="oneCell">
    <xdr:from>
      <xdr:col>3</xdr:col>
      <xdr:colOff>29394</xdr:colOff>
      <xdr:row>16</xdr:row>
      <xdr:rowOff>923805</xdr:rowOff>
    </xdr:from>
    <xdr:to>
      <xdr:col>3</xdr:col>
      <xdr:colOff>2677292</xdr:colOff>
      <xdr:row>16</xdr:row>
      <xdr:rowOff>1881478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EFAAC54-18EC-C8F4-CC2F-1C138FCB6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22033" y="22707833"/>
          <a:ext cx="2647898" cy="957673"/>
        </a:xfrm>
        <a:prstGeom prst="rect">
          <a:avLst/>
        </a:prstGeom>
      </xdr:spPr>
    </xdr:pic>
    <xdr:clientData/>
  </xdr:twoCellAnchor>
  <xdr:twoCellAnchor editAs="oneCell">
    <xdr:from>
      <xdr:col>3</xdr:col>
      <xdr:colOff>24422</xdr:colOff>
      <xdr:row>12</xdr:row>
      <xdr:rowOff>3110322</xdr:rowOff>
    </xdr:from>
    <xdr:to>
      <xdr:col>3</xdr:col>
      <xdr:colOff>2657592</xdr:colOff>
      <xdr:row>12</xdr:row>
      <xdr:rowOff>3730721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6098A15-851F-F1BD-E60E-19ECF9525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17061" y="16263053"/>
          <a:ext cx="2633170" cy="620399"/>
        </a:xfrm>
        <a:prstGeom prst="rect">
          <a:avLst/>
        </a:prstGeom>
      </xdr:spPr>
    </xdr:pic>
    <xdr:clientData/>
  </xdr:twoCellAnchor>
  <xdr:twoCellAnchor editAs="oneCell">
    <xdr:from>
      <xdr:col>3</xdr:col>
      <xdr:colOff>70554</xdr:colOff>
      <xdr:row>10</xdr:row>
      <xdr:rowOff>3282292</xdr:rowOff>
    </xdr:from>
    <xdr:to>
      <xdr:col>3</xdr:col>
      <xdr:colOff>2662939</xdr:colOff>
      <xdr:row>10</xdr:row>
      <xdr:rowOff>4239213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EEF1E9A-23DF-C720-D7F4-C47BC4FB4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63193" y="11431459"/>
          <a:ext cx="2592385" cy="956921"/>
        </a:xfrm>
        <a:prstGeom prst="rect">
          <a:avLst/>
        </a:prstGeom>
      </xdr:spPr>
    </xdr:pic>
    <xdr:clientData/>
  </xdr:twoCellAnchor>
  <xdr:twoCellAnchor editAs="oneCell">
    <xdr:from>
      <xdr:col>3</xdr:col>
      <xdr:colOff>52914</xdr:colOff>
      <xdr:row>13</xdr:row>
      <xdr:rowOff>2404769</xdr:rowOff>
    </xdr:from>
    <xdr:to>
      <xdr:col>3</xdr:col>
      <xdr:colOff>2681111</xdr:colOff>
      <xdr:row>13</xdr:row>
      <xdr:rowOff>3136290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D42AE9D-65D3-CFAA-1117-18D746F33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45553" y="21266621"/>
          <a:ext cx="2628197" cy="731521"/>
        </a:xfrm>
        <a:prstGeom prst="rect">
          <a:avLst/>
        </a:prstGeom>
      </xdr:spPr>
    </xdr:pic>
    <xdr:clientData/>
  </xdr:twoCellAnchor>
  <xdr:twoCellAnchor editAs="oneCell">
    <xdr:from>
      <xdr:col>3</xdr:col>
      <xdr:colOff>29398</xdr:colOff>
      <xdr:row>13</xdr:row>
      <xdr:rowOff>3139308</xdr:rowOff>
    </xdr:from>
    <xdr:to>
      <xdr:col>3</xdr:col>
      <xdr:colOff>2681111</xdr:colOff>
      <xdr:row>13</xdr:row>
      <xdr:rowOff>3863861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0C49C3C-AB21-D6F2-CE72-C6D8692F9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22037" y="22001160"/>
          <a:ext cx="2651713" cy="724553"/>
        </a:xfrm>
        <a:prstGeom prst="rect">
          <a:avLst/>
        </a:prstGeom>
      </xdr:spPr>
    </xdr:pic>
    <xdr:clientData/>
  </xdr:twoCellAnchor>
  <xdr:twoCellAnchor editAs="oneCell">
    <xdr:from>
      <xdr:col>3</xdr:col>
      <xdr:colOff>48594</xdr:colOff>
      <xdr:row>14</xdr:row>
      <xdr:rowOff>72988</xdr:rowOff>
    </xdr:from>
    <xdr:to>
      <xdr:col>3</xdr:col>
      <xdr:colOff>2629223</xdr:colOff>
      <xdr:row>14</xdr:row>
      <xdr:rowOff>861264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167D839-4F48-6AC2-0172-4252D1F9C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192" y="22991379"/>
          <a:ext cx="2580629" cy="78827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160534</xdr:rowOff>
    </xdr:from>
    <xdr:to>
      <xdr:col>6</xdr:col>
      <xdr:colOff>1377023</xdr:colOff>
      <xdr:row>13</xdr:row>
      <xdr:rowOff>733624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64DEB2A-C059-4DF2-9193-342052C54E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t="21882" r="-160"/>
        <a:stretch/>
      </xdr:blipFill>
      <xdr:spPr>
        <a:xfrm>
          <a:off x="5097837" y="19399607"/>
          <a:ext cx="2597079" cy="57309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se Angel Garcia Medina" id="{BFAF8424-73C8-43AA-9A3E-17136E5EBCA8}" userId="S::jose.angel.garcia.m1@managementsolutions.com::81b2add7-b37f-45ba-bd71-c03d2e4cc9a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0" dT="2025-05-14T00:51:25.20" personId="{BFAF8424-73C8-43AA-9A3E-17136E5EBCA8}" id="{A9732E0C-5635-4032-AF6F-E20BA4EFA178}">
    <text>Argegar Formula Manualmente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C16E-C6FF-462F-BA53-A1BDACB7B67A}">
  <dimension ref="B2:F52"/>
  <sheetViews>
    <sheetView showGridLines="0" topLeftCell="A24" zoomScale="92" workbookViewId="0">
      <selection activeCell="C47" sqref="C47"/>
    </sheetView>
  </sheetViews>
  <sheetFormatPr defaultRowHeight="14.5"/>
  <cols>
    <col min="2" max="2" width="31.1796875" bestFit="1" customWidth="1"/>
    <col min="3" max="6" width="10.54296875" bestFit="1" customWidth="1"/>
    <col min="8" max="8" width="28.90625" bestFit="1" customWidth="1"/>
    <col min="9" max="12" width="28.90625" customWidth="1"/>
  </cols>
  <sheetData>
    <row r="2" spans="2:6" ht="18.5">
      <c r="B2" s="143" t="s">
        <v>339</v>
      </c>
    </row>
    <row r="3" spans="2:6">
      <c r="B3" t="s">
        <v>340</v>
      </c>
    </row>
    <row r="5" spans="2:6">
      <c r="B5" s="142" t="s">
        <v>342</v>
      </c>
    </row>
    <row r="7" spans="2:6" ht="19" thickBot="1">
      <c r="B7" s="143" t="s">
        <v>341</v>
      </c>
      <c r="F7" s="144"/>
    </row>
    <row r="8" spans="2:6" ht="15.5" thickTop="1" thickBot="1">
      <c r="B8" s="145"/>
      <c r="C8" s="146"/>
      <c r="D8" s="146"/>
      <c r="E8" s="146"/>
    </row>
    <row r="9" spans="2:6" ht="15" thickBot="1">
      <c r="B9" t="s">
        <v>1</v>
      </c>
      <c r="C9" s="150"/>
      <c r="D9" s="151"/>
      <c r="E9" s="151"/>
      <c r="F9" s="152"/>
    </row>
    <row r="11" spans="2:6">
      <c r="B11" t="s">
        <v>343</v>
      </c>
      <c r="C11" s="147">
        <v>1</v>
      </c>
      <c r="D11" s="147">
        <v>2</v>
      </c>
      <c r="E11" s="147">
        <v>3</v>
      </c>
      <c r="F11" s="147">
        <v>4</v>
      </c>
    </row>
    <row r="12" spans="2:6">
      <c r="B12" t="s">
        <v>344</v>
      </c>
      <c r="C12" s="148">
        <v>44562</v>
      </c>
      <c r="D12" s="148">
        <v>44927</v>
      </c>
      <c r="E12" s="148">
        <v>45292</v>
      </c>
      <c r="F12" s="148">
        <v>45658</v>
      </c>
    </row>
    <row r="13" spans="2:6">
      <c r="C13" s="149"/>
      <c r="D13" s="149"/>
      <c r="E13" s="149"/>
      <c r="F13" s="149"/>
    </row>
    <row r="14" spans="2:6" ht="15" thickBot="1">
      <c r="B14" s="80" t="s">
        <v>42</v>
      </c>
    </row>
    <row r="15" spans="2:6" ht="15" thickTop="1">
      <c r="B15" s="3" t="s">
        <v>346</v>
      </c>
      <c r="C15" s="42">
        <v>3400000</v>
      </c>
      <c r="D15" s="42">
        <v>5000000</v>
      </c>
      <c r="E15" s="42">
        <v>5800000</v>
      </c>
      <c r="F15" s="5">
        <v>6612000</v>
      </c>
    </row>
    <row r="16" spans="2:6">
      <c r="B16" s="3" t="s">
        <v>347</v>
      </c>
      <c r="C16" s="42">
        <v>2535000</v>
      </c>
      <c r="D16" s="42">
        <v>3700000</v>
      </c>
      <c r="E16" s="42">
        <v>4150000</v>
      </c>
      <c r="F16" s="5">
        <v>4694500</v>
      </c>
    </row>
    <row r="17" spans="2:6" ht="15" thickBot="1">
      <c r="B17" s="15" t="s">
        <v>348</v>
      </c>
      <c r="C17" s="16" cm="1">
        <f t="array" ref="C17">Revenue-Cost_of_Goods</f>
        <v>865000</v>
      </c>
      <c r="D17" s="16">
        <f>Revenue2-Cost_of_Goods2</f>
        <v>1300000</v>
      </c>
      <c r="E17" s="16">
        <f t="shared" ref="E17:F17" si="0">E15-E16</f>
        <v>1650000</v>
      </c>
      <c r="F17" s="16">
        <f t="shared" si="0"/>
        <v>1917500</v>
      </c>
    </row>
    <row r="18" spans="2:6">
      <c r="B18" s="3" t="s">
        <v>349</v>
      </c>
      <c r="C18" s="42">
        <v>505000</v>
      </c>
      <c r="D18" s="42">
        <v>833000</v>
      </c>
      <c r="E18" s="42">
        <v>1025000</v>
      </c>
      <c r="F18" s="5">
        <v>1216200</v>
      </c>
    </row>
    <row r="19" spans="2:6" ht="15" thickBot="1">
      <c r="B19" s="15" t="s">
        <v>350</v>
      </c>
      <c r="C19" s="16">
        <f>Gross_Margin-Overheads</f>
        <v>360000</v>
      </c>
      <c r="D19" s="16">
        <f>Gross_Margin2-Overheads2</f>
        <v>467000</v>
      </c>
      <c r="E19" s="16">
        <f t="shared" ref="E19:F19" si="1">E17-E18</f>
        <v>625000</v>
      </c>
      <c r="F19" s="16">
        <f t="shared" si="1"/>
        <v>701300</v>
      </c>
    </row>
    <row r="20" spans="2:6">
      <c r="B20" s="3" t="s">
        <v>351</v>
      </c>
      <c r="C20" s="42">
        <v>50000</v>
      </c>
      <c r="D20" s="42">
        <v>100000</v>
      </c>
      <c r="E20" s="42">
        <v>150000</v>
      </c>
      <c r="F20" s="42">
        <v>176000</v>
      </c>
    </row>
    <row r="21" spans="2:6">
      <c r="B21" s="3" t="s">
        <v>352</v>
      </c>
      <c r="C21" s="42">
        <v>0</v>
      </c>
      <c r="D21" s="42">
        <v>0</v>
      </c>
      <c r="E21" s="42">
        <v>0</v>
      </c>
      <c r="F21" s="42">
        <v>0</v>
      </c>
    </row>
    <row r="22" spans="2:6" ht="15" thickBot="1">
      <c r="B22" s="15" t="s">
        <v>353</v>
      </c>
      <c r="C22" s="16" cm="1">
        <f t="array" ref="C22">Operating_Profit-Interest_Paid-Extraordinary_IncomeOrExpenses</f>
        <v>310000</v>
      </c>
      <c r="D22" s="16">
        <f>D19-Interest_Paid2-D21</f>
        <v>367000</v>
      </c>
      <c r="E22" s="16">
        <f t="shared" ref="E22:F22" si="2">E19-E20-E21</f>
        <v>475000</v>
      </c>
      <c r="F22" s="16">
        <f t="shared" si="2"/>
        <v>525300</v>
      </c>
    </row>
    <row r="23" spans="2:6">
      <c r="B23" s="3" t="s">
        <v>354</v>
      </c>
      <c r="C23" s="42">
        <v>114600</v>
      </c>
      <c r="D23" s="42">
        <v>87000</v>
      </c>
      <c r="E23" s="42">
        <v>125000</v>
      </c>
      <c r="F23" s="42">
        <v>115300</v>
      </c>
    </row>
    <row r="24" spans="2:6" ht="15" thickBot="1">
      <c r="B24" s="15" t="s">
        <v>355</v>
      </c>
      <c r="C24" s="16" cm="1">
        <f t="array" ref="C24">Net_Profit_Before_Tax-Tax_Paid</f>
        <v>195400</v>
      </c>
      <c r="D24" s="16">
        <f>D22-Tax_Paid2</f>
        <v>280000</v>
      </c>
      <c r="E24" s="16">
        <f t="shared" ref="E24:F24" si="3">E22-E23</f>
        <v>350000</v>
      </c>
      <c r="F24" s="16">
        <f t="shared" si="3"/>
        <v>410000</v>
      </c>
    </row>
    <row r="25" spans="2:6">
      <c r="B25" s="3" t="s">
        <v>356</v>
      </c>
      <c r="C25" s="42">
        <v>45400</v>
      </c>
      <c r="D25" s="42">
        <v>180000</v>
      </c>
      <c r="E25" s="42">
        <v>100000</v>
      </c>
      <c r="F25" s="42">
        <v>150000</v>
      </c>
    </row>
    <row r="26" spans="2:6" ht="15" thickBot="1">
      <c r="B26" s="21" t="s">
        <v>357</v>
      </c>
      <c r="C26" s="22" cm="1">
        <f t="array" ref="C26">Net_Profit-Dividends_Paid</f>
        <v>150000</v>
      </c>
      <c r="D26" s="22">
        <f>D24-Dividends_Paid2</f>
        <v>100000</v>
      </c>
      <c r="E26" s="22">
        <f t="shared" ref="E26:F26" si="4">E24-E25</f>
        <v>250000</v>
      </c>
      <c r="F26" s="22">
        <f t="shared" si="4"/>
        <v>260000</v>
      </c>
    </row>
    <row r="27" spans="2:6" ht="15" thickTop="1">
      <c r="B27" s="3"/>
      <c r="C27" s="5"/>
      <c r="D27" s="5"/>
      <c r="E27" s="5"/>
      <c r="F27" s="5"/>
    </row>
    <row r="28" spans="2:6" ht="15" thickBot="1">
      <c r="B28" s="80" t="s">
        <v>67</v>
      </c>
      <c r="C28" s="20"/>
      <c r="D28" s="20"/>
      <c r="E28" s="20"/>
      <c r="F28" s="20"/>
    </row>
    <row r="29" spans="2:6" ht="15" thickTop="1">
      <c r="B29" s="6" t="s">
        <v>345</v>
      </c>
      <c r="C29" s="4"/>
      <c r="D29" s="4"/>
      <c r="E29" s="4"/>
      <c r="F29" s="4"/>
    </row>
    <row r="30" spans="2:6">
      <c r="B30" s="3" t="s">
        <v>358</v>
      </c>
      <c r="C30" s="42">
        <v>160000</v>
      </c>
      <c r="D30" s="42">
        <v>75000</v>
      </c>
      <c r="E30" s="42">
        <v>0</v>
      </c>
      <c r="F30" s="42">
        <f>N15+N16+N17</f>
        <v>0</v>
      </c>
    </row>
    <row r="31" spans="2:6">
      <c r="B31" s="3" t="s">
        <v>359</v>
      </c>
      <c r="C31" s="42">
        <v>570000</v>
      </c>
      <c r="D31" s="42">
        <v>900000</v>
      </c>
      <c r="E31" s="42">
        <v>1200000</v>
      </c>
      <c r="F31" s="42">
        <f>1443000+M15-N15</f>
        <v>1443000</v>
      </c>
    </row>
    <row r="32" spans="2:6">
      <c r="B32" s="3" t="s">
        <v>360</v>
      </c>
      <c r="C32" s="42">
        <v>600000</v>
      </c>
      <c r="D32" s="42">
        <v>920000</v>
      </c>
      <c r="E32" s="42">
        <v>1250000</v>
      </c>
      <c r="F32" s="42">
        <f>1550000+N17</f>
        <v>1550000</v>
      </c>
    </row>
    <row r="33" spans="2:6">
      <c r="B33" s="3" t="s">
        <v>361</v>
      </c>
      <c r="C33" s="42">
        <v>170000</v>
      </c>
      <c r="D33" s="42">
        <v>205000</v>
      </c>
      <c r="E33" s="42">
        <v>50000</v>
      </c>
      <c r="F33" s="42">
        <v>71000</v>
      </c>
    </row>
    <row r="34" spans="2:6" ht="15" thickBot="1">
      <c r="B34" s="15" t="s">
        <v>362</v>
      </c>
      <c r="C34" s="16">
        <f>Cash+Accounts_Receivable+Inventory+Other_Current_Assets</f>
        <v>1500000</v>
      </c>
      <c r="D34" s="16">
        <f t="shared" ref="D34:F34" si="5">SUM(D30:D33)</f>
        <v>2100000</v>
      </c>
      <c r="E34" s="16">
        <f t="shared" si="5"/>
        <v>2500000</v>
      </c>
      <c r="F34" s="16">
        <f t="shared" si="5"/>
        <v>3064000</v>
      </c>
    </row>
    <row r="35" spans="2:6">
      <c r="B35" s="3" t="s">
        <v>363</v>
      </c>
      <c r="C35" s="42">
        <v>1000000</v>
      </c>
      <c r="D35" s="42">
        <v>1400000</v>
      </c>
      <c r="E35" s="42">
        <v>1800000</v>
      </c>
      <c r="F35" s="42">
        <v>1800000</v>
      </c>
    </row>
    <row r="36" spans="2:6">
      <c r="B36" s="3" t="s">
        <v>364</v>
      </c>
      <c r="C36" s="42">
        <v>200000</v>
      </c>
      <c r="D36" s="42">
        <v>100000</v>
      </c>
      <c r="E36" s="42">
        <v>150000</v>
      </c>
      <c r="F36" s="42">
        <v>150000</v>
      </c>
    </row>
    <row r="37" spans="2:6" ht="15" thickBot="1">
      <c r="B37" s="15" t="s">
        <v>365</v>
      </c>
      <c r="C37" s="16">
        <f>Fixed_Assets+Other_Non_Current_Assets</f>
        <v>1200000</v>
      </c>
      <c r="D37" s="16">
        <f t="shared" ref="D37:F37" si="6">SUM(D35:D36)</f>
        <v>1500000</v>
      </c>
      <c r="E37" s="16">
        <f t="shared" si="6"/>
        <v>1950000</v>
      </c>
      <c r="F37" s="16">
        <f t="shared" si="6"/>
        <v>1950000</v>
      </c>
    </row>
    <row r="38" spans="2:6" ht="15" thickBot="1">
      <c r="B38" s="43" t="s">
        <v>366</v>
      </c>
      <c r="C38" s="45">
        <f>Current_Assets+Non_Current_Assets</f>
        <v>2700000</v>
      </c>
      <c r="D38" s="45">
        <f t="shared" ref="D38:F38" si="7">D34+D37</f>
        <v>3600000</v>
      </c>
      <c r="E38" s="44">
        <f t="shared" si="7"/>
        <v>4450000</v>
      </c>
      <c r="F38" s="45">
        <f t="shared" si="7"/>
        <v>5014000</v>
      </c>
    </row>
    <row r="39" spans="2:6">
      <c r="B39" s="3" t="s">
        <v>367</v>
      </c>
      <c r="C39" s="42">
        <v>300000</v>
      </c>
      <c r="D39" s="42">
        <v>450000</v>
      </c>
      <c r="E39" s="42">
        <v>500000</v>
      </c>
      <c r="F39" s="42">
        <f>590000+M16+N16</f>
        <v>590000</v>
      </c>
    </row>
    <row r="40" spans="2:6">
      <c r="B40" s="3" t="s">
        <v>368</v>
      </c>
      <c r="C40" s="42">
        <v>400000</v>
      </c>
      <c r="D40" s="42">
        <v>1000000</v>
      </c>
      <c r="E40" s="42">
        <v>1450000</v>
      </c>
      <c r="F40" s="42">
        <v>1643000</v>
      </c>
    </row>
    <row r="41" spans="2:6">
      <c r="B41" s="3" t="s">
        <v>369</v>
      </c>
      <c r="C41" s="42">
        <v>100000</v>
      </c>
      <c r="D41" s="42">
        <v>150000</v>
      </c>
      <c r="E41" s="42">
        <v>200000</v>
      </c>
      <c r="F41" s="42">
        <v>221000</v>
      </c>
    </row>
    <row r="42" spans="2:6" ht="15" thickBot="1">
      <c r="B42" s="15" t="s">
        <v>370</v>
      </c>
      <c r="C42" s="16">
        <f>Accounts_Payable+Bank_Loans_Less_Current+Other_Current_Liabilities</f>
        <v>800000</v>
      </c>
      <c r="D42" s="16">
        <f t="shared" ref="D42:F42" si="8">SUM(D39:D41)</f>
        <v>1600000</v>
      </c>
      <c r="E42" s="16">
        <f t="shared" si="8"/>
        <v>2150000</v>
      </c>
      <c r="F42" s="16">
        <f t="shared" si="8"/>
        <v>2454000</v>
      </c>
    </row>
    <row r="43" spans="2:6">
      <c r="B43" s="3" t="s">
        <v>371</v>
      </c>
      <c r="C43" s="42">
        <v>1000000</v>
      </c>
      <c r="D43" s="42">
        <v>1200000</v>
      </c>
      <c r="E43" s="42">
        <v>1200000</v>
      </c>
      <c r="F43" s="42">
        <v>1200000</v>
      </c>
    </row>
    <row r="44" spans="2:6">
      <c r="B44" s="3" t="s">
        <v>372</v>
      </c>
      <c r="C44" s="42">
        <v>200000</v>
      </c>
      <c r="D44" s="42">
        <v>0</v>
      </c>
      <c r="E44" s="42">
        <v>50000</v>
      </c>
      <c r="F44" s="42">
        <v>50000</v>
      </c>
    </row>
    <row r="45" spans="2:6" ht="15" thickBot="1">
      <c r="B45" s="17" t="s">
        <v>373</v>
      </c>
      <c r="C45" s="18">
        <f>Bank_Loans_Less_Non_Current+Other_Non_Current_Liabilities</f>
        <v>1200000</v>
      </c>
      <c r="D45" s="18">
        <f t="shared" ref="D45:F45" si="9">SUM(D43:D44)</f>
        <v>1200000</v>
      </c>
      <c r="E45" s="18">
        <f t="shared" si="9"/>
        <v>1250000</v>
      </c>
      <c r="F45" s="18">
        <f t="shared" si="9"/>
        <v>1250000</v>
      </c>
    </row>
    <row r="46" spans="2:6" ht="15" thickBot="1">
      <c r="B46" s="43" t="s">
        <v>374</v>
      </c>
      <c r="C46" s="45">
        <f>Current_Liabilities+Non_Current_Liabilities</f>
        <v>2000000</v>
      </c>
      <c r="D46" s="45">
        <f>D42+D45</f>
        <v>2800000</v>
      </c>
      <c r="E46" s="45">
        <f>E42+E45</f>
        <v>3400000</v>
      </c>
      <c r="F46" s="45">
        <f>F42+F45</f>
        <v>3704000</v>
      </c>
    </row>
    <row r="47" spans="2:6">
      <c r="B47" s="3" t="s">
        <v>375</v>
      </c>
      <c r="C47" s="53">
        <f>Net_Profit</f>
        <v>195400</v>
      </c>
      <c r="D47" s="53">
        <f>D24</f>
        <v>280000</v>
      </c>
      <c r="E47" s="53">
        <f t="shared" ref="E47" si="10">E24</f>
        <v>350000</v>
      </c>
      <c r="F47" s="53">
        <f>F24</f>
        <v>410000</v>
      </c>
    </row>
    <row r="48" spans="2:6">
      <c r="B48" s="3" t="s">
        <v>376</v>
      </c>
      <c r="C48" s="53">
        <v>0</v>
      </c>
      <c r="D48" s="53">
        <f>C26</f>
        <v>150000</v>
      </c>
      <c r="E48" s="53">
        <f t="shared" ref="E48:F48" si="11">D26</f>
        <v>100000</v>
      </c>
      <c r="F48" s="53">
        <f t="shared" si="11"/>
        <v>250000</v>
      </c>
    </row>
    <row r="49" spans="2:6" ht="15" thickBot="1">
      <c r="B49" s="3" t="s">
        <v>377</v>
      </c>
      <c r="C49" s="42">
        <v>504600</v>
      </c>
      <c r="D49" s="42">
        <v>370000</v>
      </c>
      <c r="E49" s="42">
        <v>600000</v>
      </c>
      <c r="F49" s="42">
        <v>650000</v>
      </c>
    </row>
    <row r="50" spans="2:6" ht="15" thickBot="1">
      <c r="B50" s="43" t="s">
        <v>104</v>
      </c>
      <c r="C50" s="45">
        <f>Period_Earnings+Retained_Earnings+Capital</f>
        <v>700000</v>
      </c>
      <c r="D50" s="45">
        <f t="shared" ref="D50:F50" si="12">SUM(D47:D49)</f>
        <v>800000</v>
      </c>
      <c r="E50" s="45">
        <f t="shared" si="12"/>
        <v>1050000</v>
      </c>
      <c r="F50" s="45">
        <f t="shared" si="12"/>
        <v>1310000</v>
      </c>
    </row>
    <row r="51" spans="2:6">
      <c r="B51" s="3"/>
      <c r="C51" s="3"/>
      <c r="D51" s="3"/>
      <c r="E51" s="3"/>
      <c r="F51" s="3"/>
    </row>
    <row r="52" spans="2:6">
      <c r="B52" s="3" t="s">
        <v>378</v>
      </c>
      <c r="C52" s="42">
        <v>74000</v>
      </c>
      <c r="D52" s="42">
        <v>100000</v>
      </c>
      <c r="E52" s="42">
        <v>100000</v>
      </c>
      <c r="F52" s="42">
        <v>100000</v>
      </c>
    </row>
  </sheetData>
  <mergeCells count="1">
    <mergeCell ref="C9:F9"/>
  </mergeCells>
  <conditionalFormatting sqref="B52">
    <cfRule type="duplicateValues" dxfId="54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3897-51C6-4366-9AED-B2C975644E10}">
  <dimension ref="A1:P344"/>
  <sheetViews>
    <sheetView showGridLines="0" zoomScale="92" workbookViewId="0">
      <pane xSplit="2" ySplit="1" topLeftCell="C218" activePane="bottomRight" state="frozen"/>
      <selection pane="topRight" activeCell="C1" sqref="C1"/>
      <selection pane="bottomLeft" activeCell="A2" sqref="A2"/>
      <selection pane="bottomRight" activeCell="C235" sqref="C235:D237"/>
    </sheetView>
  </sheetViews>
  <sheetFormatPr defaultColWidth="10.81640625" defaultRowHeight="14"/>
  <cols>
    <col min="1" max="1" width="22.1796875" style="3" customWidth="1"/>
    <col min="2" max="2" width="28.81640625" style="3" bestFit="1" customWidth="1"/>
    <col min="3" max="3" width="22.7265625" style="3" bestFit="1" customWidth="1"/>
    <col min="4" max="4" width="25.54296875" style="3" bestFit="1" customWidth="1"/>
    <col min="5" max="5" width="14.54296875" style="3" bestFit="1" customWidth="1"/>
    <col min="6" max="6" width="14.1796875" style="3" customWidth="1"/>
    <col min="7" max="10" width="3.81640625" style="3" customWidth="1"/>
    <col min="11" max="11" width="9.81640625" style="3" bestFit="1" customWidth="1"/>
    <col min="12" max="12" width="3.81640625" style="3" customWidth="1"/>
    <col min="13" max="13" width="255.6328125" style="3" bestFit="1" customWidth="1"/>
    <col min="14" max="14" width="27.453125" style="3" customWidth="1"/>
    <col min="15" max="16384" width="10.81640625" style="3"/>
  </cols>
  <sheetData>
    <row r="1" spans="1:16" ht="14.5" customHeight="1">
      <c r="A1" s="3" t="s">
        <v>0</v>
      </c>
      <c r="B1" s="3" t="s">
        <v>1</v>
      </c>
      <c r="C1" s="108" t="s">
        <v>2</v>
      </c>
      <c r="G1" s="85" t="s">
        <v>3</v>
      </c>
      <c r="H1" s="85" t="s">
        <v>3</v>
      </c>
      <c r="I1" s="85" t="s">
        <v>3</v>
      </c>
      <c r="J1" s="85" t="s">
        <v>3</v>
      </c>
      <c r="K1" s="6" t="s">
        <v>4</v>
      </c>
      <c r="M1" s="6" t="s">
        <v>4</v>
      </c>
      <c r="N1" s="3" t="s">
        <v>262</v>
      </c>
      <c r="O1" s="86" t="s">
        <v>5</v>
      </c>
      <c r="P1" s="86" t="s">
        <v>5</v>
      </c>
    </row>
    <row r="2" spans="1:16" ht="14.5" customHeight="1" thickBot="1">
      <c r="C2" s="115" t="s">
        <v>4</v>
      </c>
      <c r="G2" s="85"/>
      <c r="H2" s="85"/>
      <c r="I2" s="85"/>
      <c r="J2" s="85"/>
      <c r="K2" s="6"/>
      <c r="M2" s="6"/>
      <c r="O2" s="86"/>
      <c r="P2" s="86"/>
    </row>
    <row r="3" spans="1:16" ht="14.5" customHeight="1" thickTop="1" thickBot="1">
      <c r="A3" s="70" t="s">
        <v>6</v>
      </c>
      <c r="B3" s="3" t="s">
        <v>7</v>
      </c>
      <c r="C3" s="69">
        <v>0.21949362269179518</v>
      </c>
      <c r="K3" s="135" t="str">
        <f ca="1">IF(ISNA(_xlfn.FORMULATEXT(C3)),"Constant","Formula")</f>
        <v>Constant</v>
      </c>
      <c r="M3" s="135" t="str">
        <f ca="1">_xlfn.IFNA(_xlfn.FORMULATEXT(C3),$B3)</f>
        <v>Tasa_Impositiva</v>
      </c>
      <c r="N3" s="3" t="s">
        <v>263</v>
      </c>
      <c r="O3" s="3" t="s">
        <v>8</v>
      </c>
      <c r="P3" s="3" t="s">
        <v>9</v>
      </c>
    </row>
    <row r="4" spans="1:16" ht="14.5" customHeight="1" thickTop="1">
      <c r="K4" s="87"/>
      <c r="M4" s="87"/>
      <c r="O4" s="3" t="s">
        <v>10</v>
      </c>
      <c r="P4" s="3" t="s">
        <v>11</v>
      </c>
    </row>
    <row r="5" spans="1:16" ht="14.5">
      <c r="A5" s="79" t="s">
        <v>12</v>
      </c>
      <c r="B5" s="79" t="s">
        <v>12</v>
      </c>
      <c r="C5" s="1" t="s">
        <v>13</v>
      </c>
      <c r="D5" s="1" t="s">
        <v>14</v>
      </c>
      <c r="E5" s="1" t="s">
        <v>15</v>
      </c>
      <c r="K5" s="87"/>
      <c r="M5" s="87"/>
      <c r="O5" s="78" t="s">
        <v>16</v>
      </c>
      <c r="P5" s="3" t="s">
        <v>17</v>
      </c>
    </row>
    <row r="6" spans="1:16" ht="14.5">
      <c r="A6" s="77" t="s">
        <v>18</v>
      </c>
      <c r="B6" s="91" t="s">
        <v>19</v>
      </c>
      <c r="C6" s="92">
        <v>6612</v>
      </c>
      <c r="D6" s="64">
        <v>0</v>
      </c>
      <c r="E6" s="63">
        <f t="shared" ref="E6:E12" si="0">C6*(1+D6)</f>
        <v>6612</v>
      </c>
      <c r="K6" s="135" t="str">
        <f ca="1">IF(ISNA(_xlfn.FORMULATEXT(C6)),"Constant","Formula")</f>
        <v>Constant</v>
      </c>
      <c r="M6" s="135" t="str">
        <f ca="1">_xlfn.IFNA(_xlfn.FORMULATEXT(C6),$B6)</f>
        <v>Precio_de_Venta</v>
      </c>
      <c r="O6" s="78" t="s">
        <v>20</v>
      </c>
      <c r="P6" s="3" t="s">
        <v>21</v>
      </c>
    </row>
    <row r="7" spans="1:16" ht="14.5">
      <c r="A7" s="77" t="s">
        <v>22</v>
      </c>
      <c r="B7" s="91" t="s">
        <v>23</v>
      </c>
      <c r="C7" s="93">
        <v>1000</v>
      </c>
      <c r="D7" s="64">
        <v>0</v>
      </c>
      <c r="E7" s="65">
        <f t="shared" si="0"/>
        <v>1000</v>
      </c>
      <c r="K7" s="135" t="str">
        <f ca="1">IF(ISNA(_xlfn.FORMULATEXT(C7)),"Constant","Formula")</f>
        <v>Constant</v>
      </c>
      <c r="M7" s="135" t="str">
        <f ca="1">_xlfn.IFNA(_xlfn.FORMULATEXT(C7),$B7)</f>
        <v>Volumen_de_Ventas</v>
      </c>
      <c r="O7" s="3" t="s">
        <v>24</v>
      </c>
      <c r="P7" s="3" t="s">
        <v>25</v>
      </c>
    </row>
    <row r="8" spans="1:16" ht="14.5">
      <c r="A8" s="77" t="s">
        <v>26</v>
      </c>
      <c r="B8" s="91" t="s">
        <v>27</v>
      </c>
      <c r="C8" s="92">
        <v>4694.5</v>
      </c>
      <c r="D8" s="64">
        <v>0</v>
      </c>
      <c r="E8" s="63">
        <f>Costo_de_Ventas*(1+D8)</f>
        <v>4694.5</v>
      </c>
      <c r="K8" s="135" t="str">
        <f ca="1">IF(ISNA(_xlfn.FORMULATEXT(Costo_de_Ventas)),"Constant","Formula")</f>
        <v>Constant</v>
      </c>
      <c r="M8" s="135" t="str">
        <f ca="1">_xlfn.IFNA(_xlfn.FORMULATEXT(Costo_de_Ventas),$B8)</f>
        <v>Costo_de_Ventas</v>
      </c>
      <c r="O8" s="3" t="s">
        <v>28</v>
      </c>
      <c r="P8" s="3" t="s">
        <v>29</v>
      </c>
    </row>
    <row r="9" spans="1:16" ht="14.5">
      <c r="A9" s="77" t="s">
        <v>30</v>
      </c>
      <c r="B9" s="91" t="s">
        <v>31</v>
      </c>
      <c r="C9" s="94">
        <v>1216200</v>
      </c>
      <c r="D9" s="64">
        <v>0</v>
      </c>
      <c r="E9" s="66">
        <f t="shared" si="0"/>
        <v>1216200</v>
      </c>
      <c r="K9" s="135" t="str">
        <f ca="1">IF(ISNA(_xlfn.FORMULATEXT(C9)),"Constant","Formula")</f>
        <v>Constant</v>
      </c>
      <c r="M9" s="135" t="str">
        <f ca="1">_xlfn.IFNA(_xlfn.FORMULATEXT(C9),$B9)</f>
        <v>Gastos_Fijos</v>
      </c>
    </row>
    <row r="10" spans="1:16" ht="14.5">
      <c r="A10" s="77" t="s">
        <v>32</v>
      </c>
      <c r="B10" s="91" t="s">
        <v>33</v>
      </c>
      <c r="C10" s="95">
        <v>79.657441016333934</v>
      </c>
      <c r="D10" s="76">
        <v>0</v>
      </c>
      <c r="E10" s="68">
        <f t="shared" si="0"/>
        <v>79.657441016333934</v>
      </c>
      <c r="K10" s="135" t="str">
        <f ca="1">IF(ISNA(_xlfn.FORMULATEXT(C10)),"Constant","Formula")</f>
        <v>Constant</v>
      </c>
      <c r="M10" s="135" t="str">
        <f ca="1">_xlfn.IFNA(_xlfn.FORMULATEXT(C10),$B10)</f>
        <v>Días_de_Cobro</v>
      </c>
    </row>
    <row r="11" spans="1:16" ht="14.5">
      <c r="A11" s="77" t="s">
        <v>34</v>
      </c>
      <c r="B11" s="91" t="s">
        <v>35</v>
      </c>
      <c r="C11" s="95">
        <v>120.51336670571945</v>
      </c>
      <c r="D11" s="76">
        <v>0</v>
      </c>
      <c r="E11" s="68">
        <f t="shared" si="0"/>
        <v>120.51336670571945</v>
      </c>
      <c r="K11" s="135" t="str">
        <f ca="1">IF(ISNA(_xlfn.FORMULATEXT(C11)),"Constant","Formula")</f>
        <v>Constant</v>
      </c>
      <c r="M11" s="135" t="str">
        <f ca="1">_xlfn.IFNA(_xlfn.FORMULATEXT(C11),$B11)</f>
        <v>Días_de_Pago</v>
      </c>
    </row>
    <row r="12" spans="1:16" ht="14.5">
      <c r="A12" s="77" t="s">
        <v>36</v>
      </c>
      <c r="B12" s="91" t="s">
        <v>37</v>
      </c>
      <c r="C12" s="95">
        <v>45.872829907338371</v>
      </c>
      <c r="D12" s="76">
        <v>0</v>
      </c>
      <c r="E12" s="68">
        <f t="shared" si="0"/>
        <v>45.872829907338371</v>
      </c>
      <c r="K12" s="135" t="str">
        <f ca="1">IF(ISNA(_xlfn.FORMULATEXT(C12)),"Constant","Formula")</f>
        <v>Constant</v>
      </c>
      <c r="M12" s="135" t="str">
        <f ca="1">_xlfn.IFNA(_xlfn.FORMULATEXT(C12),$B12)</f>
        <v>Rotación_de_Inventario</v>
      </c>
    </row>
    <row r="13" spans="1:16">
      <c r="K13" s="87"/>
      <c r="M13" s="87"/>
    </row>
    <row r="14" spans="1:16">
      <c r="C14" s="55" t="s">
        <v>38</v>
      </c>
      <c r="D14" s="55" t="s">
        <v>39</v>
      </c>
      <c r="E14" s="55" t="s">
        <v>40</v>
      </c>
      <c r="F14" s="55" t="s">
        <v>41</v>
      </c>
      <c r="K14" s="87"/>
      <c r="L14" s="136"/>
      <c r="M14" s="87"/>
    </row>
    <row r="15" spans="1:16" ht="14.5" thickBot="1">
      <c r="A15" s="80" t="s">
        <v>42</v>
      </c>
      <c r="B15" s="80" t="s">
        <v>43</v>
      </c>
      <c r="C15" s="52" t="s">
        <v>44</v>
      </c>
      <c r="D15" s="52" t="s">
        <v>44</v>
      </c>
      <c r="E15" s="52" t="s">
        <v>44</v>
      </c>
      <c r="F15" s="52" t="s">
        <v>44</v>
      </c>
      <c r="K15" s="87"/>
      <c r="L15" s="136"/>
      <c r="M15" s="87"/>
    </row>
    <row r="16" spans="1:16">
      <c r="A16" s="3" t="s">
        <v>45</v>
      </c>
      <c r="B16" s="90" t="s">
        <v>45</v>
      </c>
      <c r="C16" s="108">
        <v>3400000</v>
      </c>
      <c r="D16" s="42">
        <v>5000000</v>
      </c>
      <c r="E16" s="42">
        <v>5800000</v>
      </c>
      <c r="F16" s="5">
        <f>E6*E7</f>
        <v>6612000</v>
      </c>
      <c r="G16" s="83">
        <f>F16-C6*C7</f>
        <v>0</v>
      </c>
      <c r="H16" s="74">
        <f>((C6*C7)/365)*D10</f>
        <v>0</v>
      </c>
      <c r="I16" s="99">
        <f>E6-C6</f>
        <v>0</v>
      </c>
      <c r="K16" s="131" t="str">
        <f ca="1">IF(ISNA(_xlfn.FORMULATEXT(Revenue)),"Constant","Formula")</f>
        <v>Constant</v>
      </c>
      <c r="L16" s="137"/>
      <c r="M16" s="131" t="str">
        <f ca="1">_xlfn.IFNA(_xlfn.FORMULATEXT(Revenue),$B16)</f>
        <v>Revenue</v>
      </c>
    </row>
    <row r="17" spans="1:15">
      <c r="A17" s="3" t="s">
        <v>46</v>
      </c>
      <c r="B17" s="90" t="s">
        <v>47</v>
      </c>
      <c r="C17" s="108">
        <v>2535000</v>
      </c>
      <c r="D17" s="42">
        <v>3700000</v>
      </c>
      <c r="E17" s="42">
        <v>4150000</v>
      </c>
      <c r="F17" s="5">
        <f>E8*E7</f>
        <v>4694500</v>
      </c>
      <c r="G17" s="84">
        <f>F17-Costo_de_Ventas*C7</f>
        <v>0</v>
      </c>
      <c r="H17" s="74">
        <f>((C7*Costo_de_Ventas)/365)*D11</f>
        <v>0</v>
      </c>
      <c r="I17" s="19"/>
      <c r="J17" s="19"/>
      <c r="K17" s="131" t="str">
        <f ca="1">IF(ISNA(_xlfn.FORMULATEXT(Cost_of_Goods)),"Constant","Formula")</f>
        <v>Constant</v>
      </c>
      <c r="L17" s="137"/>
      <c r="M17" s="131" t="str">
        <f ca="1">_xlfn.IFNA(_xlfn.FORMULATEXT(Cost_of_Goods),$B17)</f>
        <v>Cost_of_Goods</v>
      </c>
      <c r="N17" s="3" t="str">
        <f>$A$15</f>
        <v>Profit &amp; Loss</v>
      </c>
    </row>
    <row r="18" spans="1:15" ht="14.5" thickBot="1">
      <c r="A18" s="15" t="s">
        <v>48</v>
      </c>
      <c r="B18" s="90" t="s">
        <v>49</v>
      </c>
      <c r="C18" s="109" cm="1">
        <f t="array" ref="C18">Revenue-Cost_of_Goods</f>
        <v>865000</v>
      </c>
      <c r="D18" s="16">
        <f>Revenue2-Cost_of_Goods2</f>
        <v>1300000</v>
      </c>
      <c r="E18" s="16">
        <f t="shared" ref="E18:F18" si="1">E16-E17</f>
        <v>1650000</v>
      </c>
      <c r="F18" s="16">
        <f t="shared" si="1"/>
        <v>1917500</v>
      </c>
      <c r="G18" s="19"/>
      <c r="H18" s="74">
        <f>((C7*Costo_de_Ventas)/365)*D12</f>
        <v>0</v>
      </c>
      <c r="K18" s="87" t="str">
        <f ca="1">IF(ISNA(_xlfn.FORMULATEXT(Gross_Margin)),"Constant","Formula")</f>
        <v>Formula</v>
      </c>
      <c r="L18" s="136"/>
      <c r="M18" s="87" t="str">
        <f ca="1">_xlfn.IFNA(_xlfn.FORMULATEXT(Gross_Margin),$B18)</f>
        <v>=Revenue-Cost_of_Goods</v>
      </c>
      <c r="N18" s="3" t="str">
        <f t="shared" ref="N18:N27" si="2">$A$15</f>
        <v>Profit &amp; Loss</v>
      </c>
    </row>
    <row r="19" spans="1:15">
      <c r="A19" s="3" t="s">
        <v>50</v>
      </c>
      <c r="B19" s="90" t="s">
        <v>50</v>
      </c>
      <c r="C19" s="108">
        <v>505000</v>
      </c>
      <c r="D19" s="42">
        <v>833000</v>
      </c>
      <c r="E19" s="42">
        <v>1025000</v>
      </c>
      <c r="F19" s="5">
        <f>E9</f>
        <v>1216200</v>
      </c>
      <c r="K19" s="131" t="str">
        <f ca="1">IF(ISNA(_xlfn.FORMULATEXT(Overheads)),"Constant","Formula")</f>
        <v>Constant</v>
      </c>
      <c r="L19" s="137"/>
      <c r="M19" s="131" t="str">
        <f ca="1">_xlfn.IFNA(_xlfn.FORMULATEXT(Overheads),$B19)</f>
        <v>Overheads</v>
      </c>
      <c r="N19" s="3" t="str">
        <f t="shared" si="2"/>
        <v>Profit &amp; Loss</v>
      </c>
    </row>
    <row r="20" spans="1:15" ht="14.5" thickBot="1">
      <c r="A20" s="15" t="s">
        <v>51</v>
      </c>
      <c r="B20" s="90" t="s">
        <v>52</v>
      </c>
      <c r="C20" s="109">
        <f>Gross_Margin-Overheads</f>
        <v>360000</v>
      </c>
      <c r="D20" s="16">
        <f>Gross_Margin2-Overheads2</f>
        <v>467000</v>
      </c>
      <c r="E20" s="16">
        <f t="shared" ref="E20:F20" si="3">E18-E19</f>
        <v>625000</v>
      </c>
      <c r="F20" s="16">
        <f t="shared" si="3"/>
        <v>701300</v>
      </c>
      <c r="K20" s="87" t="str">
        <f ca="1">IF(ISNA(_xlfn.FORMULATEXT(C20)),"Constant","Formula")</f>
        <v>Formula</v>
      </c>
      <c r="L20" s="136"/>
      <c r="M20" s="87" t="str">
        <f ca="1">_xlfn.IFNA(_xlfn.FORMULATEXT(C20),$B20)</f>
        <v>=Gross_Margin-Overheads</v>
      </c>
      <c r="N20" s="3" t="str">
        <f t="shared" si="2"/>
        <v>Profit &amp; Loss</v>
      </c>
    </row>
    <row r="21" spans="1:15">
      <c r="A21" s="3" t="s">
        <v>53</v>
      </c>
      <c r="B21" s="90" t="s">
        <v>54</v>
      </c>
      <c r="C21" s="108">
        <v>50000</v>
      </c>
      <c r="D21" s="42">
        <v>100000</v>
      </c>
      <c r="E21" s="42">
        <v>150000</v>
      </c>
      <c r="F21" s="42">
        <v>176000</v>
      </c>
      <c r="K21" s="131" t="str">
        <f ca="1">IF(ISNA(_xlfn.FORMULATEXT(Interest_Paid)),"Constant","Formula")</f>
        <v>Constant</v>
      </c>
      <c r="L21" s="137"/>
      <c r="M21" s="131" t="str">
        <f ca="1">_xlfn.IFNA(_xlfn.FORMULATEXT(Interest_Paid),$B21)</f>
        <v>Interest_Paid</v>
      </c>
      <c r="N21" s="3" t="str">
        <f t="shared" si="2"/>
        <v>Profit &amp; Loss</v>
      </c>
    </row>
    <row r="22" spans="1:15">
      <c r="A22" s="3" t="s">
        <v>55</v>
      </c>
      <c r="B22" s="90" t="s">
        <v>56</v>
      </c>
      <c r="C22" s="108">
        <v>0</v>
      </c>
      <c r="D22" s="42">
        <v>0</v>
      </c>
      <c r="E22" s="42">
        <v>0</v>
      </c>
      <c r="F22" s="42">
        <v>0</v>
      </c>
      <c r="K22" s="131" t="str">
        <f ca="1">IF(ISNA(_xlfn.FORMULATEXT(C22)),"Constant","Formula")</f>
        <v>Constant</v>
      </c>
      <c r="L22" s="137"/>
      <c r="M22" s="131" t="str">
        <f ca="1">_xlfn.IFNA(_xlfn.FORMULATEXT(C22),$B22)</f>
        <v>Extraordinary_IncomeOrExpenses</v>
      </c>
      <c r="N22" s="3" t="str">
        <f t="shared" si="2"/>
        <v>Profit &amp; Loss</v>
      </c>
    </row>
    <row r="23" spans="1:15" ht="14.5" thickBot="1">
      <c r="A23" s="15" t="s">
        <v>57</v>
      </c>
      <c r="B23" s="90" t="s">
        <v>58</v>
      </c>
      <c r="C23" s="109" cm="1">
        <f t="array" ref="C23">Operating_Profit-Interest_Paid-Extraordinary_IncomeOrExpenses</f>
        <v>310000</v>
      </c>
      <c r="D23" s="16">
        <f>D20-Interest_Paid2-D22</f>
        <v>367000</v>
      </c>
      <c r="E23" s="16">
        <f t="shared" ref="E23:F23" si="4">E20-E21-E22</f>
        <v>475000</v>
      </c>
      <c r="F23" s="16">
        <f t="shared" si="4"/>
        <v>525300</v>
      </c>
      <c r="K23" s="87" t="str">
        <f ca="1">IF(ISNA(_xlfn.FORMULATEXT(C23)),"Constant","Formula")</f>
        <v>Formula</v>
      </c>
      <c r="L23" s="136"/>
      <c r="M23" s="87" t="str">
        <f ca="1">_xlfn.IFNA(_xlfn.FORMULATEXT(C23),$B23)</f>
        <v>=Operating_Profit-Interest_Paid-Extraordinary_IncomeOrExpenses</v>
      </c>
      <c r="N23" s="3" t="str">
        <f t="shared" si="2"/>
        <v>Profit &amp; Loss</v>
      </c>
    </row>
    <row r="24" spans="1:15">
      <c r="A24" s="3" t="s">
        <v>59</v>
      </c>
      <c r="B24" s="90" t="s">
        <v>60</v>
      </c>
      <c r="C24" s="108">
        <v>114600</v>
      </c>
      <c r="D24" s="42">
        <v>87000</v>
      </c>
      <c r="E24" s="42">
        <v>125000</v>
      </c>
      <c r="F24" s="42">
        <v>115300</v>
      </c>
      <c r="H24" s="62"/>
      <c r="I24" s="62"/>
      <c r="J24" s="62"/>
      <c r="K24" s="131" t="str">
        <f ca="1">IF(ISNA(_xlfn.FORMULATEXT(Tax_Paid)),"Constant","Formula")</f>
        <v>Constant</v>
      </c>
      <c r="L24" s="137"/>
      <c r="M24" s="131" t="str">
        <f ca="1">_xlfn.IFNA(_xlfn.FORMULATEXT(Tax_Paid),$B24)</f>
        <v>Tax_Paid</v>
      </c>
      <c r="N24" s="3" t="str">
        <f t="shared" si="2"/>
        <v>Profit &amp; Loss</v>
      </c>
    </row>
    <row r="25" spans="1:15" ht="14.5" thickBot="1">
      <c r="A25" s="15" t="s">
        <v>61</v>
      </c>
      <c r="B25" s="90" t="s">
        <v>62</v>
      </c>
      <c r="C25" s="109" cm="1">
        <f t="array" ref="C25">Net_Profit_Before_Tax-Tax_Paid</f>
        <v>195400</v>
      </c>
      <c r="D25" s="16">
        <f>D23-Tax_Paid2</f>
        <v>280000</v>
      </c>
      <c r="E25" s="16">
        <f t="shared" ref="E25:F25" si="5">E23-E24</f>
        <v>350000</v>
      </c>
      <c r="F25" s="16">
        <f t="shared" si="5"/>
        <v>410000</v>
      </c>
      <c r="K25" s="87" t="str">
        <f ca="1">IF(ISNA(_xlfn.FORMULATEXT(C25)),"Constant","Formula")</f>
        <v>Formula</v>
      </c>
      <c r="L25" s="136"/>
      <c r="M25" s="87" t="str">
        <f ca="1">_xlfn.IFNA(_xlfn.FORMULATEXT(C25),$B25)</f>
        <v>=Net_Profit_Before_Tax-Tax_Paid</v>
      </c>
      <c r="N25" s="3" t="str">
        <f t="shared" si="2"/>
        <v>Profit &amp; Loss</v>
      </c>
    </row>
    <row r="26" spans="1:15">
      <c r="A26" s="3" t="s">
        <v>63</v>
      </c>
      <c r="B26" s="90" t="s">
        <v>64</v>
      </c>
      <c r="C26" s="108">
        <v>45400</v>
      </c>
      <c r="D26" s="42">
        <v>180000</v>
      </c>
      <c r="E26" s="42">
        <v>100000</v>
      </c>
      <c r="F26" s="42">
        <v>150000</v>
      </c>
      <c r="K26" s="131" t="str">
        <f ca="1">IF(ISNA(_xlfn.FORMULATEXT(Dividends_Paid)),"Constant","Formula")</f>
        <v>Constant</v>
      </c>
      <c r="L26" s="137"/>
      <c r="M26" s="131" t="str">
        <f ca="1">_xlfn.IFNA(_xlfn.FORMULATEXT(Dividends_Paid),$B26)</f>
        <v>Dividends_Paid</v>
      </c>
      <c r="N26" s="3" t="str">
        <f t="shared" si="2"/>
        <v>Profit &amp; Loss</v>
      </c>
    </row>
    <row r="27" spans="1:15" ht="14.5" thickBot="1">
      <c r="A27" s="21" t="s">
        <v>65</v>
      </c>
      <c r="B27" s="90" t="s">
        <v>66</v>
      </c>
      <c r="C27" s="110" cm="1">
        <f t="array" ref="C27">Net_Profit-Dividends_Paid</f>
        <v>150000</v>
      </c>
      <c r="D27" s="22">
        <f>D25-Dividends_Paid2</f>
        <v>100000</v>
      </c>
      <c r="E27" s="22">
        <f t="shared" ref="E27:F27" si="6">E25-E26</f>
        <v>250000</v>
      </c>
      <c r="F27" s="22">
        <f t="shared" si="6"/>
        <v>260000</v>
      </c>
      <c r="K27" s="87" t="str">
        <f ca="1">IF(ISNA(_xlfn.FORMULATEXT(C27)),"Constant","Formula")</f>
        <v>Formula</v>
      </c>
      <c r="L27" s="136"/>
      <c r="M27" s="87" t="str">
        <f ca="1">_xlfn.IFNA(_xlfn.FORMULATEXT(C27),$B27)</f>
        <v>=Net_Profit-Dividends_Paid</v>
      </c>
      <c r="N27" s="3" t="str">
        <f t="shared" si="2"/>
        <v>Profit &amp; Loss</v>
      </c>
    </row>
    <row r="28" spans="1:15" ht="14.5" thickTop="1">
      <c r="C28" s="5"/>
      <c r="D28" s="5"/>
      <c r="E28" s="5"/>
      <c r="F28" s="5"/>
      <c r="K28" s="87"/>
      <c r="L28" s="136"/>
      <c r="M28" s="87"/>
    </row>
    <row r="29" spans="1:15" ht="14.5" thickBot="1">
      <c r="A29" s="80" t="s">
        <v>67</v>
      </c>
      <c r="B29" s="81" t="s">
        <v>68</v>
      </c>
      <c r="C29" s="20"/>
      <c r="D29" s="20"/>
      <c r="E29" s="20"/>
      <c r="F29" s="20"/>
      <c r="K29" s="87"/>
      <c r="L29" s="136"/>
      <c r="M29" s="87"/>
    </row>
    <row r="30" spans="1:15">
      <c r="A30" s="3" t="s">
        <v>69</v>
      </c>
      <c r="B30" s="90" t="s">
        <v>69</v>
      </c>
      <c r="C30" s="108">
        <v>160000</v>
      </c>
      <c r="D30" s="42">
        <v>75000</v>
      </c>
      <c r="E30" s="42">
        <v>0</v>
      </c>
      <c r="F30" s="42">
        <f>H16+H17+H18</f>
        <v>0</v>
      </c>
      <c r="K30" s="131" t="str">
        <f ca="1">IF(ISNA(_xlfn.FORMULATEXT(Cash)),"Constant","Formula")</f>
        <v>Constant</v>
      </c>
      <c r="L30" s="137"/>
      <c r="M30" s="131" t="str">
        <f ca="1">_xlfn.IFNA(_xlfn.FORMULATEXT(Cash),$B30)</f>
        <v>Cash</v>
      </c>
      <c r="N30" s="6" t="str">
        <f>$A$29</f>
        <v>Balance Sheet</v>
      </c>
      <c r="O30" s="6"/>
    </row>
    <row r="31" spans="1:15">
      <c r="A31" s="3" t="s">
        <v>70</v>
      </c>
      <c r="B31" s="90" t="s">
        <v>71</v>
      </c>
      <c r="C31" s="108">
        <v>570000</v>
      </c>
      <c r="D31" s="42">
        <v>900000</v>
      </c>
      <c r="E31" s="42">
        <v>1200000</v>
      </c>
      <c r="F31" s="42">
        <f>1443000+G16-H16</f>
        <v>1443000</v>
      </c>
      <c r="K31" s="131" t="str">
        <f ca="1">IF(ISNA(_xlfn.FORMULATEXT(Accounts_Receivable)),"Constant","Formula")</f>
        <v>Constant</v>
      </c>
      <c r="L31" s="137"/>
      <c r="M31" s="131" t="str">
        <f ca="1">_xlfn.IFNA(_xlfn.FORMULATEXT(Accounts_Receivable),$B31)</f>
        <v>Accounts_Receivable</v>
      </c>
      <c r="N31" s="6" t="str">
        <f t="shared" ref="N31:N54" si="7">$A$29</f>
        <v>Balance Sheet</v>
      </c>
      <c r="O31" s="6"/>
    </row>
    <row r="32" spans="1:15">
      <c r="A32" s="3" t="s">
        <v>72</v>
      </c>
      <c r="B32" s="90" t="s">
        <v>72</v>
      </c>
      <c r="C32" s="108">
        <v>600000</v>
      </c>
      <c r="D32" s="42">
        <v>920000</v>
      </c>
      <c r="E32" s="42">
        <v>1250000</v>
      </c>
      <c r="F32" s="42">
        <f>1550000+H18</f>
        <v>1550000</v>
      </c>
      <c r="K32" s="131" t="str">
        <f ca="1">IF(ISNA(_xlfn.FORMULATEXT(Inventory)),"Constant","Formula")</f>
        <v>Constant</v>
      </c>
      <c r="L32" s="137"/>
      <c r="M32" s="131" t="str">
        <f ca="1">_xlfn.IFNA(_xlfn.FORMULATEXT(Inventory),$B32)</f>
        <v>Inventory</v>
      </c>
      <c r="N32" s="6" t="str">
        <f t="shared" si="7"/>
        <v>Balance Sheet</v>
      </c>
      <c r="O32" s="6"/>
    </row>
    <row r="33" spans="1:15">
      <c r="A33" s="3" t="s">
        <v>73</v>
      </c>
      <c r="B33" s="90" t="s">
        <v>74</v>
      </c>
      <c r="C33" s="108">
        <v>170000</v>
      </c>
      <c r="D33" s="42">
        <v>205000</v>
      </c>
      <c r="E33" s="42">
        <v>50000</v>
      </c>
      <c r="F33" s="42">
        <v>71000</v>
      </c>
      <c r="K33" s="131" t="str">
        <f ca="1">IF(ISNA(_xlfn.FORMULATEXT(C33)),"Constant","Formula")</f>
        <v>Constant</v>
      </c>
      <c r="L33" s="137"/>
      <c r="M33" s="131" t="str">
        <f ca="1">_xlfn.IFNA(_xlfn.FORMULATEXT(C33),$B33)</f>
        <v>Other_Current_Assets</v>
      </c>
      <c r="N33" s="6" t="str">
        <f t="shared" si="7"/>
        <v>Balance Sheet</v>
      </c>
      <c r="O33" s="6"/>
    </row>
    <row r="34" spans="1:15" ht="14.5" thickBot="1">
      <c r="A34" s="15" t="s">
        <v>75</v>
      </c>
      <c r="B34" s="90" t="s">
        <v>76</v>
      </c>
      <c r="C34" s="109">
        <f>Cash+Accounts_Receivable+Inventory+Other_Current_Assets</f>
        <v>1500000</v>
      </c>
      <c r="D34" s="16">
        <f t="shared" ref="D34:F34" si="8">SUM(D30:D33)</f>
        <v>2100000</v>
      </c>
      <c r="E34" s="16">
        <f t="shared" si="8"/>
        <v>2500000</v>
      </c>
      <c r="F34" s="16">
        <f t="shared" si="8"/>
        <v>3064000</v>
      </c>
      <c r="K34" s="87" t="str">
        <f ca="1">IF(ISNA(_xlfn.FORMULATEXT(C34)),"Constant","Formula")</f>
        <v>Formula</v>
      </c>
      <c r="L34" s="136"/>
      <c r="M34" s="87" t="str">
        <f ca="1">_xlfn.IFNA(_xlfn.FORMULATEXT(C34),$B34)</f>
        <v>=Cash+Accounts_Receivable+Inventory+Other_Current_Assets</v>
      </c>
      <c r="N34" s="6" t="str">
        <f t="shared" si="7"/>
        <v>Balance Sheet</v>
      </c>
    </row>
    <row r="35" spans="1:15">
      <c r="A35" s="3" t="s">
        <v>77</v>
      </c>
      <c r="B35" s="90" t="s">
        <v>78</v>
      </c>
      <c r="C35" s="108">
        <v>1000000</v>
      </c>
      <c r="D35" s="42">
        <v>1400000</v>
      </c>
      <c r="E35" s="42">
        <v>1800000</v>
      </c>
      <c r="F35" s="42">
        <v>1800000</v>
      </c>
      <c r="K35" s="131" t="str">
        <f ca="1">IF(ISNA(_xlfn.FORMULATEXT(Fixed_Assets)),"Constant","Formula")</f>
        <v>Constant</v>
      </c>
      <c r="L35" s="137"/>
      <c r="M35" s="131" t="str">
        <f ca="1">_xlfn.IFNA(_xlfn.FORMULATEXT(Fixed_Assets),$B35)</f>
        <v>Fixed_Assets</v>
      </c>
      <c r="N35" s="6" t="str">
        <f t="shared" si="7"/>
        <v>Balance Sheet</v>
      </c>
      <c r="O35" s="132"/>
    </row>
    <row r="36" spans="1:15">
      <c r="A36" s="3" t="s">
        <v>79</v>
      </c>
      <c r="B36" s="90" t="s">
        <v>80</v>
      </c>
      <c r="C36" s="108">
        <v>200000</v>
      </c>
      <c r="D36" s="42">
        <v>100000</v>
      </c>
      <c r="E36" s="42">
        <v>150000</v>
      </c>
      <c r="F36" s="42">
        <v>150000</v>
      </c>
      <c r="K36" s="131" t="str">
        <f ca="1">IF(ISNA(_xlfn.FORMULATEXT(C36)),"Constant","Formula")</f>
        <v>Constant</v>
      </c>
      <c r="L36" s="137"/>
      <c r="M36" s="131" t="str">
        <f ca="1">_xlfn.IFNA(_xlfn.FORMULATEXT(C36),$B36)</f>
        <v>Other_Non_Current_Assets</v>
      </c>
      <c r="N36" s="6" t="str">
        <f t="shared" si="7"/>
        <v>Balance Sheet</v>
      </c>
    </row>
    <row r="37" spans="1:15" ht="14.5" thickBot="1">
      <c r="A37" s="15" t="s">
        <v>81</v>
      </c>
      <c r="B37" s="90" t="s">
        <v>82</v>
      </c>
      <c r="C37" s="109">
        <f>Fixed_Assets+Other_Non_Current_Assets</f>
        <v>1200000</v>
      </c>
      <c r="D37" s="16">
        <f>SUM(Fixed_Assets2:D36)</f>
        <v>1500000</v>
      </c>
      <c r="E37" s="16">
        <f t="shared" ref="E37:F37" si="9">SUM(E35:E36)</f>
        <v>1950000</v>
      </c>
      <c r="F37" s="16">
        <f t="shared" si="9"/>
        <v>1950000</v>
      </c>
      <c r="K37" s="87" t="str">
        <f ca="1">IF(ISNA(_xlfn.FORMULATEXT(C37)),"Constant","Formula")</f>
        <v>Formula</v>
      </c>
      <c r="L37" s="136"/>
      <c r="M37" s="87" t="str">
        <f ca="1">_xlfn.IFNA(_xlfn.FORMULATEXT(C37),$B37)</f>
        <v>=Fixed_Assets+Other_Non_Current_Assets</v>
      </c>
      <c r="N37" s="6" t="str">
        <f t="shared" si="7"/>
        <v>Balance Sheet</v>
      </c>
    </row>
    <row r="38" spans="1:15" ht="14.5" thickBot="1">
      <c r="A38" s="43" t="s">
        <v>83</v>
      </c>
      <c r="B38" s="90" t="s">
        <v>84</v>
      </c>
      <c r="C38" s="109">
        <f>Current_Assets+Non_Current_Assets</f>
        <v>2700000</v>
      </c>
      <c r="D38" s="45">
        <f t="shared" ref="D38:F38" si="10">D34+D37</f>
        <v>3600000</v>
      </c>
      <c r="E38" s="44">
        <f t="shared" si="10"/>
        <v>4450000</v>
      </c>
      <c r="F38" s="45">
        <f t="shared" si="10"/>
        <v>5014000</v>
      </c>
      <c r="K38" s="87" t="str">
        <f ca="1">IF(ISNA(_xlfn.FORMULATEXT(C38)),"Constant","Formula")</f>
        <v>Formula</v>
      </c>
      <c r="L38" s="136"/>
      <c r="M38" s="87" t="str">
        <f ca="1">_xlfn.IFNA(_xlfn.FORMULATEXT(C38),$B38)</f>
        <v>=Current_Assets+Non_Current_Assets</v>
      </c>
      <c r="N38" s="6" t="str">
        <f t="shared" si="7"/>
        <v>Balance Sheet</v>
      </c>
    </row>
    <row r="39" spans="1:15">
      <c r="A39" s="3" t="s">
        <v>85</v>
      </c>
      <c r="B39" s="90" t="s">
        <v>86</v>
      </c>
      <c r="C39" s="108">
        <v>300000</v>
      </c>
      <c r="D39" s="42">
        <v>450000</v>
      </c>
      <c r="E39" s="42">
        <v>500000</v>
      </c>
      <c r="F39" s="42">
        <f>590000+G17+H17</f>
        <v>590000</v>
      </c>
      <c r="K39" s="131" t="str">
        <f ca="1">IF(ISNA(_xlfn.FORMULATEXT(Accounts_Payable)),"Constant","Formula")</f>
        <v>Constant</v>
      </c>
      <c r="L39" s="137"/>
      <c r="M39" s="131" t="str">
        <f ca="1">_xlfn.IFNA(_xlfn.FORMULATEXT(Accounts_Payable),$B39)</f>
        <v>Accounts_Payable</v>
      </c>
      <c r="N39" s="6" t="str">
        <f t="shared" si="7"/>
        <v>Balance Sheet</v>
      </c>
      <c r="O39" s="132"/>
    </row>
    <row r="40" spans="1:15">
      <c r="A40" s="3" t="s">
        <v>87</v>
      </c>
      <c r="B40" s="90" t="s">
        <v>88</v>
      </c>
      <c r="C40" s="108">
        <v>400000</v>
      </c>
      <c r="D40" s="42">
        <v>1000000</v>
      </c>
      <c r="E40" s="42">
        <v>1450000</v>
      </c>
      <c r="F40" s="42">
        <v>1643000</v>
      </c>
      <c r="K40" s="131" t="str">
        <f ca="1">IF(ISNA(_xlfn.FORMULATEXT(Bank_Loans_Less_Current)),"Constant","Formula")</f>
        <v>Constant</v>
      </c>
      <c r="L40" s="137"/>
      <c r="M40" s="131" t="str">
        <f ca="1">_xlfn.IFNA(_xlfn.FORMULATEXT(Bank_Loans_Less_Current),$B40)</f>
        <v>Bank_Loans_Less_Current</v>
      </c>
      <c r="N40" s="6" t="str">
        <f t="shared" si="7"/>
        <v>Balance Sheet</v>
      </c>
      <c r="O40" s="132"/>
    </row>
    <row r="41" spans="1:15">
      <c r="A41" s="3" t="s">
        <v>330</v>
      </c>
      <c r="B41" s="90" t="s">
        <v>331</v>
      </c>
      <c r="C41" s="108">
        <v>100000</v>
      </c>
      <c r="D41" s="42">
        <v>150000</v>
      </c>
      <c r="E41" s="42">
        <v>200000</v>
      </c>
      <c r="F41" s="42">
        <v>221000</v>
      </c>
      <c r="K41" s="131" t="str">
        <f ca="1">IF(ISNA(_xlfn.FORMULATEXT(C41)),"Constant","Formula")</f>
        <v>Constant</v>
      </c>
      <c r="L41" s="137"/>
      <c r="M41" s="131" t="str">
        <f ca="1">_xlfn.IFNA(_xlfn.FORMULATEXT(C41),$B41)</f>
        <v>Other_Current_Liabilities</v>
      </c>
      <c r="N41" s="6" t="str">
        <f t="shared" si="7"/>
        <v>Balance Sheet</v>
      </c>
      <c r="O41" s="132"/>
    </row>
    <row r="42" spans="1:15" ht="14.5" thickBot="1">
      <c r="A42" s="15" t="s">
        <v>89</v>
      </c>
      <c r="B42" s="90" t="s">
        <v>90</v>
      </c>
      <c r="C42" s="109">
        <f>Accounts_Payable+Bank_Loans_Less_Current+Other_Current_Liabilities</f>
        <v>800000</v>
      </c>
      <c r="D42" s="16">
        <f>SUM(Accounts_Payable2:D41)</f>
        <v>1600000</v>
      </c>
      <c r="E42" s="16">
        <f t="shared" ref="E42:F42" si="11">SUM(E39:E41)</f>
        <v>2150000</v>
      </c>
      <c r="F42" s="16">
        <f t="shared" si="11"/>
        <v>2454000</v>
      </c>
      <c r="K42" s="87" t="str">
        <f ca="1">IF(ISNA(_xlfn.FORMULATEXT(C42)),"Constant","Formula")</f>
        <v>Formula</v>
      </c>
      <c r="L42" s="136"/>
      <c r="M42" s="87" t="str">
        <f ca="1">_xlfn.IFNA(_xlfn.FORMULATEXT(C42),$B42)</f>
        <v>=Accounts_Payable+Bank_Loans_Less_Current+Other_Current_Liabilities</v>
      </c>
      <c r="N42" s="6" t="str">
        <f t="shared" si="7"/>
        <v>Balance Sheet</v>
      </c>
    </row>
    <row r="43" spans="1:15">
      <c r="A43" s="3" t="s">
        <v>91</v>
      </c>
      <c r="B43" s="90" t="s">
        <v>92</v>
      </c>
      <c r="C43" s="108">
        <v>1000000</v>
      </c>
      <c r="D43" s="42">
        <v>1200000</v>
      </c>
      <c r="E43" s="42">
        <v>1200000</v>
      </c>
      <c r="F43" s="42">
        <v>1200000</v>
      </c>
      <c r="K43" s="131" t="str">
        <f ca="1">IF(ISNA(_xlfn.FORMULATEXT(Bank_Loans_Less_Non_Current)),"Constant","Formula")</f>
        <v>Constant</v>
      </c>
      <c r="L43" s="137"/>
      <c r="M43" s="131" t="str">
        <f ca="1">_xlfn.IFNA(_xlfn.FORMULATEXT(Bank_Loans_Less_Non_Current),$B43)</f>
        <v>Bank_Loans_Less_Non_Current</v>
      </c>
      <c r="N43" s="6" t="str">
        <f t="shared" si="7"/>
        <v>Balance Sheet</v>
      </c>
      <c r="O43" s="132"/>
    </row>
    <row r="44" spans="1:15">
      <c r="A44" s="3" t="s">
        <v>93</v>
      </c>
      <c r="B44" s="90" t="s">
        <v>94</v>
      </c>
      <c r="C44" s="108">
        <v>200000</v>
      </c>
      <c r="D44" s="42">
        <v>0</v>
      </c>
      <c r="E44" s="42">
        <v>50000</v>
      </c>
      <c r="F44" s="42">
        <v>50000</v>
      </c>
      <c r="K44" s="131" t="str">
        <f ca="1">IF(ISNA(_xlfn.FORMULATEXT(C44)),"Constant","Formula")</f>
        <v>Constant</v>
      </c>
      <c r="L44" s="137"/>
      <c r="M44" s="131" t="str">
        <f ca="1">_xlfn.IFNA(_xlfn.FORMULATEXT(C44),$B44)</f>
        <v>Other_Non_Current_Liabilities</v>
      </c>
      <c r="N44" s="6" t="str">
        <f t="shared" si="7"/>
        <v>Balance Sheet</v>
      </c>
      <c r="O44" s="132"/>
    </row>
    <row r="45" spans="1:15" ht="14.5" thickBot="1">
      <c r="A45" s="17" t="s">
        <v>95</v>
      </c>
      <c r="B45" s="90" t="s">
        <v>96</v>
      </c>
      <c r="C45" s="111">
        <f>Bank_Loans_Less_Non_Current+Other_Non_Current_Liabilities</f>
        <v>1200000</v>
      </c>
      <c r="D45" s="18">
        <f t="shared" ref="D45:F45" si="12">SUM(D43:D44)</f>
        <v>1200000</v>
      </c>
      <c r="E45" s="18">
        <f t="shared" si="12"/>
        <v>1250000</v>
      </c>
      <c r="F45" s="18">
        <f t="shared" si="12"/>
        <v>1250000</v>
      </c>
      <c r="K45" s="87" t="str">
        <f ca="1">IF(ISNA(_xlfn.FORMULATEXT(C45)),"Constant","Formula")</f>
        <v>Formula</v>
      </c>
      <c r="L45" s="136"/>
      <c r="M45" s="87" t="str">
        <f ca="1">_xlfn.IFNA(_xlfn.FORMULATEXT(C45),$B45)</f>
        <v>=Bank_Loans_Less_Non_Current+Other_Non_Current_Liabilities</v>
      </c>
      <c r="N45" s="6" t="str">
        <f t="shared" si="7"/>
        <v>Balance Sheet</v>
      </c>
    </row>
    <row r="46" spans="1:15" ht="14.5" thickBot="1">
      <c r="A46" s="43" t="s">
        <v>97</v>
      </c>
      <c r="B46" s="90" t="s">
        <v>98</v>
      </c>
      <c r="C46" s="112">
        <f>Current_Liabilities+Non_Current_Liabilities</f>
        <v>2000000</v>
      </c>
      <c r="D46" s="45">
        <f t="shared" ref="D46:F46" si="13">D42+D45</f>
        <v>2800000</v>
      </c>
      <c r="E46" s="45">
        <f t="shared" si="13"/>
        <v>3400000</v>
      </c>
      <c r="F46" s="45">
        <f t="shared" si="13"/>
        <v>3704000</v>
      </c>
      <c r="K46" s="87" t="str">
        <f ca="1">IF(ISNA(_xlfn.FORMULATEXT(C46)),"Constant","Formula")</f>
        <v>Formula</v>
      </c>
      <c r="L46" s="136"/>
      <c r="M46" s="87" t="str">
        <f ca="1">_xlfn.IFNA(_xlfn.FORMULATEXT(C46),$B46)</f>
        <v>=Current_Liabilities+Non_Current_Liabilities</v>
      </c>
      <c r="N46" s="6" t="str">
        <f t="shared" si="7"/>
        <v>Balance Sheet</v>
      </c>
    </row>
    <row r="47" spans="1:15">
      <c r="A47" s="3" t="s">
        <v>99</v>
      </c>
      <c r="B47" s="90" t="s">
        <v>100</v>
      </c>
      <c r="C47" s="113">
        <f>Net_Profit</f>
        <v>195400</v>
      </c>
      <c r="D47" s="53">
        <f>D25</f>
        <v>280000</v>
      </c>
      <c r="E47" s="53">
        <f t="shared" ref="E47" si="14">E25</f>
        <v>350000</v>
      </c>
      <c r="F47" s="53">
        <f>F25</f>
        <v>410000</v>
      </c>
      <c r="K47" s="87" t="str">
        <f ca="1">IF(ISNA(_xlfn.FORMULATEXT(C47)),"Constant","Formula")</f>
        <v>Formula</v>
      </c>
      <c r="L47" s="136"/>
      <c r="M47" s="87" t="str">
        <f ca="1">_xlfn.IFNA(_xlfn.FORMULATEXT(C47),$B47)</f>
        <v>=Net_Profit</v>
      </c>
      <c r="N47" s="6" t="str">
        <f t="shared" si="7"/>
        <v>Balance Sheet</v>
      </c>
    </row>
    <row r="48" spans="1:15">
      <c r="A48" s="3" t="s">
        <v>101</v>
      </c>
      <c r="B48" s="90" t="s">
        <v>102</v>
      </c>
      <c r="C48" s="107">
        <v>0</v>
      </c>
      <c r="D48" s="53">
        <f>Retained_Profit</f>
        <v>150000</v>
      </c>
      <c r="E48" s="53">
        <f t="shared" ref="E48:F48" si="15">D27</f>
        <v>100000</v>
      </c>
      <c r="F48" s="53">
        <f t="shared" si="15"/>
        <v>250000</v>
      </c>
      <c r="K48" s="131" t="str">
        <f ca="1">IF(ISNA(_xlfn.FORMULATEXT(C48)),"Constant","Formula")</f>
        <v>Constant</v>
      </c>
      <c r="L48" s="137"/>
      <c r="M48" s="131" t="str">
        <f ca="1">_xlfn.IFNA(_xlfn.FORMULATEXT(C48),$B48)</f>
        <v>Retained_Earnings</v>
      </c>
      <c r="N48" s="6" t="str">
        <f t="shared" si="7"/>
        <v>Balance Sheet</v>
      </c>
      <c r="O48" s="132"/>
    </row>
    <row r="49" spans="1:15">
      <c r="A49" s="3" t="s">
        <v>103</v>
      </c>
      <c r="B49" s="90" t="s">
        <v>103</v>
      </c>
      <c r="C49" s="108">
        <v>504600</v>
      </c>
      <c r="D49" s="42">
        <v>370000</v>
      </c>
      <c r="E49" s="42">
        <v>600000</v>
      </c>
      <c r="F49" s="42">
        <v>650000</v>
      </c>
      <c r="I49" s="19"/>
      <c r="J49" s="19"/>
      <c r="K49" s="131" t="str">
        <f ca="1">IF(ISNA(_xlfn.FORMULATEXT(Capital)),"Constant","Formula")</f>
        <v>Constant</v>
      </c>
      <c r="L49" s="137"/>
      <c r="M49" s="131" t="str">
        <f ca="1">_xlfn.IFNA(_xlfn.FORMULATEXT(Capital),$B49)</f>
        <v>Capital</v>
      </c>
      <c r="N49" s="6" t="str">
        <f t="shared" si="7"/>
        <v>Balance Sheet</v>
      </c>
      <c r="O49" s="132"/>
    </row>
    <row r="50" spans="1:15" ht="14.5" thickBot="1">
      <c r="A50" s="43" t="s">
        <v>104</v>
      </c>
      <c r="B50" s="90" t="s">
        <v>104</v>
      </c>
      <c r="C50" s="112">
        <f>Period_Earnings+Retained_Earnings+Capital</f>
        <v>700000</v>
      </c>
      <c r="D50" s="45">
        <f t="shared" ref="D50:F50" si="16">SUM(D47:D49)</f>
        <v>800000</v>
      </c>
      <c r="E50" s="45">
        <f t="shared" si="16"/>
        <v>1050000</v>
      </c>
      <c r="F50" s="45">
        <f t="shared" si="16"/>
        <v>1310000</v>
      </c>
      <c r="I50" s="19"/>
      <c r="K50" s="87" t="str">
        <f ca="1">IF(ISNA(_xlfn.FORMULATEXT(C50)),"Constant","Formula")</f>
        <v>Formula</v>
      </c>
      <c r="L50" s="136"/>
      <c r="M50" s="87" t="str">
        <f ca="1">_xlfn.IFNA(_xlfn.FORMULATEXT(C50),$B50)</f>
        <v>=Period_Earnings+Retained_Earnings+Capital</v>
      </c>
      <c r="N50" s="6" t="str">
        <f t="shared" si="7"/>
        <v>Balance Sheet</v>
      </c>
    </row>
    <row r="51" spans="1:15">
      <c r="G51" s="19">
        <v>700000</v>
      </c>
      <c r="H51" s="3">
        <v>800000</v>
      </c>
      <c r="I51" s="3">
        <v>1050000</v>
      </c>
      <c r="J51" s="3">
        <v>1310000</v>
      </c>
      <c r="K51" s="87"/>
      <c r="L51" s="136"/>
      <c r="M51" s="87"/>
      <c r="N51" s="6"/>
    </row>
    <row r="52" spans="1:15">
      <c r="A52" s="23" t="s">
        <v>105</v>
      </c>
      <c r="B52" s="90" t="s">
        <v>106</v>
      </c>
      <c r="C52" s="114">
        <f>Total_Liabilities+Equity</f>
        <v>2700000</v>
      </c>
      <c r="D52" s="25">
        <f t="shared" ref="D52:F52" si="17">D46+D50</f>
        <v>3600000</v>
      </c>
      <c r="E52" s="25">
        <f t="shared" si="17"/>
        <v>4450000</v>
      </c>
      <c r="F52" s="25">
        <f t="shared" si="17"/>
        <v>5014000</v>
      </c>
      <c r="G52" s="74">
        <f>G51-C50</f>
        <v>0</v>
      </c>
      <c r="H52" s="74">
        <f>H51-D50</f>
        <v>0</v>
      </c>
      <c r="I52" s="74">
        <f>I51-E50</f>
        <v>0</v>
      </c>
      <c r="J52" s="74">
        <f>J51-F50</f>
        <v>0</v>
      </c>
      <c r="K52" s="87" t="str">
        <f ca="1">IF(ISNA(_xlfn.FORMULATEXT(C52)),"Constant","Formula")</f>
        <v>Formula</v>
      </c>
      <c r="L52" s="136"/>
      <c r="M52" s="87" t="str">
        <f ca="1">_xlfn.IFNA(_xlfn.FORMULATEXT(C52),$B52)</f>
        <v>=Total_Liabilities+Equity</v>
      </c>
      <c r="N52" s="6" t="str">
        <f t="shared" si="7"/>
        <v>Balance Sheet</v>
      </c>
    </row>
    <row r="53" spans="1:15">
      <c r="K53" s="87"/>
      <c r="L53" s="136"/>
      <c r="M53" s="87"/>
      <c r="N53" s="6"/>
    </row>
    <row r="54" spans="1:15">
      <c r="A54" s="26" t="s">
        <v>107</v>
      </c>
      <c r="B54" s="90" t="s">
        <v>108</v>
      </c>
      <c r="C54" s="114">
        <f>Total_Assets-Liabilities_And_Equity</f>
        <v>0</v>
      </c>
      <c r="D54" s="27">
        <f t="shared" ref="D54:F54" si="18">D38-D52</f>
        <v>0</v>
      </c>
      <c r="E54" s="27">
        <f t="shared" si="18"/>
        <v>0</v>
      </c>
      <c r="F54" s="27">
        <f t="shared" si="18"/>
        <v>0</v>
      </c>
      <c r="K54" s="87" t="str">
        <f ca="1">IF(ISNA(_xlfn.FORMULATEXT(Balance_Sheet_Check)),"Constant","Formula")</f>
        <v>Formula</v>
      </c>
      <c r="L54" s="136"/>
      <c r="M54" s="87" t="str">
        <f ca="1">_xlfn.IFNA(_xlfn.FORMULATEXT(Balance_Sheet_Check),$B54)</f>
        <v>=Total_Assets-Liabilities_And_Equity</v>
      </c>
      <c r="N54" s="6" t="str">
        <f t="shared" si="7"/>
        <v>Balance Sheet</v>
      </c>
    </row>
    <row r="55" spans="1:15">
      <c r="L55" s="136"/>
    </row>
    <row r="56" spans="1:15">
      <c r="L56" s="136"/>
    </row>
    <row r="57" spans="1:15">
      <c r="C57" s="55" t="s">
        <v>38</v>
      </c>
      <c r="D57" s="55" t="s">
        <v>39</v>
      </c>
      <c r="E57" s="55" t="s">
        <v>40</v>
      </c>
      <c r="F57" s="55" t="s">
        <v>41</v>
      </c>
      <c r="L57" s="136"/>
    </row>
    <row r="58" spans="1:15" ht="14.5" thickBot="1">
      <c r="B58" s="2" t="s">
        <v>109</v>
      </c>
      <c r="C58" s="52" t="s">
        <v>44</v>
      </c>
      <c r="D58" s="52" t="s">
        <v>44</v>
      </c>
      <c r="E58" s="52" t="s">
        <v>44</v>
      </c>
      <c r="F58" s="52" t="s">
        <v>44</v>
      </c>
      <c r="L58" s="136"/>
    </row>
    <row r="59" spans="1:15" ht="14.5" thickTop="1">
      <c r="A59" s="3" t="s">
        <v>45</v>
      </c>
      <c r="C59" s="88">
        <f>Revenue</f>
        <v>3400000</v>
      </c>
      <c r="D59" s="5">
        <f>Revenue2</f>
        <v>5000000</v>
      </c>
      <c r="E59" s="5">
        <f t="shared" ref="E59:F59" si="19">E16</f>
        <v>5800000</v>
      </c>
      <c r="F59" s="5">
        <f t="shared" si="19"/>
        <v>6612000</v>
      </c>
      <c r="K59" s="128" t="s">
        <v>110</v>
      </c>
      <c r="L59" s="136"/>
      <c r="M59" s="128" t="str">
        <f ca="1">_xlfn.IFNA(_xlfn.FORMULATEXT(C59),$B59)</f>
        <v>=Revenue</v>
      </c>
      <c r="N59" s="3" t="str">
        <f t="shared" ref="N59" si="20">$B$58</f>
        <v>Chapter 1 - Profitability</v>
      </c>
    </row>
    <row r="60" spans="1:15">
      <c r="A60" s="10" t="s">
        <v>111</v>
      </c>
      <c r="B60" s="89" t="s">
        <v>112</v>
      </c>
      <c r="C60" s="134" t="s">
        <v>113</v>
      </c>
      <c r="D60" s="116">
        <f>((Revenue2-Revenue)/Revenue)*100</f>
        <v>47.058823529411761</v>
      </c>
      <c r="E60" s="14">
        <f t="shared" ref="E60:F60" si="21">((E59-D59)/D59)*100</f>
        <v>16</v>
      </c>
      <c r="F60" s="14">
        <f t="shared" si="21"/>
        <v>14.000000000000002</v>
      </c>
      <c r="K60" s="87" t="str">
        <f ca="1">IF(ISNA(_xlfn.FORMULATEXT(D60)),"Constant","Formula")</f>
        <v>Formula</v>
      </c>
      <c r="L60" s="136"/>
      <c r="M60" s="87" t="str">
        <f ca="1">_xlfn.IFNA(_xlfn.FORMULATEXT(D60),$B60)</f>
        <v>=((Revenue2-Revenue)/Revenue)*100</v>
      </c>
      <c r="N60" s="3" t="str">
        <f>$B$58</f>
        <v>Chapter 1 - Profitability</v>
      </c>
    </row>
    <row r="61" spans="1:15">
      <c r="A61" s="3" t="s">
        <v>48</v>
      </c>
      <c r="C61" s="88">
        <f>Gross_Margin</f>
        <v>865000</v>
      </c>
      <c r="D61" s="5">
        <f>Gross_Margin2</f>
        <v>1300000</v>
      </c>
      <c r="E61" s="5">
        <f t="shared" ref="E61:F61" si="22">E18</f>
        <v>1650000</v>
      </c>
      <c r="F61" s="5">
        <f t="shared" si="22"/>
        <v>1917500</v>
      </c>
      <c r="K61" s="128" t="s">
        <v>110</v>
      </c>
      <c r="L61" s="136"/>
      <c r="M61" s="128" t="str">
        <f ca="1">_xlfn.IFNA(_xlfn.FORMULATEXT(C61),$B61)</f>
        <v>=Gross_Margin</v>
      </c>
      <c r="N61" s="3" t="str">
        <f t="shared" ref="N61:N72" si="23">$B$58</f>
        <v>Chapter 1 - Profitability</v>
      </c>
      <c r="O61" s="128"/>
    </row>
    <row r="62" spans="1:15">
      <c r="A62" s="10" t="s">
        <v>114</v>
      </c>
      <c r="B62" s="89" t="s">
        <v>115</v>
      </c>
      <c r="C62" s="118">
        <f>(Gross_Margin/Revenue)*100</f>
        <v>25.441176470588232</v>
      </c>
      <c r="D62" s="28">
        <f>(Gross_Margin2/Revenue2)*100</f>
        <v>26</v>
      </c>
      <c r="E62" s="28">
        <f>(E18/E16)*100</f>
        <v>28.448275862068968</v>
      </c>
      <c r="F62" s="28">
        <f>(F18/F16)*100</f>
        <v>29.000302480338782</v>
      </c>
      <c r="K62" s="87" t="str">
        <f ca="1">IF(ISNA(_xlfn.FORMULATEXT(Gross_Margin_Perc)),"Constant","Formula")</f>
        <v>Formula</v>
      </c>
      <c r="L62" s="136"/>
      <c r="M62" s="87" t="str">
        <f ca="1">_xlfn.IFNA(_xlfn.FORMULATEXT(Gross_Margin_Perc),$B62)</f>
        <v>=(Gross_Margin/Revenue)*100</v>
      </c>
      <c r="N62" s="3" t="str">
        <f t="shared" si="23"/>
        <v>Chapter 1 - Profitability</v>
      </c>
    </row>
    <row r="63" spans="1:15">
      <c r="A63" s="3" t="s">
        <v>50</v>
      </c>
      <c r="C63" s="88">
        <f>Overheads</f>
        <v>505000</v>
      </c>
      <c r="D63" s="5">
        <f>Overheads2</f>
        <v>833000</v>
      </c>
      <c r="E63" s="5">
        <f t="shared" ref="E63:F63" si="24">E19</f>
        <v>1025000</v>
      </c>
      <c r="F63" s="5">
        <f t="shared" si="24"/>
        <v>1216200</v>
      </c>
      <c r="K63" s="128" t="s">
        <v>110</v>
      </c>
      <c r="L63" s="136"/>
      <c r="M63" s="128" t="str">
        <f ca="1">_xlfn.IFNA(_xlfn.FORMULATEXT(C63),$B63)</f>
        <v>=Overheads</v>
      </c>
      <c r="N63" s="3" t="str">
        <f t="shared" si="23"/>
        <v>Chapter 1 - Profitability</v>
      </c>
      <c r="O63" s="128"/>
    </row>
    <row r="64" spans="1:15">
      <c r="A64" s="10" t="s">
        <v>116</v>
      </c>
      <c r="B64" s="89" t="s">
        <v>117</v>
      </c>
      <c r="C64" s="118">
        <f>(Overheads/Revenue)*100</f>
        <v>14.852941176470589</v>
      </c>
      <c r="D64" s="28">
        <f>(D63/Revenue2)*100</f>
        <v>16.66</v>
      </c>
      <c r="E64" s="28">
        <f t="shared" ref="E64:F64" si="25">(E63/E16)*100</f>
        <v>17.672413793103448</v>
      </c>
      <c r="F64" s="28">
        <f t="shared" si="25"/>
        <v>18.393829401088929</v>
      </c>
      <c r="K64" s="87" t="str">
        <f ca="1">IF(ISNA(_xlfn.FORMULATEXT(C64)),"Constant","Formula")</f>
        <v>Formula</v>
      </c>
      <c r="L64" s="136"/>
      <c r="M64" s="87" t="str">
        <f ca="1">_xlfn.IFNA(_xlfn.FORMULATEXT(C64),$B64)</f>
        <v>=(Overheads/Revenue)*100</v>
      </c>
      <c r="N64" s="3" t="str">
        <f t="shared" si="23"/>
        <v>Chapter 1 - Profitability</v>
      </c>
    </row>
    <row r="65" spans="1:15">
      <c r="A65" s="3" t="s">
        <v>51</v>
      </c>
      <c r="C65" s="88">
        <f>Operating_Profit</f>
        <v>360000</v>
      </c>
      <c r="D65" s="5">
        <f t="shared" ref="D65:F65" si="26">D20</f>
        <v>467000</v>
      </c>
      <c r="E65" s="5">
        <f t="shared" si="26"/>
        <v>625000</v>
      </c>
      <c r="F65" s="5">
        <f t="shared" si="26"/>
        <v>701300</v>
      </c>
      <c r="K65" s="128" t="s">
        <v>110</v>
      </c>
      <c r="L65" s="136"/>
      <c r="M65" s="128" t="str">
        <f ca="1">_xlfn.IFNA(_xlfn.FORMULATEXT(C65),$B65)</f>
        <v>=Operating_Profit</v>
      </c>
      <c r="N65" s="3" t="str">
        <f t="shared" si="23"/>
        <v>Chapter 1 - Profitability</v>
      </c>
      <c r="O65" s="128"/>
    </row>
    <row r="66" spans="1:15">
      <c r="A66" s="10" t="s">
        <v>118</v>
      </c>
      <c r="B66" s="89" t="s">
        <v>119</v>
      </c>
      <c r="C66" s="118">
        <f>(Operating_Profit/Revenue)*100</f>
        <v>10.588235294117647</v>
      </c>
      <c r="D66" s="28">
        <f>(D65/Revenue2)*100</f>
        <v>9.34</v>
      </c>
      <c r="E66" s="28">
        <f>(E65/E16)*100</f>
        <v>10.775862068965516</v>
      </c>
      <c r="F66" s="28">
        <f>(F65/F16)*100</f>
        <v>10.606473079249849</v>
      </c>
      <c r="K66" s="87" t="str">
        <f ca="1">IF(ISNA(_xlfn.FORMULATEXT(C66)),"Constant","Formula")</f>
        <v>Formula</v>
      </c>
      <c r="L66" s="136"/>
      <c r="M66" s="87" t="str">
        <f ca="1">_xlfn.IFNA(_xlfn.FORMULATEXT(C66),$B66)</f>
        <v>=(Operating_Profit/Revenue)*100</v>
      </c>
      <c r="N66" s="3" t="str">
        <f t="shared" si="23"/>
        <v>Chapter 1 - Profitability</v>
      </c>
    </row>
    <row r="67" spans="1:15">
      <c r="A67" s="3" t="s">
        <v>120</v>
      </c>
      <c r="B67" s="3" t="s">
        <v>121</v>
      </c>
      <c r="C67" s="108">
        <v>74000</v>
      </c>
      <c r="D67" s="42">
        <v>100000</v>
      </c>
      <c r="E67" s="42">
        <v>100000</v>
      </c>
      <c r="F67" s="42">
        <v>100000</v>
      </c>
      <c r="K67" s="131" t="str">
        <f ca="1">IF(ISNA(_xlfn.FORMULATEXT(Depreciation_And_Amortisation)),"Constant","Formula")</f>
        <v>Constant</v>
      </c>
      <c r="L67" s="137"/>
      <c r="M67" s="131" t="str">
        <f ca="1">_xlfn.IFNA(_xlfn.FORMULATEXT(Depreciation_And_Amortisation),B67)</f>
        <v>Depreciation_And_Amortisation</v>
      </c>
      <c r="N67" s="3" t="str">
        <f t="shared" si="23"/>
        <v>Chapter 1 - Profitability</v>
      </c>
    </row>
    <row r="68" spans="1:15">
      <c r="A68" s="10" t="s">
        <v>122</v>
      </c>
      <c r="B68" s="89" t="s">
        <v>122</v>
      </c>
      <c r="C68" s="117">
        <f>Operating_Profit+Depreciation_And_Amortisation</f>
        <v>434000</v>
      </c>
      <c r="D68" s="9">
        <f>D20+Depreciation_And_Amortisation2</f>
        <v>567000</v>
      </c>
      <c r="E68" s="9">
        <f>E20+EEFF!E67</f>
        <v>725000</v>
      </c>
      <c r="F68" s="9">
        <f>F20+EEFF!F67</f>
        <v>801300</v>
      </c>
      <c r="K68" s="87" t="str">
        <f ca="1">IF(ISNA(_xlfn.FORMULATEXT(EBITDA)),"Constant","Formula")</f>
        <v>Formula</v>
      </c>
      <c r="L68" s="136"/>
      <c r="M68" s="87" t="str">
        <f ca="1">_xlfn.IFNA(_xlfn.FORMULATEXT(EBITDA),$B68)</f>
        <v>=Operating_Profit+Depreciation_And_Amortisation</v>
      </c>
      <c r="N68" s="3" t="str">
        <f t="shared" si="23"/>
        <v>Chapter 1 - Profitability</v>
      </c>
    </row>
    <row r="69" spans="1:15">
      <c r="A69" s="3" t="s">
        <v>61</v>
      </c>
      <c r="C69" s="88">
        <f>Net_Profit</f>
        <v>195400</v>
      </c>
      <c r="D69" s="5">
        <f t="shared" ref="D69:F69" si="27">D25</f>
        <v>280000</v>
      </c>
      <c r="E69" s="5">
        <f t="shared" si="27"/>
        <v>350000</v>
      </c>
      <c r="F69" s="5">
        <f t="shared" si="27"/>
        <v>410000</v>
      </c>
      <c r="K69" s="128" t="s">
        <v>110</v>
      </c>
      <c r="L69" s="136"/>
      <c r="M69" s="128" t="str">
        <f ca="1">_xlfn.IFNA(_xlfn.FORMULATEXT(C69),$B69)</f>
        <v>=Net_Profit</v>
      </c>
      <c r="N69" s="3" t="str">
        <f t="shared" si="23"/>
        <v>Chapter 1 - Profitability</v>
      </c>
      <c r="O69" s="128"/>
    </row>
    <row r="70" spans="1:15">
      <c r="A70" s="10" t="s">
        <v>123</v>
      </c>
      <c r="B70" s="89" t="s">
        <v>124</v>
      </c>
      <c r="C70" s="118">
        <f>(Net_Profit/Revenue)*100</f>
        <v>5.7470588235294118</v>
      </c>
      <c r="D70" s="28">
        <f>(D69/Revenue2)*100</f>
        <v>5.6000000000000005</v>
      </c>
      <c r="E70" s="28">
        <f>(E69/E16)*100</f>
        <v>6.0344827586206895</v>
      </c>
      <c r="F70" s="28">
        <f>(F69/F16)*100</f>
        <v>6.2008469449485784</v>
      </c>
      <c r="K70" s="87" t="str">
        <f ca="1">IF(ISNA(_xlfn.FORMULATEXT(C70)),"Constant","Formula")</f>
        <v>Formula</v>
      </c>
      <c r="L70" s="136"/>
      <c r="M70" s="87" t="str">
        <f ca="1">_xlfn.IFNA(_xlfn.FORMULATEXT(C70),$B70)</f>
        <v>=(Net_Profit/Revenue)*100</v>
      </c>
      <c r="N70" s="3" t="str">
        <f t="shared" si="23"/>
        <v>Chapter 1 - Profitability</v>
      </c>
    </row>
    <row r="71" spans="1:15">
      <c r="A71" s="3" t="s">
        <v>65</v>
      </c>
      <c r="C71" s="88">
        <f>Retained_Profit</f>
        <v>150000</v>
      </c>
      <c r="D71" s="5">
        <f t="shared" ref="D71:F71" si="28">D27</f>
        <v>100000</v>
      </c>
      <c r="E71" s="5">
        <f t="shared" si="28"/>
        <v>250000</v>
      </c>
      <c r="F71" s="5">
        <f t="shared" si="28"/>
        <v>260000</v>
      </c>
      <c r="K71" s="128" t="s">
        <v>110</v>
      </c>
      <c r="L71" s="136"/>
      <c r="M71" s="128" t="str">
        <f ca="1">_xlfn.IFNA(_xlfn.FORMULATEXT(C71),$B71)</f>
        <v>=Retained_Profit</v>
      </c>
      <c r="N71" s="3" t="str">
        <f t="shared" si="23"/>
        <v>Chapter 1 - Profitability</v>
      </c>
      <c r="O71" s="128"/>
    </row>
    <row r="72" spans="1:15">
      <c r="A72" s="10" t="s">
        <v>125</v>
      </c>
      <c r="B72" s="89" t="s">
        <v>126</v>
      </c>
      <c r="C72" s="118">
        <f>Operating_Profit/Interest_Paid</f>
        <v>7.2</v>
      </c>
      <c r="D72" s="28">
        <f>D20/Interest_Paid2</f>
        <v>4.67</v>
      </c>
      <c r="E72" s="28">
        <f t="shared" ref="E72:F72" si="29">E20/E21</f>
        <v>4.166666666666667</v>
      </c>
      <c r="F72" s="28">
        <f t="shared" si="29"/>
        <v>3.9846590909090911</v>
      </c>
      <c r="K72" s="87" t="str">
        <f ca="1">IF(ISNA(_xlfn.FORMULATEXT(Interest_Cover)),"Constant","Formula")</f>
        <v>Formula</v>
      </c>
      <c r="L72" s="136"/>
      <c r="M72" s="87" t="str">
        <f ca="1">_xlfn.IFNA(_xlfn.FORMULATEXT(Interest_Cover),$B72)</f>
        <v>=Operating_Profit/Interest_Paid</v>
      </c>
      <c r="N72" s="3" t="str">
        <f t="shared" si="23"/>
        <v>Chapter 1 - Profitability</v>
      </c>
    </row>
    <row r="73" spans="1:15" ht="14.5">
      <c r="B73" s="6"/>
      <c r="C73" s="4"/>
      <c r="D73" s="4"/>
      <c r="E73" s="4"/>
      <c r="F73" s="4"/>
      <c r="K73"/>
      <c r="L73" s="138"/>
      <c r="M73"/>
      <c r="N73"/>
      <c r="O73"/>
    </row>
    <row r="74" spans="1:15" ht="15" thickBot="1">
      <c r="B74" s="2" t="s">
        <v>127</v>
      </c>
      <c r="C74" s="20"/>
      <c r="D74" s="20"/>
      <c r="E74" s="20"/>
      <c r="F74" s="20"/>
      <c r="K74"/>
      <c r="L74" s="138"/>
      <c r="M74"/>
      <c r="N74"/>
      <c r="O74"/>
    </row>
    <row r="75" spans="1:15" ht="14.5" thickTop="1">
      <c r="A75" s="3" t="s">
        <v>128</v>
      </c>
      <c r="B75" s="3" t="s">
        <v>129</v>
      </c>
      <c r="C75" s="119">
        <f>(Accounts_Receivable/Revenue)*365</f>
        <v>61.191176470588232</v>
      </c>
      <c r="D75" s="29" cm="1">
        <f t="array" ref="D75">(Accounts_Receivable2/Revenue2)*365</f>
        <v>65.7</v>
      </c>
      <c r="E75" s="29">
        <f t="shared" ref="E75" si="30">(E31/E$16)*365</f>
        <v>75.517241379310349</v>
      </c>
      <c r="F75" s="71">
        <f>E10</f>
        <v>79.657441016333934</v>
      </c>
      <c r="G75" s="72"/>
      <c r="K75" s="87" t="str">
        <f ca="1">IF(ISNA(_xlfn.FORMULATEXT(Accounts_Receivable_Days)),"Constant","Formula")</f>
        <v>Formula</v>
      </c>
      <c r="L75" s="136"/>
      <c r="M75" s="87" t="str">
        <f ca="1">_xlfn.IFNA(_xlfn.FORMULATEXT(Accounts_Receivable_Days),$B75)</f>
        <v>=(Accounts_Receivable/Revenue)*365</v>
      </c>
      <c r="N75" s="3" t="str">
        <f>$B$74</f>
        <v>Chapter 2 - Working Capital</v>
      </c>
    </row>
    <row r="76" spans="1:15">
      <c r="A76" s="10" t="s">
        <v>130</v>
      </c>
      <c r="B76" s="10" t="s">
        <v>131</v>
      </c>
      <c r="C76" s="120">
        <f>(Inventory/Cost_of_Goods)*365</f>
        <v>86.390532544378701</v>
      </c>
      <c r="D76" s="11" cm="1">
        <f t="array" ref="D76">(Inventory2/Cost_of_Goods2)*365</f>
        <v>90.756756756756758</v>
      </c>
      <c r="E76" s="11">
        <f t="shared" ref="E76" si="31">(E32/E$17)*365</f>
        <v>109.93975903614459</v>
      </c>
      <c r="F76" s="71">
        <f t="shared" ref="F76:F77" si="32">E11</f>
        <v>120.51336670571945</v>
      </c>
      <c r="G76" s="72"/>
      <c r="K76" s="87" t="str">
        <f ca="1">IF(ISNA(_xlfn.FORMULATEXT(Inventory_Days)),"Constant","Formula")</f>
        <v>Formula</v>
      </c>
      <c r="L76" s="136"/>
      <c r="M76" s="87" t="str">
        <f ca="1">_xlfn.IFNA(_xlfn.FORMULATEXT(Inventory_Days),$B76)</f>
        <v>=(Inventory/Cost_of_Goods)*365</v>
      </c>
      <c r="N76" s="3" t="str">
        <f t="shared" ref="N76:N83" si="33">$B$74</f>
        <v>Chapter 2 - Working Capital</v>
      </c>
    </row>
    <row r="77" spans="1:15">
      <c r="A77" s="3" t="s">
        <v>132</v>
      </c>
      <c r="B77" s="3" t="s">
        <v>133</v>
      </c>
      <c r="C77" s="119">
        <f>(Accounts_Payable/Cost_of_Goods)*365</f>
        <v>43.19526627218935</v>
      </c>
      <c r="D77" s="29" cm="1">
        <f t="array" ref="D77">(Accounts_Payable2/Cost_of_Goods2)*365</f>
        <v>44.391891891891895</v>
      </c>
      <c r="E77" s="29">
        <f t="shared" ref="E77" si="34">(E39/E$17)*365</f>
        <v>43.975903614457835</v>
      </c>
      <c r="F77" s="71">
        <f t="shared" si="32"/>
        <v>45.872829907338371</v>
      </c>
      <c r="G77" s="72"/>
      <c r="K77" s="87" t="str">
        <f ca="1">IF(ISNA(_xlfn.FORMULATEXT(Accounts_Payable_Days)),"Constant","Formula")</f>
        <v>Formula</v>
      </c>
      <c r="L77" s="136"/>
      <c r="M77" s="87" t="str">
        <f ca="1">_xlfn.IFNA(_xlfn.FORMULATEXT(Accounts_Payable_Days),$B77)</f>
        <v>=(Accounts_Payable/Cost_of_Goods)*365</v>
      </c>
      <c r="N77" s="3" t="str">
        <f t="shared" si="33"/>
        <v>Chapter 2 - Working Capital</v>
      </c>
    </row>
    <row r="78" spans="1:15">
      <c r="A78" s="10" t="s">
        <v>134</v>
      </c>
      <c r="B78" s="10" t="s">
        <v>135</v>
      </c>
      <c r="C78" s="120">
        <f>Accounts_Receivable_Days+Inventory_Days-Accounts_Payable_Days</f>
        <v>104.38644274277758</v>
      </c>
      <c r="D78" s="11">
        <f t="shared" ref="D78:F78" si="35">D75+D76-D77</f>
        <v>112.06486486486486</v>
      </c>
      <c r="E78" s="11">
        <f t="shared" si="35"/>
        <v>141.48109680099714</v>
      </c>
      <c r="F78" s="11">
        <f t="shared" si="35"/>
        <v>154.29797781471501</v>
      </c>
      <c r="K78" s="87" t="str">
        <f t="shared" ref="K78:K83" ca="1" si="36">IF(ISNA(_xlfn.FORMULATEXT(C78)),"Constant","Formula")</f>
        <v>Formula</v>
      </c>
      <c r="L78" s="136"/>
      <c r="M78" s="87" t="str">
        <f t="shared" ref="M78:M83" ca="1" si="37">_xlfn.IFNA(_xlfn.FORMULATEXT(C78),$B78)</f>
        <v>=Accounts_Receivable_Days+Inventory_Days-Accounts_Payable_Days</v>
      </c>
      <c r="N78" s="3" t="str">
        <f t="shared" si="33"/>
        <v>Chapter 2 - Working Capital</v>
      </c>
    </row>
    <row r="79" spans="1:15">
      <c r="A79" s="3" t="s">
        <v>136</v>
      </c>
      <c r="B79" s="3" t="s">
        <v>137</v>
      </c>
      <c r="C79" s="121">
        <f>Accounts_Receivable+Inventory-Accounts_Payable</f>
        <v>870000</v>
      </c>
      <c r="D79" s="5" cm="1">
        <f t="array" ref="D79">Accounts_Receivable2+Inventory2-Accounts_Payable2</f>
        <v>1370000</v>
      </c>
      <c r="E79" s="5">
        <f t="shared" ref="E79:F79" si="38">E31+E32-E39</f>
        <v>1950000</v>
      </c>
      <c r="F79" s="5">
        <f t="shared" si="38"/>
        <v>2403000</v>
      </c>
      <c r="G79" s="82">
        <v>2403000</v>
      </c>
      <c r="H79" s="74">
        <f>G79-F79</f>
        <v>0</v>
      </c>
      <c r="K79" s="87" t="str">
        <f t="shared" ca="1" si="36"/>
        <v>Formula</v>
      </c>
      <c r="L79" s="136"/>
      <c r="M79" s="87" t="str">
        <f t="shared" ca="1" si="37"/>
        <v>=Accounts_Receivable+Inventory-Accounts_Payable</v>
      </c>
      <c r="N79" s="3" t="str">
        <f t="shared" si="33"/>
        <v>Chapter 2 - Working Capital</v>
      </c>
    </row>
    <row r="80" spans="1:15">
      <c r="A80" s="10" t="s">
        <v>138</v>
      </c>
      <c r="B80" s="10" t="s">
        <v>139</v>
      </c>
      <c r="C80" s="120">
        <f>(Working_Capital/Revenue)*100</f>
        <v>25.588235294117645</v>
      </c>
      <c r="D80" s="11">
        <f>(D79/Revenue2)*100</f>
        <v>27.400000000000002</v>
      </c>
      <c r="E80" s="11">
        <f t="shared" ref="E80:F80" si="39">(E79/E59)*100</f>
        <v>33.620689655172413</v>
      </c>
      <c r="F80" s="11">
        <f t="shared" si="39"/>
        <v>36.343012704174228</v>
      </c>
      <c r="K80" s="87" t="str">
        <f t="shared" ca="1" si="36"/>
        <v>Formula</v>
      </c>
      <c r="L80" s="136"/>
      <c r="M80" s="87" t="str">
        <f t="shared" ca="1" si="37"/>
        <v>=(Working_Capital/Revenue)*100</v>
      </c>
      <c r="N80" s="3" t="str">
        <f t="shared" si="33"/>
        <v>Chapter 2 - Working Capital</v>
      </c>
    </row>
    <row r="81" spans="1:14">
      <c r="A81" s="3" t="s">
        <v>140</v>
      </c>
      <c r="B81" s="3" t="s">
        <v>141</v>
      </c>
      <c r="C81" s="119">
        <f>Revenue/Working_Capital</f>
        <v>3.9080459770114944</v>
      </c>
      <c r="D81" s="29">
        <f>Revenue2/D79</f>
        <v>3.6496350364963503</v>
      </c>
      <c r="E81" s="29">
        <f t="shared" ref="E81:F81" si="40">E16/E79</f>
        <v>2.9743589743589745</v>
      </c>
      <c r="F81" s="29">
        <f t="shared" si="40"/>
        <v>2.7515605493133584</v>
      </c>
      <c r="K81" s="87" t="str">
        <f t="shared" ca="1" si="36"/>
        <v>Formula</v>
      </c>
      <c r="L81" s="136"/>
      <c r="M81" s="87" t="str">
        <f t="shared" ca="1" si="37"/>
        <v>=Revenue/Working_Capital</v>
      </c>
      <c r="N81" s="3" t="str">
        <f t="shared" si="33"/>
        <v>Chapter 2 - Working Capital</v>
      </c>
    </row>
    <row r="82" spans="1:14">
      <c r="A82" s="31" t="s">
        <v>142</v>
      </c>
      <c r="B82" s="31" t="s">
        <v>143</v>
      </c>
      <c r="C82" s="120">
        <f>((Gross_Margin/Revenue)-((Accounts_Receivable+Inventory-Accounts_Payable)/Revenue))*100</f>
        <v>-0.14705882352941124</v>
      </c>
      <c r="D82" s="32" cm="1">
        <f t="array" ref="D82">((Gross_Margin2/Revenue2)-((Accounts_Receivable2+Inventory2-Accounts_Payable2)/Revenue2))*100</f>
        <v>-1.4000000000000012</v>
      </c>
      <c r="E82" s="32">
        <f t="shared" ref="E82" si="41">((E18/E16)-((E31+E32-E39)/E16))*100</f>
        <v>-5.1724137931034475</v>
      </c>
      <c r="F82" s="32">
        <f>((F18/F16)-((F31+F32-F39)/F16))*100</f>
        <v>-7.3427102238354465</v>
      </c>
      <c r="K82" s="87" t="str">
        <f t="shared" ca="1" si="36"/>
        <v>Formula</v>
      </c>
      <c r="L82" s="136"/>
      <c r="M82" s="87" t="str">
        <f t="shared" ca="1" si="37"/>
        <v>=((Gross_Margin/Revenue)-((Accounts_Receivable+Inventory-Accounts_Payable)/Revenue))*100</v>
      </c>
      <c r="N82" s="3" t="str">
        <f t="shared" si="33"/>
        <v>Chapter 2 - Working Capital</v>
      </c>
    </row>
    <row r="83" spans="1:14">
      <c r="A83" s="10" t="s">
        <v>144</v>
      </c>
      <c r="B83" s="10" t="s">
        <v>145</v>
      </c>
      <c r="C83" s="120">
        <f>Current_Assets/Current_Liabilities</f>
        <v>1.875</v>
      </c>
      <c r="D83" s="11">
        <f t="shared" ref="D83:E83" si="42">D34/D42</f>
        <v>1.3125</v>
      </c>
      <c r="E83" s="11">
        <f t="shared" si="42"/>
        <v>1.1627906976744187</v>
      </c>
      <c r="F83" s="11">
        <f>F34/F42</f>
        <v>1.2485737571312143</v>
      </c>
      <c r="K83" s="87" t="str">
        <f t="shared" ca="1" si="36"/>
        <v>Formula</v>
      </c>
      <c r="L83" s="136"/>
      <c r="M83" s="87" t="str">
        <f t="shared" ca="1" si="37"/>
        <v>=Current_Assets/Current_Liabilities</v>
      </c>
      <c r="N83" s="3" t="str">
        <f t="shared" si="33"/>
        <v>Chapter 2 - Working Capital</v>
      </c>
    </row>
    <row r="84" spans="1:14">
      <c r="B84" s="6"/>
      <c r="C84" s="4"/>
      <c r="D84" s="4"/>
      <c r="E84" s="4"/>
      <c r="F84" s="4"/>
      <c r="L84" s="136"/>
    </row>
    <row r="85" spans="1:14" ht="14.5" thickBot="1">
      <c r="B85" s="2" t="s">
        <v>146</v>
      </c>
      <c r="C85" s="20"/>
      <c r="D85" s="20"/>
      <c r="E85" s="20"/>
      <c r="F85" s="20"/>
      <c r="L85" s="136"/>
    </row>
    <row r="86" spans="1:14" ht="14.5" thickTop="1">
      <c r="A86" s="3" t="s">
        <v>147</v>
      </c>
      <c r="B86" s="33" t="s">
        <v>148</v>
      </c>
      <c r="C86" s="121">
        <f>Fixed_Assets+Other_Current_Assets+Other_Non_Current_Assets-Other_Current_Liabilities-Other_Non_Current_Liabilities</f>
        <v>1070000</v>
      </c>
      <c r="D86" s="34">
        <f>Fixed_Assets2+D33+D36-D41-D44</f>
        <v>1555000</v>
      </c>
      <c r="E86" s="34">
        <f t="shared" ref="E86" si="43">E35+E33+E36-E41-E44</f>
        <v>1750000</v>
      </c>
      <c r="F86" s="34">
        <f>F35+F33+F36-F41-F44</f>
        <v>1750000</v>
      </c>
      <c r="K86" s="87" t="str">
        <f ca="1">IF(ISNA(_xlfn.FORMULATEXT(C86)),"Constant","Formula")</f>
        <v>Formula</v>
      </c>
      <c r="L86" s="136"/>
      <c r="M86" s="87" t="str">
        <f ca="1">_xlfn.IFNA(_xlfn.FORMULATEXT(C86),$B86)</f>
        <v>=Fixed_Assets+Other_Current_Assets+Other_Non_Current_Assets-Other_Current_Liabilities-Other_Non_Current_Liabilities</v>
      </c>
      <c r="N86" s="3" t="str">
        <f>$B$85</f>
        <v>Chapter 3 - Other Capital</v>
      </c>
    </row>
    <row r="87" spans="1:14">
      <c r="A87" s="3" t="s">
        <v>149</v>
      </c>
      <c r="B87" s="31" t="s">
        <v>150</v>
      </c>
      <c r="C87" s="122">
        <f>Other_Capital/Revenue</f>
        <v>0.31470588235294117</v>
      </c>
      <c r="D87" s="35">
        <f>D86/Revenue2</f>
        <v>0.311</v>
      </c>
      <c r="E87" s="35">
        <f t="shared" ref="E87" si="44">E86/E16</f>
        <v>0.30172413793103448</v>
      </c>
      <c r="F87" s="35">
        <f>F86/F16</f>
        <v>0.26467029643073198</v>
      </c>
      <c r="K87" s="87" t="str">
        <f ca="1">IF(ISNA(_xlfn.FORMULATEXT(C87)),"Constant","Formula")</f>
        <v>Formula</v>
      </c>
      <c r="L87" s="136"/>
      <c r="M87" s="87" t="str">
        <f ca="1">_xlfn.IFNA(_xlfn.FORMULATEXT(C87),$B87)</f>
        <v>=Other_Capital/Revenue</v>
      </c>
      <c r="N87" s="3" t="str">
        <f t="shared" ref="N87:N94" si="45">$B$85</f>
        <v>Chapter 3 - Other Capital</v>
      </c>
    </row>
    <row r="88" spans="1:14">
      <c r="A88" s="3" t="s">
        <v>151</v>
      </c>
      <c r="B88" s="33" t="s">
        <v>152</v>
      </c>
      <c r="C88" s="119">
        <f>Revenue/Other_Capital</f>
        <v>3.1775700934579438</v>
      </c>
      <c r="D88" s="36">
        <f>Revenue2/D86</f>
        <v>3.215434083601286</v>
      </c>
      <c r="E88" s="36">
        <f t="shared" ref="E88:F88" si="46">E16/E86</f>
        <v>3.3142857142857145</v>
      </c>
      <c r="F88" s="36">
        <f t="shared" si="46"/>
        <v>3.7782857142857145</v>
      </c>
      <c r="K88" s="87" t="str">
        <f ca="1">IF(ISNA(_xlfn.FORMULATEXT(C88)),"Constant","Formula")</f>
        <v>Formula</v>
      </c>
      <c r="L88" s="136"/>
      <c r="M88" s="87" t="str">
        <f ca="1">_xlfn.IFNA(_xlfn.FORMULATEXT(C88),$B88)</f>
        <v>=Revenue/Other_Capital</v>
      </c>
      <c r="N88" s="3" t="str">
        <f t="shared" si="45"/>
        <v>Chapter 3 - Other Capital</v>
      </c>
    </row>
    <row r="89" spans="1:14">
      <c r="A89" s="3" t="s">
        <v>153</v>
      </c>
      <c r="B89" s="10" t="s">
        <v>154</v>
      </c>
      <c r="C89" s="117">
        <f>Bank_Loans_Less_Current+Bank_Loans_Less_Non_Current-Cash+Equity</f>
        <v>1940000</v>
      </c>
      <c r="D89" s="9">
        <f t="shared" ref="D89:F89" si="47">D40+D43-D30+D50</f>
        <v>2925000</v>
      </c>
      <c r="E89" s="9">
        <f t="shared" si="47"/>
        <v>3700000</v>
      </c>
      <c r="F89" s="9">
        <f t="shared" si="47"/>
        <v>4153000</v>
      </c>
      <c r="K89" s="87" t="str">
        <f ca="1">IF(ISNA(_xlfn.FORMULATEXT(C89)),"Constant","Formula")</f>
        <v>Formula</v>
      </c>
      <c r="L89" s="136"/>
      <c r="M89" s="87" t="str">
        <f ca="1">_xlfn.IFNA(_xlfn.FORMULATEXT(C89),$B89)</f>
        <v>=Bank_Loans_Less_Current+Bank_Loans_Less_Non_Current-Cash+Equity</v>
      </c>
      <c r="N89" s="3" t="str">
        <f t="shared" si="45"/>
        <v>Chapter 3 - Other Capital</v>
      </c>
    </row>
    <row r="90" spans="1:14">
      <c r="A90" s="3" t="s">
        <v>155</v>
      </c>
      <c r="B90" s="3" t="s">
        <v>156</v>
      </c>
      <c r="C90" s="123">
        <f>Net_Operating_Assets/Revenue</f>
        <v>0.57058823529411762</v>
      </c>
      <c r="D90" s="30">
        <f>D89/Revenue2</f>
        <v>0.58499999999999996</v>
      </c>
      <c r="E90" s="30">
        <f t="shared" ref="E90:F90" si="48">E89/E59</f>
        <v>0.63793103448275867</v>
      </c>
      <c r="F90" s="30">
        <f t="shared" si="48"/>
        <v>0.6281004234724743</v>
      </c>
      <c r="K90" s="87" t="str">
        <f ca="1">IF(ISNA(_xlfn.FORMULATEXT(C90)),"Constant","Formula")</f>
        <v>Formula</v>
      </c>
      <c r="L90" s="136"/>
      <c r="M90" s="87" t="str">
        <f ca="1">_xlfn.IFNA(_xlfn.FORMULATEXT(C90),$B90)</f>
        <v>=Net_Operating_Assets/Revenue</v>
      </c>
      <c r="N90" s="3" t="str">
        <f t="shared" si="45"/>
        <v>Chapter 3 - Other Capital</v>
      </c>
    </row>
    <row r="91" spans="1:14">
      <c r="A91" s="3" t="s">
        <v>157</v>
      </c>
      <c r="B91" s="10" t="s">
        <v>158</v>
      </c>
      <c r="C91" s="118">
        <f>Revenue/Net_Operating_Assets</f>
        <v>1.7525773195876289</v>
      </c>
      <c r="D91" s="28">
        <f>Revenue2/D89</f>
        <v>1.7094017094017093</v>
      </c>
      <c r="E91" s="28">
        <f t="shared" ref="E91:F91" si="49">E59/E89</f>
        <v>1.5675675675675675</v>
      </c>
      <c r="F91" s="28">
        <f t="shared" si="49"/>
        <v>1.5921020948711775</v>
      </c>
      <c r="K91" s="87" t="str">
        <f ca="1">IF(ISNA(_xlfn.FORMULATEXT(Asset_Turnover)),"Constant","Formula")</f>
        <v>Formula</v>
      </c>
      <c r="L91" s="136"/>
      <c r="M91" s="87" t="str">
        <f ca="1">_xlfn.IFNA(_xlfn.FORMULATEXT(Asset_Turnover),$B91)</f>
        <v>=Revenue/Net_Operating_Assets</v>
      </c>
      <c r="N91" s="3" t="str">
        <f t="shared" si="45"/>
        <v>Chapter 3 - Other Capital</v>
      </c>
    </row>
    <row r="92" spans="1:14">
      <c r="A92" s="3" t="s">
        <v>159</v>
      </c>
      <c r="B92" s="3" t="s">
        <v>160</v>
      </c>
      <c r="C92" s="123">
        <f>Operating_Profit/Net_Operating_Assets</f>
        <v>0.18556701030927836</v>
      </c>
      <c r="D92" s="30">
        <f t="shared" ref="D92:F92" si="50">D20/D89</f>
        <v>0.15965811965811966</v>
      </c>
      <c r="E92" s="30">
        <f t="shared" si="50"/>
        <v>0.16891891891891891</v>
      </c>
      <c r="F92" s="30">
        <f t="shared" si="50"/>
        <v>0.16886588008668432</v>
      </c>
      <c r="K92" s="87" t="str">
        <f ca="1">IF(ISNA(_xlfn.FORMULATEXT(C92)),"Constant","Formula")</f>
        <v>Formula</v>
      </c>
      <c r="L92" s="136"/>
      <c r="M92" s="87" t="str">
        <f ca="1">_xlfn.IFNA(_xlfn.FORMULATEXT(C92),$B92)</f>
        <v>=Operating_Profit/Net_Operating_Assets</v>
      </c>
      <c r="N92" s="3" t="str">
        <f t="shared" si="45"/>
        <v>Chapter 3 - Other Capital</v>
      </c>
    </row>
    <row r="93" spans="1:14">
      <c r="A93" s="3" t="s">
        <v>161</v>
      </c>
      <c r="B93" s="10" t="s">
        <v>162</v>
      </c>
      <c r="C93" s="122">
        <f>Operating_Profit/Total_Assets</f>
        <v>0.13333333333333333</v>
      </c>
      <c r="D93" s="13">
        <f t="shared" ref="D93:F93" si="51">D20/D38</f>
        <v>0.12972222222222221</v>
      </c>
      <c r="E93" s="13">
        <f t="shared" si="51"/>
        <v>0.1404494382022472</v>
      </c>
      <c r="F93" s="13">
        <f t="shared" si="51"/>
        <v>0.13986836856800958</v>
      </c>
      <c r="K93" s="87" t="str">
        <f ca="1">IF(ISNA(_xlfn.FORMULATEXT(C93)),"Constant","Formula")</f>
        <v>Formula</v>
      </c>
      <c r="L93" s="136"/>
      <c r="M93" s="87" t="str">
        <f ca="1">_xlfn.IFNA(_xlfn.FORMULATEXT(C93),$B93)</f>
        <v>=Operating_Profit/Total_Assets</v>
      </c>
      <c r="N93" s="3" t="str">
        <f t="shared" si="45"/>
        <v>Chapter 3 - Other Capital</v>
      </c>
    </row>
    <row r="94" spans="1:14">
      <c r="A94" s="3" t="s">
        <v>163</v>
      </c>
      <c r="B94" s="10" t="s">
        <v>164</v>
      </c>
      <c r="C94" s="124">
        <f>Net_Profit/Equity</f>
        <v>0.27914285714285714</v>
      </c>
      <c r="D94" s="12">
        <f t="shared" ref="D94:F94" si="52">D25/D50</f>
        <v>0.35</v>
      </c>
      <c r="E94" s="12">
        <f t="shared" si="52"/>
        <v>0.33333333333333331</v>
      </c>
      <c r="F94" s="12">
        <f t="shared" si="52"/>
        <v>0.31297709923664124</v>
      </c>
      <c r="K94" s="87" t="str">
        <f ca="1">IF(ISNA(_xlfn.FORMULATEXT(C94)),"Constant","Formula")</f>
        <v>Formula</v>
      </c>
      <c r="L94" s="136"/>
      <c r="M94" s="87" t="str">
        <f ca="1">_xlfn.IFNA(_xlfn.FORMULATEXT(C94),$B94)</f>
        <v>=Net_Profit/Equity</v>
      </c>
      <c r="N94" s="3" t="str">
        <f t="shared" si="45"/>
        <v>Chapter 3 - Other Capital</v>
      </c>
    </row>
    <row r="95" spans="1:14">
      <c r="L95" s="136"/>
    </row>
    <row r="96" spans="1:14" ht="14.5" thickBot="1">
      <c r="B96" s="2" t="s">
        <v>165</v>
      </c>
      <c r="C96" s="20"/>
      <c r="D96" s="20"/>
      <c r="E96" s="20"/>
      <c r="F96" s="20"/>
      <c r="L96" s="136"/>
    </row>
    <row r="97" spans="1:15" ht="14.5" thickTop="1">
      <c r="A97" s="33" t="s">
        <v>142</v>
      </c>
      <c r="B97" s="33"/>
      <c r="C97" s="126">
        <f>Marginal_Cash_Flow</f>
        <v>-0.14705882352941124</v>
      </c>
      <c r="D97" s="32" cm="1">
        <f t="array" ref="D97">((Gross_Margin2/Revenue2)-((Accounts_Receivable2+Inventory2-Accounts_Payable2)/Revenue2))*100</f>
        <v>-1.4000000000000012</v>
      </c>
      <c r="E97" s="32">
        <f t="shared" ref="E97" si="53">((E18/E16)-((E31+E32-E39)/E16))*100</f>
        <v>-5.1724137931034475</v>
      </c>
      <c r="F97" s="32">
        <f>((F18/F16)-((F31+F32-F39)/F16))*100</f>
        <v>-7.3427102238354465</v>
      </c>
      <c r="G97" s="19">
        <f t="shared" ref="G97" si="54">F97-E97</f>
        <v>-2.170296430731999</v>
      </c>
      <c r="K97" s="128" t="s">
        <v>110</v>
      </c>
      <c r="L97" s="136"/>
      <c r="M97" s="128" t="str">
        <f ca="1">_xlfn.IFNA(_xlfn.FORMULATEXT(C97),$B97)</f>
        <v>=Marginal_Cash_Flow</v>
      </c>
      <c r="N97" s="128" t="str">
        <f>$B$96</f>
        <v>Chapter 4 - Funding</v>
      </c>
    </row>
    <row r="98" spans="1:15">
      <c r="A98" s="31" t="s">
        <v>166</v>
      </c>
      <c r="B98" s="127" t="s">
        <v>167</v>
      </c>
      <c r="C98" s="46" t="s">
        <v>113</v>
      </c>
      <c r="D98" s="117" cm="1">
        <f t="array" ref="D98">EBITDA2-((Accounts_Receivable2+Inventory2-Accounts_Payable2)-(Accounts_Receivable+Inventory-Accounts_Payable))</f>
        <v>67000</v>
      </c>
      <c r="E98" s="9" cm="1">
        <f t="array" ref="E98">E68-((E31+E32-E39)-(Accounts_Receivable2+Inventory2-Accounts_Payable2))</f>
        <v>145000</v>
      </c>
      <c r="F98" s="9">
        <f>F68-((F31+F32-F39)-(E31+E32-E39))</f>
        <v>348300</v>
      </c>
      <c r="G98" s="19">
        <f>F98-E98</f>
        <v>203300</v>
      </c>
      <c r="K98" s="87" t="str">
        <f ca="1">IF(ISNA(_xlfn.FORMULATEXT(D98)),"Constant","Formula")</f>
        <v>Formula</v>
      </c>
      <c r="L98" s="136"/>
      <c r="M98" s="87" t="str">
        <f ca="1">_xlfn.IFNA(_xlfn.FORMULATEXT(D98),$B98)</f>
        <v>=EBITDA2-((Accounts_Receivable2+Inventory2-Accounts_Payable2)-(Accounts_Receivable+Inventory-Accounts_Payable))</v>
      </c>
      <c r="N98" s="128" t="str">
        <f t="shared" ref="N98:N105" si="55">$B$96</f>
        <v>Chapter 4 - Funding</v>
      </c>
    </row>
    <row r="99" spans="1:15">
      <c r="A99" s="3" t="s">
        <v>168</v>
      </c>
      <c r="B99" s="128"/>
      <c r="C99" s="130">
        <f>EBITDA</f>
        <v>434000</v>
      </c>
      <c r="D99" s="130" cm="1">
        <f t="array" ref="D99">EBITDA2</f>
        <v>567000</v>
      </c>
      <c r="E99" s="130">
        <f t="shared" ref="E99:F99" si="56">E68</f>
        <v>725000</v>
      </c>
      <c r="F99" s="130">
        <f t="shared" si="56"/>
        <v>801300</v>
      </c>
      <c r="G99" s="19">
        <f t="shared" ref="G99" si="57">F99-E99</f>
        <v>76300</v>
      </c>
      <c r="K99" s="128" t="s">
        <v>110</v>
      </c>
      <c r="L99" s="136"/>
      <c r="M99" s="129" t="s">
        <v>169</v>
      </c>
      <c r="N99" s="128" t="str">
        <f t="shared" si="55"/>
        <v>Chapter 4 - Funding</v>
      </c>
    </row>
    <row r="100" spans="1:15">
      <c r="A100" s="31" t="s">
        <v>170</v>
      </c>
      <c r="B100" s="127" t="s">
        <v>171</v>
      </c>
      <c r="C100" s="46" t="s">
        <v>113</v>
      </c>
      <c r="D100" s="117" cm="1">
        <f t="array" ref="D100">(Revenue2-(Accounts_Receivable2-Accounts_Receivable))-(Cost_of_Goods2+(Inventory2-Inventory)-(Accounts_Payable2-Accounts_Payable))-Overheads2-Depreciation_And_Amortisation2-Interest_Paid2-Tax_Paid2-Dividends_Paid2-(Fixed_Assets2-Fixed_Assets-Depreciation_And_Amortisation2)</f>
        <v>-800000</v>
      </c>
      <c r="E100" s="9" cm="1">
        <f t="array" ref="E100">(E16-(E31-Accounts_Receivable2))-(E17+(E32-Inventory2)-(E39-Accounts_Payable2))-E19-EEFF!E67-E21-E24-E26-(E35-Fixed_Assets2-EEFF!E67)</f>
        <v>-730000</v>
      </c>
      <c r="F100" s="9">
        <f>(F16-(F31-E31))-(F17+(F32-E32)-(F39-E39))-F19-EEFF!F67-F21-F24-F26-(F35-E35-EEFF!F67)</f>
        <v>-193000</v>
      </c>
      <c r="G100" s="19">
        <f>E100+525000</f>
        <v>-205000</v>
      </c>
      <c r="H100" s="19" cm="1">
        <f t="array" ref="H100">(E16-(E31-Accounts_Receivable2))-(E17+(E32-Inventory2)-(E39-Accounts_Payable2))-E19-EEFF!E67-E21-E24-E26-(E35-Fixed_Assets2-EEFF!E67)</f>
        <v>-730000</v>
      </c>
      <c r="K100" s="133" t="str">
        <f ca="1">IF(ISNA(_xlfn.FORMULATEXT(F100)),"Constant","Formula")</f>
        <v>Formula</v>
      </c>
      <c r="L100" s="136"/>
      <c r="M100" s="133" t="str">
        <f ca="1">_xlfn.IFNA(_xlfn.FORMULATEXT(D100),$B100)</f>
        <v>=(Revenue2-(Accounts_Receivable2-Accounts_Receivable))-(Cost_of_Goods2+(Inventory2-Inventory)-(Accounts_Payable2-Accounts_Payable))-Overheads2-Depreciation_And_Amortisation2-Interest_Paid2-Tax_Paid2-Dividends_Paid2-(Fixed_Assets2-Fixed_Assets-Depreciation_And_Amortisation2)</v>
      </c>
      <c r="N100" s="128" t="str">
        <f t="shared" si="55"/>
        <v>Chapter 4 - Funding</v>
      </c>
    </row>
    <row r="101" spans="1:15">
      <c r="A101" s="3" t="s">
        <v>172</v>
      </c>
      <c r="B101" s="3" t="s">
        <v>173</v>
      </c>
      <c r="C101" s="121">
        <f>Bank_Loans_Less_Current+Bank_Loans_Less_Non_Current-Cash</f>
        <v>1240000</v>
      </c>
      <c r="D101" s="5">
        <f t="shared" ref="D101:E101" si="58">D40+D43-D30</f>
        <v>2125000</v>
      </c>
      <c r="E101" s="5">
        <f t="shared" si="58"/>
        <v>2650000</v>
      </c>
      <c r="F101" s="5">
        <f>F40+F43-F30</f>
        <v>2843000</v>
      </c>
      <c r="G101" s="19"/>
      <c r="K101" s="87" t="str">
        <f ca="1">IF(ISNA(_xlfn.FORMULATEXT(C101)),"Constant","Formula")</f>
        <v>Formula</v>
      </c>
      <c r="L101" s="136"/>
      <c r="M101" s="87" t="str">
        <f ca="1">_xlfn.IFNA(_xlfn.FORMULATEXT(C101),$B101)</f>
        <v>=Bank_Loans_Less_Current+Bank_Loans_Less_Non_Current-Cash</v>
      </c>
      <c r="N101" s="128" t="str">
        <f t="shared" si="55"/>
        <v>Chapter 4 - Funding</v>
      </c>
    </row>
    <row r="102" spans="1:15">
      <c r="A102" s="10" t="s">
        <v>174</v>
      </c>
      <c r="B102" s="10" t="s">
        <v>175</v>
      </c>
      <c r="C102" s="118">
        <f>Net_Debt/Equity</f>
        <v>1.7714285714285714</v>
      </c>
      <c r="D102" s="28">
        <f t="shared" ref="D102:E102" si="59">D101/D50</f>
        <v>2.65625</v>
      </c>
      <c r="E102" s="28">
        <f t="shared" si="59"/>
        <v>2.5238095238095237</v>
      </c>
      <c r="F102" s="28">
        <f>F101/F50</f>
        <v>2.1702290076335879</v>
      </c>
      <c r="K102" s="87" t="str">
        <f ca="1">IF(ISNA(_xlfn.FORMULATEXT(C102)),"Constant","Formula")</f>
        <v>Formula</v>
      </c>
      <c r="L102" s="136"/>
      <c r="M102" s="87" t="str">
        <f ca="1">_xlfn.IFNA(_xlfn.FORMULATEXT(C102),$B102)</f>
        <v>=Net_Debt/Equity</v>
      </c>
      <c r="N102" s="128" t="str">
        <f t="shared" si="55"/>
        <v>Chapter 4 - Funding</v>
      </c>
    </row>
    <row r="103" spans="1:15">
      <c r="A103" s="3" t="s">
        <v>176</v>
      </c>
      <c r="B103" s="3" t="s">
        <v>177</v>
      </c>
      <c r="C103" s="119">
        <f>(Bank_Loans_Less_Current+Bank_Loans_Less_Non_Current)/(Bank_Loans_Less_Current+Bank_Loans_Less_Non_Current+Equity)</f>
        <v>0.66666666666666663</v>
      </c>
      <c r="D103" s="29">
        <f t="shared" ref="D103:E103" si="60">(D40+D43)/(D40+D43+D50)</f>
        <v>0.73333333333333328</v>
      </c>
      <c r="E103" s="29">
        <f t="shared" si="60"/>
        <v>0.71621621621621623</v>
      </c>
      <c r="F103" s="29">
        <f>(F40+F43)/(F40+F43+F50)</f>
        <v>0.68456537442812426</v>
      </c>
      <c r="K103" s="87" t="str">
        <f ca="1">IF(ISNA(_xlfn.FORMULATEXT(C103)),"Constant","Formula")</f>
        <v>Formula</v>
      </c>
      <c r="L103" s="136"/>
      <c r="M103" s="87" t="str">
        <f ca="1">_xlfn.IFNA(_xlfn.FORMULATEXT(C103),$B103)</f>
        <v>=(Bank_Loans_Less_Current+Bank_Loans_Less_Non_Current)/(Bank_Loans_Less_Current+Bank_Loans_Less_Non_Current+Equity)</v>
      </c>
      <c r="N103" s="128" t="str">
        <f t="shared" si="55"/>
        <v>Chapter 4 - Funding</v>
      </c>
    </row>
    <row r="104" spans="1:15">
      <c r="A104" s="10" t="s">
        <v>125</v>
      </c>
      <c r="B104" s="10"/>
      <c r="C104" s="125">
        <f>Interest_Cover</f>
        <v>7.2</v>
      </c>
      <c r="D104" s="28">
        <f>D20/Interest_Paid2</f>
        <v>4.67</v>
      </c>
      <c r="E104" s="28">
        <f t="shared" ref="E104" si="61">E20/E21</f>
        <v>4.166666666666667</v>
      </c>
      <c r="F104" s="28">
        <f>F20/F21</f>
        <v>3.9846590909090911</v>
      </c>
      <c r="K104" s="128" t="s">
        <v>110</v>
      </c>
      <c r="L104" s="136"/>
      <c r="M104" s="128" t="str">
        <f ca="1">_xlfn.IFNA(_xlfn.FORMULATEXT(C104),$B104)</f>
        <v>=Interest_Cover</v>
      </c>
      <c r="N104" s="128" t="str">
        <f t="shared" si="55"/>
        <v>Chapter 4 - Funding</v>
      </c>
      <c r="O104" s="128"/>
    </row>
    <row r="105" spans="1:15">
      <c r="A105" s="10" t="s">
        <v>178</v>
      </c>
      <c r="B105" s="10" t="s">
        <v>179</v>
      </c>
      <c r="C105" s="120">
        <f>Net_Debt/EBITDA</f>
        <v>2.8571428571428572</v>
      </c>
      <c r="D105" s="11" cm="1">
        <f t="array" ref="D105">D101/EBITDA2</f>
        <v>3.7477954144620811</v>
      </c>
      <c r="E105" s="11">
        <f t="shared" ref="E105" si="62">E101/E68</f>
        <v>3.6551724137931036</v>
      </c>
      <c r="F105" s="11">
        <f>F101/F68</f>
        <v>3.5479845251466369</v>
      </c>
      <c r="K105" s="87" t="str">
        <f ca="1">IF(ISNA(_xlfn.FORMULATEXT(C105)),"Constant","Formula")</f>
        <v>Formula</v>
      </c>
      <c r="L105" s="136"/>
      <c r="M105" s="87" t="str">
        <f ca="1">_xlfn.IFNA(_xlfn.FORMULATEXT(C105),$B105)</f>
        <v>=Net_Debt/EBITDA</v>
      </c>
      <c r="N105" s="128" t="str">
        <f t="shared" si="55"/>
        <v>Chapter 4 - Funding</v>
      </c>
    </row>
    <row r="106" spans="1:15">
      <c r="L106" s="136"/>
    </row>
    <row r="107" spans="1:15">
      <c r="B107" s="6" t="s">
        <v>180</v>
      </c>
      <c r="L107" s="136"/>
    </row>
    <row r="108" spans="1:15">
      <c r="B108" s="6"/>
      <c r="L108" s="136"/>
    </row>
    <row r="109" spans="1:15">
      <c r="B109" s="38" t="s">
        <v>181</v>
      </c>
      <c r="L109" s="136"/>
    </row>
    <row r="110" spans="1:15">
      <c r="B110" s="6"/>
      <c r="L110" s="136"/>
    </row>
    <row r="111" spans="1:15" ht="14.5" thickBot="1">
      <c r="C111" s="3" t="s">
        <v>182</v>
      </c>
      <c r="D111" s="4" t="s">
        <v>183</v>
      </c>
      <c r="L111" s="136"/>
    </row>
    <row r="112" spans="1:15" ht="14.5" thickTop="1">
      <c r="B112" s="7" t="s">
        <v>45</v>
      </c>
      <c r="C112" s="8">
        <f>F16</f>
        <v>6612000</v>
      </c>
      <c r="D112" s="8">
        <f>F16-E16</f>
        <v>812000</v>
      </c>
      <c r="L112" s="136"/>
    </row>
    <row r="113" spans="2:12">
      <c r="B113" s="10" t="s">
        <v>114</v>
      </c>
      <c r="C113" s="14">
        <f>(F18/F16)*100</f>
        <v>29.000302480338782</v>
      </c>
      <c r="D113" s="11">
        <f>C113-(E18/E16)*100</f>
        <v>0.5520266182698137</v>
      </c>
      <c r="L113" s="136"/>
    </row>
    <row r="114" spans="2:12">
      <c r="B114" s="10" t="s">
        <v>118</v>
      </c>
      <c r="C114" s="14">
        <f>(F20/F16)*100</f>
        <v>10.606473079249849</v>
      </c>
      <c r="D114" s="11">
        <f>C114-(E20/E16)*100</f>
        <v>-0.16938898971566729</v>
      </c>
      <c r="L114" s="136"/>
    </row>
    <row r="115" spans="2:12">
      <c r="B115" s="10" t="s">
        <v>123</v>
      </c>
      <c r="C115" s="14">
        <f>(F25/F16)*100</f>
        <v>6.2008469449485784</v>
      </c>
      <c r="D115" s="11">
        <f>C115-(E25/E16)*100</f>
        <v>0.16636418632788885</v>
      </c>
      <c r="L115" s="136"/>
    </row>
    <row r="116" spans="2:12">
      <c r="L116" s="136"/>
    </row>
    <row r="117" spans="2:12">
      <c r="L117" s="136"/>
    </row>
    <row r="118" spans="2:12">
      <c r="L118" s="136"/>
    </row>
    <row r="119" spans="2:12">
      <c r="L119" s="136"/>
    </row>
    <row r="120" spans="2:12">
      <c r="L120" s="136"/>
    </row>
    <row r="121" spans="2:12">
      <c r="L121" s="136"/>
    </row>
    <row r="122" spans="2:12">
      <c r="L122" s="136"/>
    </row>
    <row r="123" spans="2:12">
      <c r="L123" s="136"/>
    </row>
    <row r="124" spans="2:12">
      <c r="L124" s="136"/>
    </row>
    <row r="125" spans="2:12">
      <c r="L125" s="136"/>
    </row>
    <row r="126" spans="2:12">
      <c r="L126" s="136"/>
    </row>
    <row r="127" spans="2:12">
      <c r="L127" s="136"/>
    </row>
    <row r="128" spans="2:12">
      <c r="L128" s="136"/>
    </row>
    <row r="129" spans="2:12">
      <c r="L129" s="136"/>
    </row>
    <row r="130" spans="2:12">
      <c r="L130" s="136"/>
    </row>
    <row r="131" spans="2:12">
      <c r="L131" s="136"/>
    </row>
    <row r="132" spans="2:12">
      <c r="L132" s="136"/>
    </row>
    <row r="133" spans="2:12">
      <c r="B133" s="38" t="s">
        <v>184</v>
      </c>
      <c r="L133" s="136"/>
    </row>
    <row r="134" spans="2:12">
      <c r="L134" s="136"/>
    </row>
    <row r="135" spans="2:12" ht="14.5" thickBot="1">
      <c r="C135" s="6" t="s">
        <v>182</v>
      </c>
      <c r="D135" s="47" t="s">
        <v>183</v>
      </c>
      <c r="L135" s="136"/>
    </row>
    <row r="136" spans="2:12" ht="14.5" thickTop="1">
      <c r="B136" s="7" t="s">
        <v>128</v>
      </c>
      <c r="C136" s="39">
        <f>F75</f>
        <v>79.657441016333934</v>
      </c>
      <c r="D136" s="39">
        <f>F75-E75</f>
        <v>4.140199637023585</v>
      </c>
      <c r="L136" s="136"/>
    </row>
    <row r="137" spans="2:12">
      <c r="B137" s="10" t="s">
        <v>130</v>
      </c>
      <c r="C137" s="40">
        <f>F76</f>
        <v>120.51336670571945</v>
      </c>
      <c r="D137" s="11">
        <f t="shared" ref="D137:D139" si="63">F76-E76</f>
        <v>10.573607669574855</v>
      </c>
      <c r="L137" s="136"/>
    </row>
    <row r="138" spans="2:12">
      <c r="B138" s="10" t="s">
        <v>132</v>
      </c>
      <c r="C138" s="40">
        <f>F77</f>
        <v>45.872829907338371</v>
      </c>
      <c r="D138" s="11">
        <f t="shared" si="63"/>
        <v>1.8969262928805364</v>
      </c>
      <c r="L138" s="136"/>
    </row>
    <row r="139" spans="2:12">
      <c r="B139" s="10" t="s">
        <v>134</v>
      </c>
      <c r="C139" s="40">
        <f>C136+C137-C138</f>
        <v>154.29797781471501</v>
      </c>
      <c r="D139" s="11">
        <f t="shared" si="63"/>
        <v>12.816881013717875</v>
      </c>
      <c r="L139" s="136"/>
    </row>
    <row r="140" spans="2:12">
      <c r="L140" s="136"/>
    </row>
    <row r="141" spans="2:12">
      <c r="L141" s="136"/>
    </row>
    <row r="142" spans="2:12">
      <c r="L142" s="136"/>
    </row>
    <row r="143" spans="2:12">
      <c r="L143" s="136"/>
    </row>
    <row r="144" spans="2:12">
      <c r="B144" s="38" t="s">
        <v>185</v>
      </c>
      <c r="L144" s="136"/>
    </row>
    <row r="145" spans="2:12">
      <c r="L145" s="136"/>
    </row>
    <row r="146" spans="2:12" ht="14.5" thickBot="1">
      <c r="C146" s="6" t="s">
        <v>182</v>
      </c>
      <c r="D146" s="47" t="s">
        <v>183</v>
      </c>
      <c r="L146" s="136"/>
    </row>
    <row r="147" spans="2:12" ht="14.5" thickTop="1">
      <c r="B147" s="7" t="s">
        <v>69</v>
      </c>
      <c r="C147" s="8">
        <f>F30</f>
        <v>0</v>
      </c>
      <c r="D147" s="8">
        <f>F30-E30</f>
        <v>0</v>
      </c>
      <c r="L147" s="136"/>
    </row>
    <row r="148" spans="2:12">
      <c r="B148" s="10" t="s">
        <v>87</v>
      </c>
      <c r="C148" s="41">
        <f>F40</f>
        <v>1643000</v>
      </c>
      <c r="D148" s="9">
        <f>F40-E40</f>
        <v>193000</v>
      </c>
      <c r="L148" s="136"/>
    </row>
    <row r="149" spans="2:12">
      <c r="B149" s="10" t="s">
        <v>91</v>
      </c>
      <c r="C149" s="41">
        <f>F43</f>
        <v>1200000</v>
      </c>
      <c r="D149" s="9">
        <f>F43-E43</f>
        <v>0</v>
      </c>
      <c r="L149" s="136"/>
    </row>
    <row r="150" spans="2:12">
      <c r="B150" s="10" t="s">
        <v>170</v>
      </c>
      <c r="C150" s="41">
        <f>F100</f>
        <v>-193000</v>
      </c>
      <c r="D150" s="9" t="s">
        <v>113</v>
      </c>
      <c r="L150" s="136"/>
    </row>
    <row r="151" spans="2:12">
      <c r="L151" s="136"/>
    </row>
    <row r="152" spans="2:12">
      <c r="L152" s="136"/>
    </row>
    <row r="153" spans="2:12" ht="23">
      <c r="B153" s="48" t="s">
        <v>186</v>
      </c>
      <c r="L153" s="136"/>
    </row>
    <row r="154" spans="2:12">
      <c r="L154" s="136"/>
    </row>
    <row r="155" spans="2:12">
      <c r="B155" s="3" t="s">
        <v>187</v>
      </c>
      <c r="L155" s="136"/>
    </row>
    <row r="156" spans="2:12">
      <c r="L156" s="136"/>
    </row>
    <row r="157" spans="2:12" ht="14.5" thickBot="1">
      <c r="B157" s="49" t="s">
        <v>45</v>
      </c>
      <c r="C157" s="49" t="s">
        <v>48</v>
      </c>
      <c r="D157" s="49" t="s">
        <v>51</v>
      </c>
      <c r="E157" s="49" t="s">
        <v>65</v>
      </c>
      <c r="F157" s="47"/>
      <c r="G157" s="47"/>
      <c r="L157" s="136"/>
    </row>
    <row r="158" spans="2:12">
      <c r="B158" s="5">
        <f>F59</f>
        <v>6612000</v>
      </c>
      <c r="C158" s="5">
        <f>F61</f>
        <v>1917500</v>
      </c>
      <c r="D158" s="5">
        <f>F20</f>
        <v>701300</v>
      </c>
      <c r="E158" s="5">
        <f>F27</f>
        <v>260000</v>
      </c>
      <c r="L158" s="136"/>
    </row>
    <row r="159" spans="2:12">
      <c r="B159" s="5">
        <f>F16-E16</f>
        <v>812000</v>
      </c>
      <c r="C159" s="5">
        <f>F18-E18</f>
        <v>267500</v>
      </c>
      <c r="D159" s="5">
        <f>F20-E20</f>
        <v>76300</v>
      </c>
      <c r="E159" s="5">
        <f>F27-E27</f>
        <v>10000</v>
      </c>
      <c r="F159" s="29"/>
      <c r="G159" s="4"/>
      <c r="H159" s="4"/>
      <c r="I159" s="4"/>
      <c r="L159" s="136"/>
    </row>
    <row r="160" spans="2:12">
      <c r="L160" s="136"/>
    </row>
    <row r="161" spans="2:12">
      <c r="B161" s="3" t="s">
        <v>188</v>
      </c>
      <c r="L161" s="136"/>
    </row>
    <row r="162" spans="2:12">
      <c r="L162" s="136"/>
    </row>
    <row r="163" spans="2:12">
      <c r="L163" s="136"/>
    </row>
    <row r="164" spans="2:12">
      <c r="L164" s="136"/>
    </row>
    <row r="165" spans="2:12">
      <c r="L165" s="136"/>
    </row>
    <row r="166" spans="2:12">
      <c r="L166" s="136"/>
    </row>
    <row r="167" spans="2:12">
      <c r="B167" s="3" t="s">
        <v>189</v>
      </c>
      <c r="L167" s="136"/>
    </row>
    <row r="168" spans="2:12">
      <c r="L168" s="136"/>
    </row>
    <row r="169" spans="2:12">
      <c r="L169" s="136"/>
    </row>
    <row r="170" spans="2:12">
      <c r="L170" s="136"/>
    </row>
    <row r="171" spans="2:12">
      <c r="L171" s="136"/>
    </row>
    <row r="172" spans="2:12">
      <c r="B172" s="3" t="s">
        <v>190</v>
      </c>
      <c r="L172" s="136"/>
    </row>
    <row r="173" spans="2:12">
      <c r="L173" s="136"/>
    </row>
    <row r="174" spans="2:12">
      <c r="L174" s="136"/>
    </row>
    <row r="175" spans="2:12">
      <c r="L175" s="136"/>
    </row>
    <row r="176" spans="2:12">
      <c r="L176" s="136"/>
    </row>
    <row r="177" spans="2:12">
      <c r="L177" s="136"/>
    </row>
    <row r="178" spans="2:12">
      <c r="L178" s="136"/>
    </row>
    <row r="179" spans="2:12">
      <c r="B179" s="3" t="s">
        <v>191</v>
      </c>
      <c r="L179" s="136"/>
    </row>
    <row r="180" spans="2:12">
      <c r="L180" s="136"/>
    </row>
    <row r="181" spans="2:12">
      <c r="C181" s="55" t="s">
        <v>40</v>
      </c>
      <c r="D181" s="55" t="s">
        <v>41</v>
      </c>
      <c r="E181" s="6"/>
      <c r="L181" s="136"/>
    </row>
    <row r="182" spans="2:12" ht="14.5" thickBot="1">
      <c r="B182" s="2" t="s">
        <v>109</v>
      </c>
      <c r="C182" s="52" t="s">
        <v>44</v>
      </c>
      <c r="D182" s="52" t="s">
        <v>44</v>
      </c>
      <c r="E182" s="52" t="s">
        <v>192</v>
      </c>
      <c r="L182" s="136"/>
    </row>
    <row r="183" spans="2:12" ht="14.5" thickTop="1">
      <c r="B183" s="3" t="s">
        <v>45</v>
      </c>
      <c r="C183" s="5">
        <f t="shared" ref="C183:D190" si="64">E59</f>
        <v>5800000</v>
      </c>
      <c r="D183" s="5">
        <f t="shared" si="64"/>
        <v>6612000</v>
      </c>
      <c r="E183" s="50">
        <f>D183-C183</f>
        <v>812000</v>
      </c>
      <c r="L183" s="136"/>
    </row>
    <row r="184" spans="2:12">
      <c r="B184" s="10" t="s">
        <v>111</v>
      </c>
      <c r="C184" s="14">
        <f t="shared" si="64"/>
        <v>16</v>
      </c>
      <c r="D184" s="14">
        <f t="shared" si="64"/>
        <v>14.000000000000002</v>
      </c>
      <c r="E184" s="11">
        <f t="shared" ref="E184:E196" si="65">D184-C184</f>
        <v>-1.9999999999999982</v>
      </c>
      <c r="L184" s="136"/>
    </row>
    <row r="185" spans="2:12">
      <c r="B185" s="3" t="s">
        <v>48</v>
      </c>
      <c r="C185" s="5">
        <f t="shared" si="64"/>
        <v>1650000</v>
      </c>
      <c r="D185" s="5">
        <f t="shared" si="64"/>
        <v>1917500</v>
      </c>
      <c r="E185" s="29">
        <f t="shared" si="65"/>
        <v>267500</v>
      </c>
      <c r="L185" s="136"/>
    </row>
    <row r="186" spans="2:12">
      <c r="B186" s="10" t="s">
        <v>114</v>
      </c>
      <c r="C186" s="28">
        <f t="shared" si="64"/>
        <v>28.448275862068968</v>
      </c>
      <c r="D186" s="28">
        <f t="shared" si="64"/>
        <v>29.000302480338782</v>
      </c>
      <c r="E186" s="11">
        <f t="shared" si="65"/>
        <v>0.5520266182698137</v>
      </c>
      <c r="L186" s="136"/>
    </row>
    <row r="187" spans="2:12">
      <c r="B187" s="3" t="s">
        <v>50</v>
      </c>
      <c r="C187" s="5">
        <f t="shared" si="64"/>
        <v>1025000</v>
      </c>
      <c r="D187" s="5">
        <f t="shared" si="64"/>
        <v>1216200</v>
      </c>
      <c r="E187" s="29">
        <f t="shared" si="65"/>
        <v>191200</v>
      </c>
      <c r="L187" s="136"/>
    </row>
    <row r="188" spans="2:12">
      <c r="B188" s="10" t="s">
        <v>116</v>
      </c>
      <c r="C188" s="28">
        <f t="shared" si="64"/>
        <v>17.672413793103448</v>
      </c>
      <c r="D188" s="28">
        <f t="shared" si="64"/>
        <v>18.393829401088929</v>
      </c>
      <c r="E188" s="11">
        <f t="shared" si="65"/>
        <v>0.72141560798548099</v>
      </c>
      <c r="L188" s="136"/>
    </row>
    <row r="189" spans="2:12">
      <c r="B189" s="3" t="s">
        <v>51</v>
      </c>
      <c r="C189" s="5">
        <f t="shared" si="64"/>
        <v>625000</v>
      </c>
      <c r="D189" s="5">
        <f t="shared" si="64"/>
        <v>701300</v>
      </c>
      <c r="E189" s="29">
        <f t="shared" si="65"/>
        <v>76300</v>
      </c>
      <c r="L189" s="136"/>
    </row>
    <row r="190" spans="2:12">
      <c r="B190" s="10" t="s">
        <v>118</v>
      </c>
      <c r="C190" s="28">
        <f t="shared" si="64"/>
        <v>10.775862068965516</v>
      </c>
      <c r="D190" s="28">
        <f t="shared" si="64"/>
        <v>10.606473079249849</v>
      </c>
      <c r="E190" s="11">
        <f t="shared" si="65"/>
        <v>-0.16938898971566729</v>
      </c>
      <c r="L190" s="136"/>
    </row>
    <row r="191" spans="2:12">
      <c r="B191" s="3" t="s">
        <v>120</v>
      </c>
      <c r="C191" s="9">
        <f>EEFF!E67</f>
        <v>100000</v>
      </c>
      <c r="D191" s="9">
        <f>EEFF!F67</f>
        <v>100000</v>
      </c>
      <c r="E191" s="29">
        <f t="shared" si="65"/>
        <v>0</v>
      </c>
      <c r="L191" s="136"/>
    </row>
    <row r="192" spans="2:12">
      <c r="B192" s="10" t="s">
        <v>122</v>
      </c>
      <c r="C192" s="9">
        <f t="shared" ref="C192:D196" si="66">E68</f>
        <v>725000</v>
      </c>
      <c r="D192" s="9">
        <f t="shared" si="66"/>
        <v>801300</v>
      </c>
      <c r="E192" s="11">
        <f t="shared" si="65"/>
        <v>76300</v>
      </c>
      <c r="L192" s="136"/>
    </row>
    <row r="193" spans="2:12">
      <c r="B193" s="3" t="s">
        <v>61</v>
      </c>
      <c r="C193" s="5">
        <f t="shared" si="66"/>
        <v>350000</v>
      </c>
      <c r="D193" s="5">
        <f t="shared" si="66"/>
        <v>410000</v>
      </c>
      <c r="E193" s="29">
        <f t="shared" si="65"/>
        <v>60000</v>
      </c>
      <c r="L193" s="136"/>
    </row>
    <row r="194" spans="2:12">
      <c r="B194" s="10" t="s">
        <v>123</v>
      </c>
      <c r="C194" s="28">
        <f t="shared" si="66"/>
        <v>6.0344827586206895</v>
      </c>
      <c r="D194" s="28">
        <f t="shared" si="66"/>
        <v>6.2008469449485784</v>
      </c>
      <c r="E194" s="11">
        <f t="shared" si="65"/>
        <v>0.16636418632788885</v>
      </c>
      <c r="L194" s="136"/>
    </row>
    <row r="195" spans="2:12">
      <c r="B195" s="3" t="s">
        <v>65</v>
      </c>
      <c r="C195" s="5">
        <f t="shared" si="66"/>
        <v>250000</v>
      </c>
      <c r="D195" s="5">
        <f t="shared" si="66"/>
        <v>260000</v>
      </c>
      <c r="E195" s="11">
        <f t="shared" si="65"/>
        <v>10000</v>
      </c>
      <c r="L195" s="136"/>
    </row>
    <row r="196" spans="2:12">
      <c r="B196" s="10" t="s">
        <v>125</v>
      </c>
      <c r="C196" s="28">
        <f t="shared" si="66"/>
        <v>4.166666666666667</v>
      </c>
      <c r="D196" s="28">
        <f t="shared" si="66"/>
        <v>3.9846590909090911</v>
      </c>
      <c r="E196" s="51">
        <f t="shared" si="65"/>
        <v>-0.18200757575757587</v>
      </c>
      <c r="L196" s="136"/>
    </row>
    <row r="197" spans="2:12">
      <c r="L197" s="136"/>
    </row>
    <row r="198" spans="2:12">
      <c r="L198" s="136"/>
    </row>
    <row r="199" spans="2:12" ht="23">
      <c r="B199" s="48" t="s">
        <v>193</v>
      </c>
      <c r="L199" s="136"/>
    </row>
    <row r="200" spans="2:12">
      <c r="L200" s="136"/>
    </row>
    <row r="201" spans="2:12">
      <c r="B201" s="3" t="s">
        <v>136</v>
      </c>
      <c r="L201" s="136"/>
    </row>
    <row r="203" spans="2:12" ht="14.5" thickBot="1">
      <c r="B203" s="49" t="s">
        <v>70</v>
      </c>
      <c r="C203" s="49" t="s">
        <v>72</v>
      </c>
      <c r="D203" s="49" t="s">
        <v>85</v>
      </c>
      <c r="E203" s="49" t="s">
        <v>136</v>
      </c>
    </row>
    <row r="204" spans="2:12">
      <c r="B204" s="5">
        <f>F31</f>
        <v>1443000</v>
      </c>
      <c r="C204" s="5">
        <f>F32</f>
        <v>1550000</v>
      </c>
      <c r="D204" s="5">
        <f>F39</f>
        <v>590000</v>
      </c>
      <c r="E204" s="5">
        <f>F79</f>
        <v>2403000</v>
      </c>
    </row>
    <row r="205" spans="2:12">
      <c r="B205" s="5">
        <f>F31-E31</f>
        <v>243000</v>
      </c>
      <c r="C205" s="5">
        <f>F32-E32</f>
        <v>300000</v>
      </c>
      <c r="D205" s="5">
        <f>F39-E39</f>
        <v>90000</v>
      </c>
      <c r="E205" s="5">
        <f>F79-E79</f>
        <v>453000</v>
      </c>
    </row>
    <row r="207" spans="2:12">
      <c r="B207" s="3" t="s">
        <v>194</v>
      </c>
    </row>
    <row r="211" spans="2:5">
      <c r="B211" s="3" t="s">
        <v>195</v>
      </c>
    </row>
    <row r="214" spans="2:5">
      <c r="B214" s="3" t="s">
        <v>138</v>
      </c>
    </row>
    <row r="217" spans="2:5">
      <c r="B217" s="3" t="s">
        <v>196</v>
      </c>
    </row>
    <row r="220" spans="2:5">
      <c r="B220" s="3" t="s">
        <v>197</v>
      </c>
    </row>
    <row r="223" spans="2:5">
      <c r="B223" s="3" t="s">
        <v>198</v>
      </c>
    </row>
    <row r="224" spans="2:5">
      <c r="C224" s="55" t="s">
        <v>40</v>
      </c>
      <c r="D224" s="55" t="s">
        <v>41</v>
      </c>
      <c r="E224" s="6"/>
    </row>
    <row r="225" spans="2:5" ht="14.5" thickBot="1">
      <c r="B225" s="2" t="s">
        <v>127</v>
      </c>
      <c r="C225" s="52" t="s">
        <v>44</v>
      </c>
      <c r="D225" s="52" t="s">
        <v>44</v>
      </c>
      <c r="E225" s="52" t="s">
        <v>192</v>
      </c>
    </row>
    <row r="226" spans="2:5" ht="14.5" thickTop="1">
      <c r="B226" s="3" t="s">
        <v>128</v>
      </c>
      <c r="C226" s="28">
        <f>E75</f>
        <v>75.517241379310349</v>
      </c>
      <c r="D226" s="28">
        <f>F75</f>
        <v>79.657441016333934</v>
      </c>
      <c r="E226" s="50">
        <f>D226-C226</f>
        <v>4.140199637023585</v>
      </c>
    </row>
    <row r="227" spans="2:5">
      <c r="B227" s="10" t="s">
        <v>130</v>
      </c>
      <c r="C227" s="28">
        <f t="shared" ref="C227:D234" si="67">E76</f>
        <v>109.93975903614459</v>
      </c>
      <c r="D227" s="28">
        <f t="shared" si="67"/>
        <v>120.51336670571945</v>
      </c>
      <c r="E227" s="11">
        <f t="shared" ref="E227:E234" si="68">D227-C227</f>
        <v>10.573607669574855</v>
      </c>
    </row>
    <row r="228" spans="2:5">
      <c r="B228" s="3" t="s">
        <v>132</v>
      </c>
      <c r="C228" s="28">
        <f t="shared" si="67"/>
        <v>43.975903614457835</v>
      </c>
      <c r="D228" s="28">
        <f t="shared" si="67"/>
        <v>45.872829907338371</v>
      </c>
      <c r="E228" s="11">
        <f t="shared" si="68"/>
        <v>1.8969262928805364</v>
      </c>
    </row>
    <row r="229" spans="2:5">
      <c r="B229" s="10" t="s">
        <v>134</v>
      </c>
      <c r="C229" s="28">
        <f t="shared" si="67"/>
        <v>141.48109680099714</v>
      </c>
      <c r="D229" s="28">
        <f t="shared" si="67"/>
        <v>154.29797781471501</v>
      </c>
      <c r="E229" s="11">
        <f t="shared" si="68"/>
        <v>12.816881013717875</v>
      </c>
    </row>
    <row r="230" spans="2:5">
      <c r="B230" s="3" t="s">
        <v>136</v>
      </c>
      <c r="C230" s="9">
        <f t="shared" si="67"/>
        <v>1950000</v>
      </c>
      <c r="D230" s="9">
        <f t="shared" si="67"/>
        <v>2403000</v>
      </c>
      <c r="E230" s="9">
        <f t="shared" si="68"/>
        <v>453000</v>
      </c>
    </row>
    <row r="231" spans="2:5">
      <c r="B231" s="10" t="s">
        <v>138</v>
      </c>
      <c r="C231" s="28">
        <f t="shared" si="67"/>
        <v>33.620689655172413</v>
      </c>
      <c r="D231" s="28">
        <f t="shared" si="67"/>
        <v>36.343012704174228</v>
      </c>
      <c r="E231" s="11">
        <f t="shared" si="68"/>
        <v>2.7223230490018153</v>
      </c>
    </row>
    <row r="232" spans="2:5">
      <c r="B232" s="3" t="s">
        <v>140</v>
      </c>
      <c r="C232" s="28">
        <f t="shared" si="67"/>
        <v>2.9743589743589745</v>
      </c>
      <c r="D232" s="28">
        <f t="shared" si="67"/>
        <v>2.7515605493133584</v>
      </c>
      <c r="E232" s="11">
        <f t="shared" si="68"/>
        <v>-0.22279842504561609</v>
      </c>
    </row>
    <row r="233" spans="2:5">
      <c r="B233" s="31" t="s">
        <v>142</v>
      </c>
      <c r="C233" s="28">
        <f t="shared" si="67"/>
        <v>-5.1724137931034475</v>
      </c>
      <c r="D233" s="28">
        <f t="shared" si="67"/>
        <v>-7.3427102238354465</v>
      </c>
      <c r="E233" s="11">
        <f t="shared" si="68"/>
        <v>-2.170296430731999</v>
      </c>
    </row>
    <row r="234" spans="2:5">
      <c r="B234" s="10" t="s">
        <v>144</v>
      </c>
      <c r="C234" s="28">
        <f t="shared" si="67"/>
        <v>1.1627906976744187</v>
      </c>
      <c r="D234" s="28">
        <f t="shared" si="67"/>
        <v>1.2485737571312143</v>
      </c>
      <c r="E234" s="11">
        <f t="shared" si="68"/>
        <v>8.5783059456795652E-2</v>
      </c>
    </row>
    <row r="235" spans="2:5">
      <c r="C235" s="3">
        <f t="shared" ref="C235:D235" si="69">C$231*(C226/SUM(C$229))</f>
        <v>17.945448497616141</v>
      </c>
      <c r="D235" s="3">
        <f t="shared" si="69"/>
        <v>18.762341748347563</v>
      </c>
    </row>
    <row r="236" spans="2:5">
      <c r="C236" s="3">
        <f t="shared" ref="C236:D236" si="70">C$231*(C227/SUM(C$229))</f>
        <v>26.125401929260445</v>
      </c>
      <c r="D236" s="3">
        <f t="shared" si="70"/>
        <v>28.385458314095139</v>
      </c>
    </row>
    <row r="237" spans="2:5" ht="23">
      <c r="B237" s="48" t="s">
        <v>199</v>
      </c>
      <c r="C237" s="3">
        <f>C$231*(C228/SUM(C$229))</f>
        <v>10.450160771704178</v>
      </c>
      <c r="D237" s="3">
        <f t="shared" ref="D237" si="71">D$231*(D228/SUM(D$229))</f>
        <v>10.804787358268472</v>
      </c>
    </row>
    <row r="239" spans="2:5">
      <c r="B239" s="3" t="s">
        <v>147</v>
      </c>
    </row>
    <row r="241" spans="2:5" ht="14.5" thickBot="1">
      <c r="B241" s="49" t="s">
        <v>77</v>
      </c>
      <c r="C241" s="49" t="s">
        <v>200</v>
      </c>
      <c r="D241" s="49" t="s">
        <v>201</v>
      </c>
      <c r="E241" s="49" t="s">
        <v>147</v>
      </c>
    </row>
    <row r="242" spans="2:5">
      <c r="B242" s="5">
        <f>F35</f>
        <v>1800000</v>
      </c>
      <c r="C242" s="5">
        <f>F33+F36</f>
        <v>221000</v>
      </c>
      <c r="D242" s="5">
        <f>F41+F44</f>
        <v>271000</v>
      </c>
      <c r="E242" s="5">
        <f>F35+F33+F36-F41-F44</f>
        <v>1750000</v>
      </c>
    </row>
    <row r="243" spans="2:5">
      <c r="B243" s="5">
        <f>F35-E35</f>
        <v>0</v>
      </c>
      <c r="C243" s="5">
        <f>(F33+F36)-(E33+E36)</f>
        <v>21000</v>
      </c>
      <c r="D243" s="5">
        <f>F80-E80</f>
        <v>2.7223230490018153</v>
      </c>
      <c r="E243" s="5">
        <f>F117-E117</f>
        <v>0</v>
      </c>
    </row>
    <row r="245" spans="2:5">
      <c r="B245" s="3" t="s">
        <v>202</v>
      </c>
    </row>
    <row r="250" spans="2:5">
      <c r="B250" s="3" t="s">
        <v>159</v>
      </c>
    </row>
    <row r="254" spans="2:5">
      <c r="B254" s="3" t="s">
        <v>203</v>
      </c>
    </row>
    <row r="256" spans="2:5">
      <c r="C256" s="55" t="s">
        <v>40</v>
      </c>
      <c r="D256" s="55" t="s">
        <v>41</v>
      </c>
      <c r="E256" s="6"/>
    </row>
    <row r="257" spans="2:5" ht="14.5" thickBot="1">
      <c r="B257" s="2" t="s">
        <v>127</v>
      </c>
      <c r="C257" s="52" t="s">
        <v>44</v>
      </c>
      <c r="D257" s="52" t="s">
        <v>44</v>
      </c>
      <c r="E257" s="52" t="s">
        <v>192</v>
      </c>
    </row>
    <row r="258" spans="2:5" ht="14.5" thickTop="1">
      <c r="B258" s="33" t="s">
        <v>147</v>
      </c>
      <c r="C258" s="34">
        <f>E86</f>
        <v>1750000</v>
      </c>
      <c r="D258" s="34">
        <f>F86</f>
        <v>1750000</v>
      </c>
      <c r="E258" s="9">
        <f>D258-C258</f>
        <v>0</v>
      </c>
    </row>
    <row r="259" spans="2:5">
      <c r="B259" s="31" t="s">
        <v>149</v>
      </c>
      <c r="C259" s="35">
        <f t="shared" ref="C259:D266" si="72">E87</f>
        <v>0.30172413793103448</v>
      </c>
      <c r="D259" s="35">
        <f t="shared" si="72"/>
        <v>0.26467029643073198</v>
      </c>
      <c r="E259" s="11">
        <f t="shared" ref="E259" si="73">(D259-C259)*100</f>
        <v>-3.70538415003025</v>
      </c>
    </row>
    <row r="260" spans="2:5">
      <c r="B260" s="33" t="s">
        <v>151</v>
      </c>
      <c r="C260" s="36">
        <f t="shared" si="72"/>
        <v>3.3142857142857145</v>
      </c>
      <c r="D260" s="36">
        <f t="shared" si="72"/>
        <v>3.7782857142857145</v>
      </c>
      <c r="E260" s="11">
        <f>(D260-C260)</f>
        <v>0.46399999999999997</v>
      </c>
    </row>
    <row r="261" spans="2:5">
      <c r="B261" s="10" t="s">
        <v>153</v>
      </c>
      <c r="C261" s="9">
        <f t="shared" si="72"/>
        <v>3700000</v>
      </c>
      <c r="D261" s="9">
        <f t="shared" si="72"/>
        <v>4153000</v>
      </c>
      <c r="E261" s="9">
        <f t="shared" ref="E261" si="74">D261-C261</f>
        <v>453000</v>
      </c>
    </row>
    <row r="262" spans="2:5">
      <c r="B262" s="3" t="s">
        <v>155</v>
      </c>
      <c r="C262" s="30">
        <f t="shared" si="72"/>
        <v>0.63793103448275867</v>
      </c>
      <c r="D262" s="30">
        <f t="shared" si="72"/>
        <v>0.6281004234724743</v>
      </c>
      <c r="E262" s="11">
        <f t="shared" ref="E262:E264" si="75">(D262-C262)*100</f>
        <v>-0.98306110102843736</v>
      </c>
    </row>
    <row r="263" spans="2:5">
      <c r="B263" s="10" t="s">
        <v>157</v>
      </c>
      <c r="C263" s="28">
        <f t="shared" si="72"/>
        <v>1.5675675675675675</v>
      </c>
      <c r="D263" s="28">
        <f t="shared" si="72"/>
        <v>1.5921020948711775</v>
      </c>
      <c r="E263" s="11">
        <f>(D263-C263)</f>
        <v>2.4534527303609943E-2</v>
      </c>
    </row>
    <row r="264" spans="2:5">
      <c r="B264" s="3" t="s">
        <v>159</v>
      </c>
      <c r="C264" s="30">
        <f t="shared" si="72"/>
        <v>0.16891891891891891</v>
      </c>
      <c r="D264" s="30">
        <f t="shared" si="72"/>
        <v>0.16886588008668432</v>
      </c>
      <c r="E264" s="11">
        <f t="shared" si="75"/>
        <v>-5.3038832234592048E-3</v>
      </c>
    </row>
    <row r="265" spans="2:5">
      <c r="B265" s="10" t="s">
        <v>161</v>
      </c>
      <c r="C265" s="13">
        <f t="shared" si="72"/>
        <v>0.1404494382022472</v>
      </c>
      <c r="D265" s="13">
        <f t="shared" si="72"/>
        <v>0.13986836856800958</v>
      </c>
      <c r="E265" s="11">
        <f>(D265-C265)*100</f>
        <v>-5.8106963423762426E-2</v>
      </c>
    </row>
    <row r="266" spans="2:5">
      <c r="B266" s="10" t="s">
        <v>163</v>
      </c>
      <c r="C266" s="12">
        <f t="shared" si="72"/>
        <v>0.33333333333333331</v>
      </c>
      <c r="D266" s="12">
        <f t="shared" si="72"/>
        <v>0.31297709923664124</v>
      </c>
      <c r="E266" s="11">
        <f t="shared" ref="E266" si="76">(D266-C266)*100</f>
        <v>-2.0356234096692072</v>
      </c>
    </row>
    <row r="269" spans="2:5" ht="23">
      <c r="B269" s="48" t="s">
        <v>204</v>
      </c>
    </row>
    <row r="272" spans="2:5">
      <c r="B272" s="3" t="s">
        <v>205</v>
      </c>
    </row>
    <row r="274" spans="2:5" ht="14.5" thickBot="1">
      <c r="B274" s="49" t="s">
        <v>69</v>
      </c>
      <c r="C274" s="49" t="s">
        <v>206</v>
      </c>
      <c r="D274" s="49" t="s">
        <v>104</v>
      </c>
      <c r="E274" s="49" t="s">
        <v>207</v>
      </c>
    </row>
    <row r="275" spans="2:5">
      <c r="B275" s="5">
        <f>F30</f>
        <v>0</v>
      </c>
      <c r="C275" s="5">
        <f>F40+F43</f>
        <v>2843000</v>
      </c>
      <c r="D275" s="5">
        <f>F50</f>
        <v>1310000</v>
      </c>
      <c r="E275" s="5">
        <f>B275+C275+D275</f>
        <v>4153000</v>
      </c>
    </row>
    <row r="276" spans="2:5">
      <c r="B276" s="5">
        <f>F30-E30</f>
        <v>0</v>
      </c>
      <c r="C276" s="5">
        <f>(F40+F43)-(E40+E43)</f>
        <v>193000</v>
      </c>
      <c r="D276" s="5">
        <f>F50-E50</f>
        <v>260000</v>
      </c>
      <c r="E276" s="5">
        <f>B276+C276+D276</f>
        <v>453000</v>
      </c>
    </row>
    <row r="278" spans="2:5">
      <c r="B278" s="3" t="s">
        <v>208</v>
      </c>
    </row>
    <row r="281" spans="2:5">
      <c r="B281" s="3" t="s">
        <v>209</v>
      </c>
    </row>
    <row r="283" spans="2:5" ht="14.5" thickBot="1">
      <c r="B283" s="52"/>
      <c r="C283" s="52"/>
      <c r="D283" s="52" t="s">
        <v>210</v>
      </c>
      <c r="E283" s="52" t="s">
        <v>211</v>
      </c>
    </row>
    <row r="284" spans="2:5" ht="14.5" thickTop="1">
      <c r="B284" s="18" t="s">
        <v>186</v>
      </c>
      <c r="C284" s="5" t="s">
        <v>212</v>
      </c>
      <c r="D284" s="53">
        <f>F27</f>
        <v>260000</v>
      </c>
      <c r="E284" s="53"/>
    </row>
    <row r="285" spans="2:5">
      <c r="B285" s="24" t="s">
        <v>193</v>
      </c>
      <c r="C285" s="9" t="s">
        <v>213</v>
      </c>
      <c r="D285" s="54"/>
      <c r="E285" s="54">
        <f>E276</f>
        <v>453000</v>
      </c>
    </row>
    <row r="286" spans="2:5">
      <c r="B286" s="24" t="s">
        <v>199</v>
      </c>
      <c r="C286" s="9" t="s">
        <v>147</v>
      </c>
      <c r="D286" s="54">
        <v>0</v>
      </c>
      <c r="E286" s="54"/>
    </row>
    <row r="287" spans="2:5">
      <c r="B287" s="10"/>
      <c r="C287" s="24" t="s">
        <v>214</v>
      </c>
      <c r="D287" s="24">
        <f>SUM(D284:D286)</f>
        <v>260000</v>
      </c>
      <c r="E287" s="24">
        <f>SUM(E284:E286)</f>
        <v>453000</v>
      </c>
    </row>
    <row r="293" spans="2:11">
      <c r="B293" s="3" t="s">
        <v>215</v>
      </c>
    </row>
    <row r="294" spans="2:11">
      <c r="B294" s="3" t="s">
        <v>216</v>
      </c>
      <c r="I294" s="19"/>
    </row>
    <row r="300" spans="2:11">
      <c r="B300" s="3" t="s">
        <v>217</v>
      </c>
    </row>
    <row r="302" spans="2:11" ht="14.5" thickBot="1">
      <c r="B302" s="56" t="s">
        <v>212</v>
      </c>
      <c r="C302" s="52"/>
      <c r="D302" s="52" t="s">
        <v>218</v>
      </c>
      <c r="E302" s="52"/>
      <c r="F302" s="52" t="s">
        <v>219</v>
      </c>
      <c r="J302" s="19"/>
    </row>
    <row r="303" spans="2:11" ht="14.5" thickTop="1">
      <c r="B303" s="3" t="s">
        <v>45</v>
      </c>
      <c r="C303" s="5">
        <f>F16</f>
        <v>6612000</v>
      </c>
      <c r="D303" s="3" t="s">
        <v>220</v>
      </c>
      <c r="E303" s="19">
        <f>(F16-(F31-E31))</f>
        <v>6369000</v>
      </c>
      <c r="F303" s="9">
        <f>E303-C303</f>
        <v>-243000</v>
      </c>
      <c r="G303" s="19">
        <f>F16*(1-F75/365)+E31</f>
        <v>6369000</v>
      </c>
      <c r="H303" s="74">
        <f>G303-E303</f>
        <v>0</v>
      </c>
    </row>
    <row r="304" spans="2:11">
      <c r="B304" s="10" t="s">
        <v>221</v>
      </c>
      <c r="C304" s="9">
        <f>F17</f>
        <v>4694500</v>
      </c>
      <c r="D304" s="10" t="s">
        <v>222</v>
      </c>
      <c r="E304" s="58">
        <f>(F17+(F32-E32)-(F39-E39))</f>
        <v>4904500</v>
      </c>
      <c r="F304" s="9">
        <f>C304-E304</f>
        <v>-210000</v>
      </c>
      <c r="G304" s="19">
        <f>F17*(1+F76/365-F77/365)+E39-E32</f>
        <v>4904499.9999999991</v>
      </c>
      <c r="H304" s="74">
        <f>G304-E304</f>
        <v>0</v>
      </c>
      <c r="K304" s="19"/>
    </row>
    <row r="305" spans="2:12">
      <c r="B305" s="23" t="s">
        <v>48</v>
      </c>
      <c r="C305" s="24">
        <f>C303-C304</f>
        <v>1917500</v>
      </c>
      <c r="D305" s="23" t="s">
        <v>223</v>
      </c>
      <c r="E305" s="59">
        <f>E303-E304</f>
        <v>1464500</v>
      </c>
      <c r="F305" s="9">
        <f>E305-C305</f>
        <v>-453000</v>
      </c>
      <c r="G305" s="75"/>
      <c r="H305" s="74">
        <f>H303-H304</f>
        <v>0</v>
      </c>
    </row>
    <row r="306" spans="2:12">
      <c r="C306" s="4"/>
      <c r="H306" s="19"/>
      <c r="I306" s="62"/>
      <c r="J306" s="19"/>
    </row>
    <row r="307" spans="2:12">
      <c r="B307" s="3" t="s">
        <v>224</v>
      </c>
      <c r="C307" s="5">
        <f>F19-EEFF!F67</f>
        <v>1116200</v>
      </c>
      <c r="D307" s="3" t="s">
        <v>224</v>
      </c>
      <c r="E307" s="19">
        <f>F19-EEFF!F67</f>
        <v>1116200</v>
      </c>
      <c r="I307" s="19"/>
      <c r="J307" s="19"/>
      <c r="L307" s="19"/>
    </row>
    <row r="308" spans="2:12">
      <c r="B308" s="23" t="s">
        <v>168</v>
      </c>
      <c r="C308" s="24">
        <f>C305-C307</f>
        <v>801300</v>
      </c>
      <c r="D308" s="23" t="s">
        <v>166</v>
      </c>
      <c r="E308" s="59">
        <f>E305-E307</f>
        <v>348300</v>
      </c>
      <c r="F308" s="9">
        <f>E308-C308</f>
        <v>-453000</v>
      </c>
    </row>
    <row r="309" spans="2:12">
      <c r="C309" s="4"/>
    </row>
    <row r="310" spans="2:12" ht="14.5" thickBot="1">
      <c r="C310" s="4"/>
      <c r="D310" s="15" t="s">
        <v>225</v>
      </c>
      <c r="E310" s="57"/>
      <c r="I310" s="19"/>
    </row>
    <row r="311" spans="2:12">
      <c r="B311" s="3" t="s">
        <v>53</v>
      </c>
      <c r="C311" s="5">
        <f>-F21</f>
        <v>-176000</v>
      </c>
      <c r="D311" s="3" t="s">
        <v>53</v>
      </c>
      <c r="E311" s="19">
        <f>-F21</f>
        <v>-176000</v>
      </c>
      <c r="I311" s="19"/>
    </row>
    <row r="312" spans="2:12">
      <c r="B312" s="3" t="s">
        <v>59</v>
      </c>
      <c r="C312" s="5">
        <f>-F24</f>
        <v>-115300</v>
      </c>
      <c r="D312" s="3" t="s">
        <v>59</v>
      </c>
      <c r="E312" s="19">
        <f>-F24</f>
        <v>-115300</v>
      </c>
    </row>
    <row r="313" spans="2:12">
      <c r="B313" s="3" t="s">
        <v>226</v>
      </c>
      <c r="C313" s="5">
        <f>-F22</f>
        <v>0</v>
      </c>
      <c r="D313" s="3" t="s">
        <v>226</v>
      </c>
      <c r="E313" s="19">
        <f>-F22</f>
        <v>0</v>
      </c>
    </row>
    <row r="314" spans="2:12">
      <c r="B314" s="3" t="s">
        <v>227</v>
      </c>
      <c r="C314" s="5">
        <f>-F26</f>
        <v>-150000</v>
      </c>
      <c r="D314" s="3" t="s">
        <v>227</v>
      </c>
      <c r="E314" s="19">
        <f>-F26</f>
        <v>-150000</v>
      </c>
    </row>
    <row r="315" spans="2:12">
      <c r="B315" s="3" t="s">
        <v>120</v>
      </c>
      <c r="C315" s="5">
        <f>-EEFF!F67</f>
        <v>-100000</v>
      </c>
      <c r="D315" s="3" t="s">
        <v>228</v>
      </c>
      <c r="E315" s="19">
        <f>(F35-E35)-EEFF!F67</f>
        <v>-100000</v>
      </c>
    </row>
    <row r="316" spans="2:12">
      <c r="C316" s="4"/>
      <c r="D316" s="3" t="s">
        <v>229</v>
      </c>
    </row>
    <row r="317" spans="2:12">
      <c r="C317" s="4"/>
      <c r="D317" s="3" t="s">
        <v>230</v>
      </c>
      <c r="K317" s="67"/>
    </row>
    <row r="318" spans="2:12" ht="14.5" thickBot="1">
      <c r="B318" s="15" t="s">
        <v>65</v>
      </c>
      <c r="C318" s="16">
        <f>C308+C311+C312+C313+C314+C315</f>
        <v>260000</v>
      </c>
      <c r="D318" s="15" t="s">
        <v>170</v>
      </c>
      <c r="E318" s="60">
        <f>E308+E311+E312+E313+E314+E315+E316+E317</f>
        <v>-193000</v>
      </c>
      <c r="F318" s="15"/>
      <c r="K318" s="67"/>
    </row>
    <row r="319" spans="2:12">
      <c r="K319" s="67"/>
    </row>
    <row r="321" spans="2:8">
      <c r="B321" s="3" t="s">
        <v>231</v>
      </c>
      <c r="G321" s="3">
        <v>260000</v>
      </c>
      <c r="H321" s="3">
        <v>-193000</v>
      </c>
    </row>
    <row r="322" spans="2:8">
      <c r="G322" s="74">
        <f>C318-G321</f>
        <v>0</v>
      </c>
      <c r="H322" s="74">
        <f>E318-H321</f>
        <v>0</v>
      </c>
    </row>
    <row r="323" spans="2:8">
      <c r="D323" s="19"/>
    </row>
    <row r="328" spans="2:8">
      <c r="B328" s="3" t="s">
        <v>232</v>
      </c>
    </row>
    <row r="329" spans="2:8">
      <c r="C329" s="55" t="s">
        <v>40</v>
      </c>
      <c r="D329" s="55" t="s">
        <v>41</v>
      </c>
      <c r="E329" s="6"/>
    </row>
    <row r="330" spans="2:8" ht="14.5" thickBot="1">
      <c r="B330" s="2" t="s">
        <v>165</v>
      </c>
      <c r="C330" s="52" t="s">
        <v>44</v>
      </c>
      <c r="D330" s="52" t="s">
        <v>44</v>
      </c>
      <c r="E330" s="52" t="s">
        <v>192</v>
      </c>
    </row>
    <row r="331" spans="2:8" ht="14.5" thickTop="1">
      <c r="B331" s="33" t="s">
        <v>142</v>
      </c>
      <c r="C331" s="32">
        <f>E97</f>
        <v>-5.1724137931034475</v>
      </c>
      <c r="D331" s="32">
        <f>F97</f>
        <v>-7.3427102238354465</v>
      </c>
      <c r="E331" s="32">
        <f>D331-C331</f>
        <v>-2.170296430731999</v>
      </c>
    </row>
    <row r="332" spans="2:8">
      <c r="B332" s="31" t="s">
        <v>166</v>
      </c>
      <c r="C332" s="9">
        <f t="shared" ref="C332:D339" si="77">E98</f>
        <v>145000</v>
      </c>
      <c r="D332" s="9">
        <f t="shared" si="77"/>
        <v>348300</v>
      </c>
      <c r="E332" s="73">
        <f t="shared" ref="E332:E339" si="78">D332-C332</f>
        <v>203300</v>
      </c>
    </row>
    <row r="333" spans="2:8">
      <c r="B333" s="3" t="s">
        <v>168</v>
      </c>
      <c r="C333" s="5">
        <f t="shared" si="77"/>
        <v>725000</v>
      </c>
      <c r="D333" s="5">
        <f t="shared" si="77"/>
        <v>801300</v>
      </c>
      <c r="E333" s="73">
        <f t="shared" si="78"/>
        <v>76300</v>
      </c>
    </row>
    <row r="334" spans="2:8">
      <c r="B334" s="31" t="s">
        <v>170</v>
      </c>
      <c r="C334" s="37">
        <f t="shared" si="77"/>
        <v>-730000</v>
      </c>
      <c r="D334" s="9">
        <f t="shared" si="77"/>
        <v>-193000</v>
      </c>
      <c r="E334" s="73">
        <f t="shared" si="78"/>
        <v>537000</v>
      </c>
    </row>
    <row r="335" spans="2:8">
      <c r="B335" s="3" t="s">
        <v>172</v>
      </c>
      <c r="C335" s="5">
        <f t="shared" si="77"/>
        <v>2650000</v>
      </c>
      <c r="D335" s="5">
        <f t="shared" si="77"/>
        <v>2843000</v>
      </c>
      <c r="E335" s="73">
        <f t="shared" si="78"/>
        <v>193000</v>
      </c>
    </row>
    <row r="336" spans="2:8">
      <c r="B336" s="10" t="s">
        <v>174</v>
      </c>
      <c r="C336" s="28">
        <f t="shared" si="77"/>
        <v>2.5238095238095237</v>
      </c>
      <c r="D336" s="28">
        <f t="shared" si="77"/>
        <v>2.1702290076335879</v>
      </c>
      <c r="E336" s="32">
        <f t="shared" si="78"/>
        <v>-0.35358051617593578</v>
      </c>
    </row>
    <row r="337" spans="2:5">
      <c r="B337" s="3" t="s">
        <v>176</v>
      </c>
      <c r="C337" s="29">
        <f t="shared" si="77"/>
        <v>0.71621621621621623</v>
      </c>
      <c r="D337" s="29">
        <f t="shared" si="77"/>
        <v>0.68456537442812426</v>
      </c>
      <c r="E337" s="32">
        <f t="shared" si="78"/>
        <v>-3.1650841788091966E-2</v>
      </c>
    </row>
    <row r="338" spans="2:5">
      <c r="B338" s="10" t="s">
        <v>125</v>
      </c>
      <c r="C338" s="28">
        <f t="shared" si="77"/>
        <v>4.166666666666667</v>
      </c>
      <c r="D338" s="28">
        <f t="shared" si="77"/>
        <v>3.9846590909090911</v>
      </c>
      <c r="E338" s="32">
        <f t="shared" si="78"/>
        <v>-0.18200757575757587</v>
      </c>
    </row>
    <row r="339" spans="2:5">
      <c r="B339" s="10" t="s">
        <v>178</v>
      </c>
      <c r="C339" s="11">
        <f t="shared" si="77"/>
        <v>3.6551724137931036</v>
      </c>
      <c r="D339" s="11">
        <f t="shared" si="77"/>
        <v>3.5479845251466369</v>
      </c>
      <c r="E339" s="32">
        <f t="shared" si="78"/>
        <v>-0.10718788864646678</v>
      </c>
    </row>
    <row r="342" spans="2:5" ht="20">
      <c r="B342" s="61" t="s">
        <v>233</v>
      </c>
    </row>
    <row r="344" spans="2:5">
      <c r="B344" s="3" t="s">
        <v>234</v>
      </c>
    </row>
  </sheetData>
  <conditionalFormatting sqref="A59:A66 A68:A72">
    <cfRule type="duplicateValues" dxfId="53" priority="3"/>
  </conditionalFormatting>
  <conditionalFormatting sqref="B1:B66 B68:B105">
    <cfRule type="duplicateValues" dxfId="52" priority="1"/>
  </conditionalFormatting>
  <conditionalFormatting sqref="B205:E205">
    <cfRule type="cellIs" dxfId="51" priority="54" operator="greaterThan">
      <formula>0</formula>
    </cfRule>
    <cfRule type="cellIs" dxfId="50" priority="53" operator="lessThan">
      <formula>0</formula>
    </cfRule>
  </conditionalFormatting>
  <conditionalFormatting sqref="B243:E243">
    <cfRule type="cellIs" dxfId="49" priority="38" operator="greaterThan">
      <formula>0</formula>
    </cfRule>
    <cfRule type="cellIs" dxfId="48" priority="37" operator="lessThan">
      <formula>0</formula>
    </cfRule>
  </conditionalFormatting>
  <conditionalFormatting sqref="B276:E276">
    <cfRule type="cellIs" dxfId="47" priority="17" operator="lessThan">
      <formula>0</formula>
    </cfRule>
    <cfRule type="cellIs" dxfId="46" priority="18" operator="greaterThan">
      <formula>0</formula>
    </cfRule>
  </conditionalFormatting>
  <conditionalFormatting sqref="B159:F159">
    <cfRule type="cellIs" dxfId="45" priority="60" operator="greaterThan">
      <formula>0</formula>
    </cfRule>
    <cfRule type="cellIs" dxfId="44" priority="59" operator="lessThan">
      <formula>0</formula>
    </cfRule>
  </conditionalFormatting>
  <conditionalFormatting sqref="D112:D115">
    <cfRule type="cellIs" dxfId="43" priority="67" operator="lessThan">
      <formula>0</formula>
    </cfRule>
    <cfRule type="cellIs" dxfId="42" priority="68" operator="greaterThan">
      <formula>0</formula>
    </cfRule>
  </conditionalFormatting>
  <conditionalFormatting sqref="D136:D137 D139">
    <cfRule type="cellIs" dxfId="41" priority="66" operator="lessThan">
      <formula>0</formula>
    </cfRule>
    <cfRule type="cellIs" dxfId="40" priority="65" operator="greaterThan">
      <formula>0</formula>
    </cfRule>
  </conditionalFormatting>
  <conditionalFormatting sqref="D138">
    <cfRule type="cellIs" dxfId="39" priority="64" operator="greaterThan">
      <formula>0</formula>
    </cfRule>
    <cfRule type="cellIs" dxfId="38" priority="63" operator="lessThan">
      <formula>0</formula>
    </cfRule>
  </conditionalFormatting>
  <conditionalFormatting sqref="D147:D149">
    <cfRule type="cellIs" dxfId="37" priority="62" operator="lessThanOrEqual">
      <formula>0</formula>
    </cfRule>
    <cfRule type="cellIs" dxfId="36" priority="61" operator="greaterThan">
      <formula>0</formula>
    </cfRule>
  </conditionalFormatting>
  <conditionalFormatting sqref="E183:E196">
    <cfRule type="cellIs" dxfId="35" priority="56" operator="greaterThan">
      <formula>0</formula>
    </cfRule>
    <cfRule type="cellIs" dxfId="34" priority="55" operator="lessThan">
      <formula>0</formula>
    </cfRule>
  </conditionalFormatting>
  <conditionalFormatting sqref="E226:E227">
    <cfRule type="cellIs" dxfId="33" priority="51" operator="greaterThan">
      <formula>0</formula>
    </cfRule>
    <cfRule type="cellIs" dxfId="32" priority="52" operator="lessThan">
      <formula>0</formula>
    </cfRule>
  </conditionalFormatting>
  <conditionalFormatting sqref="E228">
    <cfRule type="cellIs" dxfId="31" priority="49" operator="lessThan">
      <formula>0</formula>
    </cfRule>
    <cfRule type="cellIs" dxfId="30" priority="50" operator="greaterThan">
      <formula>0</formula>
    </cfRule>
  </conditionalFormatting>
  <conditionalFormatting sqref="E229:E231">
    <cfRule type="cellIs" dxfId="29" priority="43" operator="greaterThan">
      <formula>0</formula>
    </cfRule>
    <cfRule type="cellIs" dxfId="28" priority="44" operator="lessThan">
      <formula>0</formula>
    </cfRule>
  </conditionalFormatting>
  <conditionalFormatting sqref="E232:E234">
    <cfRule type="cellIs" dxfId="27" priority="39" operator="lessThan">
      <formula>0</formula>
    </cfRule>
    <cfRule type="cellIs" dxfId="26" priority="40" operator="greaterThan">
      <formula>0</formula>
    </cfRule>
  </conditionalFormatting>
  <conditionalFormatting sqref="E258">
    <cfRule type="cellIs" dxfId="25" priority="28" operator="greaterThan">
      <formula>0</formula>
    </cfRule>
    <cfRule type="cellIs" dxfId="24" priority="27" operator="lessThan">
      <formula>0</formula>
    </cfRule>
    <cfRule type="cellIs" dxfId="23" priority="26" operator="lessThan">
      <formula>0</formula>
    </cfRule>
    <cfRule type="cellIs" dxfId="22" priority="25" operator="greaterThan">
      <formula>0</formula>
    </cfRule>
  </conditionalFormatting>
  <conditionalFormatting sqref="E259:E261">
    <cfRule type="cellIs" dxfId="21" priority="22" operator="greaterThan">
      <formula>0</formula>
    </cfRule>
    <cfRule type="cellIs" dxfId="20" priority="21" operator="lessThan">
      <formula>0</formula>
    </cfRule>
  </conditionalFormatting>
  <conditionalFormatting sqref="E262">
    <cfRule type="cellIs" dxfId="19" priority="29" operator="greaterThan">
      <formula>0</formula>
    </cfRule>
    <cfRule type="cellIs" dxfId="18" priority="30" operator="lessThan">
      <formula>0</formula>
    </cfRule>
  </conditionalFormatting>
  <conditionalFormatting sqref="E262:E266">
    <cfRule type="cellIs" dxfId="17" priority="32" operator="greaterThan">
      <formula>0</formula>
    </cfRule>
    <cfRule type="cellIs" dxfId="16" priority="31" operator="lessThan">
      <formula>0</formula>
    </cfRule>
  </conditionalFormatting>
  <conditionalFormatting sqref="E263">
    <cfRule type="cellIs" dxfId="15" priority="36" operator="lessThan">
      <formula>0</formula>
    </cfRule>
    <cfRule type="cellIs" dxfId="14" priority="35" operator="greaterThan">
      <formula>0</formula>
    </cfRule>
  </conditionalFormatting>
  <conditionalFormatting sqref="E331:E333">
    <cfRule type="cellIs" dxfId="13" priority="5" operator="lessThan">
      <formula>0</formula>
    </cfRule>
    <cfRule type="cellIs" dxfId="12" priority="6" operator="greaterThan">
      <formula>0</formula>
    </cfRule>
  </conditionalFormatting>
  <conditionalFormatting sqref="E334:E339">
    <cfRule type="cellIs" dxfId="11" priority="14" operator="lessThan">
      <formula>0</formula>
    </cfRule>
    <cfRule type="cellIs" dxfId="10" priority="13" operator="greaterThan">
      <formula>0</formula>
    </cfRule>
  </conditionalFormatting>
  <conditionalFormatting sqref="F303:F305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F308">
    <cfRule type="cellIs" dxfId="7" priority="8" operator="greaterThan">
      <formula>0</formula>
    </cfRule>
    <cfRule type="cellIs" dxfId="6" priority="7" operator="lessThan">
      <formula>0</formula>
    </cfRule>
  </conditionalFormatting>
  <pageMargins left="0.7" right="0.7" top="0.75" bottom="0.75" header="0.3" footer="0.3"/>
  <pageSetup orientation="portrait" r:id="rId1"/>
  <ignoredErrors>
    <ignoredError sqref="F19" 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B598-6903-4F32-8D99-394074A62FEC}">
  <dimension ref="A1:U105"/>
  <sheetViews>
    <sheetView topLeftCell="I3" zoomScale="66" workbookViewId="0">
      <selection activeCell="L27" sqref="L27"/>
    </sheetView>
  </sheetViews>
  <sheetFormatPr defaultRowHeight="14.5"/>
  <cols>
    <col min="1" max="1" width="28.90625" bestFit="1" customWidth="1"/>
    <col min="2" max="2" width="31.1796875" bestFit="1" customWidth="1"/>
    <col min="3" max="3" width="9.453125" bestFit="1" customWidth="1"/>
    <col min="5" max="5" width="64" bestFit="1" customWidth="1"/>
    <col min="6" max="6" width="14.26953125" bestFit="1" customWidth="1"/>
    <col min="8" max="8" width="30.36328125" bestFit="1" customWidth="1"/>
    <col min="9" max="9" width="28.6328125" bestFit="1" customWidth="1"/>
    <col min="10" max="12" width="63.90625" bestFit="1" customWidth="1"/>
    <col min="13" max="13" width="8.6328125" bestFit="1" customWidth="1"/>
    <col min="14" max="14" width="13" bestFit="1" customWidth="1"/>
  </cols>
  <sheetData>
    <row r="1" spans="1:21">
      <c r="H1" t="s">
        <v>320</v>
      </c>
    </row>
    <row r="2" spans="1:21">
      <c r="A2" s="3" t="s">
        <v>0</v>
      </c>
      <c r="B2" s="3" t="s">
        <v>1</v>
      </c>
      <c r="C2" s="6" t="s">
        <v>4</v>
      </c>
      <c r="D2" s="3"/>
      <c r="E2" s="6" t="s">
        <v>4</v>
      </c>
      <c r="F2" s="3" t="s">
        <v>262</v>
      </c>
      <c r="H2" s="140" t="s">
        <v>314</v>
      </c>
      <c r="I2" s="140" t="s">
        <v>315</v>
      </c>
      <c r="J2" s="140" t="s">
        <v>316</v>
      </c>
      <c r="K2" s="140" t="s">
        <v>317</v>
      </c>
      <c r="L2" s="140" t="s">
        <v>318</v>
      </c>
      <c r="M2" s="140" t="s">
        <v>319</v>
      </c>
      <c r="N2" s="140" t="s">
        <v>313</v>
      </c>
      <c r="P2" t="s">
        <v>315</v>
      </c>
      <c r="Q2" t="s">
        <v>314</v>
      </c>
      <c r="R2" t="s">
        <v>313</v>
      </c>
      <c r="S2" t="s">
        <v>322</v>
      </c>
      <c r="T2" t="s">
        <v>183</v>
      </c>
      <c r="U2" t="s">
        <v>219</v>
      </c>
    </row>
    <row r="3" spans="1:21">
      <c r="A3" s="3" t="s">
        <v>45</v>
      </c>
      <c r="B3" s="90" t="s">
        <v>45</v>
      </c>
      <c r="C3" s="131" t="s">
        <v>264</v>
      </c>
      <c r="D3" s="137"/>
      <c r="E3" s="131" t="s">
        <v>45</v>
      </c>
      <c r="F3" s="3" t="s">
        <v>42</v>
      </c>
      <c r="H3" t="str">
        <f>B3</f>
        <v>Revenue</v>
      </c>
      <c r="I3" t="str">
        <f t="shared" ref="I3:I37" si="0">A3</f>
        <v>Revenue</v>
      </c>
      <c r="J3" s="141" t="s">
        <v>321</v>
      </c>
      <c r="K3" s="141" t="s">
        <v>321</v>
      </c>
      <c r="L3" s="141" t="s">
        <v>321</v>
      </c>
      <c r="N3" t="str">
        <f t="shared" ref="N3:N4" si="1">F3</f>
        <v>Profit &amp; Loss</v>
      </c>
      <c r="P3" s="3" t="s">
        <v>45</v>
      </c>
      <c r="Q3" s="90" t="s">
        <v>45</v>
      </c>
      <c r="S3" t="s">
        <v>42</v>
      </c>
    </row>
    <row r="4" spans="1:21">
      <c r="A4" s="3" t="s">
        <v>46</v>
      </c>
      <c r="B4" s="90" t="s">
        <v>47</v>
      </c>
      <c r="C4" s="131" t="s">
        <v>264</v>
      </c>
      <c r="D4" s="137"/>
      <c r="E4" s="131" t="s">
        <v>47</v>
      </c>
      <c r="F4" s="3" t="s">
        <v>42</v>
      </c>
      <c r="H4" t="str">
        <f t="shared" ref="H4:H37" si="2">B4</f>
        <v>Cost_of_Goods</v>
      </c>
      <c r="I4" t="str">
        <f t="shared" si="0"/>
        <v>Cost of Goods</v>
      </c>
      <c r="J4" s="141" t="s">
        <v>321</v>
      </c>
      <c r="K4" s="141" t="s">
        <v>321</v>
      </c>
      <c r="L4" s="141" t="s">
        <v>321</v>
      </c>
      <c r="N4" t="str">
        <f t="shared" si="1"/>
        <v>Profit &amp; Loss</v>
      </c>
      <c r="P4" s="3" t="s">
        <v>46</v>
      </c>
      <c r="Q4" s="90" t="s">
        <v>47</v>
      </c>
      <c r="S4" t="s">
        <v>42</v>
      </c>
    </row>
    <row r="5" spans="1:21" ht="15" thickBot="1">
      <c r="A5" s="15" t="s">
        <v>48</v>
      </c>
      <c r="B5" s="90" t="s">
        <v>49</v>
      </c>
      <c r="C5" s="87" t="s">
        <v>265</v>
      </c>
      <c r="D5" s="136"/>
      <c r="E5" s="87" t="s">
        <v>266</v>
      </c>
      <c r="F5" s="3" t="s">
        <v>42</v>
      </c>
      <c r="H5" t="str">
        <f t="shared" si="2"/>
        <v>Gross_Margin</v>
      </c>
      <c r="I5" t="str">
        <f t="shared" si="0"/>
        <v>Gross Margin</v>
      </c>
      <c r="J5" t="str">
        <f>E5</f>
        <v>=Revenue-Cost_of_Goods</v>
      </c>
      <c r="K5" s="139" t="s">
        <v>311</v>
      </c>
      <c r="L5" s="139" t="s">
        <v>312</v>
      </c>
      <c r="N5" t="str">
        <f t="shared" ref="N5:N37" si="3">F5</f>
        <v>Profit &amp; Loss</v>
      </c>
      <c r="P5" s="15" t="s">
        <v>48</v>
      </c>
      <c r="Q5" s="90" t="s">
        <v>49</v>
      </c>
      <c r="S5" t="s">
        <v>42</v>
      </c>
    </row>
    <row r="6" spans="1:21">
      <c r="A6" s="3" t="s">
        <v>50</v>
      </c>
      <c r="B6" s="90" t="s">
        <v>50</v>
      </c>
      <c r="C6" s="131" t="s">
        <v>264</v>
      </c>
      <c r="D6" s="137"/>
      <c r="E6" s="131" t="s">
        <v>50</v>
      </c>
      <c r="F6" s="3" t="s">
        <v>42</v>
      </c>
      <c r="H6" t="str">
        <f t="shared" si="2"/>
        <v>Overheads</v>
      </c>
      <c r="I6" t="str">
        <f t="shared" si="0"/>
        <v>Overheads</v>
      </c>
      <c r="J6" s="141" t="s">
        <v>321</v>
      </c>
      <c r="K6" s="141" t="s">
        <v>321</v>
      </c>
      <c r="L6" s="141" t="s">
        <v>321</v>
      </c>
      <c r="N6" t="str">
        <f t="shared" si="3"/>
        <v>Profit &amp; Loss</v>
      </c>
      <c r="P6" s="3" t="s">
        <v>50</v>
      </c>
      <c r="Q6" s="90" t="s">
        <v>50</v>
      </c>
      <c r="S6" t="s">
        <v>42</v>
      </c>
    </row>
    <row r="7" spans="1:21" ht="15" thickBot="1">
      <c r="A7" s="15" t="s">
        <v>51</v>
      </c>
      <c r="B7" s="90" t="s">
        <v>52</v>
      </c>
      <c r="C7" s="87" t="s">
        <v>265</v>
      </c>
      <c r="D7" s="136"/>
      <c r="E7" s="87" t="s">
        <v>267</v>
      </c>
      <c r="F7" s="3" t="s">
        <v>42</v>
      </c>
      <c r="H7" t="str">
        <f t="shared" si="2"/>
        <v>Operating_Profit</v>
      </c>
      <c r="I7" t="str">
        <f t="shared" si="0"/>
        <v>Operating Profit</v>
      </c>
      <c r="J7" t="str">
        <f>E7</f>
        <v>=Gross_Margin-Overheads</v>
      </c>
      <c r="K7" t="s">
        <v>267</v>
      </c>
      <c r="L7" t="s">
        <v>267</v>
      </c>
      <c r="N7" t="str">
        <f t="shared" si="3"/>
        <v>Profit &amp; Loss</v>
      </c>
      <c r="P7" s="15" t="s">
        <v>51</v>
      </c>
      <c r="Q7" s="90" t="s">
        <v>52</v>
      </c>
      <c r="S7" t="s">
        <v>42</v>
      </c>
    </row>
    <row r="8" spans="1:21">
      <c r="A8" s="3" t="s">
        <v>53</v>
      </c>
      <c r="B8" s="90" t="s">
        <v>54</v>
      </c>
      <c r="C8" s="131" t="s">
        <v>264</v>
      </c>
      <c r="D8" s="137"/>
      <c r="E8" s="131" t="s">
        <v>54</v>
      </c>
      <c r="F8" s="3" t="s">
        <v>42</v>
      </c>
      <c r="H8" t="str">
        <f t="shared" si="2"/>
        <v>Interest_Paid</v>
      </c>
      <c r="I8" t="str">
        <f t="shared" si="0"/>
        <v>Interest Paid</v>
      </c>
      <c r="J8" s="141" t="s">
        <v>321</v>
      </c>
      <c r="K8" s="141" t="s">
        <v>321</v>
      </c>
      <c r="L8" s="141" t="s">
        <v>321</v>
      </c>
      <c r="N8" t="str">
        <f t="shared" si="3"/>
        <v>Profit &amp; Loss</v>
      </c>
      <c r="P8" s="3" t="s">
        <v>53</v>
      </c>
      <c r="Q8" s="90" t="s">
        <v>54</v>
      </c>
      <c r="S8" t="s">
        <v>42</v>
      </c>
    </row>
    <row r="9" spans="1:21">
      <c r="A9" s="3" t="s">
        <v>55</v>
      </c>
      <c r="B9" s="90" t="s">
        <v>56</v>
      </c>
      <c r="C9" s="131" t="s">
        <v>264</v>
      </c>
      <c r="D9" s="137"/>
      <c r="E9" s="131" t="s">
        <v>56</v>
      </c>
      <c r="F9" s="3" t="s">
        <v>42</v>
      </c>
      <c r="H9" t="str">
        <f t="shared" si="2"/>
        <v>Extraordinary_IncomeOrExpenses</v>
      </c>
      <c r="I9" t="str">
        <f t="shared" si="0"/>
        <v>Extraordinary Income/Expenses</v>
      </c>
      <c r="J9" s="141" t="s">
        <v>321</v>
      </c>
      <c r="K9" s="141" t="s">
        <v>321</v>
      </c>
      <c r="L9" s="141" t="s">
        <v>321</v>
      </c>
      <c r="N9" t="str">
        <f t="shared" si="3"/>
        <v>Profit &amp; Loss</v>
      </c>
      <c r="P9" s="3" t="s">
        <v>55</v>
      </c>
      <c r="Q9" s="90" t="s">
        <v>56</v>
      </c>
      <c r="S9" t="s">
        <v>42</v>
      </c>
    </row>
    <row r="10" spans="1:21" ht="15" thickBot="1">
      <c r="A10" s="15" t="s">
        <v>57</v>
      </c>
      <c r="B10" s="90" t="s">
        <v>58</v>
      </c>
      <c r="C10" s="87" t="s">
        <v>265</v>
      </c>
      <c r="D10" s="136"/>
      <c r="E10" s="87" t="s">
        <v>268</v>
      </c>
      <c r="F10" s="3" t="s">
        <v>42</v>
      </c>
      <c r="H10" t="str">
        <f t="shared" si="2"/>
        <v>Net_Profit_Before_Tax</v>
      </c>
      <c r="I10" t="str">
        <f t="shared" si="0"/>
        <v>Net Profit Before Tax</v>
      </c>
      <c r="J10" t="str">
        <f>E10</f>
        <v>=Operating_Profit-Interest_Paid-Extraordinary_IncomeOrExpenses</v>
      </c>
      <c r="K10" t="s">
        <v>268</v>
      </c>
      <c r="L10" t="s">
        <v>268</v>
      </c>
      <c r="N10" t="str">
        <f t="shared" si="3"/>
        <v>Profit &amp; Loss</v>
      </c>
      <c r="P10" s="15" t="s">
        <v>57</v>
      </c>
      <c r="Q10" s="90" t="s">
        <v>58</v>
      </c>
      <c r="S10" t="s">
        <v>42</v>
      </c>
    </row>
    <row r="11" spans="1:21">
      <c r="A11" s="3" t="s">
        <v>59</v>
      </c>
      <c r="B11" s="90" t="s">
        <v>60</v>
      </c>
      <c r="C11" s="131" t="s">
        <v>264</v>
      </c>
      <c r="D11" s="137"/>
      <c r="E11" s="131" t="s">
        <v>60</v>
      </c>
      <c r="F11" s="3" t="s">
        <v>42</v>
      </c>
      <c r="H11" t="str">
        <f t="shared" si="2"/>
        <v>Tax_Paid</v>
      </c>
      <c r="I11" t="str">
        <f t="shared" si="0"/>
        <v>Tax Paid</v>
      </c>
      <c r="J11" s="141" t="s">
        <v>321</v>
      </c>
      <c r="K11" s="141" t="s">
        <v>321</v>
      </c>
      <c r="L11" s="141" t="s">
        <v>321</v>
      </c>
      <c r="N11" t="str">
        <f t="shared" si="3"/>
        <v>Profit &amp; Loss</v>
      </c>
      <c r="P11" s="3" t="s">
        <v>59</v>
      </c>
      <c r="Q11" s="90" t="s">
        <v>60</v>
      </c>
      <c r="S11" t="s">
        <v>42</v>
      </c>
    </row>
    <row r="12" spans="1:21" ht="15" thickBot="1">
      <c r="A12" s="15" t="s">
        <v>61</v>
      </c>
      <c r="B12" s="90" t="s">
        <v>62</v>
      </c>
      <c r="C12" s="87" t="s">
        <v>265</v>
      </c>
      <c r="D12" s="136"/>
      <c r="E12" s="87" t="s">
        <v>269</v>
      </c>
      <c r="F12" s="3" t="s">
        <v>42</v>
      </c>
      <c r="H12" t="str">
        <f t="shared" si="2"/>
        <v>Net_Profit</v>
      </c>
      <c r="I12" t="str">
        <f t="shared" si="0"/>
        <v>Net Profit</v>
      </c>
      <c r="J12" t="str">
        <f>E12</f>
        <v>=Net_Profit_Before_Tax-Tax_Paid</v>
      </c>
      <c r="K12" t="s">
        <v>269</v>
      </c>
      <c r="L12" t="s">
        <v>269</v>
      </c>
      <c r="N12" t="str">
        <f t="shared" si="3"/>
        <v>Profit &amp; Loss</v>
      </c>
      <c r="P12" s="15" t="s">
        <v>61</v>
      </c>
      <c r="Q12" s="90" t="s">
        <v>62</v>
      </c>
      <c r="S12" t="s">
        <v>42</v>
      </c>
    </row>
    <row r="13" spans="1:21">
      <c r="A13" s="3" t="s">
        <v>63</v>
      </c>
      <c r="B13" s="90" t="s">
        <v>64</v>
      </c>
      <c r="C13" s="131" t="s">
        <v>264</v>
      </c>
      <c r="D13" s="137"/>
      <c r="E13" s="131" t="s">
        <v>64</v>
      </c>
      <c r="F13" s="3" t="s">
        <v>42</v>
      </c>
      <c r="H13" t="str">
        <f t="shared" si="2"/>
        <v>Dividends_Paid</v>
      </c>
      <c r="I13" t="str">
        <f t="shared" si="0"/>
        <v>Dividends Paid</v>
      </c>
      <c r="J13" s="141" t="s">
        <v>321</v>
      </c>
      <c r="K13" s="141" t="s">
        <v>321</v>
      </c>
      <c r="L13" s="141" t="s">
        <v>321</v>
      </c>
      <c r="N13" t="str">
        <f t="shared" si="3"/>
        <v>Profit &amp; Loss</v>
      </c>
      <c r="P13" s="3" t="s">
        <v>63</v>
      </c>
      <c r="Q13" s="90" t="s">
        <v>64</v>
      </c>
      <c r="S13" t="s">
        <v>42</v>
      </c>
    </row>
    <row r="14" spans="1:21" ht="15" thickBot="1">
      <c r="A14" s="21" t="s">
        <v>65</v>
      </c>
      <c r="B14" s="90" t="s">
        <v>66</v>
      </c>
      <c r="C14" s="87" t="s">
        <v>265</v>
      </c>
      <c r="D14" s="136"/>
      <c r="E14" s="87" t="s">
        <v>270</v>
      </c>
      <c r="F14" s="3" t="s">
        <v>42</v>
      </c>
      <c r="H14" t="str">
        <f t="shared" si="2"/>
        <v>Retained_Profit</v>
      </c>
      <c r="I14" t="str">
        <f t="shared" si="0"/>
        <v>Retained Profit</v>
      </c>
      <c r="J14" t="str">
        <f>E14</f>
        <v>=Net_Profit-Dividends_Paid</v>
      </c>
      <c r="K14" t="s">
        <v>270</v>
      </c>
      <c r="L14" t="s">
        <v>270</v>
      </c>
      <c r="N14" t="str">
        <f t="shared" si="3"/>
        <v>Profit &amp; Loss</v>
      </c>
      <c r="P14" s="21" t="s">
        <v>65</v>
      </c>
      <c r="Q14" s="90" t="s">
        <v>66</v>
      </c>
      <c r="S14" t="s">
        <v>42</v>
      </c>
    </row>
    <row r="15" spans="1:21" ht="15" thickTop="1">
      <c r="A15" s="3" t="s">
        <v>69</v>
      </c>
      <c r="B15" s="90" t="s">
        <v>69</v>
      </c>
      <c r="C15" s="131" t="s">
        <v>264</v>
      </c>
      <c r="D15" s="137"/>
      <c r="E15" s="131" t="s">
        <v>69</v>
      </c>
      <c r="F15" s="6" t="s">
        <v>67</v>
      </c>
      <c r="H15" t="str">
        <f t="shared" si="2"/>
        <v>Cash</v>
      </c>
      <c r="I15" t="str">
        <f t="shared" si="0"/>
        <v>Cash</v>
      </c>
      <c r="J15" s="141" t="s">
        <v>321</v>
      </c>
      <c r="K15" s="141" t="s">
        <v>321</v>
      </c>
      <c r="L15" s="141" t="s">
        <v>321</v>
      </c>
      <c r="N15" t="str">
        <f t="shared" si="3"/>
        <v>Balance Sheet</v>
      </c>
      <c r="P15" s="3" t="s">
        <v>69</v>
      </c>
      <c r="Q15" s="90" t="s">
        <v>69</v>
      </c>
      <c r="R15" t="s">
        <v>323</v>
      </c>
      <c r="S15" t="s">
        <v>67</v>
      </c>
    </row>
    <row r="16" spans="1:21">
      <c r="A16" s="3" t="s">
        <v>70</v>
      </c>
      <c r="B16" s="90" t="s">
        <v>71</v>
      </c>
      <c r="C16" s="131" t="s">
        <v>264</v>
      </c>
      <c r="D16" s="137"/>
      <c r="E16" s="131" t="s">
        <v>71</v>
      </c>
      <c r="F16" s="6" t="s">
        <v>67</v>
      </c>
      <c r="H16" t="str">
        <f t="shared" si="2"/>
        <v>Accounts_Receivable</v>
      </c>
      <c r="I16" t="str">
        <f t="shared" si="0"/>
        <v>Accounts Receivable</v>
      </c>
      <c r="J16" s="141" t="s">
        <v>321</v>
      </c>
      <c r="K16" s="141" t="s">
        <v>321</v>
      </c>
      <c r="L16" s="141" t="s">
        <v>321</v>
      </c>
      <c r="N16" t="str">
        <f t="shared" si="3"/>
        <v>Balance Sheet</v>
      </c>
      <c r="P16" s="3" t="s">
        <v>70</v>
      </c>
      <c r="Q16" s="90" t="s">
        <v>71</v>
      </c>
      <c r="R16" t="s">
        <v>323</v>
      </c>
      <c r="S16" t="s">
        <v>67</v>
      </c>
    </row>
    <row r="17" spans="1:19">
      <c r="A17" s="3" t="s">
        <v>72</v>
      </c>
      <c r="B17" s="90" t="s">
        <v>72</v>
      </c>
      <c r="C17" s="131" t="s">
        <v>264</v>
      </c>
      <c r="D17" s="137"/>
      <c r="E17" s="131" t="s">
        <v>72</v>
      </c>
      <c r="F17" s="6" t="s">
        <v>67</v>
      </c>
      <c r="H17" t="str">
        <f t="shared" si="2"/>
        <v>Inventory</v>
      </c>
      <c r="I17" t="str">
        <f t="shared" si="0"/>
        <v>Inventory</v>
      </c>
      <c r="J17" s="141" t="s">
        <v>321</v>
      </c>
      <c r="K17" s="141" t="s">
        <v>321</v>
      </c>
      <c r="L17" s="141" t="s">
        <v>321</v>
      </c>
      <c r="N17" t="str">
        <f t="shared" si="3"/>
        <v>Balance Sheet</v>
      </c>
      <c r="P17" s="3" t="s">
        <v>72</v>
      </c>
      <c r="Q17" s="90" t="s">
        <v>72</v>
      </c>
      <c r="R17" t="s">
        <v>323</v>
      </c>
      <c r="S17" t="s">
        <v>67</v>
      </c>
    </row>
    <row r="18" spans="1:19">
      <c r="A18" s="3" t="s">
        <v>73</v>
      </c>
      <c r="B18" s="90" t="s">
        <v>74</v>
      </c>
      <c r="C18" s="131" t="s">
        <v>264</v>
      </c>
      <c r="D18" s="137"/>
      <c r="E18" s="131" t="s">
        <v>74</v>
      </c>
      <c r="F18" s="6" t="s">
        <v>67</v>
      </c>
      <c r="H18" t="str">
        <f t="shared" si="2"/>
        <v>Other_Current_Assets</v>
      </c>
      <c r="I18" t="str">
        <f t="shared" si="0"/>
        <v>Other Current Assets</v>
      </c>
      <c r="J18" s="141" t="s">
        <v>321</v>
      </c>
      <c r="K18" s="141" t="s">
        <v>321</v>
      </c>
      <c r="L18" s="141" t="s">
        <v>321</v>
      </c>
      <c r="N18" t="str">
        <f t="shared" si="3"/>
        <v>Balance Sheet</v>
      </c>
      <c r="P18" s="3" t="s">
        <v>73</v>
      </c>
      <c r="Q18" s="90" t="s">
        <v>74</v>
      </c>
      <c r="R18" t="s">
        <v>323</v>
      </c>
      <c r="S18" t="s">
        <v>67</v>
      </c>
    </row>
    <row r="19" spans="1:19" ht="15" thickBot="1">
      <c r="A19" s="15" t="s">
        <v>75</v>
      </c>
      <c r="B19" s="90" t="s">
        <v>76</v>
      </c>
      <c r="C19" s="87" t="s">
        <v>265</v>
      </c>
      <c r="D19" s="136"/>
      <c r="E19" s="87" t="s">
        <v>276</v>
      </c>
      <c r="F19" s="6" t="s">
        <v>67</v>
      </c>
      <c r="H19" t="str">
        <f t="shared" si="2"/>
        <v>Current_Assets</v>
      </c>
      <c r="I19" t="str">
        <f t="shared" si="0"/>
        <v>Current Assets</v>
      </c>
      <c r="J19" t="str">
        <f>E19</f>
        <v>=Cash+Accounts_Receivable+Inventory+Other_Current_Assets</v>
      </c>
      <c r="K19" t="s">
        <v>276</v>
      </c>
      <c r="L19" t="s">
        <v>276</v>
      </c>
      <c r="N19" t="str">
        <f t="shared" si="3"/>
        <v>Balance Sheet</v>
      </c>
      <c r="P19" s="15" t="s">
        <v>75</v>
      </c>
      <c r="Q19" s="90" t="s">
        <v>76</v>
      </c>
      <c r="R19" t="s">
        <v>323</v>
      </c>
      <c r="S19" t="s">
        <v>67</v>
      </c>
    </row>
    <row r="20" spans="1:19">
      <c r="A20" s="3" t="s">
        <v>77</v>
      </c>
      <c r="B20" s="90" t="s">
        <v>78</v>
      </c>
      <c r="C20" s="131" t="s">
        <v>264</v>
      </c>
      <c r="D20" s="137"/>
      <c r="E20" s="131" t="s">
        <v>78</v>
      </c>
      <c r="F20" s="6" t="s">
        <v>67</v>
      </c>
      <c r="H20" t="str">
        <f t="shared" si="2"/>
        <v>Fixed_Assets</v>
      </c>
      <c r="I20" t="str">
        <f t="shared" si="0"/>
        <v>Fixed Assets</v>
      </c>
      <c r="J20" s="141" t="s">
        <v>321</v>
      </c>
      <c r="K20" s="141" t="s">
        <v>321</v>
      </c>
      <c r="L20" s="141" t="s">
        <v>321</v>
      </c>
      <c r="N20" t="str">
        <f t="shared" si="3"/>
        <v>Balance Sheet</v>
      </c>
      <c r="P20" s="3" t="s">
        <v>77</v>
      </c>
      <c r="Q20" s="90" t="s">
        <v>78</v>
      </c>
      <c r="R20" t="s">
        <v>323</v>
      </c>
      <c r="S20" t="s">
        <v>67</v>
      </c>
    </row>
    <row r="21" spans="1:19">
      <c r="A21" s="3" t="s">
        <v>79</v>
      </c>
      <c r="B21" s="90" t="s">
        <v>80</v>
      </c>
      <c r="C21" s="131" t="s">
        <v>264</v>
      </c>
      <c r="D21" s="137"/>
      <c r="E21" s="131" t="s">
        <v>80</v>
      </c>
      <c r="F21" s="6" t="s">
        <v>67</v>
      </c>
      <c r="H21" t="str">
        <f t="shared" si="2"/>
        <v>Other_Non_Current_Assets</v>
      </c>
      <c r="I21" t="str">
        <f t="shared" si="0"/>
        <v>Other Non Current Assets</v>
      </c>
      <c r="J21" s="141" t="s">
        <v>321</v>
      </c>
      <c r="K21" s="141" t="s">
        <v>321</v>
      </c>
      <c r="L21" s="141" t="s">
        <v>321</v>
      </c>
      <c r="N21" t="str">
        <f t="shared" si="3"/>
        <v>Balance Sheet</v>
      </c>
      <c r="P21" s="3" t="s">
        <v>79</v>
      </c>
      <c r="Q21" s="90" t="s">
        <v>80</v>
      </c>
      <c r="R21" t="s">
        <v>323</v>
      </c>
      <c r="S21" t="s">
        <v>67</v>
      </c>
    </row>
    <row r="22" spans="1:19" ht="15" thickBot="1">
      <c r="A22" s="15" t="s">
        <v>81</v>
      </c>
      <c r="B22" s="90" t="s">
        <v>82</v>
      </c>
      <c r="C22" s="87" t="s">
        <v>265</v>
      </c>
      <c r="D22" s="136"/>
      <c r="E22" s="87" t="s">
        <v>277</v>
      </c>
      <c r="F22" s="6" t="s">
        <v>67</v>
      </c>
      <c r="H22" t="str">
        <f t="shared" si="2"/>
        <v>Non_Current_Assets</v>
      </c>
      <c r="I22" t="str">
        <f t="shared" si="0"/>
        <v>Non Current Assets</v>
      </c>
      <c r="J22" t="str">
        <f>E22</f>
        <v>=Fixed_Assets+Other_Non_Current_Assets</v>
      </c>
      <c r="K22" t="s">
        <v>277</v>
      </c>
      <c r="L22" t="s">
        <v>277</v>
      </c>
      <c r="N22" t="str">
        <f t="shared" si="3"/>
        <v>Balance Sheet</v>
      </c>
      <c r="P22" s="15" t="s">
        <v>81</v>
      </c>
      <c r="Q22" s="90" t="s">
        <v>82</v>
      </c>
      <c r="R22" t="s">
        <v>323</v>
      </c>
      <c r="S22" t="s">
        <v>67</v>
      </c>
    </row>
    <row r="23" spans="1:19" ht="15" thickBot="1">
      <c r="A23" s="43" t="s">
        <v>83</v>
      </c>
      <c r="B23" s="90" t="s">
        <v>84</v>
      </c>
      <c r="C23" s="87" t="s">
        <v>265</v>
      </c>
      <c r="D23" s="136"/>
      <c r="E23" s="87" t="s">
        <v>271</v>
      </c>
      <c r="F23" s="6" t="s">
        <v>67</v>
      </c>
      <c r="H23" t="str">
        <f t="shared" si="2"/>
        <v>Total_Assets</v>
      </c>
      <c r="I23" t="str">
        <f t="shared" si="0"/>
        <v>Total Assets</v>
      </c>
      <c r="J23" t="str">
        <f>E23</f>
        <v>=Current_Assets+Non_Current_Assets</v>
      </c>
      <c r="K23" t="s">
        <v>271</v>
      </c>
      <c r="L23" t="s">
        <v>271</v>
      </c>
      <c r="N23" t="str">
        <f t="shared" si="3"/>
        <v>Balance Sheet</v>
      </c>
      <c r="P23" s="43" t="s">
        <v>83</v>
      </c>
      <c r="Q23" s="90" t="s">
        <v>84</v>
      </c>
      <c r="R23" t="s">
        <v>323</v>
      </c>
      <c r="S23" t="s">
        <v>67</v>
      </c>
    </row>
    <row r="24" spans="1:19">
      <c r="A24" s="3" t="s">
        <v>85</v>
      </c>
      <c r="B24" s="90" t="s">
        <v>86</v>
      </c>
      <c r="C24" s="131" t="s">
        <v>264</v>
      </c>
      <c r="D24" s="137"/>
      <c r="E24" s="131" t="s">
        <v>86</v>
      </c>
      <c r="F24" s="6" t="s">
        <v>67</v>
      </c>
      <c r="H24" t="str">
        <f t="shared" si="2"/>
        <v>Accounts_Payable</v>
      </c>
      <c r="I24" t="str">
        <f t="shared" si="0"/>
        <v>Accounts Payable</v>
      </c>
      <c r="J24" s="141" t="s">
        <v>321</v>
      </c>
      <c r="K24" s="141" t="s">
        <v>321</v>
      </c>
      <c r="L24" s="141" t="s">
        <v>321</v>
      </c>
      <c r="N24" t="str">
        <f t="shared" si="3"/>
        <v>Balance Sheet</v>
      </c>
      <c r="P24" s="3" t="s">
        <v>85</v>
      </c>
      <c r="Q24" s="90" t="s">
        <v>86</v>
      </c>
      <c r="R24" t="s">
        <v>324</v>
      </c>
      <c r="S24" t="s">
        <v>67</v>
      </c>
    </row>
    <row r="25" spans="1:19">
      <c r="A25" s="3" t="s">
        <v>87</v>
      </c>
      <c r="B25" s="90" t="s">
        <v>88</v>
      </c>
      <c r="C25" s="131" t="s">
        <v>264</v>
      </c>
      <c r="D25" s="137"/>
      <c r="E25" s="131" t="s">
        <v>88</v>
      </c>
      <c r="F25" s="6" t="s">
        <v>67</v>
      </c>
      <c r="H25" t="str">
        <f t="shared" si="2"/>
        <v>Bank_Loans_Less_Current</v>
      </c>
      <c r="I25" t="str">
        <f t="shared" si="0"/>
        <v>Bank Loans - Current</v>
      </c>
      <c r="J25" s="141" t="s">
        <v>321</v>
      </c>
      <c r="K25" s="141" t="s">
        <v>321</v>
      </c>
      <c r="L25" s="141" t="s">
        <v>321</v>
      </c>
      <c r="N25" t="str">
        <f t="shared" si="3"/>
        <v>Balance Sheet</v>
      </c>
      <c r="P25" s="3" t="s">
        <v>87</v>
      </c>
      <c r="Q25" s="90" t="s">
        <v>88</v>
      </c>
      <c r="R25" t="s">
        <v>324</v>
      </c>
      <c r="S25" t="s">
        <v>67</v>
      </c>
    </row>
    <row r="26" spans="1:19">
      <c r="A26" s="3" t="s">
        <v>330</v>
      </c>
      <c r="B26" s="90" t="s">
        <v>331</v>
      </c>
      <c r="C26" s="131" t="s">
        <v>264</v>
      </c>
      <c r="D26" s="137"/>
      <c r="E26" s="131" t="s">
        <v>331</v>
      </c>
      <c r="F26" s="6" t="s">
        <v>67</v>
      </c>
      <c r="H26" t="str">
        <f t="shared" si="2"/>
        <v>Other_Current_Liabilities</v>
      </c>
      <c r="I26" t="str">
        <f t="shared" si="0"/>
        <v>Other Current Liabilities</v>
      </c>
      <c r="J26" s="141" t="s">
        <v>321</v>
      </c>
      <c r="K26" s="141" t="s">
        <v>321</v>
      </c>
      <c r="L26" s="141" t="s">
        <v>321</v>
      </c>
      <c r="N26" t="str">
        <f t="shared" si="3"/>
        <v>Balance Sheet</v>
      </c>
      <c r="P26" s="3" t="s">
        <v>330</v>
      </c>
      <c r="Q26" s="90" t="s">
        <v>331</v>
      </c>
      <c r="R26" t="s">
        <v>324</v>
      </c>
      <c r="S26" t="s">
        <v>67</v>
      </c>
    </row>
    <row r="27" spans="1:19" ht="15" thickBot="1">
      <c r="A27" s="15" t="s">
        <v>89</v>
      </c>
      <c r="B27" s="90" t="s">
        <v>90</v>
      </c>
      <c r="C27" s="87" t="s">
        <v>265</v>
      </c>
      <c r="D27" s="136"/>
      <c r="E27" s="87">
        <f>Accounts_Payable+Bank_Loans_Less_Current+Other_Current_Liabilities</f>
        <v>800000</v>
      </c>
      <c r="F27" s="6" t="s">
        <v>67</v>
      </c>
      <c r="H27" t="str">
        <f t="shared" si="2"/>
        <v>Current_Liabilities</v>
      </c>
      <c r="I27" t="str">
        <f t="shared" si="0"/>
        <v>Current Liabilities</v>
      </c>
      <c r="J27">
        <f>E27</f>
        <v>800000</v>
      </c>
      <c r="K27">
        <f>Accounts_Payable+Bank_Loans_Less_Current+Other_Current_Liabilities</f>
        <v>800000</v>
      </c>
      <c r="L27">
        <f>Accounts_Payable+Bank_Loans_Less_Current+Other_Current_Liabilities</f>
        <v>800000</v>
      </c>
      <c r="N27" t="str">
        <f t="shared" si="3"/>
        <v>Balance Sheet</v>
      </c>
      <c r="P27" s="15" t="s">
        <v>89</v>
      </c>
      <c r="Q27" s="90" t="s">
        <v>90</v>
      </c>
      <c r="R27" t="s">
        <v>324</v>
      </c>
      <c r="S27" t="s">
        <v>67</v>
      </c>
    </row>
    <row r="28" spans="1:19">
      <c r="A28" s="3" t="s">
        <v>91</v>
      </c>
      <c r="B28" s="90" t="s">
        <v>92</v>
      </c>
      <c r="C28" s="131" t="s">
        <v>264</v>
      </c>
      <c r="D28" s="137"/>
      <c r="E28" s="131" t="s">
        <v>92</v>
      </c>
      <c r="F28" s="6" t="s">
        <v>67</v>
      </c>
      <c r="H28" t="str">
        <f t="shared" si="2"/>
        <v>Bank_Loans_Less_Non_Current</v>
      </c>
      <c r="I28" t="str">
        <f t="shared" si="0"/>
        <v>Bank Loans - Non Current</v>
      </c>
      <c r="J28" s="141" t="s">
        <v>321</v>
      </c>
      <c r="K28" s="141" t="s">
        <v>321</v>
      </c>
      <c r="L28" s="141" t="s">
        <v>321</v>
      </c>
      <c r="N28" t="str">
        <f t="shared" si="3"/>
        <v>Balance Sheet</v>
      </c>
      <c r="P28" s="3" t="s">
        <v>91</v>
      </c>
      <c r="Q28" s="90" t="s">
        <v>92</v>
      </c>
      <c r="R28" t="s">
        <v>205</v>
      </c>
      <c r="S28" t="s">
        <v>67</v>
      </c>
    </row>
    <row r="29" spans="1:19">
      <c r="A29" s="3" t="s">
        <v>93</v>
      </c>
      <c r="B29" s="90" t="s">
        <v>94</v>
      </c>
      <c r="C29" s="131" t="s">
        <v>264</v>
      </c>
      <c r="D29" s="137"/>
      <c r="E29" s="131" t="s">
        <v>94</v>
      </c>
      <c r="F29" s="6" t="s">
        <v>67</v>
      </c>
      <c r="H29" t="str">
        <f t="shared" si="2"/>
        <v>Other_Non_Current_Liabilities</v>
      </c>
      <c r="I29" t="str">
        <f t="shared" si="0"/>
        <v>Other Non Current Liabilities</v>
      </c>
      <c r="J29" s="141" t="s">
        <v>321</v>
      </c>
      <c r="K29" s="141" t="s">
        <v>321</v>
      </c>
      <c r="L29" s="141" t="s">
        <v>321</v>
      </c>
      <c r="N29" t="str">
        <f t="shared" si="3"/>
        <v>Balance Sheet</v>
      </c>
      <c r="P29" s="3" t="s">
        <v>93</v>
      </c>
      <c r="Q29" s="90" t="s">
        <v>94</v>
      </c>
      <c r="R29" t="s">
        <v>205</v>
      </c>
      <c r="S29" t="s">
        <v>67</v>
      </c>
    </row>
    <row r="30" spans="1:19" ht="15" thickBot="1">
      <c r="A30" s="17" t="s">
        <v>95</v>
      </c>
      <c r="B30" s="90" t="s">
        <v>96</v>
      </c>
      <c r="C30" s="87" t="s">
        <v>265</v>
      </c>
      <c r="D30" s="136"/>
      <c r="E30" s="87" t="s">
        <v>278</v>
      </c>
      <c r="F30" s="6" t="s">
        <v>67</v>
      </c>
      <c r="H30" t="str">
        <f t="shared" si="2"/>
        <v>Non_Current_Liabilities</v>
      </c>
      <c r="I30" t="str">
        <f t="shared" si="0"/>
        <v>Non Current Liabilities</v>
      </c>
      <c r="J30" t="str">
        <f>E30</f>
        <v>=Bank_Loans_Less_Non_Current+Other_Non_Current_Liabilities</v>
      </c>
      <c r="K30" t="s">
        <v>278</v>
      </c>
      <c r="L30" t="s">
        <v>278</v>
      </c>
      <c r="N30" t="str">
        <f t="shared" si="3"/>
        <v>Balance Sheet</v>
      </c>
      <c r="P30" s="17" t="s">
        <v>95</v>
      </c>
      <c r="Q30" s="90" t="s">
        <v>96</v>
      </c>
      <c r="R30" t="s">
        <v>205</v>
      </c>
      <c r="S30" t="s">
        <v>67</v>
      </c>
    </row>
    <row r="31" spans="1:19" ht="15" thickBot="1">
      <c r="A31" s="43" t="s">
        <v>97</v>
      </c>
      <c r="B31" s="90" t="s">
        <v>98</v>
      </c>
      <c r="C31" s="87" t="s">
        <v>265</v>
      </c>
      <c r="D31" s="136"/>
      <c r="E31" s="87" t="s">
        <v>272</v>
      </c>
      <c r="F31" s="6" t="s">
        <v>67</v>
      </c>
      <c r="H31" t="str">
        <f t="shared" si="2"/>
        <v>Total_Liabilities</v>
      </c>
      <c r="I31" t="str">
        <f t="shared" si="0"/>
        <v>Total Liabilities</v>
      </c>
      <c r="J31" t="str">
        <f>E31</f>
        <v>=Current_Liabilities+Non_Current_Liabilities</v>
      </c>
      <c r="K31" t="s">
        <v>272</v>
      </c>
      <c r="L31" t="s">
        <v>272</v>
      </c>
      <c r="N31" t="str">
        <f t="shared" si="3"/>
        <v>Balance Sheet</v>
      </c>
      <c r="P31" s="43" t="s">
        <v>97</v>
      </c>
      <c r="Q31" s="90" t="s">
        <v>98</v>
      </c>
      <c r="R31" t="s">
        <v>205</v>
      </c>
      <c r="S31" t="s">
        <v>67</v>
      </c>
    </row>
    <row r="32" spans="1:19">
      <c r="A32" s="3" t="s">
        <v>99</v>
      </c>
      <c r="B32" s="90" t="s">
        <v>100</v>
      </c>
      <c r="C32" s="87" t="s">
        <v>265</v>
      </c>
      <c r="D32" s="136"/>
      <c r="E32" s="87" t="s">
        <v>273</v>
      </c>
      <c r="F32" s="6" t="s">
        <v>67</v>
      </c>
      <c r="H32" t="str">
        <f t="shared" si="2"/>
        <v>Period_Earnings</v>
      </c>
      <c r="I32" t="str">
        <f t="shared" si="0"/>
        <v>Period Earnings</v>
      </c>
      <c r="J32" t="str">
        <f>E32</f>
        <v>=Net_Profit</v>
      </c>
      <c r="K32" t="s">
        <v>273</v>
      </c>
      <c r="L32" t="s">
        <v>273</v>
      </c>
      <c r="N32" t="str">
        <f t="shared" si="3"/>
        <v>Balance Sheet</v>
      </c>
      <c r="P32" s="3" t="s">
        <v>99</v>
      </c>
      <c r="Q32" s="90" t="s">
        <v>100</v>
      </c>
      <c r="S32" t="s">
        <v>67</v>
      </c>
    </row>
    <row r="33" spans="1:19">
      <c r="A33" s="3" t="s">
        <v>101</v>
      </c>
      <c r="B33" s="90" t="s">
        <v>102</v>
      </c>
      <c r="C33" s="131" t="s">
        <v>264</v>
      </c>
      <c r="D33" s="137"/>
      <c r="E33" s="131" t="s">
        <v>102</v>
      </c>
      <c r="F33" s="6" t="s">
        <v>67</v>
      </c>
      <c r="H33" t="str">
        <f t="shared" si="2"/>
        <v>Retained_Earnings</v>
      </c>
      <c r="I33" t="str">
        <f t="shared" si="0"/>
        <v>Retained Earnings</v>
      </c>
      <c r="J33" s="141" t="s">
        <v>321</v>
      </c>
      <c r="K33" s="141" t="s">
        <v>321</v>
      </c>
      <c r="L33" s="141" t="s">
        <v>321</v>
      </c>
      <c r="N33" t="str">
        <f t="shared" si="3"/>
        <v>Balance Sheet</v>
      </c>
      <c r="P33" s="3" t="s">
        <v>101</v>
      </c>
      <c r="Q33" s="90" t="s">
        <v>102</v>
      </c>
      <c r="S33" t="s">
        <v>67</v>
      </c>
    </row>
    <row r="34" spans="1:19" ht="15" thickBot="1">
      <c r="A34" s="3" t="s">
        <v>103</v>
      </c>
      <c r="B34" s="90" t="s">
        <v>103</v>
      </c>
      <c r="C34" s="131" t="s">
        <v>264</v>
      </c>
      <c r="D34" s="137"/>
      <c r="E34" s="131" t="s">
        <v>103</v>
      </c>
      <c r="F34" s="6" t="s">
        <v>67</v>
      </c>
      <c r="H34" t="str">
        <f t="shared" si="2"/>
        <v>Capital</v>
      </c>
      <c r="I34" t="str">
        <f t="shared" si="0"/>
        <v>Capital</v>
      </c>
      <c r="J34" s="141" t="s">
        <v>321</v>
      </c>
      <c r="K34" s="141" t="s">
        <v>321</v>
      </c>
      <c r="L34" s="141" t="s">
        <v>321</v>
      </c>
      <c r="N34" t="str">
        <f t="shared" si="3"/>
        <v>Balance Sheet</v>
      </c>
      <c r="P34" s="3" t="s">
        <v>103</v>
      </c>
      <c r="Q34" s="90" t="s">
        <v>103</v>
      </c>
      <c r="S34" t="s">
        <v>67</v>
      </c>
    </row>
    <row r="35" spans="1:19" ht="15" thickBot="1">
      <c r="A35" s="43" t="s">
        <v>104</v>
      </c>
      <c r="B35" s="90" t="s">
        <v>104</v>
      </c>
      <c r="C35" s="87" t="s">
        <v>265</v>
      </c>
      <c r="D35" s="136"/>
      <c r="E35" s="87" t="s">
        <v>279</v>
      </c>
      <c r="F35" s="6" t="s">
        <v>67</v>
      </c>
      <c r="H35" t="str">
        <f t="shared" si="2"/>
        <v>Equity</v>
      </c>
      <c r="I35" t="str">
        <f t="shared" si="0"/>
        <v>Equity</v>
      </c>
      <c r="J35" t="str">
        <f>E35</f>
        <v>=Period_Earnings+Retained_Earnings+Capital</v>
      </c>
      <c r="K35" t="s">
        <v>279</v>
      </c>
      <c r="L35" t="s">
        <v>279</v>
      </c>
      <c r="N35" t="str">
        <f t="shared" si="3"/>
        <v>Balance Sheet</v>
      </c>
      <c r="P35" s="43" t="s">
        <v>104</v>
      </c>
      <c r="Q35" s="90" t="s">
        <v>104</v>
      </c>
      <c r="S35" t="s">
        <v>67</v>
      </c>
    </row>
    <row r="36" spans="1:19">
      <c r="A36" s="23" t="s">
        <v>105</v>
      </c>
      <c r="B36" s="90" t="s">
        <v>106</v>
      </c>
      <c r="C36" s="87" t="s">
        <v>265</v>
      </c>
      <c r="D36" s="136"/>
      <c r="E36" s="87" t="s">
        <v>274</v>
      </c>
      <c r="F36" s="6" t="s">
        <v>67</v>
      </c>
      <c r="H36" t="str">
        <f t="shared" si="2"/>
        <v>Liabilities_And_Equity</v>
      </c>
      <c r="I36" t="str">
        <f t="shared" si="0"/>
        <v>Liabilities + Equity</v>
      </c>
      <c r="J36" t="str">
        <f>E36</f>
        <v>=Total_Liabilities+Equity</v>
      </c>
      <c r="K36" t="s">
        <v>274</v>
      </c>
      <c r="L36" t="s">
        <v>274</v>
      </c>
      <c r="N36" t="str">
        <f t="shared" si="3"/>
        <v>Balance Sheet</v>
      </c>
      <c r="P36" s="23" t="s">
        <v>105</v>
      </c>
      <c r="Q36" s="90" t="s">
        <v>106</v>
      </c>
      <c r="S36" t="s">
        <v>67</v>
      </c>
    </row>
    <row r="37" spans="1:19">
      <c r="A37" s="26" t="s">
        <v>107</v>
      </c>
      <c r="B37" s="90" t="s">
        <v>108</v>
      </c>
      <c r="C37" s="87" t="s">
        <v>265</v>
      </c>
      <c r="D37" s="136"/>
      <c r="E37" s="87" t="s">
        <v>275</v>
      </c>
      <c r="F37" s="6" t="s">
        <v>67</v>
      </c>
      <c r="H37" t="str">
        <f t="shared" si="2"/>
        <v>Balance_Sheet_Check</v>
      </c>
      <c r="I37" t="str">
        <f t="shared" si="0"/>
        <v>Balance Sheet Check</v>
      </c>
      <c r="J37" t="str">
        <f>E37</f>
        <v>=Total_Assets-Liabilities_And_Equity</v>
      </c>
      <c r="K37" t="s">
        <v>275</v>
      </c>
      <c r="L37" t="s">
        <v>275</v>
      </c>
      <c r="N37" t="str">
        <f t="shared" si="3"/>
        <v>Balance Sheet</v>
      </c>
      <c r="P37" s="26" t="s">
        <v>107</v>
      </c>
      <c r="Q37" s="90" t="s">
        <v>108</v>
      </c>
      <c r="S37" t="s">
        <v>67</v>
      </c>
    </row>
    <row r="38" spans="1:19">
      <c r="C38" s="3"/>
      <c r="D38" s="136"/>
      <c r="E38" s="3"/>
      <c r="F38" s="3"/>
    </row>
    <row r="39" spans="1:19">
      <c r="A39" s="10" t="s">
        <v>111</v>
      </c>
      <c r="B39" s="89" t="s">
        <v>112</v>
      </c>
      <c r="C39" s="87" t="s">
        <v>265</v>
      </c>
      <c r="D39" s="136"/>
      <c r="E39" s="87" t="s">
        <v>280</v>
      </c>
      <c r="J39" s="3"/>
      <c r="K39" s="87" t="s">
        <v>265</v>
      </c>
      <c r="L39" s="136"/>
      <c r="M39" s="87" t="s">
        <v>280</v>
      </c>
    </row>
    <row r="40" spans="1:19">
      <c r="A40" s="10" t="s">
        <v>114</v>
      </c>
      <c r="B40" s="89" t="s">
        <v>115</v>
      </c>
      <c r="C40" s="87" t="s">
        <v>265</v>
      </c>
      <c r="D40" s="136"/>
      <c r="E40" s="87" t="s">
        <v>281</v>
      </c>
      <c r="J40" s="3"/>
      <c r="K40" s="87" t="s">
        <v>265</v>
      </c>
      <c r="L40" s="136"/>
      <c r="M40" s="87" t="s">
        <v>281</v>
      </c>
    </row>
    <row r="41" spans="1:19">
      <c r="A41" s="10" t="s">
        <v>116</v>
      </c>
      <c r="B41" s="89" t="s">
        <v>117</v>
      </c>
      <c r="C41" s="87" t="s">
        <v>265</v>
      </c>
      <c r="D41" s="136"/>
      <c r="E41" s="87" t="s">
        <v>282</v>
      </c>
      <c r="J41" s="3"/>
      <c r="K41" s="87" t="s">
        <v>265</v>
      </c>
      <c r="L41" s="136"/>
      <c r="M41" s="87" t="s">
        <v>282</v>
      </c>
    </row>
    <row r="42" spans="1:19">
      <c r="A42" s="10" t="s">
        <v>118</v>
      </c>
      <c r="B42" s="89" t="s">
        <v>119</v>
      </c>
      <c r="C42" s="87" t="s">
        <v>265</v>
      </c>
      <c r="D42" s="136"/>
      <c r="E42" s="87" t="s">
        <v>283</v>
      </c>
      <c r="J42" s="3"/>
      <c r="K42" s="87" t="s">
        <v>265</v>
      </c>
      <c r="L42" s="136"/>
      <c r="M42" s="87" t="s">
        <v>283</v>
      </c>
    </row>
    <row r="43" spans="1:19">
      <c r="A43" s="3" t="s">
        <v>120</v>
      </c>
      <c r="B43" s="90" t="s">
        <v>121</v>
      </c>
      <c r="C43" s="131" t="s">
        <v>264</v>
      </c>
      <c r="D43" s="137"/>
      <c r="E43" s="131" t="s">
        <v>121</v>
      </c>
      <c r="J43" s="3"/>
      <c r="K43" s="131" t="s">
        <v>264</v>
      </c>
      <c r="L43" s="137"/>
      <c r="M43" s="131" t="s">
        <v>121</v>
      </c>
    </row>
    <row r="44" spans="1:19">
      <c r="A44" s="10" t="s">
        <v>122</v>
      </c>
      <c r="B44" s="89" t="s">
        <v>122</v>
      </c>
      <c r="C44" s="87" t="s">
        <v>265</v>
      </c>
      <c r="D44" s="136"/>
      <c r="E44" s="87" t="s">
        <v>284</v>
      </c>
      <c r="J44" s="3"/>
      <c r="K44" s="87" t="s">
        <v>265</v>
      </c>
      <c r="L44" s="136"/>
      <c r="M44" s="87" t="s">
        <v>284</v>
      </c>
    </row>
    <row r="45" spans="1:19">
      <c r="A45" s="10" t="s">
        <v>123</v>
      </c>
      <c r="B45" s="89" t="s">
        <v>124</v>
      </c>
      <c r="C45" s="87" t="s">
        <v>265</v>
      </c>
      <c r="D45" s="136"/>
      <c r="E45" s="87" t="s">
        <v>285</v>
      </c>
      <c r="J45" s="3"/>
      <c r="K45" s="87" t="s">
        <v>265</v>
      </c>
      <c r="L45" s="136"/>
      <c r="M45" s="87" t="s">
        <v>285</v>
      </c>
    </row>
    <row r="46" spans="1:19">
      <c r="A46" s="10" t="s">
        <v>125</v>
      </c>
      <c r="B46" s="89" t="s">
        <v>126</v>
      </c>
      <c r="C46" s="87" t="s">
        <v>265</v>
      </c>
      <c r="D46" s="136"/>
      <c r="E46" s="87" t="s">
        <v>286</v>
      </c>
      <c r="J46" s="3"/>
      <c r="K46" s="87" t="s">
        <v>265</v>
      </c>
      <c r="L46" s="136"/>
      <c r="M46" s="87" t="s">
        <v>286</v>
      </c>
    </row>
    <row r="47" spans="1:19">
      <c r="A47" s="3" t="s">
        <v>128</v>
      </c>
      <c r="B47" s="3" t="s">
        <v>129</v>
      </c>
      <c r="C47" s="87" t="s">
        <v>265</v>
      </c>
      <c r="D47" s="136"/>
      <c r="E47" s="87" t="s">
        <v>287</v>
      </c>
      <c r="J47" s="3"/>
      <c r="K47" s="87" t="s">
        <v>265</v>
      </c>
      <c r="L47" s="136"/>
      <c r="M47" s="87" t="s">
        <v>287</v>
      </c>
    </row>
    <row r="48" spans="1:19">
      <c r="A48" s="10" t="s">
        <v>130</v>
      </c>
      <c r="B48" s="10" t="s">
        <v>131</v>
      </c>
      <c r="C48" s="87" t="s">
        <v>265</v>
      </c>
      <c r="D48" s="136"/>
      <c r="E48" s="87" t="s">
        <v>288</v>
      </c>
      <c r="J48" s="3"/>
      <c r="K48" s="87" t="s">
        <v>265</v>
      </c>
      <c r="L48" s="136"/>
      <c r="M48" s="87" t="s">
        <v>288</v>
      </c>
    </row>
    <row r="49" spans="1:13">
      <c r="A49" s="3" t="s">
        <v>132</v>
      </c>
      <c r="B49" s="3" t="s">
        <v>133</v>
      </c>
      <c r="C49" s="87" t="s">
        <v>265</v>
      </c>
      <c r="D49" s="136"/>
      <c r="E49" s="87" t="s">
        <v>289</v>
      </c>
      <c r="J49" s="3"/>
      <c r="K49" s="87" t="s">
        <v>265</v>
      </c>
      <c r="L49" s="136"/>
      <c r="M49" s="87" t="s">
        <v>289</v>
      </c>
    </row>
    <row r="50" spans="1:13">
      <c r="A50" s="10" t="s">
        <v>134</v>
      </c>
      <c r="B50" s="10" t="s">
        <v>135</v>
      </c>
      <c r="C50" s="87" t="s">
        <v>265</v>
      </c>
      <c r="D50" s="136"/>
      <c r="E50" s="87" t="s">
        <v>290</v>
      </c>
      <c r="J50" s="3"/>
      <c r="K50" s="87" t="s">
        <v>265</v>
      </c>
      <c r="L50" s="136"/>
      <c r="M50" s="87" t="s">
        <v>290</v>
      </c>
    </row>
    <row r="51" spans="1:13">
      <c r="A51" s="3" t="s">
        <v>136</v>
      </c>
      <c r="B51" s="3" t="s">
        <v>137</v>
      </c>
      <c r="C51" s="87" t="s">
        <v>265</v>
      </c>
      <c r="D51" s="136"/>
      <c r="E51" s="87" t="s">
        <v>291</v>
      </c>
      <c r="J51" s="3"/>
      <c r="K51" s="87" t="s">
        <v>265</v>
      </c>
      <c r="L51" s="136"/>
      <c r="M51" s="87" t="s">
        <v>291</v>
      </c>
    </row>
    <row r="52" spans="1:13">
      <c r="A52" s="10" t="s">
        <v>138</v>
      </c>
      <c r="B52" s="10" t="s">
        <v>139</v>
      </c>
      <c r="C52" s="87" t="s">
        <v>265</v>
      </c>
      <c r="D52" s="136"/>
      <c r="E52" s="87" t="s">
        <v>329</v>
      </c>
      <c r="J52" s="3"/>
      <c r="K52" s="87" t="s">
        <v>265</v>
      </c>
      <c r="L52" s="136"/>
      <c r="M52" s="87" t="s">
        <v>292</v>
      </c>
    </row>
    <row r="53" spans="1:13">
      <c r="A53" s="3" t="s">
        <v>140</v>
      </c>
      <c r="B53" s="3" t="s">
        <v>141</v>
      </c>
      <c r="C53" s="87" t="s">
        <v>265</v>
      </c>
      <c r="D53" s="136"/>
      <c r="E53" s="87" t="s">
        <v>293</v>
      </c>
      <c r="J53" s="3"/>
      <c r="K53" s="87" t="s">
        <v>265</v>
      </c>
      <c r="L53" s="136"/>
      <c r="M53" s="87" t="s">
        <v>293</v>
      </c>
    </row>
    <row r="54" spans="1:13">
      <c r="A54" s="31" t="s">
        <v>142</v>
      </c>
      <c r="B54" s="31" t="s">
        <v>143</v>
      </c>
      <c r="C54" s="87" t="s">
        <v>265</v>
      </c>
      <c r="D54" s="136"/>
      <c r="E54" s="87" t="s">
        <v>294</v>
      </c>
      <c r="J54" s="3"/>
      <c r="K54" s="87" t="s">
        <v>265</v>
      </c>
      <c r="L54" s="136"/>
      <c r="M54" s="87" t="s">
        <v>294</v>
      </c>
    </row>
    <row r="55" spans="1:13">
      <c r="A55" s="10" t="s">
        <v>144</v>
      </c>
      <c r="B55" s="10" t="s">
        <v>145</v>
      </c>
      <c r="C55" s="87" t="s">
        <v>265</v>
      </c>
      <c r="D55" s="136"/>
      <c r="E55" s="87" t="s">
        <v>295</v>
      </c>
      <c r="J55" s="3"/>
      <c r="K55" s="87" t="s">
        <v>265</v>
      </c>
      <c r="L55" s="136"/>
      <c r="M55" s="87" t="s">
        <v>295</v>
      </c>
    </row>
    <row r="56" spans="1:13">
      <c r="A56" s="3" t="s">
        <v>147</v>
      </c>
      <c r="B56" s="33" t="s">
        <v>148</v>
      </c>
      <c r="C56" s="87" t="s">
        <v>265</v>
      </c>
      <c r="D56" s="136"/>
      <c r="E56" s="87">
        <f>Fixed_Assets+Other_Current_Assets+Other_Non_Current_Assets-Other_Current_Liabilities-Other_Non_Current_Liabilities</f>
        <v>1070000</v>
      </c>
      <c r="J56" s="3"/>
      <c r="K56" s="87" t="s">
        <v>265</v>
      </c>
      <c r="L56" s="136"/>
      <c r="M56" s="87" t="s">
        <v>296</v>
      </c>
    </row>
    <row r="57" spans="1:13">
      <c r="A57" s="3" t="s">
        <v>149</v>
      </c>
      <c r="B57" s="31" t="s">
        <v>150</v>
      </c>
      <c r="C57" s="87" t="s">
        <v>265</v>
      </c>
      <c r="D57" s="136"/>
      <c r="E57" s="87" t="s">
        <v>327</v>
      </c>
      <c r="J57" s="3"/>
      <c r="K57" s="87" t="s">
        <v>265</v>
      </c>
      <c r="L57" s="136"/>
      <c r="M57" s="87" t="s">
        <v>297</v>
      </c>
    </row>
    <row r="58" spans="1:13">
      <c r="A58" s="3" t="s">
        <v>151</v>
      </c>
      <c r="B58" s="33" t="s">
        <v>152</v>
      </c>
      <c r="C58" s="87" t="s">
        <v>265</v>
      </c>
      <c r="D58" s="136"/>
      <c r="E58" s="87" t="s">
        <v>328</v>
      </c>
      <c r="J58" s="3"/>
      <c r="K58" s="87" t="s">
        <v>265</v>
      </c>
      <c r="L58" s="136"/>
      <c r="M58" s="87" t="s">
        <v>298</v>
      </c>
    </row>
    <row r="59" spans="1:13">
      <c r="A59" s="3" t="s">
        <v>153</v>
      </c>
      <c r="B59" s="10" t="s">
        <v>154</v>
      </c>
      <c r="C59" s="87" t="s">
        <v>265</v>
      </c>
      <c r="D59" s="136"/>
      <c r="E59" s="87" t="s">
        <v>299</v>
      </c>
      <c r="J59" s="3"/>
      <c r="K59" s="87" t="s">
        <v>265</v>
      </c>
      <c r="L59" s="136"/>
      <c r="M59" s="87" t="s">
        <v>299</v>
      </c>
    </row>
    <row r="60" spans="1:13">
      <c r="A60" s="3" t="s">
        <v>155</v>
      </c>
      <c r="B60" s="3" t="s">
        <v>156</v>
      </c>
      <c r="C60" s="87" t="s">
        <v>265</v>
      </c>
      <c r="D60" s="136"/>
      <c r="E60" s="87" t="s">
        <v>325</v>
      </c>
      <c r="J60" s="3"/>
      <c r="K60" s="87" t="s">
        <v>265</v>
      </c>
      <c r="L60" s="136"/>
      <c r="M60" s="87" t="s">
        <v>300</v>
      </c>
    </row>
    <row r="61" spans="1:13">
      <c r="A61" s="3" t="s">
        <v>157</v>
      </c>
      <c r="B61" s="10" t="s">
        <v>158</v>
      </c>
      <c r="C61" s="87" t="s">
        <v>265</v>
      </c>
      <c r="D61" s="136"/>
      <c r="E61" s="87" t="s">
        <v>326</v>
      </c>
      <c r="J61" s="3"/>
      <c r="K61" s="87" t="s">
        <v>265</v>
      </c>
      <c r="L61" s="136"/>
      <c r="M61" s="87" t="s">
        <v>301</v>
      </c>
    </row>
    <row r="62" spans="1:13">
      <c r="A62" s="3" t="s">
        <v>159</v>
      </c>
      <c r="B62" s="3" t="s">
        <v>160</v>
      </c>
      <c r="C62" s="87" t="s">
        <v>265</v>
      </c>
      <c r="D62" s="136"/>
      <c r="E62" s="87" t="s">
        <v>302</v>
      </c>
      <c r="J62" s="3"/>
      <c r="K62" s="87" t="s">
        <v>265</v>
      </c>
      <c r="L62" s="136"/>
      <c r="M62" s="87" t="s">
        <v>302</v>
      </c>
    </row>
    <row r="63" spans="1:13">
      <c r="A63" s="3" t="s">
        <v>161</v>
      </c>
      <c r="B63" s="10" t="s">
        <v>162</v>
      </c>
      <c r="C63" s="87" t="s">
        <v>265</v>
      </c>
      <c r="D63" s="136"/>
      <c r="E63" s="87" t="s">
        <v>303</v>
      </c>
      <c r="J63" s="3"/>
      <c r="K63" s="87" t="s">
        <v>265</v>
      </c>
      <c r="L63" s="136"/>
      <c r="M63" s="87" t="s">
        <v>303</v>
      </c>
    </row>
    <row r="64" spans="1:13">
      <c r="A64" s="3" t="s">
        <v>163</v>
      </c>
      <c r="B64" s="10" t="s">
        <v>164</v>
      </c>
      <c r="C64" s="87" t="s">
        <v>265</v>
      </c>
      <c r="D64" s="136"/>
      <c r="E64" s="87" t="s">
        <v>304</v>
      </c>
      <c r="J64" s="3"/>
      <c r="K64" s="87" t="s">
        <v>265</v>
      </c>
      <c r="L64" s="136"/>
      <c r="M64" s="87" t="s">
        <v>304</v>
      </c>
    </row>
    <row r="65" spans="1:13">
      <c r="A65" s="31" t="s">
        <v>166</v>
      </c>
      <c r="B65" s="127" t="s">
        <v>167</v>
      </c>
      <c r="C65" s="87" t="s">
        <v>265</v>
      </c>
      <c r="D65" s="136"/>
      <c r="E65" s="87" t="s">
        <v>305</v>
      </c>
      <c r="J65" s="3"/>
      <c r="K65" s="87" t="s">
        <v>265</v>
      </c>
      <c r="L65" s="136"/>
      <c r="M65" s="87" t="s">
        <v>305</v>
      </c>
    </row>
    <row r="66" spans="1:13">
      <c r="A66" s="31" t="s">
        <v>170</v>
      </c>
      <c r="B66" s="127" t="s">
        <v>171</v>
      </c>
      <c r="C66" s="133" t="s">
        <v>265</v>
      </c>
      <c r="D66" s="136"/>
      <c r="E66" s="133" t="s">
        <v>306</v>
      </c>
      <c r="J66" s="3"/>
      <c r="K66" s="133" t="s">
        <v>265</v>
      </c>
      <c r="L66" s="136"/>
      <c r="M66" s="133" t="s">
        <v>306</v>
      </c>
    </row>
    <row r="67" spans="1:13">
      <c r="A67" s="3" t="s">
        <v>172</v>
      </c>
      <c r="B67" s="3" t="s">
        <v>173</v>
      </c>
      <c r="C67" s="87" t="s">
        <v>265</v>
      </c>
      <c r="D67" s="136"/>
      <c r="E67" s="87" t="s">
        <v>307</v>
      </c>
      <c r="J67" s="3"/>
      <c r="K67" s="87" t="s">
        <v>265</v>
      </c>
      <c r="L67" s="136"/>
      <c r="M67" s="87" t="s">
        <v>307</v>
      </c>
    </row>
    <row r="68" spans="1:13">
      <c r="A68" s="10" t="s">
        <v>174</v>
      </c>
      <c r="B68" s="10" t="s">
        <v>175</v>
      </c>
      <c r="C68" s="87" t="s">
        <v>265</v>
      </c>
      <c r="D68" s="136"/>
      <c r="E68" s="87" t="s">
        <v>308</v>
      </c>
      <c r="J68" s="3"/>
      <c r="K68" s="87" t="s">
        <v>265</v>
      </c>
      <c r="L68" s="136"/>
      <c r="M68" s="87" t="s">
        <v>308</v>
      </c>
    </row>
    <row r="69" spans="1:13">
      <c r="A69" s="3" t="s">
        <v>176</v>
      </c>
      <c r="B69" s="3" t="s">
        <v>177</v>
      </c>
      <c r="C69" s="87" t="s">
        <v>265</v>
      </c>
      <c r="D69" s="136"/>
      <c r="E69" s="87" t="s">
        <v>309</v>
      </c>
      <c r="J69" s="3"/>
      <c r="K69" s="87" t="s">
        <v>265</v>
      </c>
      <c r="L69" s="136"/>
      <c r="M69" s="87" t="s">
        <v>309</v>
      </c>
    </row>
    <row r="70" spans="1:13">
      <c r="A70" s="10" t="s">
        <v>178</v>
      </c>
      <c r="B70" s="10" t="s">
        <v>179</v>
      </c>
      <c r="C70" s="87" t="s">
        <v>265</v>
      </c>
      <c r="D70" s="136"/>
      <c r="E70" s="87" t="s">
        <v>310</v>
      </c>
      <c r="J70" s="3"/>
      <c r="K70" s="87" t="s">
        <v>265</v>
      </c>
      <c r="L70" s="136"/>
      <c r="M70" s="87" t="s">
        <v>310</v>
      </c>
    </row>
    <row r="75" spans="1:13">
      <c r="D75" s="89" t="s">
        <v>112</v>
      </c>
      <c r="E75" s="87" t="s">
        <v>280</v>
      </c>
    </row>
    <row r="76" spans="1:13">
      <c r="B76" s="89" t="s">
        <v>115</v>
      </c>
      <c r="C76" s="87" t="s">
        <v>281</v>
      </c>
    </row>
    <row r="77" spans="1:13">
      <c r="B77" s="89" t="s">
        <v>117</v>
      </c>
      <c r="C77" s="87" t="s">
        <v>282</v>
      </c>
    </row>
    <row r="78" spans="1:13">
      <c r="B78" s="89" t="s">
        <v>119</v>
      </c>
      <c r="C78" s="87" t="s">
        <v>283</v>
      </c>
    </row>
    <row r="79" spans="1:13">
      <c r="B79" s="89" t="s">
        <v>122</v>
      </c>
      <c r="C79" s="87" t="s">
        <v>284</v>
      </c>
    </row>
    <row r="80" spans="1:13">
      <c r="B80" s="89" t="s">
        <v>124</v>
      </c>
      <c r="C80" s="87" t="s">
        <v>285</v>
      </c>
    </row>
    <row r="81" spans="2:3">
      <c r="B81" s="89" t="s">
        <v>126</v>
      </c>
      <c r="C81" s="87" t="s">
        <v>286</v>
      </c>
    </row>
    <row r="82" spans="2:3">
      <c r="B82" s="3" t="s">
        <v>129</v>
      </c>
      <c r="C82" s="87" t="s">
        <v>287</v>
      </c>
    </row>
    <row r="83" spans="2:3">
      <c r="B83" s="10" t="s">
        <v>131</v>
      </c>
      <c r="C83" s="87" t="s">
        <v>288</v>
      </c>
    </row>
    <row r="84" spans="2:3">
      <c r="B84" s="3" t="s">
        <v>133</v>
      </c>
      <c r="C84" s="87" t="s">
        <v>289</v>
      </c>
    </row>
    <row r="85" spans="2:3">
      <c r="B85" s="10" t="s">
        <v>135</v>
      </c>
      <c r="C85" s="87" t="s">
        <v>290</v>
      </c>
    </row>
    <row r="86" spans="2:3">
      <c r="B86" s="3" t="s">
        <v>137</v>
      </c>
      <c r="C86" s="87" t="s">
        <v>291</v>
      </c>
    </row>
    <row r="87" spans="2:3">
      <c r="B87" s="10" t="s">
        <v>139</v>
      </c>
      <c r="C87" s="87" t="s">
        <v>329</v>
      </c>
    </row>
    <row r="88" spans="2:3">
      <c r="B88" s="3" t="s">
        <v>141</v>
      </c>
      <c r="C88" s="87" t="s">
        <v>293</v>
      </c>
    </row>
    <row r="89" spans="2:3">
      <c r="B89" s="31" t="s">
        <v>143</v>
      </c>
      <c r="C89" s="87" t="s">
        <v>294</v>
      </c>
    </row>
    <row r="90" spans="2:3">
      <c r="B90" s="10" t="s">
        <v>145</v>
      </c>
      <c r="C90" s="87" t="s">
        <v>295</v>
      </c>
    </row>
    <row r="91" spans="2:3">
      <c r="B91" s="33" t="s">
        <v>148</v>
      </c>
      <c r="C91" s="87">
        <f>Fixed_Assets+Other_Current_Assets+Other_Non_Current_Assets-Other_Current_Liabilities-Other_Non_Current_Liabilities</f>
        <v>1070000</v>
      </c>
    </row>
    <row r="92" spans="2:3">
      <c r="B92" s="31" t="s">
        <v>150</v>
      </c>
      <c r="C92" s="87" t="s">
        <v>327</v>
      </c>
    </row>
    <row r="93" spans="2:3">
      <c r="B93" s="33" t="s">
        <v>152</v>
      </c>
      <c r="C93" s="87" t="s">
        <v>328</v>
      </c>
    </row>
    <row r="94" spans="2:3">
      <c r="B94" s="10" t="s">
        <v>154</v>
      </c>
      <c r="C94" s="87" t="s">
        <v>299</v>
      </c>
    </row>
    <row r="95" spans="2:3">
      <c r="B95" s="3" t="s">
        <v>156</v>
      </c>
      <c r="C95" s="87" t="s">
        <v>325</v>
      </c>
    </row>
    <row r="96" spans="2:3">
      <c r="B96" s="10" t="s">
        <v>158</v>
      </c>
      <c r="C96" s="87" t="s">
        <v>326</v>
      </c>
    </row>
    <row r="97" spans="2:5">
      <c r="B97" s="3" t="s">
        <v>160</v>
      </c>
      <c r="C97" s="87" t="s">
        <v>302</v>
      </c>
    </row>
    <row r="98" spans="2:5">
      <c r="B98" s="10" t="s">
        <v>162</v>
      </c>
      <c r="C98" s="87" t="s">
        <v>303</v>
      </c>
    </row>
    <row r="99" spans="2:5">
      <c r="B99" s="10" t="s">
        <v>164</v>
      </c>
      <c r="C99" s="87" t="s">
        <v>304</v>
      </c>
    </row>
    <row r="100" spans="2:5">
      <c r="D100" s="127" t="s">
        <v>167</v>
      </c>
      <c r="E100" s="87" t="s">
        <v>305</v>
      </c>
    </row>
    <row r="101" spans="2:5">
      <c r="D101" s="127" t="s">
        <v>171</v>
      </c>
      <c r="E101" s="133" t="s">
        <v>306</v>
      </c>
    </row>
    <row r="102" spans="2:5">
      <c r="B102" s="3" t="s">
        <v>173</v>
      </c>
      <c r="C102" s="87" t="s">
        <v>307</v>
      </c>
    </row>
    <row r="103" spans="2:5">
      <c r="B103" s="10" t="s">
        <v>175</v>
      </c>
      <c r="C103" s="87" t="s">
        <v>308</v>
      </c>
    </row>
    <row r="104" spans="2:5">
      <c r="B104" s="3" t="s">
        <v>177</v>
      </c>
      <c r="C104" s="87" t="s">
        <v>309</v>
      </c>
    </row>
    <row r="105" spans="2:5">
      <c r="B105" s="10" t="s">
        <v>179</v>
      </c>
      <c r="C105" s="87" t="s">
        <v>310</v>
      </c>
    </row>
  </sheetData>
  <autoFilter ref="A2:H70" xr:uid="{9196B598-6903-4F32-8D99-394074A62FEC}"/>
  <conditionalFormatting sqref="A39:A46">
    <cfRule type="duplicateValues" dxfId="5" priority="93"/>
  </conditionalFormatting>
  <conditionalFormatting sqref="B2:B37">
    <cfRule type="duplicateValues" dxfId="4" priority="78"/>
  </conditionalFormatting>
  <conditionalFormatting sqref="B39:B70">
    <cfRule type="duplicateValues" dxfId="3" priority="100"/>
  </conditionalFormatting>
  <conditionalFormatting sqref="B76:B99 B102:B105 D100:D101 D75">
    <cfRule type="duplicateValues" dxfId="2" priority="1"/>
  </conditionalFormatting>
  <conditionalFormatting sqref="Q3:Q37">
    <cfRule type="duplicateValues" dxfId="1" priority="5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6568-650C-4855-A458-579082D2B176}">
  <dimension ref="A1:E15"/>
  <sheetViews>
    <sheetView workbookViewId="0">
      <selection activeCell="C12" sqref="C12:D12"/>
    </sheetView>
  </sheetViews>
  <sheetFormatPr defaultRowHeight="14.5"/>
  <cols>
    <col min="2" max="3" width="13.26953125" bestFit="1" customWidth="1"/>
    <col min="4" max="5" width="11.7265625" bestFit="1" customWidth="1"/>
  </cols>
  <sheetData>
    <row r="1" spans="1:5" ht="29">
      <c r="A1" s="96" t="s">
        <v>235</v>
      </c>
      <c r="B1" s="96" t="s">
        <v>236</v>
      </c>
      <c r="C1" s="96" t="s">
        <v>237</v>
      </c>
      <c r="D1" s="96" t="s">
        <v>238</v>
      </c>
      <c r="E1" s="96" t="s">
        <v>239</v>
      </c>
    </row>
    <row r="2" spans="1:5">
      <c r="A2" s="97">
        <v>2015</v>
      </c>
      <c r="B2" s="101">
        <v>3400000</v>
      </c>
      <c r="C2" s="101">
        <v>865000</v>
      </c>
      <c r="D2" s="101">
        <v>360000</v>
      </c>
      <c r="E2" s="101">
        <v>195400</v>
      </c>
    </row>
    <row r="3" spans="1:5">
      <c r="A3" s="97">
        <v>2016</v>
      </c>
      <c r="B3" s="101">
        <v>5000000</v>
      </c>
      <c r="C3" s="101">
        <v>1300000</v>
      </c>
      <c r="D3" s="101">
        <v>467000</v>
      </c>
      <c r="E3" s="101">
        <v>280000</v>
      </c>
    </row>
    <row r="4" spans="1:5">
      <c r="A4" s="97"/>
      <c r="B4" s="97"/>
      <c r="C4" s="97"/>
      <c r="D4" s="97"/>
      <c r="E4" s="97"/>
    </row>
    <row r="11" spans="1:5">
      <c r="A11" s="3"/>
      <c r="B11" s="3"/>
      <c r="C11" s="55" t="s">
        <v>38</v>
      </c>
      <c r="D11" s="55" t="s">
        <v>39</v>
      </c>
    </row>
    <row r="12" spans="1:5" ht="15" thickBot="1">
      <c r="A12" s="80" t="s">
        <v>42</v>
      </c>
      <c r="B12" s="80" t="s">
        <v>43</v>
      </c>
      <c r="C12" s="55" t="s">
        <v>38</v>
      </c>
      <c r="D12" s="55" t="s">
        <v>39</v>
      </c>
    </row>
    <row r="13" spans="1:5" ht="15" thickTop="1">
      <c r="A13" s="3" t="s">
        <v>45</v>
      </c>
      <c r="B13" s="90" t="s">
        <v>45</v>
      </c>
      <c r="C13" s="108">
        <v>3400000</v>
      </c>
      <c r="D13" s="42">
        <v>5000000</v>
      </c>
    </row>
    <row r="14" spans="1:5">
      <c r="A14" s="3" t="s">
        <v>46</v>
      </c>
      <c r="B14" s="90" t="s">
        <v>47</v>
      </c>
      <c r="C14" s="108">
        <v>2535000</v>
      </c>
      <c r="D14" s="42">
        <v>3700000</v>
      </c>
    </row>
    <row r="15" spans="1:5" ht="15" thickBot="1">
      <c r="A15" s="15" t="s">
        <v>48</v>
      </c>
      <c r="B15" s="90" t="s">
        <v>49</v>
      </c>
      <c r="C15" s="109" cm="1">
        <f t="array" ref="C15">Revenue-Cost_of_Goods</f>
        <v>865000</v>
      </c>
      <c r="D15" s="16">
        <f>Revenue2-Cost_of_Goods2</f>
        <v>1300000</v>
      </c>
    </row>
  </sheetData>
  <conditionalFormatting sqref="B11:B15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5CD0-1A23-4F33-8EE0-7423785F3C09}">
  <dimension ref="A1:E3"/>
  <sheetViews>
    <sheetView workbookViewId="0">
      <selection activeCell="E1" sqref="E1"/>
    </sheetView>
  </sheetViews>
  <sheetFormatPr defaultRowHeight="14.5"/>
  <sheetData>
    <row r="1" spans="1:5">
      <c r="A1" s="96" t="s">
        <v>235</v>
      </c>
      <c r="B1" s="96" t="s">
        <v>240</v>
      </c>
      <c r="C1" s="96" t="s">
        <v>241</v>
      </c>
      <c r="D1" s="96" t="s">
        <v>242</v>
      </c>
      <c r="E1" s="96" t="s">
        <v>243</v>
      </c>
    </row>
    <row r="2" spans="1:5">
      <c r="A2" s="97">
        <v>2015</v>
      </c>
      <c r="B2" s="101">
        <v>61.2</v>
      </c>
      <c r="C2" s="101">
        <v>86.4</v>
      </c>
      <c r="D2" s="101">
        <v>43.2</v>
      </c>
      <c r="E2" s="101">
        <v>104.4</v>
      </c>
    </row>
    <row r="3" spans="1:5">
      <c r="A3" s="97">
        <v>2016</v>
      </c>
      <c r="B3" s="101">
        <v>65.7</v>
      </c>
      <c r="C3" s="101">
        <v>90.8</v>
      </c>
      <c r="D3" s="101">
        <v>44.4</v>
      </c>
      <c r="E3" s="101">
        <v>112.1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06D5-8733-422F-A15E-533899F7F4AD}">
  <dimension ref="A1:E2"/>
  <sheetViews>
    <sheetView workbookViewId="0">
      <selection activeCell="H20" sqref="H20"/>
    </sheetView>
  </sheetViews>
  <sheetFormatPr defaultRowHeight="14.5"/>
  <cols>
    <col min="1" max="1" width="10.1796875" bestFit="1" customWidth="1"/>
    <col min="2" max="2" width="15.26953125" bestFit="1" customWidth="1"/>
    <col min="3" max="3" width="13.54296875" bestFit="1" customWidth="1"/>
    <col min="4" max="4" width="14.1796875" bestFit="1" customWidth="1"/>
    <col min="5" max="5" width="16.54296875" bestFit="1" customWidth="1"/>
  </cols>
  <sheetData>
    <row r="1" spans="1:5">
      <c r="A1" s="100" t="s">
        <v>235</v>
      </c>
      <c r="B1" s="100" t="s">
        <v>238</v>
      </c>
      <c r="C1" s="100" t="s">
        <v>244</v>
      </c>
      <c r="D1" s="100" t="s">
        <v>245</v>
      </c>
      <c r="E1" s="100" t="s">
        <v>246</v>
      </c>
    </row>
    <row r="2" spans="1:5">
      <c r="A2" s="102">
        <v>2015</v>
      </c>
      <c r="B2" s="102">
        <v>360000</v>
      </c>
      <c r="C2" s="102">
        <v>2700000</v>
      </c>
      <c r="D2" s="102">
        <v>1.75</v>
      </c>
      <c r="E2" s="102">
        <v>18.559999999999999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521A-1E62-46AF-B639-9E5AD5780A9D}">
  <dimension ref="A1:E4"/>
  <sheetViews>
    <sheetView workbookViewId="0">
      <selection activeCell="E4" sqref="A1:E4"/>
    </sheetView>
  </sheetViews>
  <sheetFormatPr defaultRowHeight="14.5"/>
  <cols>
    <col min="1" max="1" width="9.7265625" bestFit="1" customWidth="1"/>
    <col min="2" max="2" width="13.26953125" bestFit="1" customWidth="1"/>
    <col min="3" max="3" width="11.7265625" bestFit="1" customWidth="1"/>
    <col min="4" max="4" width="8.81640625" bestFit="1" customWidth="1"/>
    <col min="5" max="5" width="12.54296875" bestFit="1" customWidth="1"/>
  </cols>
  <sheetData>
    <row r="1" spans="1:5" ht="29">
      <c r="A1" s="98" t="s">
        <v>235</v>
      </c>
      <c r="B1" s="98" t="s">
        <v>247</v>
      </c>
      <c r="C1" s="98" t="s">
        <v>248</v>
      </c>
      <c r="D1" s="98" t="s">
        <v>249</v>
      </c>
      <c r="E1" s="98" t="s">
        <v>250</v>
      </c>
    </row>
    <row r="2" spans="1:5">
      <c r="A2" s="103">
        <v>2015</v>
      </c>
      <c r="B2" s="101">
        <v>1240000</v>
      </c>
      <c r="C2" s="101">
        <v>700000</v>
      </c>
      <c r="D2" s="101">
        <v>2</v>
      </c>
      <c r="E2" s="101">
        <v>-885000</v>
      </c>
    </row>
    <row r="3" spans="1:5">
      <c r="A3" s="103">
        <v>2016</v>
      </c>
      <c r="B3" s="101">
        <f>B2*0.98</f>
        <v>1215200</v>
      </c>
      <c r="C3" s="101">
        <f t="shared" ref="C3:E3" si="0">C2*0.98</f>
        <v>686000</v>
      </c>
      <c r="D3" s="101">
        <f t="shared" si="0"/>
        <v>1.96</v>
      </c>
      <c r="E3" s="101">
        <f t="shared" si="0"/>
        <v>-867300</v>
      </c>
    </row>
    <row r="4" spans="1:5">
      <c r="A4" s="103">
        <v>2017</v>
      </c>
      <c r="B4" s="101">
        <f>B3*1.12</f>
        <v>1361024.0000000002</v>
      </c>
      <c r="C4" s="101">
        <f t="shared" ref="C4:E4" si="1">C3*1.12</f>
        <v>768320.00000000012</v>
      </c>
      <c r="D4" s="101">
        <f t="shared" si="1"/>
        <v>2.1952000000000003</v>
      </c>
      <c r="E4" s="101">
        <f t="shared" si="1"/>
        <v>-971376.00000000012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7E83-601A-4A16-9FB6-60E3968EAD81}">
  <dimension ref="B2:H20"/>
  <sheetViews>
    <sheetView tabSelected="1" topLeftCell="A13" zoomScale="178" zoomScaleNormal="295" workbookViewId="0">
      <selection activeCell="B13" sqref="B13"/>
    </sheetView>
  </sheetViews>
  <sheetFormatPr defaultRowHeight="14.5"/>
  <cols>
    <col min="2" max="2" width="14.7265625" bestFit="1" customWidth="1"/>
    <col min="3" max="3" width="10.81640625" style="106" customWidth="1"/>
    <col min="4" max="4" width="38.7265625" customWidth="1"/>
    <col min="7" max="7" width="48.81640625" bestFit="1" customWidth="1"/>
    <col min="8" max="8" width="17.54296875" customWidth="1"/>
  </cols>
  <sheetData>
    <row r="2" spans="2:8" ht="43.5">
      <c r="C2" s="106" t="s">
        <v>251</v>
      </c>
    </row>
    <row r="4" spans="2:8">
      <c r="C4" s="105" t="s">
        <v>252</v>
      </c>
    </row>
    <row r="5" spans="2:8" ht="29">
      <c r="B5" s="100" t="s">
        <v>253</v>
      </c>
      <c r="C5" s="96" t="s">
        <v>254</v>
      </c>
      <c r="D5" s="100" t="s">
        <v>255</v>
      </c>
      <c r="E5" s="100"/>
      <c r="F5" s="100"/>
      <c r="G5" s="100" t="s">
        <v>256</v>
      </c>
      <c r="H5" s="96" t="s">
        <v>257</v>
      </c>
    </row>
    <row r="6" spans="2:8" s="104" customFormat="1" ht="248.5" customHeight="1">
      <c r="B6" s="104" t="s">
        <v>258</v>
      </c>
      <c r="C6" s="105" t="s">
        <v>259</v>
      </c>
      <c r="G6" s="105" t="s">
        <v>260</v>
      </c>
      <c r="H6" s="105" t="s">
        <v>261</v>
      </c>
    </row>
    <row r="7" spans="2:8" s="104" customFormat="1" ht="248.5" customHeight="1">
      <c r="C7" s="105"/>
      <c r="G7" s="105"/>
      <c r="H7" s="105"/>
    </row>
    <row r="8" spans="2:8" s="104" customFormat="1">
      <c r="B8" s="104" t="s">
        <v>332</v>
      </c>
      <c r="C8" s="105"/>
    </row>
    <row r="9" spans="2:8" s="104" customFormat="1" ht="29">
      <c r="B9" s="100" t="s">
        <v>253</v>
      </c>
      <c r="C9" s="96" t="s">
        <v>254</v>
      </c>
      <c r="D9" s="100" t="s">
        <v>255</v>
      </c>
      <c r="E9" s="100"/>
      <c r="F9" s="100"/>
      <c r="G9" s="100" t="s">
        <v>256</v>
      </c>
      <c r="H9" s="96" t="s">
        <v>257</v>
      </c>
    </row>
    <row r="10" spans="2:8" s="104" customFormat="1">
      <c r="C10" s="105"/>
    </row>
    <row r="11" spans="2:8" s="104" customFormat="1" ht="374.5" customHeight="1">
      <c r="B11" s="153" t="s">
        <v>338</v>
      </c>
      <c r="C11" s="154"/>
      <c r="D11" s="153"/>
    </row>
    <row r="12" spans="2:8" s="104" customFormat="1" ht="124" customHeight="1">
      <c r="B12" s="154" t="s">
        <v>337</v>
      </c>
      <c r="C12" s="153"/>
      <c r="D12" s="153"/>
    </row>
    <row r="13" spans="2:8" s="104" customFormat="1" ht="345" customHeight="1">
      <c r="B13" s="154" t="s">
        <v>335</v>
      </c>
      <c r="C13" s="153"/>
      <c r="D13" s="153"/>
    </row>
    <row r="14" spans="2:8" s="104" customFormat="1" ht="320.5" customHeight="1">
      <c r="B14" s="105" t="s">
        <v>336</v>
      </c>
    </row>
    <row r="15" spans="2:8" s="104" customFormat="1" ht="76" customHeight="1">
      <c r="B15" s="104" t="s">
        <v>334</v>
      </c>
    </row>
    <row r="16" spans="2:8" s="104" customFormat="1" ht="135.5" customHeight="1">
      <c r="B16" s="105" t="s">
        <v>333</v>
      </c>
    </row>
    <row r="17" spans="3:3" s="104" customFormat="1" ht="157" customHeight="1">
      <c r="C17" s="105"/>
    </row>
    <row r="18" spans="3:3" s="104" customFormat="1" ht="205" customHeight="1">
      <c r="C18" s="105"/>
    </row>
    <row r="19" spans="3:3" s="104" customFormat="1" ht="205" customHeight="1">
      <c r="C19" s="105"/>
    </row>
    <row r="20" spans="3:3" s="104" customFormat="1" ht="205" customHeight="1">
      <c r="C20" s="105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262e2cb-17e3-45d4-bcb6-a5bf489cb61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C414E6190139439F86DDCE34764F33" ma:contentTypeVersion="6" ma:contentTypeDescription="Crear nuevo documento." ma:contentTypeScope="" ma:versionID="f3b50753b85561e13954d663fcebbd7a">
  <xsd:schema xmlns:xsd="http://www.w3.org/2001/XMLSchema" xmlns:xs="http://www.w3.org/2001/XMLSchema" xmlns:p="http://schemas.microsoft.com/office/2006/metadata/properties" xmlns:ns3="f262e2cb-17e3-45d4-bcb6-a5bf489cb612" targetNamespace="http://schemas.microsoft.com/office/2006/metadata/properties" ma:root="true" ma:fieldsID="2734240394c2c3e77b7e7292ec76bb8d" ns3:_="">
    <xsd:import namespace="f262e2cb-17e3-45d4-bcb6-a5bf489cb61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2e2cb-17e3-45d4-bcb6-a5bf489cb61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AF5D0E-CE6C-4BBA-948B-76DA9031ED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5BB70E-84A2-439A-8D3C-A9C8A1F4D036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f262e2cb-17e3-45d4-bcb6-a5bf489cb612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63D8F6C-2A41-4A66-8D89-EE373F39C4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62e2cb-17e3-45d4-bcb6-a5bf489cb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6bf56db-1844-4fb0-89f3-ad07c1f40c8b}" enabled="0" method="" siteId="{a6bf56db-1844-4fb0-89f3-ad07c1f40c8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92</vt:i4>
      </vt:variant>
    </vt:vector>
  </HeadingPairs>
  <TitlesOfParts>
    <vt:vector size="100" baseType="lpstr">
      <vt:lpstr>Estados</vt:lpstr>
      <vt:lpstr>EEFF</vt:lpstr>
      <vt:lpstr>Summary</vt:lpstr>
      <vt:lpstr>Profitability</vt:lpstr>
      <vt:lpstr>WorkingCapital</vt:lpstr>
      <vt:lpstr>Capital</vt:lpstr>
      <vt:lpstr>Funding</vt:lpstr>
      <vt:lpstr>Documentacion</vt:lpstr>
      <vt:lpstr>Accounts_Payable</vt:lpstr>
      <vt:lpstr>Accounts_Payable_Days</vt:lpstr>
      <vt:lpstr>Accounts_Payable2</vt:lpstr>
      <vt:lpstr>Accounts_Receivable</vt:lpstr>
      <vt:lpstr>Accounts_Receivable_Days</vt:lpstr>
      <vt:lpstr>Accounts_Receivable2</vt:lpstr>
      <vt:lpstr>Asset_Turnover</vt:lpstr>
      <vt:lpstr>Balance_Sheet</vt:lpstr>
      <vt:lpstr>Balance_Sheet_Check</vt:lpstr>
      <vt:lpstr>Bank_Loans_Less_Current</vt:lpstr>
      <vt:lpstr>Bank_Loans_Less_Non_Current</vt:lpstr>
      <vt:lpstr>Capital</vt:lpstr>
      <vt:lpstr>Cash</vt:lpstr>
      <vt:lpstr>Cost_of_Goods</vt:lpstr>
      <vt:lpstr>Cost_of_Goods2</vt:lpstr>
      <vt:lpstr>Costo_de_Ventas</vt:lpstr>
      <vt:lpstr>Current_Assets</vt:lpstr>
      <vt:lpstr>Current_Liabilities</vt:lpstr>
      <vt:lpstr>Current_Ratio</vt:lpstr>
      <vt:lpstr>Debt_Payback</vt:lpstr>
      <vt:lpstr>Debt_to_Capital</vt:lpstr>
      <vt:lpstr>Debt_to_Equity</vt:lpstr>
      <vt:lpstr>Depreciation_And_Amortisation</vt:lpstr>
      <vt:lpstr>Depreciation_And_Amortisation2</vt:lpstr>
      <vt:lpstr>Días_de_Cobro</vt:lpstr>
      <vt:lpstr>Días_de_Pago</vt:lpstr>
      <vt:lpstr>Dividends_Paid</vt:lpstr>
      <vt:lpstr>Dividends_Paid2</vt:lpstr>
      <vt:lpstr>EBITDA</vt:lpstr>
      <vt:lpstr>EBITDA2</vt:lpstr>
      <vt:lpstr>Equity</vt:lpstr>
      <vt:lpstr>Extraordinary_IncomeOrExpenses</vt:lpstr>
      <vt:lpstr>Fixed_Assets</vt:lpstr>
      <vt:lpstr>Fixed_Assets2</vt:lpstr>
      <vt:lpstr>Gastos_Fijos</vt:lpstr>
      <vt:lpstr>Gross_Margin</vt:lpstr>
      <vt:lpstr>Gross_Margin_Perc</vt:lpstr>
      <vt:lpstr>Gross_Margin2</vt:lpstr>
      <vt:lpstr>Interest_Cover</vt:lpstr>
      <vt:lpstr>Interest_Paid</vt:lpstr>
      <vt:lpstr>Interest_Paid2</vt:lpstr>
      <vt:lpstr>Inventory</vt:lpstr>
      <vt:lpstr>Inventory_Days</vt:lpstr>
      <vt:lpstr>Inventory2</vt:lpstr>
      <vt:lpstr>Liabilities_And_Equity</vt:lpstr>
      <vt:lpstr>Marginal_Cash_Flow</vt:lpstr>
      <vt:lpstr>Net_Cash_Flow3</vt:lpstr>
      <vt:lpstr>Net_Cash_Flow4</vt:lpstr>
      <vt:lpstr>Net_Debt</vt:lpstr>
      <vt:lpstr>Net_Operating_Assets</vt:lpstr>
      <vt:lpstr>Net_Operating_Assets_Perc</vt:lpstr>
      <vt:lpstr>Net_Profit</vt:lpstr>
      <vt:lpstr>Net_Profit_Before_Tax</vt:lpstr>
      <vt:lpstr>Net_Profit_Perc</vt:lpstr>
      <vt:lpstr>Non_Current_Assets</vt:lpstr>
      <vt:lpstr>Non_Current_Liabilities</vt:lpstr>
      <vt:lpstr>Operating_Cash_Flow</vt:lpstr>
      <vt:lpstr>Operating_Cash_Profit</vt:lpstr>
      <vt:lpstr>Operating_Profit</vt:lpstr>
      <vt:lpstr>Operating_Profit_Perc</vt:lpstr>
      <vt:lpstr>Other_Capital</vt:lpstr>
      <vt:lpstr>Other_Capital_Perc</vt:lpstr>
      <vt:lpstr>Other_Capital_Turnover</vt:lpstr>
      <vt:lpstr>Other_Current_Assets</vt:lpstr>
      <vt:lpstr>Other_Current_Liabilities</vt:lpstr>
      <vt:lpstr>Other_Non_Current_Assets</vt:lpstr>
      <vt:lpstr>Other_Non_Current_Liabilities</vt:lpstr>
      <vt:lpstr>Overheads</vt:lpstr>
      <vt:lpstr>Overheads_Perc</vt:lpstr>
      <vt:lpstr>Overheads2</vt:lpstr>
      <vt:lpstr>Period_Earnings</vt:lpstr>
      <vt:lpstr>Precio_de_Venta</vt:lpstr>
      <vt:lpstr>ProfitAndLoss</vt:lpstr>
      <vt:lpstr>Retained_Earnings</vt:lpstr>
      <vt:lpstr>Retained_Profit</vt:lpstr>
      <vt:lpstr>Return_on_Capital_Perc</vt:lpstr>
      <vt:lpstr>Return_on_Equity_Perc</vt:lpstr>
      <vt:lpstr>Return_on_Total_Assets_Perc</vt:lpstr>
      <vt:lpstr>Revenue</vt:lpstr>
      <vt:lpstr>Revenue_Growth_Perc</vt:lpstr>
      <vt:lpstr>Revenue2</vt:lpstr>
      <vt:lpstr>Rotación_de_Inventario</vt:lpstr>
      <vt:lpstr>Tasa_Impositiva</vt:lpstr>
      <vt:lpstr>Tax_Paid</vt:lpstr>
      <vt:lpstr>Tax_Paid2</vt:lpstr>
      <vt:lpstr>Total_Assets</vt:lpstr>
      <vt:lpstr>Total_Liabilities</vt:lpstr>
      <vt:lpstr>Volumen_de_Ventas</vt:lpstr>
      <vt:lpstr>Working_Capital</vt:lpstr>
      <vt:lpstr>Working_Capital_Days</vt:lpstr>
      <vt:lpstr>Working_Capital_per_100Dlls</vt:lpstr>
      <vt:lpstr>Working_Capital_Turnover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diego.ruiz</dc:creator>
  <cp:keywords/>
  <dc:description/>
  <cp:lastModifiedBy>José Ángel García Medina</cp:lastModifiedBy>
  <cp:revision/>
  <dcterms:created xsi:type="dcterms:W3CDTF">2021-05-18T23:13:04Z</dcterms:created>
  <dcterms:modified xsi:type="dcterms:W3CDTF">2025-05-30T00:59:28Z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0x01010006C414E6190139439F86DDCE34764F33</vt:lpwstr>
  </property>
</Properties>
</file>